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drawings/drawing7.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codeName="ThisWorkbook"/>
  <mc:AlternateContent xmlns:mc="http://schemas.openxmlformats.org/markup-compatibility/2006">
    <mc:Choice Requires="x15">
      <x15ac:absPath xmlns:x15ac="http://schemas.microsoft.com/office/spreadsheetml/2010/11/ac" url="C:\Users\Kaley\Desktop\"/>
    </mc:Choice>
  </mc:AlternateContent>
  <xr:revisionPtr revIDLastSave="0" documentId="8_{AC282D99-C0A4-404A-BF94-2A7DDBF2FEA8}" xr6:coauthVersionLast="47" xr6:coauthVersionMax="47" xr10:uidLastSave="{00000000-0000-0000-0000-000000000000}"/>
  <bookViews>
    <workbookView xWindow="-120" yWindow="-120" windowWidth="20730" windowHeight="11160" tabRatio="800" firstSheet="21" activeTab="29" xr2:uid="{00000000-000D-0000-FFFF-FFFF00000000}"/>
  </bookViews>
  <sheets>
    <sheet name="ABC-2015-02-00_" sheetId="1" r:id="rId1"/>
    <sheet name="ABC-2015-02A-00" sheetId="2" r:id="rId2"/>
    <sheet name="ABC-2015-02A-00__(1)" sheetId="36" r:id="rId3"/>
    <sheet name="POW-2015-01-00_" sheetId="3" r:id="rId4"/>
    <sheet name="POW-2015-01A-00_" sheetId="4" r:id="rId5"/>
    <sheet name="POW-2015-01B-00_" sheetId="5" r:id="rId6"/>
    <sheet name="POW-2015-01C-00_" sheetId="6" r:id="rId7"/>
    <sheet name="BACKUP" sheetId="7" r:id="rId8"/>
    <sheet name="SOQ" sheetId="8" r:id="rId9"/>
    <sheet name="cd" sheetId="9" r:id="rId10"/>
    <sheet name="FO" sheetId="10" r:id="rId11"/>
    <sheet name="A_1_1_(3)" sheetId="11" r:id="rId12"/>
    <sheet name="B_5(dp)" sheetId="12" r:id="rId13"/>
    <sheet name="B_5_(coa)" sheetId="13" r:id="rId14"/>
    <sheet name="Man-days" sheetId="14" r:id="rId15"/>
    <sheet name="B_7(2)" sheetId="15" r:id="rId16"/>
    <sheet name="B_8(2)" sheetId="16" r:id="rId17"/>
    <sheet name="B_9" sheetId="17" r:id="rId18"/>
    <sheet name="100(3)a1" sheetId="18" r:id="rId19"/>
    <sheet name="102(2)" sheetId="19" r:id="rId20"/>
    <sheet name="104(1)a" sheetId="20" r:id="rId21"/>
    <sheet name="104(2)a" sheetId="21" r:id="rId22"/>
    <sheet name="105(1)a" sheetId="22" r:id="rId23"/>
    <sheet name="200(1)" sheetId="23" r:id="rId24"/>
    <sheet name="311(1)b1" sheetId="24" r:id="rId25"/>
    <sheet name="404(1)a" sheetId="25" r:id="rId26"/>
    <sheet name="405(1)a3" sheetId="26" r:id="rId27"/>
    <sheet name="506(1)" sheetId="27" r:id="rId28"/>
    <sheet name="611(1)" sheetId="35" r:id="rId29"/>
    <sheet name="PRICE_LIST" sheetId="28" r:id="rId30"/>
    <sheet name="Equipments" sheetId="29" r:id="rId31"/>
    <sheet name="HAULING_COST_(cement)" sheetId="30" r:id="rId32"/>
    <sheet name="HAULING_COST_(RSB)" sheetId="31" r:id="rId33"/>
    <sheet name="Sheet1" sheetId="32" r:id="rId34"/>
    <sheet name="INDEX" sheetId="33" r:id="rId35"/>
  </sheets>
  <externalReferences>
    <externalReference r:id="rId36"/>
    <externalReference r:id="rId37"/>
    <externalReference r:id="rId38"/>
  </externalReferences>
  <definedNames>
    <definedName name="Backup" localSheetId="28">[1]BACKUP!$A$14:$F$71</definedName>
    <definedName name="Backup">BACKUP!$A$11:$F$41</definedName>
    <definedName name="equipment" localSheetId="28">'[1]PRICE LIST'!$F:$I</definedName>
    <definedName name="equipment">PRICE_LIST!$F:$I</definedName>
    <definedName name="LABOR" localSheetId="28">'[1]PRICE LIST'!$J:$L</definedName>
    <definedName name="LABOR">PRICE_LIST!$J:$L</definedName>
    <definedName name="material">PRICE_LIST!$A:$E</definedName>
    <definedName name="N">'POW-2015-01C-00_'!$N$62</definedName>
    <definedName name="_xlnm.Print_Area" localSheetId="18">'100(3)a1'!$A$1:$J$68</definedName>
    <definedName name="_xlnm.Print_Area" localSheetId="19">'102(2)'!$A$1:$J$66</definedName>
    <definedName name="_xlnm.Print_Area" localSheetId="20">'104(1)a'!$A$1:$J$75</definedName>
    <definedName name="_xlnm.Print_Area" localSheetId="21">'104(2)a'!$A$1:$J$66</definedName>
    <definedName name="_xlnm.Print_Area" localSheetId="22">'105(1)a'!$A$1:$J$64</definedName>
    <definedName name="_xlnm.Print_Area" localSheetId="23">'200(1)'!$A$1:$J$67</definedName>
    <definedName name="_xlnm.Print_Area" localSheetId="24">'311(1)b1'!$A$1:$J$85</definedName>
    <definedName name="_xlnm.Print_Area" localSheetId="25">'404(1)a'!$A$1:$J$71</definedName>
    <definedName name="_xlnm.Print_Area" localSheetId="26">'405(1)a3'!$A$1:$J$77</definedName>
    <definedName name="_xlnm.Print_Area" localSheetId="27">'506(1)'!$A$1:$J$74</definedName>
    <definedName name="_xlnm.Print_Area" localSheetId="28">'611(1)'!$A$1:$J$73</definedName>
    <definedName name="_xlnm.Print_Area" localSheetId="11">'A_1_1_(3)'!$A$1:$J$79</definedName>
    <definedName name="_xlnm.Print_Area" localSheetId="0">'ABC-2015-02-00_'!$A$2:$Z$38</definedName>
    <definedName name="_xlnm.Print_Area" localSheetId="1">'ABC-2015-02A-00'!$A$1:$Y$54</definedName>
    <definedName name="_xlnm.Print_Area" localSheetId="2">'ABC-2015-02A-00__(1)'!$A$1:$Y$54</definedName>
    <definedName name="_xlnm.Print_Area" localSheetId="12">'B_5(dp)'!$A$1:$J$67</definedName>
    <definedName name="_xlnm.Print_Area" localSheetId="13">'B_5_(coa)'!$A$1:$J$68</definedName>
    <definedName name="_xlnm.Print_Area" localSheetId="15">'B_7(2)'!$A$1:$J$83</definedName>
    <definedName name="_xlnm.Print_Area" localSheetId="16">'B_8(2)'!$A$1:$J$65</definedName>
    <definedName name="_xlnm.Print_Area" localSheetId="17">B_9!$A$1:$J$67</definedName>
    <definedName name="_xlnm.Print_Area" localSheetId="7">BACKUP!$A$42:$O$114</definedName>
    <definedName name="_xlnm.Print_Area" localSheetId="9">cd!$A$1:$G$40</definedName>
    <definedName name="_xlnm.Print_Area" localSheetId="30">Equipments!$A$1:$Y$139</definedName>
    <definedName name="_xlnm.Print_Area" localSheetId="31">'HAULING_COST_(cement)'!$A$1:$N$34</definedName>
    <definedName name="_xlnm.Print_Area" localSheetId="32">'HAULING_COST_(RSB)'!$A$1:$Q$34</definedName>
    <definedName name="_xlnm.Print_Area" localSheetId="14">'Man-days'!$A$1:$AA$39</definedName>
    <definedName name="_xlnm.Print_Area" localSheetId="3">'POW-2015-01-00_'!$A$3:$AG$51</definedName>
    <definedName name="_xlnm.Print_Area" localSheetId="4">'POW-2015-01A-00_'!$A$2:$M$36</definedName>
    <definedName name="_xlnm.Print_Area" localSheetId="5">'POW-2015-01B-00_'!$A$1:$I$38</definedName>
    <definedName name="_xlnm.Print_Area" localSheetId="6">'POW-2015-01C-00_'!$A$1:$R$56</definedName>
    <definedName name="_xlnm.Print_Area" localSheetId="33">Sheet1!$A$1:$V$42</definedName>
    <definedName name="_xlnm.Print_Area" localSheetId="8">SOQ!$A$1:$H$38</definedName>
    <definedName name="SUMMARY" localSheetId="28">[1]SOQ!$A$14:$H$42</definedName>
    <definedName name="SUMMARY">SOQ!$A$10:$H$30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7" i="27" l="1"/>
  <c r="L106" i="7"/>
  <c r="D106" i="7"/>
  <c r="B106" i="7"/>
  <c r="E4" i="7"/>
  <c r="C124" i="7"/>
  <c r="G24" i="17"/>
  <c r="K30" i="23"/>
  <c r="I57" i="23"/>
  <c r="B98" i="7"/>
  <c r="H44" i="13"/>
  <c r="H44" i="12"/>
  <c r="Z31" i="36" l="1"/>
  <c r="Z31" i="2"/>
  <c r="E4" i="8"/>
  <c r="D143" i="7"/>
  <c r="D144" i="7"/>
  <c r="D138" i="7"/>
  <c r="D137" i="7"/>
  <c r="B96" i="7"/>
  <c r="B97" i="7"/>
  <c r="B95" i="7"/>
  <c r="L35" i="6"/>
  <c r="J35" i="6"/>
  <c r="H35" i="6"/>
  <c r="I44" i="21"/>
  <c r="I46" i="21"/>
  <c r="L48" i="22"/>
  <c r="I67" i="20"/>
  <c r="K30" i="21"/>
  <c r="K18" i="21"/>
  <c r="I50" i="21"/>
  <c r="D10" i="36"/>
  <c r="D4" i="8"/>
  <c r="B4" i="8"/>
  <c r="G16" i="3"/>
  <c r="F15" i="3"/>
  <c r="G15" i="3"/>
  <c r="E16" i="3"/>
  <c r="D11" i="36"/>
  <c r="B11" i="36"/>
  <c r="D11" i="2"/>
  <c r="B11" i="2"/>
  <c r="L42" i="5"/>
  <c r="H16" i="3" l="1"/>
  <c r="B34" i="6"/>
  <c r="B20" i="7" s="1"/>
  <c r="A34" i="6"/>
  <c r="A42" i="2"/>
  <c r="U33" i="6"/>
  <c r="U31" i="6"/>
  <c r="B94" i="7"/>
  <c r="B93" i="7"/>
  <c r="C4" i="7"/>
  <c r="E3" i="7"/>
  <c r="F142" i="7"/>
  <c r="H142" i="7" s="1"/>
  <c r="F143" i="7"/>
  <c r="H143" i="7" s="1"/>
  <c r="F144" i="7"/>
  <c r="H144" i="7" s="1"/>
  <c r="D141" i="7"/>
  <c r="D142" i="7"/>
  <c r="D140" i="7"/>
  <c r="F141" i="7"/>
  <c r="H141" i="7" s="1"/>
  <c r="F140" i="7"/>
  <c r="H140" i="7" s="1"/>
  <c r="D133" i="7"/>
  <c r="D134" i="7"/>
  <c r="D135" i="7"/>
  <c r="D136" i="7"/>
  <c r="D139" i="7"/>
  <c r="F133" i="7"/>
  <c r="H133" i="7" s="1"/>
  <c r="F134" i="7"/>
  <c r="H134" i="7" s="1"/>
  <c r="F135" i="7"/>
  <c r="H135" i="7" s="1"/>
  <c r="F136" i="7"/>
  <c r="H136" i="7" s="1"/>
  <c r="F137" i="7"/>
  <c r="H137" i="7" s="1"/>
  <c r="F138" i="7"/>
  <c r="H138" i="7" s="1"/>
  <c r="F139" i="7"/>
  <c r="H139" i="7" s="1"/>
  <c r="F132" i="7"/>
  <c r="H132" i="7" s="1"/>
  <c r="D132" i="7"/>
  <c r="C122" i="7"/>
  <c r="A124" i="7"/>
  <c r="D124" i="7" s="1"/>
  <c r="I133" i="7" l="1"/>
  <c r="F16" i="3"/>
  <c r="C11" i="36"/>
  <c r="C4" i="8"/>
  <c r="C11" i="2"/>
  <c r="F3" i="7"/>
  <c r="H15" i="3"/>
  <c r="E3" i="8"/>
  <c r="F4" i="7"/>
  <c r="H4" i="7" s="1"/>
  <c r="I140" i="7"/>
  <c r="I141" i="7"/>
  <c r="I144" i="7"/>
  <c r="I143" i="7"/>
  <c r="I142" i="7"/>
  <c r="I139" i="7"/>
  <c r="I132" i="7"/>
  <c r="I135" i="7"/>
  <c r="I134" i="7"/>
  <c r="I137" i="7"/>
  <c r="I138" i="7"/>
  <c r="I136" i="7"/>
  <c r="G124" i="7"/>
  <c r="G41" i="32"/>
  <c r="G38" i="32"/>
  <c r="B35" i="32"/>
  <c r="A35" i="32"/>
  <c r="G34" i="32"/>
  <c r="G31" i="32"/>
  <c r="G28" i="32"/>
  <c r="G10" i="32"/>
  <c r="A8" i="32"/>
  <c r="A6" i="32"/>
  <c r="A5" i="32"/>
  <c r="A4" i="32"/>
  <c r="A3" i="32"/>
  <c r="A2" i="32"/>
  <c r="A1" i="32"/>
  <c r="K34" i="31"/>
  <c r="K33" i="31"/>
  <c r="K32" i="31"/>
  <c r="K28" i="31"/>
  <c r="K27" i="31"/>
  <c r="K26" i="31"/>
  <c r="F24" i="31"/>
  <c r="F23" i="31"/>
  <c r="S20" i="31"/>
  <c r="P20" i="31"/>
  <c r="O20" i="31"/>
  <c r="K19" i="31"/>
  <c r="I19" i="31"/>
  <c r="F19" i="31"/>
  <c r="G19" i="31" s="1"/>
  <c r="Q18" i="31"/>
  <c r="B18" i="31" s="1"/>
  <c r="I18" i="31"/>
  <c r="F18" i="31"/>
  <c r="K16" i="31"/>
  <c r="I16" i="31"/>
  <c r="F16" i="31"/>
  <c r="G16" i="31" s="1"/>
  <c r="Q15" i="31"/>
  <c r="B15" i="31" s="1"/>
  <c r="G15" i="31" s="1"/>
  <c r="I15" i="31"/>
  <c r="F15" i="31"/>
  <c r="I13" i="31"/>
  <c r="K13" i="31" s="1"/>
  <c r="L13" i="31" s="1"/>
  <c r="M13" i="31" s="1"/>
  <c r="N13" i="31" s="1"/>
  <c r="G13" i="31"/>
  <c r="F13" i="31"/>
  <c r="Q12" i="31"/>
  <c r="B12" i="31" s="1"/>
  <c r="I12" i="31"/>
  <c r="F12" i="31"/>
  <c r="C5" i="31"/>
  <c r="C3" i="31"/>
  <c r="C2" i="31"/>
  <c r="C1" i="31"/>
  <c r="K34" i="30"/>
  <c r="K33" i="30"/>
  <c r="K32" i="30"/>
  <c r="H32" i="30"/>
  <c r="K28" i="30"/>
  <c r="K27" i="30"/>
  <c r="K26" i="30"/>
  <c r="F24" i="30"/>
  <c r="F23" i="30"/>
  <c r="O20" i="30"/>
  <c r="K19" i="30"/>
  <c r="I19" i="30"/>
  <c r="F19" i="30"/>
  <c r="G19" i="30" s="1"/>
  <c r="I18" i="30"/>
  <c r="K18" i="30" s="1"/>
  <c r="L18" i="30" s="1"/>
  <c r="M18" i="30" s="1"/>
  <c r="N18" i="30" s="1"/>
  <c r="G18" i="30"/>
  <c r="F18" i="30"/>
  <c r="I16" i="30"/>
  <c r="K16" i="30" s="1"/>
  <c r="F16" i="30"/>
  <c r="G16" i="30" s="1"/>
  <c r="K15" i="30"/>
  <c r="L15" i="30" s="1"/>
  <c r="M15" i="30" s="1"/>
  <c r="N15" i="30" s="1"/>
  <c r="I15" i="30"/>
  <c r="F15" i="30"/>
  <c r="G15" i="30" s="1"/>
  <c r="I13" i="30"/>
  <c r="K13" i="30" s="1"/>
  <c r="L13" i="30" s="1"/>
  <c r="M13" i="30" s="1"/>
  <c r="N13" i="30" s="1"/>
  <c r="F13" i="30"/>
  <c r="G13" i="30" s="1"/>
  <c r="I12" i="30"/>
  <c r="K12" i="30" s="1"/>
  <c r="F12" i="30"/>
  <c r="G12" i="30" s="1"/>
  <c r="C8" i="30"/>
  <c r="C6" i="30" s="1"/>
  <c r="P7" i="30"/>
  <c r="C5" i="30"/>
  <c r="C2" i="30"/>
  <c r="C1" i="30"/>
  <c r="D135" i="29"/>
  <c r="B135" i="29"/>
  <c r="D134" i="29"/>
  <c r="B134" i="29"/>
  <c r="D133" i="29"/>
  <c r="B133" i="29"/>
  <c r="D130" i="29"/>
  <c r="B130" i="29"/>
  <c r="Z127" i="29"/>
  <c r="Y127" i="29"/>
  <c r="Y126" i="29"/>
  <c r="Z126" i="29" s="1"/>
  <c r="Z125" i="29"/>
  <c r="Y125" i="29"/>
  <c r="Y124" i="29"/>
  <c r="Z124" i="29" s="1"/>
  <c r="Y123" i="29"/>
  <c r="Z123" i="29" s="1"/>
  <c r="Y122" i="29"/>
  <c r="Z122" i="29" s="1"/>
  <c r="Z121" i="29"/>
  <c r="Y121" i="29"/>
  <c r="Y120" i="29"/>
  <c r="Z119" i="29"/>
  <c r="Y119" i="29"/>
  <c r="Y118" i="29"/>
  <c r="Z118" i="29" s="1"/>
  <c r="Y117" i="29"/>
  <c r="Z117" i="29" s="1"/>
  <c r="Y116" i="29"/>
  <c r="Z116" i="29" s="1"/>
  <c r="Z115" i="29"/>
  <c r="Y115" i="29"/>
  <c r="Y114" i="29"/>
  <c r="Z113" i="29"/>
  <c r="Y113" i="29"/>
  <c r="Y112" i="29"/>
  <c r="Z112" i="29" s="1"/>
  <c r="Y111" i="29"/>
  <c r="Z111" i="29" s="1"/>
  <c r="Y110" i="29"/>
  <c r="Z110" i="29" s="1"/>
  <c r="Z109" i="29"/>
  <c r="Y109" i="29"/>
  <c r="Y108" i="29"/>
  <c r="Z107" i="29"/>
  <c r="Y107" i="29"/>
  <c r="Y106" i="29"/>
  <c r="Z106" i="29" s="1"/>
  <c r="Z105" i="29"/>
  <c r="Z104" i="29"/>
  <c r="Y103" i="29"/>
  <c r="H19" i="28" s="1"/>
  <c r="Z102" i="29"/>
  <c r="Y102" i="29"/>
  <c r="Z101" i="29"/>
  <c r="Z100" i="29"/>
  <c r="Z99" i="29"/>
  <c r="Y99" i="29"/>
  <c r="U99" i="29"/>
  <c r="W99" i="29" s="1"/>
  <c r="N99" i="29"/>
  <c r="P99" i="29" s="1"/>
  <c r="Z98" i="29"/>
  <c r="Y98" i="29"/>
  <c r="H23" i="28" s="1"/>
  <c r="W98" i="29"/>
  <c r="U98" i="29"/>
  <c r="N98" i="29"/>
  <c r="P98" i="29" s="1"/>
  <c r="Z97" i="29"/>
  <c r="Y97" i="29"/>
  <c r="U97" i="29"/>
  <c r="W97" i="29" s="1"/>
  <c r="N97" i="29"/>
  <c r="P97" i="29" s="1"/>
  <c r="U96" i="29"/>
  <c r="N96" i="29"/>
  <c r="L96" i="29"/>
  <c r="S96" i="29" s="1"/>
  <c r="J96" i="29"/>
  <c r="Q96" i="29" s="1"/>
  <c r="R96" i="29" s="1"/>
  <c r="W96" i="29" s="1"/>
  <c r="Y95" i="29"/>
  <c r="W95" i="29"/>
  <c r="U95" i="29"/>
  <c r="N95" i="29"/>
  <c r="P95" i="29" s="1"/>
  <c r="Z94" i="29"/>
  <c r="Y94" i="29"/>
  <c r="U94" i="29"/>
  <c r="W94" i="29" s="1"/>
  <c r="N94" i="29"/>
  <c r="P94" i="29" s="1"/>
  <c r="U93" i="29"/>
  <c r="R93" i="29"/>
  <c r="W93" i="29" s="1"/>
  <c r="N93" i="29"/>
  <c r="L93" i="29"/>
  <c r="S93" i="29" s="1"/>
  <c r="J93" i="29"/>
  <c r="Q93" i="29" s="1"/>
  <c r="Z92" i="29"/>
  <c r="Z91" i="29"/>
  <c r="Z90" i="29"/>
  <c r="Y90" i="29"/>
  <c r="U90" i="29"/>
  <c r="W90" i="29" s="1"/>
  <c r="N90" i="29"/>
  <c r="P90" i="29" s="1"/>
  <c r="U89" i="29"/>
  <c r="S89" i="29"/>
  <c r="Q89" i="29"/>
  <c r="R89" i="29" s="1"/>
  <c r="W89" i="29" s="1"/>
  <c r="N89" i="29"/>
  <c r="L89" i="29"/>
  <c r="J89" i="29"/>
  <c r="U88" i="29"/>
  <c r="Q88" i="29"/>
  <c r="N88" i="29"/>
  <c r="L88" i="29"/>
  <c r="S88" i="29" s="1"/>
  <c r="J88" i="29"/>
  <c r="K88" i="29" s="1"/>
  <c r="Z87" i="29"/>
  <c r="Z86" i="29"/>
  <c r="U85" i="29"/>
  <c r="S85" i="29"/>
  <c r="N85" i="29"/>
  <c r="L85" i="29"/>
  <c r="J85" i="29"/>
  <c r="Q85" i="29" s="1"/>
  <c r="R85" i="29" s="1"/>
  <c r="W85" i="29" s="1"/>
  <c r="U84" i="29"/>
  <c r="S84" i="29"/>
  <c r="N84" i="29"/>
  <c r="L84" i="29"/>
  <c r="J84" i="29"/>
  <c r="Q84" i="29" s="1"/>
  <c r="U83" i="29"/>
  <c r="S83" i="29"/>
  <c r="N83" i="29"/>
  <c r="L83" i="29"/>
  <c r="J83" i="29"/>
  <c r="Q83" i="29" s="1"/>
  <c r="R83" i="29" s="1"/>
  <c r="W83" i="29" s="1"/>
  <c r="Z82" i="29"/>
  <c r="Z81" i="29"/>
  <c r="Z80" i="29"/>
  <c r="U79" i="29"/>
  <c r="S79" i="29"/>
  <c r="N79" i="29"/>
  <c r="L79" i="29"/>
  <c r="J79" i="29"/>
  <c r="U78" i="29"/>
  <c r="S78" i="29"/>
  <c r="N78" i="29"/>
  <c r="L78" i="29"/>
  <c r="J78" i="29"/>
  <c r="Z77" i="29"/>
  <c r="Z76" i="29"/>
  <c r="Y75" i="29"/>
  <c r="Z75" i="29" s="1"/>
  <c r="W75" i="29"/>
  <c r="U75" i="29"/>
  <c r="N75" i="29"/>
  <c r="P75" i="29" s="1"/>
  <c r="Z74" i="29"/>
  <c r="Y74" i="29"/>
  <c r="U74" i="29"/>
  <c r="W74" i="29" s="1"/>
  <c r="N74" i="29"/>
  <c r="P74" i="29" s="1"/>
  <c r="Y73" i="29"/>
  <c r="Z73" i="29" s="1"/>
  <c r="W73" i="29"/>
  <c r="U73" i="29"/>
  <c r="N73" i="29"/>
  <c r="P73" i="29" s="1"/>
  <c r="U72" i="29"/>
  <c r="S72" i="29"/>
  <c r="R72" i="29"/>
  <c r="W72" i="29" s="1"/>
  <c r="N72" i="29"/>
  <c r="L72" i="29"/>
  <c r="K72" i="29"/>
  <c r="J72" i="29"/>
  <c r="Q72" i="29" s="1"/>
  <c r="U71" i="29"/>
  <c r="S71" i="29"/>
  <c r="N71" i="29"/>
  <c r="L71" i="29"/>
  <c r="K71" i="29"/>
  <c r="J71" i="29"/>
  <c r="Q71" i="29" s="1"/>
  <c r="R71" i="29" s="1"/>
  <c r="W71" i="29" s="1"/>
  <c r="U70" i="29"/>
  <c r="S70" i="29"/>
  <c r="N70" i="29"/>
  <c r="L70" i="29"/>
  <c r="K70" i="29"/>
  <c r="P70" i="29" s="1"/>
  <c r="J70" i="29"/>
  <c r="Q70" i="29" s="1"/>
  <c r="R70" i="29" s="1"/>
  <c r="U69" i="29"/>
  <c r="S69" i="29"/>
  <c r="R69" i="29"/>
  <c r="W69" i="29" s="1"/>
  <c r="N69" i="29"/>
  <c r="L69" i="29"/>
  <c r="K69" i="29"/>
  <c r="J69" i="29"/>
  <c r="Q69" i="29" s="1"/>
  <c r="Z68" i="29"/>
  <c r="Z67" i="29"/>
  <c r="U66" i="29"/>
  <c r="Q66" i="29"/>
  <c r="N66" i="29"/>
  <c r="L66" i="29"/>
  <c r="S66" i="29" s="1"/>
  <c r="K66" i="29"/>
  <c r="J66" i="29"/>
  <c r="U65" i="29"/>
  <c r="Q65" i="29"/>
  <c r="N65" i="29"/>
  <c r="L65" i="29"/>
  <c r="S65" i="29" s="1"/>
  <c r="K65" i="29"/>
  <c r="J65" i="29"/>
  <c r="U64" i="29"/>
  <c r="Q64" i="29"/>
  <c r="R64" i="29" s="1"/>
  <c r="W64" i="29" s="1"/>
  <c r="N64" i="29"/>
  <c r="L64" i="29"/>
  <c r="S64" i="29" s="1"/>
  <c r="K64" i="29"/>
  <c r="P64" i="29" s="1"/>
  <c r="Y64" i="29" s="1"/>
  <c r="Z64" i="29" s="1"/>
  <c r="J64" i="29"/>
  <c r="U63" i="29"/>
  <c r="Q63" i="29"/>
  <c r="N63" i="29"/>
  <c r="L63" i="29"/>
  <c r="S63" i="29" s="1"/>
  <c r="K63" i="29"/>
  <c r="J63" i="29"/>
  <c r="U62" i="29"/>
  <c r="Q62" i="29"/>
  <c r="N62" i="29"/>
  <c r="L62" i="29"/>
  <c r="S62" i="29" s="1"/>
  <c r="K62" i="29"/>
  <c r="P62" i="29" s="1"/>
  <c r="J62" i="29"/>
  <c r="Z61" i="29"/>
  <c r="Z60" i="29"/>
  <c r="Y59" i="29"/>
  <c r="H58" i="28" s="1"/>
  <c r="U59" i="29"/>
  <c r="W59" i="29" s="1"/>
  <c r="N59" i="29"/>
  <c r="P59" i="29" s="1"/>
  <c r="U58" i="29"/>
  <c r="S58" i="29"/>
  <c r="Q58" i="29"/>
  <c r="R58" i="29" s="1"/>
  <c r="W58" i="29" s="1"/>
  <c r="N58" i="29"/>
  <c r="L58" i="29"/>
  <c r="K58" i="29"/>
  <c r="J58" i="29"/>
  <c r="U57" i="29"/>
  <c r="S57" i="29"/>
  <c r="R57" i="29"/>
  <c r="W57" i="29" s="1"/>
  <c r="Q57" i="29"/>
  <c r="N57" i="29"/>
  <c r="L57" i="29"/>
  <c r="K57" i="29"/>
  <c r="J57" i="29"/>
  <c r="Z56" i="29"/>
  <c r="Y56" i="29"/>
  <c r="W56" i="29"/>
  <c r="U56" i="29"/>
  <c r="N56" i="29"/>
  <c r="P56" i="29" s="1"/>
  <c r="U55" i="29"/>
  <c r="S55" i="29"/>
  <c r="N55" i="29"/>
  <c r="L55" i="29"/>
  <c r="J55" i="29"/>
  <c r="U54" i="29"/>
  <c r="S54" i="29"/>
  <c r="N54" i="29"/>
  <c r="L54" i="29"/>
  <c r="J54" i="29"/>
  <c r="Z53" i="29"/>
  <c r="Z52" i="29"/>
  <c r="U51" i="29"/>
  <c r="N51" i="29"/>
  <c r="L51" i="29"/>
  <c r="S51" i="29" s="1"/>
  <c r="J51" i="29"/>
  <c r="Q51" i="29" s="1"/>
  <c r="W50" i="29"/>
  <c r="U50" i="29"/>
  <c r="N50" i="29"/>
  <c r="L50" i="29"/>
  <c r="S50" i="29" s="1"/>
  <c r="J50" i="29"/>
  <c r="Q50" i="29" s="1"/>
  <c r="R50" i="29" s="1"/>
  <c r="Z49" i="29"/>
  <c r="Z48" i="29"/>
  <c r="U47" i="29"/>
  <c r="Q47" i="29"/>
  <c r="R47" i="29" s="1"/>
  <c r="W47" i="29" s="1"/>
  <c r="N47" i="29"/>
  <c r="P47" i="29" s="1"/>
  <c r="Y47" i="29" s="1"/>
  <c r="L47" i="29"/>
  <c r="S47" i="29" s="1"/>
  <c r="J47" i="29"/>
  <c r="K47" i="29" s="1"/>
  <c r="U46" i="29"/>
  <c r="Q46" i="29"/>
  <c r="R46" i="29" s="1"/>
  <c r="W46" i="29" s="1"/>
  <c r="N46" i="29"/>
  <c r="L46" i="29"/>
  <c r="S46" i="29" s="1"/>
  <c r="J46" i="29"/>
  <c r="K46" i="29" s="1"/>
  <c r="U45" i="29"/>
  <c r="Q45" i="29"/>
  <c r="R45" i="29" s="1"/>
  <c r="W45" i="29" s="1"/>
  <c r="N45" i="29"/>
  <c r="L45" i="29"/>
  <c r="S45" i="29" s="1"/>
  <c r="J45" i="29"/>
  <c r="U44" i="29"/>
  <c r="Q44" i="29"/>
  <c r="N44" i="29"/>
  <c r="L44" i="29"/>
  <c r="S44" i="29" s="1"/>
  <c r="J44" i="29"/>
  <c r="K44" i="29" s="1"/>
  <c r="Z43" i="29"/>
  <c r="Y43" i="29"/>
  <c r="W43" i="29"/>
  <c r="U43" i="29"/>
  <c r="N43" i="29"/>
  <c r="P43" i="29" s="1"/>
  <c r="Z42" i="29"/>
  <c r="Z41" i="29"/>
  <c r="U40" i="29"/>
  <c r="S40" i="29"/>
  <c r="N40" i="29"/>
  <c r="L40" i="29"/>
  <c r="J40" i="29"/>
  <c r="U39" i="29"/>
  <c r="S39" i="29"/>
  <c r="N39" i="29"/>
  <c r="L39" i="29"/>
  <c r="J39" i="29"/>
  <c r="U38" i="29"/>
  <c r="S38" i="29"/>
  <c r="N38" i="29"/>
  <c r="L38" i="29"/>
  <c r="J38" i="29"/>
  <c r="Z37" i="29"/>
  <c r="Z36" i="29"/>
  <c r="U35" i="29"/>
  <c r="N35" i="29"/>
  <c r="L35" i="29"/>
  <c r="S35" i="29" s="1"/>
  <c r="K35" i="29"/>
  <c r="J35" i="29"/>
  <c r="Q35" i="29" s="1"/>
  <c r="R35" i="29" s="1"/>
  <c r="W35" i="29" s="1"/>
  <c r="Y34" i="29"/>
  <c r="Z34" i="29" s="1"/>
  <c r="W34" i="29"/>
  <c r="U34" i="29"/>
  <c r="N34" i="29"/>
  <c r="P34" i="29" s="1"/>
  <c r="Z33" i="29"/>
  <c r="Y33" i="29"/>
  <c r="U33" i="29"/>
  <c r="W33" i="29" s="1"/>
  <c r="N33" i="29"/>
  <c r="P33" i="29" s="1"/>
  <c r="Y32" i="29"/>
  <c r="Z32" i="29" s="1"/>
  <c r="W32" i="29"/>
  <c r="U32" i="29"/>
  <c r="N32" i="29"/>
  <c r="P32" i="29" s="1"/>
  <c r="Z31" i="29"/>
  <c r="Y31" i="29"/>
  <c r="U31" i="29"/>
  <c r="W31" i="29" s="1"/>
  <c r="N31" i="29"/>
  <c r="P31" i="29" s="1"/>
  <c r="Y30" i="29"/>
  <c r="Z30" i="29" s="1"/>
  <c r="W30" i="29"/>
  <c r="U30" i="29"/>
  <c r="N30" i="29"/>
  <c r="P30" i="29" s="1"/>
  <c r="Z29" i="29"/>
  <c r="Y29" i="29"/>
  <c r="U29" i="29"/>
  <c r="W29" i="29" s="1"/>
  <c r="N29" i="29"/>
  <c r="P29" i="29" s="1"/>
  <c r="U28" i="29"/>
  <c r="N28" i="29"/>
  <c r="L28" i="29"/>
  <c r="S28" i="29" s="1"/>
  <c r="J28" i="29"/>
  <c r="Q28" i="29" s="1"/>
  <c r="R28" i="29" s="1"/>
  <c r="W28" i="29" s="1"/>
  <c r="U27" i="29"/>
  <c r="N27" i="29"/>
  <c r="L27" i="29"/>
  <c r="S27" i="29" s="1"/>
  <c r="J27" i="29"/>
  <c r="Q27" i="29" s="1"/>
  <c r="R27" i="29" s="1"/>
  <c r="W27" i="29" s="1"/>
  <c r="U26" i="29"/>
  <c r="N26" i="29"/>
  <c r="L26" i="29"/>
  <c r="S26" i="29" s="1"/>
  <c r="J26" i="29"/>
  <c r="Q26" i="29" s="1"/>
  <c r="R26" i="29" s="1"/>
  <c r="W26" i="29" s="1"/>
  <c r="U25" i="29"/>
  <c r="N25" i="29"/>
  <c r="L25" i="29"/>
  <c r="S25" i="29" s="1"/>
  <c r="J25" i="29"/>
  <c r="Q25" i="29" s="1"/>
  <c r="R25" i="29" s="1"/>
  <c r="W25" i="29" s="1"/>
  <c r="U24" i="29"/>
  <c r="N24" i="29"/>
  <c r="L24" i="29"/>
  <c r="S24" i="29" s="1"/>
  <c r="J24" i="29"/>
  <c r="Q24" i="29" s="1"/>
  <c r="R24" i="29" s="1"/>
  <c r="W24" i="29" s="1"/>
  <c r="U23" i="29"/>
  <c r="N23" i="29"/>
  <c r="L23" i="29"/>
  <c r="S23" i="29" s="1"/>
  <c r="J23" i="29"/>
  <c r="Q23" i="29" s="1"/>
  <c r="R23" i="29" s="1"/>
  <c r="W23" i="29" s="1"/>
  <c r="U22" i="29"/>
  <c r="N22" i="29"/>
  <c r="L22" i="29"/>
  <c r="S22" i="29" s="1"/>
  <c r="J22" i="29"/>
  <c r="Q22" i="29" s="1"/>
  <c r="R22" i="29" s="1"/>
  <c r="W22" i="29" s="1"/>
  <c r="U21" i="29"/>
  <c r="N21" i="29"/>
  <c r="L21" i="29"/>
  <c r="S21" i="29" s="1"/>
  <c r="J21" i="29"/>
  <c r="Q21" i="29" s="1"/>
  <c r="R21" i="29" s="1"/>
  <c r="W21" i="29" s="1"/>
  <c r="U20" i="29"/>
  <c r="N20" i="29"/>
  <c r="L20" i="29"/>
  <c r="S20" i="29" s="1"/>
  <c r="J20" i="29"/>
  <c r="Q20" i="29" s="1"/>
  <c r="R20" i="29" s="1"/>
  <c r="W20" i="29" s="1"/>
  <c r="U19" i="29"/>
  <c r="N19" i="29"/>
  <c r="L19" i="29"/>
  <c r="S19" i="29" s="1"/>
  <c r="J19" i="29"/>
  <c r="Q19" i="29" s="1"/>
  <c r="R19" i="29" s="1"/>
  <c r="W19" i="29" s="1"/>
  <c r="U18" i="29"/>
  <c r="N18" i="29"/>
  <c r="L18" i="29"/>
  <c r="S18" i="29" s="1"/>
  <c r="J18" i="29"/>
  <c r="Q18" i="29" s="1"/>
  <c r="R18" i="29" s="1"/>
  <c r="W18" i="29" s="1"/>
  <c r="U17" i="29"/>
  <c r="N17" i="29"/>
  <c r="L17" i="29"/>
  <c r="S17" i="29" s="1"/>
  <c r="J17" i="29"/>
  <c r="Q17" i="29" s="1"/>
  <c r="R17" i="29" s="1"/>
  <c r="W17" i="29" s="1"/>
  <c r="Z16" i="29"/>
  <c r="Z15" i="29"/>
  <c r="U14" i="29"/>
  <c r="Q14" i="29"/>
  <c r="R14" i="29" s="1"/>
  <c r="W14" i="29" s="1"/>
  <c r="N14" i="29"/>
  <c r="L14" i="29"/>
  <c r="S14" i="29" s="1"/>
  <c r="J14" i="29"/>
  <c r="U13" i="29"/>
  <c r="Q13" i="29"/>
  <c r="N13" i="29"/>
  <c r="L13" i="29"/>
  <c r="S13" i="29" s="1"/>
  <c r="J13" i="29"/>
  <c r="U12" i="29"/>
  <c r="Q12" i="29"/>
  <c r="N12" i="29"/>
  <c r="L12" i="29"/>
  <c r="S12" i="29" s="1"/>
  <c r="J12" i="29"/>
  <c r="U11" i="29"/>
  <c r="Q11" i="29"/>
  <c r="N11" i="29"/>
  <c r="P11" i="29" s="1"/>
  <c r="L11" i="29"/>
  <c r="S11" i="29" s="1"/>
  <c r="J11" i="29"/>
  <c r="K11" i="29" s="1"/>
  <c r="Z10" i="29"/>
  <c r="Z9" i="29"/>
  <c r="U8" i="29"/>
  <c r="S8" i="29"/>
  <c r="Q8" i="29"/>
  <c r="R8" i="29" s="1"/>
  <c r="W8" i="29" s="1"/>
  <c r="N8" i="29"/>
  <c r="L8" i="29"/>
  <c r="K8" i="29"/>
  <c r="P8" i="29" s="1"/>
  <c r="Y8" i="29" s="1"/>
  <c r="Z8" i="29" s="1"/>
  <c r="J8" i="29"/>
  <c r="U7" i="29"/>
  <c r="S7" i="29"/>
  <c r="R7" i="29"/>
  <c r="W7" i="29" s="1"/>
  <c r="Q7" i="29"/>
  <c r="N7" i="29"/>
  <c r="P7" i="29" s="1"/>
  <c r="Y7" i="29" s="1"/>
  <c r="L7" i="29"/>
  <c r="K7" i="29"/>
  <c r="J7" i="29"/>
  <c r="U6" i="29"/>
  <c r="S6" i="29"/>
  <c r="Q6" i="29"/>
  <c r="R6" i="29" s="1"/>
  <c r="W6" i="29" s="1"/>
  <c r="N6" i="29"/>
  <c r="L6" i="29"/>
  <c r="K6" i="29"/>
  <c r="J6" i="29"/>
  <c r="U5" i="29"/>
  <c r="S5" i="29"/>
  <c r="Q5" i="29"/>
  <c r="R5" i="29" s="1"/>
  <c r="W5" i="29" s="1"/>
  <c r="N5" i="29"/>
  <c r="P5" i="29" s="1"/>
  <c r="L5" i="29"/>
  <c r="K5" i="29"/>
  <c r="J5" i="29"/>
  <c r="U4" i="29"/>
  <c r="S4" i="29"/>
  <c r="Q4" i="29"/>
  <c r="R4" i="29" s="1"/>
  <c r="W4" i="29" s="1"/>
  <c r="N4" i="29"/>
  <c r="L4" i="29"/>
  <c r="K4" i="29"/>
  <c r="J4" i="29"/>
  <c r="H73" i="28"/>
  <c r="H69" i="28"/>
  <c r="H62" i="28"/>
  <c r="H61" i="28"/>
  <c r="H59" i="28"/>
  <c r="H57" i="28"/>
  <c r="H56" i="28"/>
  <c r="H55" i="28"/>
  <c r="H50" i="28"/>
  <c r="H49" i="28"/>
  <c r="H48" i="28"/>
  <c r="H43" i="28"/>
  <c r="H39" i="28"/>
  <c r="H38" i="28"/>
  <c r="E32" i="28"/>
  <c r="D32" i="28"/>
  <c r="D31" i="28"/>
  <c r="H30" i="28"/>
  <c r="H26" i="28"/>
  <c r="H22" i="28"/>
  <c r="H27" i="25" s="1"/>
  <c r="I27" i="25" s="1"/>
  <c r="K10" i="28"/>
  <c r="K9" i="28"/>
  <c r="H17" i="15" s="1"/>
  <c r="K8" i="28"/>
  <c r="K7" i="28"/>
  <c r="V6" i="28"/>
  <c r="V5" i="28"/>
  <c r="V4" i="28"/>
  <c r="V3" i="28"/>
  <c r="H70" i="35"/>
  <c r="A70" i="35"/>
  <c r="O66" i="35"/>
  <c r="A66" i="35"/>
  <c r="I47" i="35"/>
  <c r="I52" i="35" s="1"/>
  <c r="K52" i="35" s="1"/>
  <c r="I39" i="35"/>
  <c r="H15" i="35"/>
  <c r="I15" i="35" s="1"/>
  <c r="I23" i="35" s="1"/>
  <c r="H71" i="27"/>
  <c r="A71" i="27"/>
  <c r="O67" i="27"/>
  <c r="A67" i="27" a="1"/>
  <c r="A67" i="27" s="1"/>
  <c r="H51" i="27"/>
  <c r="I51" i="27" s="1"/>
  <c r="H50" i="27"/>
  <c r="I50" i="27" s="1"/>
  <c r="H49" i="27"/>
  <c r="I49" i="27" s="1"/>
  <c r="H48" i="27"/>
  <c r="I48" i="27" s="1"/>
  <c r="H47" i="27"/>
  <c r="I47" i="27" s="1"/>
  <c r="H46" i="27"/>
  <c r="I46" i="27" s="1"/>
  <c r="I38" i="27"/>
  <c r="H27" i="27"/>
  <c r="I27" i="27" s="1"/>
  <c r="H17" i="27"/>
  <c r="I17" i="27" s="1"/>
  <c r="H16" i="27"/>
  <c r="I16" i="27" s="1"/>
  <c r="H15" i="27"/>
  <c r="I15" i="27" s="1"/>
  <c r="H75" i="26"/>
  <c r="A75" i="26"/>
  <c r="A71" i="26"/>
  <c r="H55" i="26"/>
  <c r="I55" i="26" s="1"/>
  <c r="H54" i="26"/>
  <c r="I54" i="26" s="1"/>
  <c r="H53" i="26"/>
  <c r="I53" i="26" s="1"/>
  <c r="H52" i="26"/>
  <c r="I52" i="26" s="1"/>
  <c r="I51" i="26"/>
  <c r="H51" i="26"/>
  <c r="H50" i="26"/>
  <c r="I50" i="26" s="1"/>
  <c r="I42" i="26"/>
  <c r="H31" i="26"/>
  <c r="I31" i="26" s="1"/>
  <c r="H21" i="26"/>
  <c r="I21" i="26" s="1"/>
  <c r="H20" i="26"/>
  <c r="I20" i="26" s="1"/>
  <c r="H17" i="26"/>
  <c r="I17" i="26" s="1"/>
  <c r="H16" i="26"/>
  <c r="I16" i="26" s="1"/>
  <c r="H15" i="26"/>
  <c r="I15" i="26" s="1"/>
  <c r="H69" i="25"/>
  <c r="A69" i="25"/>
  <c r="A65" i="25"/>
  <c r="G49" i="25"/>
  <c r="F49" i="25"/>
  <c r="B49" i="25"/>
  <c r="I46" i="25"/>
  <c r="H46" i="25"/>
  <c r="H45" i="25"/>
  <c r="G45" i="25"/>
  <c r="I45" i="25" s="1"/>
  <c r="I37" i="25"/>
  <c r="H28" i="25"/>
  <c r="I28" i="25" s="1"/>
  <c r="H17" i="25"/>
  <c r="I17" i="25" s="1"/>
  <c r="I16" i="25"/>
  <c r="H16" i="25"/>
  <c r="H15" i="25"/>
  <c r="I15" i="25" s="1"/>
  <c r="H85" i="24"/>
  <c r="H83" i="24"/>
  <c r="A83" i="24"/>
  <c r="A79" i="24"/>
  <c r="G63" i="24"/>
  <c r="F63" i="24"/>
  <c r="B63" i="24"/>
  <c r="H61" i="24"/>
  <c r="I61" i="24" s="1"/>
  <c r="H60" i="24"/>
  <c r="I60" i="24" s="1"/>
  <c r="H59" i="24"/>
  <c r="I59" i="24" s="1"/>
  <c r="H58" i="24"/>
  <c r="I58" i="24" s="1"/>
  <c r="H57" i="24"/>
  <c r="I57" i="24" s="1"/>
  <c r="H56" i="24"/>
  <c r="I56" i="24" s="1"/>
  <c r="H55" i="24"/>
  <c r="I55" i="24" s="1"/>
  <c r="H54" i="24"/>
  <c r="I54" i="24" s="1"/>
  <c r="H53" i="24"/>
  <c r="I53" i="24" s="1"/>
  <c r="H52" i="24"/>
  <c r="I52" i="24" s="1"/>
  <c r="I44" i="24"/>
  <c r="H35" i="24"/>
  <c r="I35" i="24" s="1"/>
  <c r="H34" i="24"/>
  <c r="I34" i="24" s="1"/>
  <c r="H29" i="24"/>
  <c r="I29" i="24" s="1"/>
  <c r="H17" i="24"/>
  <c r="I17" i="24" s="1"/>
  <c r="H16" i="24"/>
  <c r="I16" i="24" s="1"/>
  <c r="H15" i="24"/>
  <c r="I15" i="24" s="1"/>
  <c r="I19" i="24" s="1"/>
  <c r="H65" i="23"/>
  <c r="A65" i="23"/>
  <c r="A61" i="23"/>
  <c r="H44" i="23"/>
  <c r="I44" i="23" s="1"/>
  <c r="I47" i="23" s="1"/>
  <c r="K47" i="23" s="1"/>
  <c r="H42" i="6" s="1"/>
  <c r="I36" i="23"/>
  <c r="I18" i="23"/>
  <c r="I16" i="23"/>
  <c r="H16" i="23"/>
  <c r="I15" i="23"/>
  <c r="H15" i="23"/>
  <c r="H62" i="22"/>
  <c r="A62" i="22"/>
  <c r="A58" i="22"/>
  <c r="L44" i="22"/>
  <c r="K44" i="22"/>
  <c r="I36" i="22"/>
  <c r="I16" i="22"/>
  <c r="H16" i="22"/>
  <c r="H15" i="22"/>
  <c r="I15" i="22" s="1"/>
  <c r="I18" i="22" s="1"/>
  <c r="H64" i="21"/>
  <c r="A64" i="21"/>
  <c r="A60" i="21"/>
  <c r="K46" i="21"/>
  <c r="K50" i="21" s="1"/>
  <c r="H44" i="21"/>
  <c r="I36" i="21"/>
  <c r="I16" i="21"/>
  <c r="H16" i="21"/>
  <c r="H15" i="21"/>
  <c r="I15" i="21" s="1"/>
  <c r="I18" i="21" s="1"/>
  <c r="H73" i="20"/>
  <c r="A73" i="20"/>
  <c r="A69" i="20"/>
  <c r="I55" i="20"/>
  <c r="K55" i="20" s="1"/>
  <c r="I47" i="20"/>
  <c r="I21" i="20"/>
  <c r="H21" i="20"/>
  <c r="H20" i="20"/>
  <c r="I20" i="20" s="1"/>
  <c r="H17" i="20"/>
  <c r="I17" i="20" s="1"/>
  <c r="I16" i="20"/>
  <c r="H16" i="20"/>
  <c r="H66" i="19"/>
  <c r="H64" i="19"/>
  <c r="A64" i="19"/>
  <c r="A60" i="19"/>
  <c r="I38" i="19"/>
  <c r="I16" i="19"/>
  <c r="H16" i="19"/>
  <c r="H15" i="19"/>
  <c r="I15" i="19" s="1"/>
  <c r="I18" i="19" s="1"/>
  <c r="K18" i="19" s="1"/>
  <c r="H68" i="18"/>
  <c r="H66" i="18"/>
  <c r="A66" i="18"/>
  <c r="A62" i="18"/>
  <c r="I48" i="18"/>
  <c r="H46" i="18"/>
  <c r="I46" i="18" s="1"/>
  <c r="I38" i="18"/>
  <c r="H29" i="18"/>
  <c r="I29" i="18" s="1"/>
  <c r="H17" i="18"/>
  <c r="I17" i="18" s="1"/>
  <c r="H16" i="18"/>
  <c r="I16" i="18" s="1"/>
  <c r="H15" i="18"/>
  <c r="I15" i="18" s="1"/>
  <c r="I19" i="18" s="1"/>
  <c r="L91" i="17"/>
  <c r="Y89" i="17"/>
  <c r="W89" i="17"/>
  <c r="X89" i="17" s="1"/>
  <c r="V89" i="17"/>
  <c r="T89" i="17"/>
  <c r="R89" i="17"/>
  <c r="Q89" i="17"/>
  <c r="T88" i="17"/>
  <c r="Q88" i="17"/>
  <c r="M88" i="17"/>
  <c r="R88" i="17" s="1"/>
  <c r="Z88" i="17" s="1"/>
  <c r="V86" i="17"/>
  <c r="T86" i="17"/>
  <c r="R86" i="17"/>
  <c r="Q86" i="17"/>
  <c r="T85" i="17"/>
  <c r="Q85" i="17"/>
  <c r="M85" i="17"/>
  <c r="V85" i="17" s="1"/>
  <c r="V83" i="17"/>
  <c r="W83" i="17" s="1"/>
  <c r="X83" i="17" s="1"/>
  <c r="Y83" i="17" s="1"/>
  <c r="T83" i="17"/>
  <c r="Q83" i="17"/>
  <c r="R83" i="17" s="1"/>
  <c r="T82" i="17"/>
  <c r="Q82" i="17"/>
  <c r="M82" i="17"/>
  <c r="V82" i="17" s="1"/>
  <c r="O70" i="17"/>
  <c r="H64" i="17"/>
  <c r="A64" i="17"/>
  <c r="A59" i="17"/>
  <c r="I37" i="17"/>
  <c r="H63" i="16"/>
  <c r="A63" i="16"/>
  <c r="A59" i="16"/>
  <c r="G40" i="16"/>
  <c r="G39" i="16"/>
  <c r="G38" i="16"/>
  <c r="I29" i="16"/>
  <c r="K23" i="16"/>
  <c r="I23" i="16"/>
  <c r="K15" i="16"/>
  <c r="I15" i="16"/>
  <c r="I27" i="16" s="1"/>
  <c r="I31" i="16" s="1"/>
  <c r="H81" i="15"/>
  <c r="A81" i="15"/>
  <c r="A77" i="15"/>
  <c r="L75" i="15"/>
  <c r="Q70" i="15"/>
  <c r="I56" i="15"/>
  <c r="H53" i="15"/>
  <c r="G53" i="15"/>
  <c r="I53" i="15" s="1"/>
  <c r="H49" i="15"/>
  <c r="I37" i="15"/>
  <c r="H16" i="15"/>
  <c r="H15" i="15"/>
  <c r="Y35" i="14"/>
  <c r="Y34" i="14"/>
  <c r="P32" i="14"/>
  <c r="S31" i="14"/>
  <c r="H52" i="15" s="1"/>
  <c r="R31" i="14"/>
  <c r="N31" i="14"/>
  <c r="M31" i="14"/>
  <c r="H54" i="15" s="1"/>
  <c r="L31" i="14"/>
  <c r="K31" i="14"/>
  <c r="H48" i="15" s="1"/>
  <c r="J31" i="14"/>
  <c r="H47" i="15" s="1"/>
  <c r="I31" i="14"/>
  <c r="H46" i="15" s="1"/>
  <c r="X28" i="14"/>
  <c r="Y28" i="14" s="1"/>
  <c r="T28" i="14"/>
  <c r="T32" i="14" s="1"/>
  <c r="Q28" i="14"/>
  <c r="Q32" i="14" s="1"/>
  <c r="P28" i="14"/>
  <c r="O28" i="14"/>
  <c r="O32" i="14" s="1"/>
  <c r="Y27" i="14"/>
  <c r="D22" i="14"/>
  <c r="F21" i="14"/>
  <c r="F20" i="14"/>
  <c r="F19" i="14"/>
  <c r="D19" i="14"/>
  <c r="F18" i="14"/>
  <c r="G17" i="14"/>
  <c r="H17" i="14" s="1"/>
  <c r="I17" i="14" s="1"/>
  <c r="F16" i="14"/>
  <c r="D16" i="14"/>
  <c r="F15" i="14"/>
  <c r="G14" i="14"/>
  <c r="H14" i="14" s="1"/>
  <c r="F13" i="14"/>
  <c r="D13" i="14"/>
  <c r="F12" i="14"/>
  <c r="G11" i="14"/>
  <c r="H11" i="14" s="1"/>
  <c r="F10" i="14"/>
  <c r="D10" i="14"/>
  <c r="F9" i="14"/>
  <c r="G8" i="14"/>
  <c r="H8" i="14" s="1"/>
  <c r="M8" i="14" s="1"/>
  <c r="F7" i="14"/>
  <c r="D7" i="14"/>
  <c r="F6" i="14"/>
  <c r="F5" i="14"/>
  <c r="F4" i="14"/>
  <c r="D4" i="14"/>
  <c r="H66" i="13"/>
  <c r="A66" i="13"/>
  <c r="A62" i="13"/>
  <c r="H46" i="13"/>
  <c r="I46" i="13" s="1"/>
  <c r="F46" i="13"/>
  <c r="I45" i="13"/>
  <c r="H45" i="13"/>
  <c r="F45" i="13"/>
  <c r="I44" i="13"/>
  <c r="F44" i="13"/>
  <c r="H43" i="13"/>
  <c r="I43" i="13" s="1"/>
  <c r="I35" i="13"/>
  <c r="H17" i="13"/>
  <c r="I17" i="13" s="1"/>
  <c r="H16" i="13"/>
  <c r="I16" i="13" s="1"/>
  <c r="H15" i="13"/>
  <c r="I15" i="13" s="1"/>
  <c r="I19" i="13" s="1"/>
  <c r="H65" i="12"/>
  <c r="A65" i="12"/>
  <c r="A62" i="12"/>
  <c r="H46" i="12"/>
  <c r="I46" i="12" s="1"/>
  <c r="F46" i="12"/>
  <c r="H45" i="12"/>
  <c r="I45" i="12" s="1"/>
  <c r="F45" i="12"/>
  <c r="I44" i="12"/>
  <c r="F44" i="12"/>
  <c r="I43" i="12"/>
  <c r="H43" i="12"/>
  <c r="I35" i="12"/>
  <c r="H17" i="12"/>
  <c r="I17" i="12" s="1"/>
  <c r="H16" i="12"/>
  <c r="I16" i="12" s="1"/>
  <c r="H15" i="12"/>
  <c r="I15" i="12" s="1"/>
  <c r="I19" i="12" s="1"/>
  <c r="H77" i="11"/>
  <c r="A77" i="11"/>
  <c r="A73" i="11"/>
  <c r="F57" i="11"/>
  <c r="C57" i="11"/>
  <c r="B57" i="11"/>
  <c r="F56" i="11"/>
  <c r="C56" i="11"/>
  <c r="B56" i="11"/>
  <c r="I54" i="11"/>
  <c r="I53" i="11"/>
  <c r="H53" i="11"/>
  <c r="H52" i="11"/>
  <c r="I52" i="11" s="1"/>
  <c r="H51" i="11"/>
  <c r="H50" i="11"/>
  <c r="H49" i="11"/>
  <c r="H48" i="11"/>
  <c r="H47" i="11"/>
  <c r="H46" i="11"/>
  <c r="H45" i="11"/>
  <c r="H44" i="11"/>
  <c r="H43" i="11"/>
  <c r="H42" i="11"/>
  <c r="H41" i="11"/>
  <c r="I33" i="11"/>
  <c r="K27" i="11"/>
  <c r="I27" i="11"/>
  <c r="H17" i="11"/>
  <c r="H16" i="11"/>
  <c r="G16" i="11"/>
  <c r="H15" i="11"/>
  <c r="G15" i="11"/>
  <c r="C57" i="10"/>
  <c r="C55" i="10"/>
  <c r="C52" i="10"/>
  <c r="C50" i="10"/>
  <c r="C49" i="10"/>
  <c r="C48" i="10"/>
  <c r="C47" i="10"/>
  <c r="C54" i="10" s="1"/>
  <c r="C46" i="10"/>
  <c r="C45" i="10"/>
  <c r="C44" i="10"/>
  <c r="C53" i="10" s="1"/>
  <c r="C43" i="10"/>
  <c r="C42" i="10"/>
  <c r="C51" i="10" s="1"/>
  <c r="C41" i="10"/>
  <c r="C39" i="10"/>
  <c r="C35" i="10"/>
  <c r="C34" i="10"/>
  <c r="C36" i="10" s="1"/>
  <c r="C33" i="10"/>
  <c r="C31" i="10"/>
  <c r="C29" i="10"/>
  <c r="C28" i="10"/>
  <c r="C26" i="10"/>
  <c r="C22" i="10"/>
  <c r="C21" i="10"/>
  <c r="C18" i="10"/>
  <c r="C17" i="10"/>
  <c r="C16" i="10"/>
  <c r="C15" i="10"/>
  <c r="H14" i="10"/>
  <c r="G49" i="11" s="1"/>
  <c r="I49" i="11" s="1"/>
  <c r="C8" i="10"/>
  <c r="C7" i="10"/>
  <c r="C9" i="10" s="1"/>
  <c r="C6" i="10"/>
  <c r="A1" i="10"/>
  <c r="K52" i="9"/>
  <c r="E40" i="9"/>
  <c r="A40" i="9"/>
  <c r="E39" i="9"/>
  <c r="A39" i="9"/>
  <c r="E38" i="9"/>
  <c r="A38" i="9"/>
  <c r="E34" i="9"/>
  <c r="A34" i="9"/>
  <c r="M31" i="9"/>
  <c r="M25" i="9"/>
  <c r="K19" i="9"/>
  <c r="M19" i="9" s="1"/>
  <c r="B16" i="9"/>
  <c r="K14" i="9"/>
  <c r="M14" i="9" s="1"/>
  <c r="D14" i="9"/>
  <c r="B11" i="9"/>
  <c r="K9" i="9"/>
  <c r="M9" i="9" s="1"/>
  <c r="M35" i="9" s="1"/>
  <c r="B6" i="9"/>
  <c r="K4" i="9"/>
  <c r="K3" i="9"/>
  <c r="G36" i="8"/>
  <c r="G35" i="8"/>
  <c r="A35" i="8"/>
  <c r="F30" i="8"/>
  <c r="B29" i="8"/>
  <c r="A29" i="8"/>
  <c r="B27" i="8"/>
  <c r="A27" i="8"/>
  <c r="B25" i="8"/>
  <c r="A25" i="8"/>
  <c r="B20" i="8"/>
  <c r="A20" i="8"/>
  <c r="B14" i="8"/>
  <c r="B13" i="32" s="1"/>
  <c r="A14" i="8"/>
  <c r="A13" i="32" s="1"/>
  <c r="B12" i="8"/>
  <c r="B10" i="32" s="1"/>
  <c r="A12" i="8"/>
  <c r="A10" i="32" s="1"/>
  <c r="C6" i="8"/>
  <c r="C5" i="8"/>
  <c r="C3" i="8"/>
  <c r="C3" i="32" s="1"/>
  <c r="B2" i="8"/>
  <c r="B1" i="8"/>
  <c r="F131" i="7"/>
  <c r="H131" i="7" s="1"/>
  <c r="D131" i="7"/>
  <c r="A122" i="7"/>
  <c r="E113" i="7"/>
  <c r="A113" i="7"/>
  <c r="E112" i="7"/>
  <c r="A112" i="7"/>
  <c r="E111" i="7"/>
  <c r="A111" i="7"/>
  <c r="E109" i="7"/>
  <c r="A109" i="7"/>
  <c r="P106" i="7"/>
  <c r="D13" i="7" s="1"/>
  <c r="N104" i="7"/>
  <c r="L104" i="7"/>
  <c r="J104" i="7"/>
  <c r="F104" i="7"/>
  <c r="D104" i="7"/>
  <c r="N103" i="7"/>
  <c r="L103" i="7"/>
  <c r="J103" i="7"/>
  <c r="F103" i="7"/>
  <c r="D103" i="7"/>
  <c r="N102" i="7"/>
  <c r="L102" i="7"/>
  <c r="J102" i="7"/>
  <c r="F102" i="7"/>
  <c r="D102" i="7"/>
  <c r="N101" i="7"/>
  <c r="L101" i="7"/>
  <c r="J101" i="7"/>
  <c r="F101" i="7"/>
  <c r="D101" i="7"/>
  <c r="N100" i="7"/>
  <c r="L100" i="7"/>
  <c r="J100" i="7"/>
  <c r="F100" i="7"/>
  <c r="D100" i="7"/>
  <c r="N99" i="7"/>
  <c r="L99" i="7"/>
  <c r="J99" i="7"/>
  <c r="F99" i="7"/>
  <c r="D99" i="7"/>
  <c r="N98" i="7"/>
  <c r="N106" i="7" s="1"/>
  <c r="L98" i="7"/>
  <c r="J98" i="7"/>
  <c r="J106" i="7" s="1"/>
  <c r="F98" i="7"/>
  <c r="F106" i="7" s="1"/>
  <c r="D98" i="7"/>
  <c r="N97" i="7"/>
  <c r="L97" i="7"/>
  <c r="J97" i="7"/>
  <c r="F97" i="7"/>
  <c r="D97" i="7"/>
  <c r="N96" i="7"/>
  <c r="L96" i="7"/>
  <c r="J96" i="7"/>
  <c r="F96" i="7"/>
  <c r="D96" i="7"/>
  <c r="N95" i="7"/>
  <c r="L95" i="7"/>
  <c r="J95" i="7"/>
  <c r="F95" i="7"/>
  <c r="D95" i="7"/>
  <c r="N94" i="7"/>
  <c r="L94" i="7"/>
  <c r="J94" i="7"/>
  <c r="F94" i="7"/>
  <c r="D94" i="7"/>
  <c r="F93" i="7"/>
  <c r="B92" i="7"/>
  <c r="J92" i="7" s="1"/>
  <c r="B91" i="7"/>
  <c r="F91" i="7" s="1"/>
  <c r="B90" i="7"/>
  <c r="J90" i="7" s="1"/>
  <c r="B89" i="7"/>
  <c r="F89" i="7" s="1"/>
  <c r="B88" i="7"/>
  <c r="J88" i="7" s="1"/>
  <c r="B87" i="7"/>
  <c r="F87" i="7" s="1"/>
  <c r="B84" i="7"/>
  <c r="F84" i="7" s="1"/>
  <c r="B83" i="7"/>
  <c r="F83" i="7" s="1"/>
  <c r="B82" i="7"/>
  <c r="F82" i="7" s="1"/>
  <c r="B81" i="7"/>
  <c r="F81" i="7" s="1"/>
  <c r="B80" i="7"/>
  <c r="F80" i="7" s="1"/>
  <c r="B79" i="7"/>
  <c r="J79" i="7" s="1"/>
  <c r="B78" i="7"/>
  <c r="F78" i="7" s="1"/>
  <c r="B77" i="7"/>
  <c r="J77" i="7" s="1"/>
  <c r="B76" i="7"/>
  <c r="F76" i="7" s="1"/>
  <c r="B75" i="7"/>
  <c r="J75" i="7" s="1"/>
  <c r="B74" i="7"/>
  <c r="F74" i="7" s="1"/>
  <c r="B73" i="7"/>
  <c r="J73" i="7" s="1"/>
  <c r="B72" i="7"/>
  <c r="F72" i="7" s="1"/>
  <c r="B71" i="7"/>
  <c r="J71" i="7" s="1"/>
  <c r="B70" i="7"/>
  <c r="F70" i="7" s="1"/>
  <c r="B69" i="7"/>
  <c r="J69" i="7" s="1"/>
  <c r="B68" i="7"/>
  <c r="F68" i="7" s="1"/>
  <c r="B67" i="7"/>
  <c r="J67" i="7" s="1"/>
  <c r="B66" i="7"/>
  <c r="F66" i="7" s="1"/>
  <c r="B65" i="7"/>
  <c r="J65" i="7" s="1"/>
  <c r="B64" i="7"/>
  <c r="F64" i="7" s="1"/>
  <c r="B63" i="7"/>
  <c r="J63" i="7" s="1"/>
  <c r="B62" i="7"/>
  <c r="F62" i="7" s="1"/>
  <c r="B61" i="7"/>
  <c r="J61" i="7" s="1"/>
  <c r="B60" i="7"/>
  <c r="F60" i="7" s="1"/>
  <c r="B59" i="7"/>
  <c r="F59" i="7" s="1"/>
  <c r="B58" i="7"/>
  <c r="F58" i="7" s="1"/>
  <c r="B57" i="7"/>
  <c r="D57" i="7" s="1"/>
  <c r="B56" i="7"/>
  <c r="F56" i="7" s="1"/>
  <c r="B55" i="7"/>
  <c r="F55" i="7" s="1"/>
  <c r="B54" i="7"/>
  <c r="F54" i="7" s="1"/>
  <c r="B53" i="7"/>
  <c r="N53" i="7" s="1"/>
  <c r="B52" i="7"/>
  <c r="F52" i="7" s="1"/>
  <c r="B51" i="7"/>
  <c r="D51" i="7" s="1"/>
  <c r="B50" i="7"/>
  <c r="F50" i="7" s="1"/>
  <c r="B49" i="7"/>
  <c r="J49" i="7" s="1"/>
  <c r="B48" i="7"/>
  <c r="F48" i="7" s="1"/>
  <c r="B47" i="7"/>
  <c r="H43" i="7"/>
  <c r="D40" i="7"/>
  <c r="A40" i="7"/>
  <c r="D39" i="7"/>
  <c r="A39" i="7"/>
  <c r="D38" i="7"/>
  <c r="A38" i="7"/>
  <c r="E34" i="7"/>
  <c r="B3" i="8"/>
  <c r="B3" i="32" s="1"/>
  <c r="U56" i="6"/>
  <c r="U55" i="6"/>
  <c r="U54" i="6"/>
  <c r="U52" i="6"/>
  <c r="O52" i="6"/>
  <c r="G51" i="6"/>
  <c r="F34" i="4" s="1"/>
  <c r="B51" i="6"/>
  <c r="B22" i="14" s="1"/>
  <c r="U50" i="6"/>
  <c r="U49" i="6"/>
  <c r="U47" i="6"/>
  <c r="O47" i="6"/>
  <c r="G46" i="6"/>
  <c r="E30" i="7" s="1"/>
  <c r="B46" i="6"/>
  <c r="B31" i="4" s="1"/>
  <c r="A46" i="6"/>
  <c r="A19" i="14" s="1"/>
  <c r="U45" i="6"/>
  <c r="U44" i="6"/>
  <c r="U43" i="6"/>
  <c r="U42" i="6"/>
  <c r="O42" i="6"/>
  <c r="G41" i="6"/>
  <c r="E27" i="7" s="1"/>
  <c r="B41" i="6"/>
  <c r="B16" i="14" s="1"/>
  <c r="A41" i="6"/>
  <c r="U40" i="6"/>
  <c r="U39" i="6"/>
  <c r="U38" i="6"/>
  <c r="U37" i="6"/>
  <c r="O37" i="6"/>
  <c r="H37" i="6"/>
  <c r="G36" i="6"/>
  <c r="E24" i="7" s="1"/>
  <c r="B36" i="6"/>
  <c r="B32" i="2" s="1"/>
  <c r="A36" i="6"/>
  <c r="A13" i="14" s="1"/>
  <c r="U35" i="6"/>
  <c r="O35" i="6"/>
  <c r="G34" i="6"/>
  <c r="E21" i="7" s="1"/>
  <c r="B31" i="36"/>
  <c r="A23" i="8"/>
  <c r="O33" i="6"/>
  <c r="J33" i="6"/>
  <c r="H33" i="6"/>
  <c r="G32" i="6"/>
  <c r="E16" i="7" s="1"/>
  <c r="B32" i="6"/>
  <c r="B7" i="14" s="1"/>
  <c r="A32" i="6"/>
  <c r="O31" i="6"/>
  <c r="G30" i="6"/>
  <c r="E13" i="7" s="1"/>
  <c r="B30" i="6"/>
  <c r="B29" i="36" s="1"/>
  <c r="A30" i="6"/>
  <c r="A4" i="14" s="1"/>
  <c r="U29" i="6"/>
  <c r="U28" i="6"/>
  <c r="U27" i="6"/>
  <c r="U26" i="6"/>
  <c r="O26" i="6"/>
  <c r="J26" i="6"/>
  <c r="H26" i="6"/>
  <c r="G25" i="6"/>
  <c r="F19" i="8" s="1"/>
  <c r="B25" i="6"/>
  <c r="B19" i="8" s="1"/>
  <c r="B19" i="32" s="1"/>
  <c r="A25" i="6"/>
  <c r="A19" i="8" s="1"/>
  <c r="A19" i="32" s="1"/>
  <c r="U24" i="6"/>
  <c r="O24" i="6"/>
  <c r="L24" i="6"/>
  <c r="J24" i="6"/>
  <c r="G23" i="6"/>
  <c r="F18" i="8" s="1"/>
  <c r="B23" i="6"/>
  <c r="B18" i="8" s="1"/>
  <c r="A23" i="6"/>
  <c r="A18" i="8" s="1"/>
  <c r="U22" i="6"/>
  <c r="O22" i="6"/>
  <c r="G21" i="6"/>
  <c r="F17" i="8" s="1"/>
  <c r="B21" i="6"/>
  <c r="B17" i="8" s="1"/>
  <c r="B17" i="32" s="1"/>
  <c r="A21" i="6"/>
  <c r="U20" i="6"/>
  <c r="O20" i="6"/>
  <c r="F20" i="6"/>
  <c r="G19" i="6"/>
  <c r="B19" i="6"/>
  <c r="B16" i="8" s="1"/>
  <c r="B16" i="32" s="1"/>
  <c r="A19" i="6"/>
  <c r="A16" i="8" s="1"/>
  <c r="A16" i="32" s="1"/>
  <c r="U18" i="6"/>
  <c r="O18" i="6"/>
  <c r="F18" i="6"/>
  <c r="G17" i="6"/>
  <c r="F15" i="8" s="1"/>
  <c r="B17" i="6"/>
  <c r="B15" i="8" s="1"/>
  <c r="B15" i="32" s="1"/>
  <c r="A17" i="6"/>
  <c r="A15" i="8" s="1"/>
  <c r="U16" i="6"/>
  <c r="U15" i="6"/>
  <c r="U14" i="6"/>
  <c r="U13" i="6"/>
  <c r="O13" i="6"/>
  <c r="L13" i="6"/>
  <c r="G12" i="6"/>
  <c r="F13" i="8" s="1"/>
  <c r="B12" i="6"/>
  <c r="B13" i="8" s="1"/>
  <c r="B11" i="32" s="1"/>
  <c r="A12" i="6"/>
  <c r="A13" i="8" s="1"/>
  <c r="A11" i="32" s="1"/>
  <c r="A3" i="6"/>
  <c r="A4" i="4" s="1"/>
  <c r="A2" i="6"/>
  <c r="A5" i="2" s="1"/>
  <c r="N105" i="5"/>
  <c r="M105" i="5"/>
  <c r="K105" i="5"/>
  <c r="N104" i="5"/>
  <c r="M104" i="5"/>
  <c r="K104" i="5"/>
  <c r="N103" i="5"/>
  <c r="M103" i="5"/>
  <c r="L103" i="5" s="1"/>
  <c r="K103" i="5"/>
  <c r="J103" i="5"/>
  <c r="J104" i="5" s="1"/>
  <c r="J105" i="5" s="1"/>
  <c r="J106" i="5" s="1"/>
  <c r="N100" i="5"/>
  <c r="M100" i="5"/>
  <c r="L100" i="5"/>
  <c r="K100" i="5"/>
  <c r="N99" i="5"/>
  <c r="M99" i="5"/>
  <c r="L99" i="5" s="1"/>
  <c r="K99" i="5"/>
  <c r="J99" i="5"/>
  <c r="J100" i="5" s="1"/>
  <c r="J101" i="5" s="1"/>
  <c r="N98" i="5"/>
  <c r="M98" i="5"/>
  <c r="K98" i="5"/>
  <c r="J98" i="5"/>
  <c r="N95" i="5"/>
  <c r="M95" i="5"/>
  <c r="L95" i="5" s="1"/>
  <c r="K95" i="5"/>
  <c r="N94" i="5"/>
  <c r="M94" i="5"/>
  <c r="L94" i="5" s="1"/>
  <c r="K94" i="5"/>
  <c r="N93" i="5"/>
  <c r="M93" i="5"/>
  <c r="L93" i="5"/>
  <c r="K93" i="5"/>
  <c r="N92" i="5"/>
  <c r="M92" i="5"/>
  <c r="K92" i="5"/>
  <c r="N91" i="5"/>
  <c r="M91" i="5"/>
  <c r="L91" i="5"/>
  <c r="K91" i="5"/>
  <c r="N90" i="5"/>
  <c r="M90" i="5"/>
  <c r="K90" i="5"/>
  <c r="N89" i="5"/>
  <c r="M89" i="5"/>
  <c r="L89" i="5" s="1"/>
  <c r="K89" i="5"/>
  <c r="N88" i="5"/>
  <c r="M88" i="5"/>
  <c r="L88" i="5"/>
  <c r="K88" i="5"/>
  <c r="N87" i="5"/>
  <c r="M87" i="5"/>
  <c r="K87" i="5"/>
  <c r="J87" i="5"/>
  <c r="J88" i="5" s="1"/>
  <c r="J89" i="5" s="1"/>
  <c r="J90" i="5" s="1"/>
  <c r="J91" i="5" s="1"/>
  <c r="J92" i="5" s="1"/>
  <c r="J93" i="5" s="1"/>
  <c r="J94" i="5" s="1"/>
  <c r="J95" i="5" s="1"/>
  <c r="J96" i="5" s="1"/>
  <c r="N84" i="5"/>
  <c r="M84" i="5"/>
  <c r="K84" i="5"/>
  <c r="N83" i="5"/>
  <c r="M83" i="5"/>
  <c r="K83" i="5"/>
  <c r="J83" i="5"/>
  <c r="J84" i="5" s="1"/>
  <c r="J85" i="5" s="1"/>
  <c r="N82" i="5"/>
  <c r="M82" i="5"/>
  <c r="K82" i="5"/>
  <c r="J82" i="5"/>
  <c r="N79" i="5"/>
  <c r="M79" i="5"/>
  <c r="K79" i="5"/>
  <c r="N78" i="5"/>
  <c r="M78" i="5"/>
  <c r="K78" i="5"/>
  <c r="N77" i="5"/>
  <c r="M77" i="5"/>
  <c r="K77" i="5"/>
  <c r="J77" i="5"/>
  <c r="J78" i="5" s="1"/>
  <c r="J79" i="5" s="1"/>
  <c r="J80" i="5" s="1"/>
  <c r="N74" i="5"/>
  <c r="M74" i="5"/>
  <c r="K74" i="5"/>
  <c r="N73" i="5"/>
  <c r="M73" i="5"/>
  <c r="K73" i="5"/>
  <c r="N72" i="5"/>
  <c r="M72" i="5"/>
  <c r="K72" i="5"/>
  <c r="J72" i="5"/>
  <c r="J73" i="5" s="1"/>
  <c r="J74" i="5" s="1"/>
  <c r="J75" i="5" s="1"/>
  <c r="N69" i="5"/>
  <c r="M69" i="5"/>
  <c r="K69" i="5"/>
  <c r="N68" i="5"/>
  <c r="M68" i="5"/>
  <c r="L68" i="5" s="1"/>
  <c r="K68" i="5"/>
  <c r="N67" i="5"/>
  <c r="M67" i="5"/>
  <c r="L67" i="5"/>
  <c r="K67" i="5"/>
  <c r="N64" i="5"/>
  <c r="M64" i="5"/>
  <c r="K64" i="5"/>
  <c r="N63" i="5"/>
  <c r="M63" i="5"/>
  <c r="K63" i="5"/>
  <c r="J63" i="5"/>
  <c r="J64" i="5" s="1"/>
  <c r="J65" i="5" s="1"/>
  <c r="J68" i="5" s="1"/>
  <c r="J69" i="5" s="1"/>
  <c r="J70" i="5" s="1"/>
  <c r="N62" i="5"/>
  <c r="M62" i="5"/>
  <c r="K62" i="5"/>
  <c r="J62" i="5"/>
  <c r="N56" i="5"/>
  <c r="M56" i="5"/>
  <c r="K56" i="5"/>
  <c r="N55" i="5"/>
  <c r="M55" i="5"/>
  <c r="L55" i="5" s="1"/>
  <c r="K55" i="5"/>
  <c r="N54" i="5"/>
  <c r="M54" i="5"/>
  <c r="L54" i="5" s="1"/>
  <c r="Q45" i="5" s="1"/>
  <c r="K54" i="5"/>
  <c r="N53" i="5"/>
  <c r="M53" i="5"/>
  <c r="L53" i="5" s="1"/>
  <c r="K53" i="5"/>
  <c r="J53" i="5"/>
  <c r="J54" i="5" s="1"/>
  <c r="J55" i="5" s="1"/>
  <c r="J56" i="5" s="1"/>
  <c r="N42" i="5"/>
  <c r="M42" i="5"/>
  <c r="K42" i="5"/>
  <c r="N41" i="5"/>
  <c r="M41" i="5"/>
  <c r="L41" i="5" s="1"/>
  <c r="K41" i="5"/>
  <c r="N40" i="5"/>
  <c r="M40" i="5"/>
  <c r="L40" i="5" s="1"/>
  <c r="K40" i="5"/>
  <c r="J40" i="5"/>
  <c r="J41" i="5" s="1"/>
  <c r="J42" i="5" s="1"/>
  <c r="J43" i="5" s="1"/>
  <c r="I37" i="5"/>
  <c r="D37" i="5"/>
  <c r="B35" i="4"/>
  <c r="B33" i="4"/>
  <c r="A33" i="4"/>
  <c r="B32" i="4"/>
  <c r="B30" i="4"/>
  <c r="A30" i="4"/>
  <c r="B29" i="4"/>
  <c r="F28" i="4"/>
  <c r="B28" i="4"/>
  <c r="A28" i="4"/>
  <c r="B27" i="4"/>
  <c r="A27" i="4"/>
  <c r="B26" i="4"/>
  <c r="F24" i="4"/>
  <c r="A24" i="4"/>
  <c r="F23" i="4"/>
  <c r="F22" i="4"/>
  <c r="A22" i="4"/>
  <c r="B21" i="4"/>
  <c r="A21" i="4"/>
  <c r="B20" i="4"/>
  <c r="A19" i="4"/>
  <c r="F18" i="4"/>
  <c r="B18" i="4"/>
  <c r="A18" i="4"/>
  <c r="D16" i="4"/>
  <c r="B16" i="4"/>
  <c r="A16" i="4"/>
  <c r="D15" i="4"/>
  <c r="A15" i="4"/>
  <c r="B14" i="4"/>
  <c r="A14" i="4"/>
  <c r="B13" i="4"/>
  <c r="F12" i="4"/>
  <c r="B12" i="4"/>
  <c r="B11" i="4"/>
  <c r="A11" i="4"/>
  <c r="M56" i="3"/>
  <c r="M38" i="3"/>
  <c r="AH36" i="3"/>
  <c r="C27" i="3"/>
  <c r="C26" i="3"/>
  <c r="C25" i="3"/>
  <c r="C24" i="3"/>
  <c r="C23" i="3"/>
  <c r="C22" i="3"/>
  <c r="AD15" i="3"/>
  <c r="C6" i="32" s="1"/>
  <c r="E14" i="3"/>
  <c r="B2" i="32" s="1"/>
  <c r="AC10" i="3"/>
  <c r="C5" i="32" s="1"/>
  <c r="E10" i="3"/>
  <c r="B1" i="32" s="1"/>
  <c r="O53" i="36"/>
  <c r="I53" i="36"/>
  <c r="D53" i="36"/>
  <c r="A53" i="36"/>
  <c r="V52" i="36"/>
  <c r="O52" i="36"/>
  <c r="I52" i="36"/>
  <c r="D52" i="36"/>
  <c r="A52" i="36"/>
  <c r="V51" i="36"/>
  <c r="O51" i="36"/>
  <c r="I51" i="36"/>
  <c r="D51" i="36"/>
  <c r="A51" i="36"/>
  <c r="V48" i="36"/>
  <c r="O48" i="36"/>
  <c r="I48" i="36"/>
  <c r="D48" i="36"/>
  <c r="A48" i="36"/>
  <c r="O46" i="36"/>
  <c r="I46" i="36"/>
  <c r="A46" i="36"/>
  <c r="A44" i="36"/>
  <c r="A42" i="36"/>
  <c r="O41" i="36"/>
  <c r="N41" i="36"/>
  <c r="J41" i="36"/>
  <c r="A41" i="36"/>
  <c r="B40" i="36"/>
  <c r="A40" i="36"/>
  <c r="A39" i="36"/>
  <c r="O38" i="36"/>
  <c r="N38" i="36"/>
  <c r="B37" i="36"/>
  <c r="A37" i="36"/>
  <c r="A36" i="36"/>
  <c r="O35" i="36"/>
  <c r="N35" i="36"/>
  <c r="P35" i="36" s="1"/>
  <c r="J35" i="36"/>
  <c r="B35" i="36"/>
  <c r="A35" i="36"/>
  <c r="B34" i="36"/>
  <c r="A34" i="36"/>
  <c r="A33" i="36"/>
  <c r="O32" i="36"/>
  <c r="N32" i="36"/>
  <c r="O31" i="36"/>
  <c r="N31" i="36"/>
  <c r="J31" i="36"/>
  <c r="A31" i="36"/>
  <c r="O30" i="36"/>
  <c r="N30" i="36"/>
  <c r="J30" i="36"/>
  <c r="O29" i="36"/>
  <c r="N29" i="36"/>
  <c r="J29" i="36"/>
  <c r="A29" i="36"/>
  <c r="B28" i="36"/>
  <c r="A28" i="36"/>
  <c r="A27" i="36"/>
  <c r="O26" i="36"/>
  <c r="N26" i="36"/>
  <c r="J26" i="36"/>
  <c r="B26" i="36"/>
  <c r="A26" i="36"/>
  <c r="O25" i="36"/>
  <c r="N25" i="36"/>
  <c r="J25" i="36"/>
  <c r="B25" i="36"/>
  <c r="A25" i="36"/>
  <c r="O24" i="36"/>
  <c r="N24" i="36"/>
  <c r="P24" i="36" s="1"/>
  <c r="O23" i="36"/>
  <c r="N23" i="36"/>
  <c r="I23" i="36"/>
  <c r="B23" i="36"/>
  <c r="A23" i="36"/>
  <c r="O22" i="36"/>
  <c r="N22" i="36"/>
  <c r="P22" i="36" s="1"/>
  <c r="I22" i="36"/>
  <c r="A22" i="36"/>
  <c r="B21" i="36"/>
  <c r="A21" i="36"/>
  <c r="A20" i="36"/>
  <c r="O19" i="36"/>
  <c r="N19" i="36"/>
  <c r="P19" i="36" s="1"/>
  <c r="J19" i="36"/>
  <c r="B19" i="36"/>
  <c r="B18" i="36"/>
  <c r="A18" i="36"/>
  <c r="C12" i="36"/>
  <c r="C10" i="36"/>
  <c r="I53" i="2"/>
  <c r="D53" i="2"/>
  <c r="A53" i="2"/>
  <c r="I52" i="2"/>
  <c r="D52" i="2"/>
  <c r="A52" i="2"/>
  <c r="I51" i="2"/>
  <c r="D51" i="2"/>
  <c r="A51" i="2"/>
  <c r="I48" i="2"/>
  <c r="D48" i="2"/>
  <c r="A48" i="2"/>
  <c r="I46" i="2"/>
  <c r="A46" i="2"/>
  <c r="A44" i="2"/>
  <c r="O41" i="2"/>
  <c r="N41" i="2"/>
  <c r="J41" i="2"/>
  <c r="A41" i="2"/>
  <c r="A51" i="6" s="1"/>
  <c r="B40" i="2"/>
  <c r="A40" i="2"/>
  <c r="A39" i="2"/>
  <c r="O38" i="2"/>
  <c r="N38" i="2"/>
  <c r="B37" i="2"/>
  <c r="A37" i="2"/>
  <c r="A36" i="2"/>
  <c r="O35" i="2"/>
  <c r="N35" i="2"/>
  <c r="P35" i="2" s="1"/>
  <c r="J35" i="2"/>
  <c r="B35" i="2"/>
  <c r="A35" i="2"/>
  <c r="B34" i="2"/>
  <c r="A34" i="2"/>
  <c r="A33" i="2"/>
  <c r="O32" i="2"/>
  <c r="N32" i="2"/>
  <c r="O31" i="2"/>
  <c r="N31" i="2"/>
  <c r="J31" i="2"/>
  <c r="A31" i="2"/>
  <c r="O30" i="2"/>
  <c r="N30" i="2"/>
  <c r="J30" i="2"/>
  <c r="O29" i="2"/>
  <c r="N29" i="2"/>
  <c r="J29" i="2"/>
  <c r="A29" i="2"/>
  <c r="B28" i="2"/>
  <c r="A28" i="2"/>
  <c r="A27" i="2"/>
  <c r="O26" i="2"/>
  <c r="N26" i="2"/>
  <c r="A26" i="2"/>
  <c r="O25" i="2"/>
  <c r="N25" i="2"/>
  <c r="P25" i="2" s="1"/>
  <c r="J25" i="2"/>
  <c r="B25" i="2"/>
  <c r="A25" i="2"/>
  <c r="O24" i="2"/>
  <c r="N24" i="2"/>
  <c r="O23" i="2"/>
  <c r="N23" i="2"/>
  <c r="I23" i="2"/>
  <c r="B23" i="2"/>
  <c r="A23" i="2"/>
  <c r="O22" i="2"/>
  <c r="N22" i="2"/>
  <c r="I22" i="2"/>
  <c r="A22" i="2"/>
  <c r="B21" i="2"/>
  <c r="A21" i="2"/>
  <c r="A20" i="2"/>
  <c r="O19" i="2"/>
  <c r="N19" i="2"/>
  <c r="J19" i="2"/>
  <c r="B19" i="2"/>
  <c r="B18" i="2"/>
  <c r="A18" i="2"/>
  <c r="C12" i="2"/>
  <c r="C10" i="2"/>
  <c r="T37" i="1"/>
  <c r="M37" i="1"/>
  <c r="G37" i="1"/>
  <c r="A37" i="1"/>
  <c r="Y36" i="1"/>
  <c r="T36" i="1"/>
  <c r="M36" i="1"/>
  <c r="G36" i="1"/>
  <c r="A36" i="1"/>
  <c r="Y35" i="1"/>
  <c r="T35" i="1"/>
  <c r="M35" i="1"/>
  <c r="G35" i="1"/>
  <c r="A35" i="1"/>
  <c r="A28" i="1"/>
  <c r="B24" i="1"/>
  <c r="A24" i="1"/>
  <c r="B22" i="1"/>
  <c r="A22" i="1"/>
  <c r="B20" i="1"/>
  <c r="A20" i="1"/>
  <c r="B18" i="1"/>
  <c r="A18" i="1"/>
  <c r="B16" i="1"/>
  <c r="A16" i="1"/>
  <c r="B14" i="1"/>
  <c r="A14" i="1"/>
  <c r="I19" i="27" l="1"/>
  <c r="L19" i="27" s="1"/>
  <c r="J38" i="2"/>
  <c r="J38" i="36"/>
  <c r="F31" i="4"/>
  <c r="K19" i="24"/>
  <c r="J32" i="2"/>
  <c r="B23" i="4"/>
  <c r="J32" i="36"/>
  <c r="B30" i="2"/>
  <c r="A19" i="2"/>
  <c r="A12" i="4"/>
  <c r="D12" i="4" s="1"/>
  <c r="F25" i="4"/>
  <c r="A19" i="36"/>
  <c r="B30" i="36"/>
  <c r="B34" i="4"/>
  <c r="B26" i="2"/>
  <c r="B24" i="36"/>
  <c r="B17" i="4"/>
  <c r="J26" i="2"/>
  <c r="J24" i="36"/>
  <c r="F17" i="4"/>
  <c r="B24" i="2"/>
  <c r="B22" i="36"/>
  <c r="J24" i="2"/>
  <c r="B22" i="2"/>
  <c r="J22" i="36"/>
  <c r="B41" i="36"/>
  <c r="I19" i="36"/>
  <c r="A32" i="36"/>
  <c r="A25" i="4"/>
  <c r="J22" i="2"/>
  <c r="B41" i="2"/>
  <c r="B32" i="36"/>
  <c r="B15" i="4"/>
  <c r="B19" i="4"/>
  <c r="B25" i="4"/>
  <c r="I19" i="2"/>
  <c r="A32" i="2"/>
  <c r="F19" i="4"/>
  <c r="F15" i="4"/>
  <c r="D47" i="7"/>
  <c r="F10" i="36"/>
  <c r="F10" i="2"/>
  <c r="F5" i="7"/>
  <c r="B6" i="7" s="1"/>
  <c r="F11" i="2"/>
  <c r="F11" i="36"/>
  <c r="I145" i="7"/>
  <c r="P26" i="2"/>
  <c r="P41" i="2"/>
  <c r="P38" i="2"/>
  <c r="P25" i="36"/>
  <c r="P32" i="36"/>
  <c r="P23" i="36"/>
  <c r="P26" i="36"/>
  <c r="Q44" i="5"/>
  <c r="I38" i="5"/>
  <c r="P38" i="36"/>
  <c r="P30" i="36"/>
  <c r="P27" i="36"/>
  <c r="P31" i="36"/>
  <c r="P29" i="36"/>
  <c r="P29" i="2"/>
  <c r="P19" i="2"/>
  <c r="P30" i="2"/>
  <c r="P23" i="2"/>
  <c r="P24" i="2"/>
  <c r="P27" i="2"/>
  <c r="P32" i="2"/>
  <c r="P22" i="2"/>
  <c r="P31" i="2"/>
  <c r="P46" i="29"/>
  <c r="Y46" i="29" s="1"/>
  <c r="P72" i="29"/>
  <c r="P57" i="29"/>
  <c r="Y57" i="29" s="1"/>
  <c r="P88" i="29"/>
  <c r="P69" i="29"/>
  <c r="Y69" i="29" s="1"/>
  <c r="Z69" i="29" s="1"/>
  <c r="P66" i="29"/>
  <c r="H8" i="28"/>
  <c r="P63" i="29"/>
  <c r="P65" i="29"/>
  <c r="P35" i="29"/>
  <c r="Y35" i="29" s="1"/>
  <c r="Z35" i="29" s="1"/>
  <c r="P71" i="29"/>
  <c r="Y71" i="29" s="1"/>
  <c r="Z71" i="29" s="1"/>
  <c r="P58" i="29"/>
  <c r="P4" i="29"/>
  <c r="Y4" i="29" s="1"/>
  <c r="Z4" i="29" s="1"/>
  <c r="P44" i="29"/>
  <c r="P6" i="29"/>
  <c r="Y6" i="29" s="1"/>
  <c r="V88" i="17"/>
  <c r="V90" i="17" s="1"/>
  <c r="K15" i="31"/>
  <c r="L15" i="31" s="1"/>
  <c r="M15" i="31" s="1"/>
  <c r="N15" i="31" s="1"/>
  <c r="R85" i="17"/>
  <c r="Z85" i="17" s="1"/>
  <c r="R82" i="17"/>
  <c r="B24" i="4"/>
  <c r="A31" i="4"/>
  <c r="A28" i="8"/>
  <c r="A38" i="2"/>
  <c r="A38" i="36"/>
  <c r="B15" i="7"/>
  <c r="A21" i="8"/>
  <c r="B31" i="2"/>
  <c r="B22" i="4"/>
  <c r="B22" i="8"/>
  <c r="A21" i="7"/>
  <c r="F43" i="7" s="1"/>
  <c r="A24" i="7"/>
  <c r="J43" i="7" s="1"/>
  <c r="B26" i="7"/>
  <c r="B26" i="8"/>
  <c r="A30" i="7"/>
  <c r="A119" i="7" s="1"/>
  <c r="A3" i="5"/>
  <c r="A7" i="1" s="1"/>
  <c r="I131" i="7"/>
  <c r="L80" i="7"/>
  <c r="L48" i="7"/>
  <c r="J57" i="7"/>
  <c r="N57" i="7"/>
  <c r="D68" i="7"/>
  <c r="J68" i="7"/>
  <c r="L64" i="7"/>
  <c r="D74" i="7"/>
  <c r="A2" i="5"/>
  <c r="A6" i="1" s="1"/>
  <c r="D56" i="7"/>
  <c r="D69" i="7"/>
  <c r="L56" i="7"/>
  <c r="L91" i="7"/>
  <c r="J64" i="7"/>
  <c r="L57" i="7"/>
  <c r="N64" i="7"/>
  <c r="L59" i="7"/>
  <c r="N72" i="7"/>
  <c r="A6" i="2"/>
  <c r="J76" i="7"/>
  <c r="N76" i="7"/>
  <c r="N82" i="7"/>
  <c r="N47" i="7"/>
  <c r="D55" i="7"/>
  <c r="J72" i="7"/>
  <c r="D77" i="7"/>
  <c r="N91" i="7"/>
  <c r="J55" i="7"/>
  <c r="L72" i="7"/>
  <c r="L77" i="7"/>
  <c r="N77" i="7"/>
  <c r="N48" i="7"/>
  <c r="N55" i="7"/>
  <c r="N59" i="7"/>
  <c r="L55" i="7"/>
  <c r="A5" i="36"/>
  <c r="A6" i="36"/>
  <c r="A3" i="4"/>
  <c r="N50" i="7"/>
  <c r="J56" i="7"/>
  <c r="J80" i="7"/>
  <c r="N69" i="7"/>
  <c r="D76" i="7"/>
  <c r="N80" i="7"/>
  <c r="S8" i="14"/>
  <c r="D62" i="7"/>
  <c r="D78" i="7"/>
  <c r="N67" i="7"/>
  <c r="L51" i="7"/>
  <c r="J58" i="7"/>
  <c r="N70" i="7"/>
  <c r="N83" i="7"/>
  <c r="J48" i="7"/>
  <c r="L50" i="7"/>
  <c r="N52" i="7"/>
  <c r="F57" i="7"/>
  <c r="J59" i="7"/>
  <c r="N61" i="7"/>
  <c r="D64" i="7"/>
  <c r="N66" i="7"/>
  <c r="L69" i="7"/>
  <c r="D72" i="7"/>
  <c r="N74" i="7"/>
  <c r="D80" i="7"/>
  <c r="L82" i="7"/>
  <c r="N88" i="7"/>
  <c r="J91" i="7"/>
  <c r="N8" i="14"/>
  <c r="D75" i="7"/>
  <c r="D49" i="7"/>
  <c r="F51" i="7"/>
  <c r="J53" i="7"/>
  <c r="L62" i="7"/>
  <c r="J70" i="7"/>
  <c r="J78" i="7"/>
  <c r="J83" i="7"/>
  <c r="D92" i="7"/>
  <c r="F49" i="7"/>
  <c r="J51" i="7"/>
  <c r="L53" i="7"/>
  <c r="D58" i="7"/>
  <c r="J60" i="7"/>
  <c r="N62" i="7"/>
  <c r="D65" i="7"/>
  <c r="L70" i="7"/>
  <c r="D73" i="7"/>
  <c r="L78" i="7"/>
  <c r="D81" i="7"/>
  <c r="L83" i="7"/>
  <c r="D87" i="7"/>
  <c r="N89" i="7"/>
  <c r="L92" i="7"/>
  <c r="N75" i="7"/>
  <c r="L49" i="7"/>
  <c r="N51" i="7"/>
  <c r="L58" i="7"/>
  <c r="N60" i="7"/>
  <c r="D63" i="7"/>
  <c r="N65" i="7"/>
  <c r="N73" i="7"/>
  <c r="L81" i="7"/>
  <c r="L87" i="7"/>
  <c r="D90" i="7"/>
  <c r="D53" i="7"/>
  <c r="D67" i="7"/>
  <c r="F53" i="7"/>
  <c r="L67" i="7"/>
  <c r="L89" i="7"/>
  <c r="L65" i="7"/>
  <c r="N78" i="7"/>
  <c r="J87" i="7"/>
  <c r="L47" i="7"/>
  <c r="N49" i="7"/>
  <c r="D54" i="7"/>
  <c r="N58" i="7"/>
  <c r="F63" i="7"/>
  <c r="L68" i="7"/>
  <c r="D71" i="7"/>
  <c r="L76" i="7"/>
  <c r="D79" i="7"/>
  <c r="N81" i="7"/>
  <c r="D84" i="7"/>
  <c r="N87" i="7"/>
  <c r="L90" i="7"/>
  <c r="D93" i="7"/>
  <c r="D89" i="7"/>
  <c r="D70" i="7"/>
  <c r="D60" i="7"/>
  <c r="D52" i="7"/>
  <c r="J54" i="7"/>
  <c r="N56" i="7"/>
  <c r="D61" i="7"/>
  <c r="L63" i="7"/>
  <c r="D66" i="7"/>
  <c r="N68" i="7"/>
  <c r="L71" i="7"/>
  <c r="L79" i="7"/>
  <c r="J84" i="7"/>
  <c r="N90" i="7"/>
  <c r="J93" i="7"/>
  <c r="L75" i="7"/>
  <c r="J89" i="7"/>
  <c r="L60" i="7"/>
  <c r="L73" i="7"/>
  <c r="J81" i="7"/>
  <c r="N92" i="7"/>
  <c r="D50" i="7"/>
  <c r="J52" i="7"/>
  <c r="L54" i="7"/>
  <c r="D59" i="7"/>
  <c r="F61" i="7"/>
  <c r="N63" i="7"/>
  <c r="J66" i="7"/>
  <c r="N71" i="7"/>
  <c r="J74" i="7"/>
  <c r="N79" i="7"/>
  <c r="D82" i="7"/>
  <c r="L84" i="7"/>
  <c r="D88" i="7"/>
  <c r="L93" i="7"/>
  <c r="L8" i="14"/>
  <c r="J62" i="7"/>
  <c r="D83" i="7"/>
  <c r="D48" i="7"/>
  <c r="J50" i="7"/>
  <c r="L52" i="7"/>
  <c r="N54" i="7"/>
  <c r="L61" i="7"/>
  <c r="L66" i="7"/>
  <c r="L74" i="7"/>
  <c r="J82" i="7"/>
  <c r="N84" i="7"/>
  <c r="L88" i="7"/>
  <c r="D91" i="7"/>
  <c r="N93" i="7"/>
  <c r="F16" i="8"/>
  <c r="F16" i="4"/>
  <c r="J23" i="2"/>
  <c r="J23" i="36"/>
  <c r="L18" i="22"/>
  <c r="K18" i="22"/>
  <c r="A15" i="32"/>
  <c r="Q46" i="5"/>
  <c r="A17" i="8"/>
  <c r="I25" i="2" s="1"/>
  <c r="A24" i="2"/>
  <c r="A24" i="36"/>
  <c r="A17" i="4"/>
  <c r="P41" i="36"/>
  <c r="Q43" i="5"/>
  <c r="L113" i="5"/>
  <c r="Q53" i="5"/>
  <c r="Q55" i="5"/>
  <c r="B4" i="14"/>
  <c r="B12" i="7"/>
  <c r="B21" i="8"/>
  <c r="B29" i="2"/>
  <c r="Q41" i="5"/>
  <c r="Q47" i="5"/>
  <c r="A16" i="14"/>
  <c r="A26" i="8"/>
  <c r="A27" i="7"/>
  <c r="L43" i="7" s="1"/>
  <c r="A7" i="14"/>
  <c r="A22" i="8"/>
  <c r="A16" i="7"/>
  <c r="D43" i="7" s="1"/>
  <c r="A30" i="36"/>
  <c r="E15" i="3"/>
  <c r="Q48" i="5"/>
  <c r="B30" i="8"/>
  <c r="C56" i="10"/>
  <c r="I15" i="11"/>
  <c r="A30" i="2"/>
  <c r="Q49" i="5"/>
  <c r="B23" i="8"/>
  <c r="B10" i="14"/>
  <c r="H13" i="10"/>
  <c r="G48" i="11" s="1"/>
  <c r="H11" i="10"/>
  <c r="G46" i="11" s="1"/>
  <c r="H10" i="10"/>
  <c r="G45" i="11" s="1"/>
  <c r="I45" i="11" s="1"/>
  <c r="H9" i="10"/>
  <c r="G44" i="11" s="1"/>
  <c r="I44" i="11" s="1"/>
  <c r="S14" i="14"/>
  <c r="N14" i="14"/>
  <c r="M14" i="14"/>
  <c r="L14" i="14"/>
  <c r="K14" i="14"/>
  <c r="J14" i="14"/>
  <c r="I14" i="14"/>
  <c r="B10" i="36"/>
  <c r="Q50" i="5"/>
  <c r="B29" i="7"/>
  <c r="B119" i="7" s="1"/>
  <c r="M36" i="9"/>
  <c r="I16" i="11"/>
  <c r="G17" i="11"/>
  <c r="I17" i="11" s="1"/>
  <c r="B10" i="2"/>
  <c r="Q51" i="5"/>
  <c r="Q56" i="5"/>
  <c r="F24" i="6"/>
  <c r="H6" i="10"/>
  <c r="G41" i="11" s="1"/>
  <c r="I27" i="13"/>
  <c r="I29" i="13" s="1"/>
  <c r="K29" i="13" s="1"/>
  <c r="L20" i="6" s="1"/>
  <c r="M20" i="6" s="1"/>
  <c r="K19" i="13"/>
  <c r="A30" i="8"/>
  <c r="A22" i="14"/>
  <c r="A23" i="4"/>
  <c r="A34" i="4"/>
  <c r="Q52" i="5"/>
  <c r="Q54" i="5"/>
  <c r="Q57" i="5"/>
  <c r="B13" i="14"/>
  <c r="B24" i="8"/>
  <c r="B23" i="7"/>
  <c r="B33" i="7"/>
  <c r="C127" i="7" s="1"/>
  <c r="C12" i="10"/>
  <c r="H8" i="10" s="1"/>
  <c r="G43" i="11" s="1"/>
  <c r="I43" i="11" s="1"/>
  <c r="C11" i="10"/>
  <c r="H7" i="10" s="1"/>
  <c r="G42" i="11" s="1"/>
  <c r="I42" i="11" s="1"/>
  <c r="C10" i="10"/>
  <c r="B19" i="14"/>
  <c r="B28" i="8"/>
  <c r="B38" i="36"/>
  <c r="Q42" i="5"/>
  <c r="Q58" i="5"/>
  <c r="A34" i="7"/>
  <c r="B127" i="7" s="1"/>
  <c r="B38" i="2"/>
  <c r="Q59" i="5"/>
  <c r="F13" i="6"/>
  <c r="H12" i="10"/>
  <c r="G47" i="11" s="1"/>
  <c r="I47" i="11" s="1"/>
  <c r="A13" i="7"/>
  <c r="F47" i="7"/>
  <c r="F65" i="7"/>
  <c r="F67" i="7"/>
  <c r="F69" i="7"/>
  <c r="F71" i="7"/>
  <c r="F73" i="7"/>
  <c r="F75" i="7"/>
  <c r="F77" i="7"/>
  <c r="F79" i="7"/>
  <c r="F88" i="7"/>
  <c r="F90" i="7"/>
  <c r="F92" i="7"/>
  <c r="L48" i="18"/>
  <c r="K48" i="18"/>
  <c r="K18" i="23"/>
  <c r="Q39" i="29"/>
  <c r="R39" i="29" s="1"/>
  <c r="W39" i="29" s="1"/>
  <c r="K39" i="29"/>
  <c r="P39" i="29" s="1"/>
  <c r="Y39" i="29" s="1"/>
  <c r="Z47" i="29"/>
  <c r="H31" i="28"/>
  <c r="J47" i="7"/>
  <c r="I48" i="12"/>
  <c r="K48" i="12" s="1"/>
  <c r="H18" i="6" s="1"/>
  <c r="I18" i="6" s="1"/>
  <c r="A24" i="8"/>
  <c r="F28" i="14"/>
  <c r="S17" i="14"/>
  <c r="N17" i="14"/>
  <c r="M17" i="14"/>
  <c r="I30" i="27"/>
  <c r="K20" i="29"/>
  <c r="P20" i="29" s="1"/>
  <c r="Y20" i="29" s="1"/>
  <c r="K28" i="29"/>
  <c r="P28" i="29" s="1"/>
  <c r="Y28" i="29" s="1"/>
  <c r="Y88" i="29"/>
  <c r="G18" i="31"/>
  <c r="C8" i="31"/>
  <c r="C6" i="31" s="1"/>
  <c r="K18" i="31"/>
  <c r="N11" i="14"/>
  <c r="M11" i="14"/>
  <c r="L11" i="14"/>
  <c r="K11" i="14"/>
  <c r="J11" i="14"/>
  <c r="I11" i="14"/>
  <c r="L19" i="18"/>
  <c r="K19" i="18"/>
  <c r="I30" i="18"/>
  <c r="K19" i="12"/>
  <c r="S11" i="14"/>
  <c r="J17" i="14"/>
  <c r="W82" i="17"/>
  <c r="X82" i="17" s="1"/>
  <c r="I23" i="26"/>
  <c r="Y58" i="29"/>
  <c r="Z58" i="29" s="1"/>
  <c r="I27" i="12"/>
  <c r="I29" i="12" s="1"/>
  <c r="K29" i="12" s="1"/>
  <c r="L18" i="6" s="1"/>
  <c r="M18" i="6" s="1"/>
  <c r="K17" i="14"/>
  <c r="K18" i="29"/>
  <c r="P18" i="29" s="1"/>
  <c r="Y18" i="29" s="1"/>
  <c r="K26" i="29"/>
  <c r="P26" i="29" s="1"/>
  <c r="Y26" i="29" s="1"/>
  <c r="H28" i="28"/>
  <c r="Z46" i="29"/>
  <c r="R88" i="29"/>
  <c r="W88" i="29" s="1"/>
  <c r="L17" i="14"/>
  <c r="Z82" i="17"/>
  <c r="R90" i="17"/>
  <c r="R92" i="17" s="1"/>
  <c r="R93" i="17" s="1"/>
  <c r="K19" i="27"/>
  <c r="H9" i="28"/>
  <c r="A10" i="14"/>
  <c r="Y66" i="29"/>
  <c r="K24" i="29"/>
  <c r="P24" i="29" s="1"/>
  <c r="Y24" i="29" s="1"/>
  <c r="Z24" i="29" s="1"/>
  <c r="Z57" i="29"/>
  <c r="H17" i="28"/>
  <c r="H27" i="24" s="1"/>
  <c r="I27" i="24" s="1"/>
  <c r="H18" i="28"/>
  <c r="Z95" i="29"/>
  <c r="I48" i="13"/>
  <c r="K48" i="13" s="1"/>
  <c r="H20" i="6" s="1"/>
  <c r="I23" i="20"/>
  <c r="I19" i="25"/>
  <c r="W70" i="29"/>
  <c r="Y70" i="29" s="1"/>
  <c r="K8" i="14"/>
  <c r="J8" i="14"/>
  <c r="I8" i="14"/>
  <c r="W86" i="17"/>
  <c r="X86" i="17" s="1"/>
  <c r="Y86" i="17" s="1"/>
  <c r="M90" i="17"/>
  <c r="K22" i="29"/>
  <c r="P22" i="29" s="1"/>
  <c r="Y22" i="29" s="1"/>
  <c r="Z22" i="29" s="1"/>
  <c r="R51" i="29"/>
  <c r="W51" i="29" s="1"/>
  <c r="Y5" i="29"/>
  <c r="K13" i="29"/>
  <c r="P13" i="29" s="1"/>
  <c r="K51" i="29"/>
  <c r="P51" i="29" s="1"/>
  <c r="Z59" i="29"/>
  <c r="Z120" i="29"/>
  <c r="H44" i="28"/>
  <c r="Q79" i="29"/>
  <c r="R79" i="29" s="1"/>
  <c r="W79" i="29" s="1"/>
  <c r="K79" i="29"/>
  <c r="P79" i="29" s="1"/>
  <c r="Y79" i="29" s="1"/>
  <c r="Z79" i="29" s="1"/>
  <c r="L16" i="30"/>
  <c r="M16" i="30" s="1"/>
  <c r="N16" i="30" s="1"/>
  <c r="H50" i="15"/>
  <c r="I57" i="26"/>
  <c r="K57" i="26" s="1"/>
  <c r="I31" i="35"/>
  <c r="I33" i="35" s="1"/>
  <c r="L33" i="35" s="1"/>
  <c r="L23" i="35"/>
  <c r="K23" i="35"/>
  <c r="R11" i="29"/>
  <c r="W11" i="29" s="1"/>
  <c r="Y11" i="29" s="1"/>
  <c r="Q55" i="29"/>
  <c r="R55" i="29" s="1"/>
  <c r="W55" i="29" s="1"/>
  <c r="K55" i="29"/>
  <c r="P55" i="29" s="1"/>
  <c r="Z103" i="29"/>
  <c r="L12" i="30"/>
  <c r="M12" i="30" s="1"/>
  <c r="N12" i="30" s="1"/>
  <c r="N20" i="30" s="1"/>
  <c r="R44" i="29"/>
  <c r="W44" i="29" s="1"/>
  <c r="R63" i="29"/>
  <c r="W63" i="29" s="1"/>
  <c r="Y63" i="29" s="1"/>
  <c r="R66" i="29"/>
  <c r="W66" i="29" s="1"/>
  <c r="R13" i="29"/>
  <c r="W13" i="29" s="1"/>
  <c r="Z114" i="29"/>
  <c r="H45" i="28"/>
  <c r="K12" i="29"/>
  <c r="P12" i="29" s="1"/>
  <c r="K17" i="29"/>
  <c r="P17" i="29" s="1"/>
  <c r="Y17" i="29" s="1"/>
  <c r="K19" i="29"/>
  <c r="P19" i="29" s="1"/>
  <c r="Y19" i="29" s="1"/>
  <c r="K21" i="29"/>
  <c r="P21" i="29" s="1"/>
  <c r="Y21" i="29" s="1"/>
  <c r="K23" i="29"/>
  <c r="P23" i="29" s="1"/>
  <c r="Y23" i="29" s="1"/>
  <c r="Z23" i="29" s="1"/>
  <c r="K25" i="29"/>
  <c r="P25" i="29" s="1"/>
  <c r="Y25" i="29" s="1"/>
  <c r="K27" i="29"/>
  <c r="P27" i="29" s="1"/>
  <c r="Y27" i="29" s="1"/>
  <c r="K89" i="29"/>
  <c r="P89" i="29" s="1"/>
  <c r="Y89" i="29" s="1"/>
  <c r="L19" i="31"/>
  <c r="M19" i="31" s="1"/>
  <c r="N19" i="31" s="1"/>
  <c r="H51" i="15"/>
  <c r="Z7" i="29"/>
  <c r="H14" i="28"/>
  <c r="Q38" i="29"/>
  <c r="R38" i="29" s="1"/>
  <c r="W38" i="29" s="1"/>
  <c r="K38" i="29"/>
  <c r="P38" i="29" s="1"/>
  <c r="K45" i="29"/>
  <c r="P45" i="29" s="1"/>
  <c r="Y45" i="29" s="1"/>
  <c r="K50" i="29"/>
  <c r="P50" i="29" s="1"/>
  <c r="Y50" i="29" s="1"/>
  <c r="Q78" i="29"/>
  <c r="R78" i="29" s="1"/>
  <c r="W78" i="29" s="1"/>
  <c r="K78" i="29"/>
  <c r="P78" i="29" s="1"/>
  <c r="Y78" i="29" s="1"/>
  <c r="R84" i="29"/>
  <c r="W84" i="29" s="1"/>
  <c r="K12" i="31"/>
  <c r="G12" i="31"/>
  <c r="K14" i="29"/>
  <c r="P14" i="29" s="1"/>
  <c r="Y14" i="29" s="1"/>
  <c r="Q54" i="29"/>
  <c r="R54" i="29" s="1"/>
  <c r="W54" i="29" s="1"/>
  <c r="K54" i="29"/>
  <c r="P54" i="29" s="1"/>
  <c r="R62" i="29"/>
  <c r="W62" i="29" s="1"/>
  <c r="Y62" i="29" s="1"/>
  <c r="R65" i="29"/>
  <c r="W65" i="29" s="1"/>
  <c r="Y65" i="29" s="1"/>
  <c r="Y72" i="29"/>
  <c r="Q40" i="29"/>
  <c r="R40" i="29" s="1"/>
  <c r="W40" i="29" s="1"/>
  <c r="K40" i="29"/>
  <c r="P40" i="29" s="1"/>
  <c r="Z108" i="29"/>
  <c r="H60" i="28"/>
  <c r="L52" i="35"/>
  <c r="M52" i="35" s="1"/>
  <c r="H29" i="28"/>
  <c r="R12" i="29"/>
  <c r="W12" i="29" s="1"/>
  <c r="L19" i="30"/>
  <c r="M19" i="30" s="1"/>
  <c r="N19" i="30" s="1"/>
  <c r="Q20" i="31"/>
  <c r="L16" i="31"/>
  <c r="M16" i="31" s="1"/>
  <c r="N16" i="31" s="1"/>
  <c r="K93" i="29"/>
  <c r="P93" i="29" s="1"/>
  <c r="Y93" i="29" s="1"/>
  <c r="K96" i="29"/>
  <c r="P96" i="29" s="1"/>
  <c r="Y96" i="29" s="1"/>
  <c r="K83" i="29"/>
  <c r="P83" i="29" s="1"/>
  <c r="Y83" i="29" s="1"/>
  <c r="K84" i="29"/>
  <c r="P84" i="29" s="1"/>
  <c r="Y84" i="29" s="1"/>
  <c r="Z84" i="29" s="1"/>
  <c r="K85" i="29"/>
  <c r="P85" i="29" s="1"/>
  <c r="Y85" i="29" s="1"/>
  <c r="I37" i="35" l="1"/>
  <c r="I41" i="35" s="1"/>
  <c r="I56" i="35" s="1"/>
  <c r="D18" i="4"/>
  <c r="D27" i="7"/>
  <c r="G26" i="8" s="1"/>
  <c r="I35" i="36" s="1"/>
  <c r="F21" i="8"/>
  <c r="Y44" i="29"/>
  <c r="L18" i="31"/>
  <c r="M18" i="31" s="1"/>
  <c r="N18" i="31" s="1"/>
  <c r="W88" i="17"/>
  <c r="X88" i="17" s="1"/>
  <c r="Y88" i="17" s="1"/>
  <c r="W85" i="17"/>
  <c r="X85" i="17" s="1"/>
  <c r="Y85" i="17" s="1"/>
  <c r="L12" i="31"/>
  <c r="M12" i="31" s="1"/>
  <c r="N12" i="31" s="1"/>
  <c r="F22" i="6"/>
  <c r="F26" i="6"/>
  <c r="K26" i="6" s="1"/>
  <c r="I25" i="36"/>
  <c r="I26" i="2"/>
  <c r="D19" i="4"/>
  <c r="I26" i="36"/>
  <c r="N43" i="7"/>
  <c r="D17" i="4"/>
  <c r="I24" i="36"/>
  <c r="I24" i="2"/>
  <c r="D34" i="7"/>
  <c r="B4" i="9"/>
  <c r="D21" i="7"/>
  <c r="D24" i="7"/>
  <c r="G24" i="8" s="1"/>
  <c r="D25" i="4" s="1"/>
  <c r="D31" i="7"/>
  <c r="D30" i="7" s="1"/>
  <c r="G28" i="8" s="1"/>
  <c r="C19" i="14" s="1"/>
  <c r="B3" i="9"/>
  <c r="D10" i="2"/>
  <c r="D122" i="7"/>
  <c r="H47" i="28"/>
  <c r="Z70" i="29"/>
  <c r="H71" i="28"/>
  <c r="Z11" i="29"/>
  <c r="H24" i="28"/>
  <c r="Z63" i="29"/>
  <c r="H65" i="28"/>
  <c r="Z44" i="29"/>
  <c r="G56" i="11"/>
  <c r="I41" i="11"/>
  <c r="G57" i="11"/>
  <c r="I46" i="11"/>
  <c r="G50" i="11"/>
  <c r="I50" i="11" s="1"/>
  <c r="F28" i="8"/>
  <c r="I48" i="11"/>
  <c r="G51" i="11"/>
  <c r="I51" i="11" s="1"/>
  <c r="Z19" i="29"/>
  <c r="H33" i="28"/>
  <c r="Y55" i="29"/>
  <c r="N71" i="17"/>
  <c r="N73" i="17" s="1"/>
  <c r="L19" i="25"/>
  <c r="K19" i="25"/>
  <c r="M19" i="18"/>
  <c r="J31" i="6"/>
  <c r="M24" i="6"/>
  <c r="K24" i="6"/>
  <c r="F23" i="8"/>
  <c r="F26" i="8"/>
  <c r="Y40" i="29"/>
  <c r="Y12" i="29"/>
  <c r="K23" i="20"/>
  <c r="Z28" i="29"/>
  <c r="H54" i="28"/>
  <c r="F24" i="8"/>
  <c r="M13" i="6"/>
  <c r="M15" i="6" s="1"/>
  <c r="H7" i="28"/>
  <c r="Z39" i="29"/>
  <c r="Z88" i="29"/>
  <c r="H41" i="28"/>
  <c r="I60" i="35"/>
  <c r="K33" i="35"/>
  <c r="K56" i="35" s="1"/>
  <c r="L56" i="35" s="1"/>
  <c r="I58" i="35"/>
  <c r="K23" i="26"/>
  <c r="I34" i="26"/>
  <c r="Z20" i="29"/>
  <c r="H34" i="28"/>
  <c r="J42" i="6"/>
  <c r="M18" i="22"/>
  <c r="J37" i="6"/>
  <c r="D23" i="30"/>
  <c r="H23" i="30" s="1"/>
  <c r="D26" i="30"/>
  <c r="D24" i="30"/>
  <c r="H24" i="30" s="1"/>
  <c r="H36" i="28"/>
  <c r="Z83" i="29"/>
  <c r="M23" i="35"/>
  <c r="I20" i="6"/>
  <c r="Y82" i="17"/>
  <c r="Q66" i="5"/>
  <c r="Z6" i="29"/>
  <c r="H12" i="28"/>
  <c r="H28" i="19" s="1"/>
  <c r="I28" i="19" s="1"/>
  <c r="H11" i="28"/>
  <c r="H40" i="28"/>
  <c r="Z78" i="29"/>
  <c r="Y51" i="29"/>
  <c r="M48" i="18"/>
  <c r="H31" i="6"/>
  <c r="N20" i="31"/>
  <c r="H46" i="28"/>
  <c r="Z93" i="29"/>
  <c r="H64" i="28"/>
  <c r="Z45" i="29"/>
  <c r="Z89" i="29"/>
  <c r="H42" i="28"/>
  <c r="Y13" i="29"/>
  <c r="H32" i="26"/>
  <c r="I32" i="26" s="1"/>
  <c r="H28" i="24"/>
  <c r="I28" i="24" s="1"/>
  <c r="H26" i="19"/>
  <c r="I26" i="19" s="1"/>
  <c r="H32" i="20"/>
  <c r="I32" i="20" s="1"/>
  <c r="I33" i="12"/>
  <c r="I37" i="12" s="1"/>
  <c r="I52" i="12" s="1"/>
  <c r="Z21" i="29"/>
  <c r="H63" i="28"/>
  <c r="H37" i="28"/>
  <c r="Z85" i="29"/>
  <c r="Z96" i="29"/>
  <c r="H21" i="28"/>
  <c r="H33" i="24" s="1"/>
  <c r="I33" i="24" s="1"/>
  <c r="Z50" i="29"/>
  <c r="H68" i="28"/>
  <c r="H74" i="28"/>
  <c r="Z72" i="29"/>
  <c r="F26" i="30"/>
  <c r="H25" i="28"/>
  <c r="Z65" i="29"/>
  <c r="Y38" i="29"/>
  <c r="Z5" i="29"/>
  <c r="H10" i="28"/>
  <c r="M19" i="27"/>
  <c r="J52" i="6"/>
  <c r="K52" i="13"/>
  <c r="J20" i="6"/>
  <c r="K20" i="6" s="1"/>
  <c r="I19" i="11"/>
  <c r="F22" i="8"/>
  <c r="H13" i="28"/>
  <c r="Z62" i="29"/>
  <c r="Z27" i="29"/>
  <c r="H53" i="28"/>
  <c r="Z26" i="29"/>
  <c r="H52" i="28"/>
  <c r="H27" i="28"/>
  <c r="Z14" i="29"/>
  <c r="H16" i="28"/>
  <c r="Z66" i="29"/>
  <c r="Z17" i="29"/>
  <c r="H35" i="28"/>
  <c r="I36" i="24"/>
  <c r="L19" i="24"/>
  <c r="Y54" i="29"/>
  <c r="Z54" i="29" s="1"/>
  <c r="H26" i="21"/>
  <c r="I26" i="21" s="1"/>
  <c r="H26" i="22"/>
  <c r="I26" i="22" s="1"/>
  <c r="H37" i="20"/>
  <c r="I37" i="20" s="1"/>
  <c r="H26" i="23"/>
  <c r="I26" i="23" s="1"/>
  <c r="Z25" i="29"/>
  <c r="H51" i="28"/>
  <c r="Z18" i="29"/>
  <c r="H32" i="28"/>
  <c r="K52" i="12"/>
  <c r="J18" i="6"/>
  <c r="K18" i="6" s="1"/>
  <c r="N18" i="6" s="1"/>
  <c r="G21" i="8"/>
  <c r="I33" i="13"/>
  <c r="I37" i="13" s="1"/>
  <c r="I52" i="13" s="1"/>
  <c r="M39" i="9"/>
  <c r="M43" i="9" s="1"/>
  <c r="M45" i="9" s="1"/>
  <c r="N45" i="9" s="1"/>
  <c r="P38" i="9"/>
  <c r="A17" i="32"/>
  <c r="D17" i="7" l="1"/>
  <c r="D16" i="7"/>
  <c r="I26" i="6"/>
  <c r="X90" i="17"/>
  <c r="Y90" i="17"/>
  <c r="Y92" i="17" s="1"/>
  <c r="G30" i="8"/>
  <c r="D34" i="4"/>
  <c r="I41" i="36"/>
  <c r="I41" i="2"/>
  <c r="G122" i="7"/>
  <c r="G125" i="7" s="1"/>
  <c r="D125" i="7"/>
  <c r="H3" i="7"/>
  <c r="D3" i="8"/>
  <c r="D3" i="32" s="1"/>
  <c r="I35" i="2"/>
  <c r="I32" i="36"/>
  <c r="I32" i="2"/>
  <c r="D28" i="4"/>
  <c r="F42" i="6"/>
  <c r="G19" i="14"/>
  <c r="H19" i="14" s="1"/>
  <c r="G21" i="14"/>
  <c r="H21" i="14" s="1"/>
  <c r="G20" i="14"/>
  <c r="H20" i="14" s="1"/>
  <c r="H26" i="30"/>
  <c r="H27" i="30" s="1"/>
  <c r="F29" i="30" s="1"/>
  <c r="H29" i="30" s="1"/>
  <c r="D32" i="30" s="1"/>
  <c r="Z55" i="29"/>
  <c r="H20" i="28"/>
  <c r="H31" i="24" s="1"/>
  <c r="I31" i="24" s="1"/>
  <c r="H72" i="28"/>
  <c r="Z13" i="29"/>
  <c r="F47" i="6"/>
  <c r="I29" i="36"/>
  <c r="F31" i="6"/>
  <c r="D22" i="4"/>
  <c r="I29" i="2"/>
  <c r="C4" i="14"/>
  <c r="M19" i="24"/>
  <c r="J47" i="6"/>
  <c r="U17" i="6"/>
  <c r="H15" i="28"/>
  <c r="Z12" i="29"/>
  <c r="H6" i="28"/>
  <c r="Z38" i="29"/>
  <c r="Z51" i="29"/>
  <c r="H70" i="28"/>
  <c r="N20" i="6"/>
  <c r="H5" i="28"/>
  <c r="H29" i="27" s="1"/>
  <c r="I29" i="27" s="1"/>
  <c r="Z40" i="29"/>
  <c r="U19" i="6"/>
  <c r="I38" i="2"/>
  <c r="C16" i="14"/>
  <c r="H33" i="26"/>
  <c r="I33" i="26" s="1"/>
  <c r="I36" i="26" s="1"/>
  <c r="H28" i="27"/>
  <c r="I28" i="27" s="1"/>
  <c r="H39" i="20"/>
  <c r="I39" i="20" s="1"/>
  <c r="H28" i="23"/>
  <c r="I28" i="23" s="1"/>
  <c r="H32" i="24"/>
  <c r="I32" i="24" s="1"/>
  <c r="H28" i="22"/>
  <c r="I28" i="22" s="1"/>
  <c r="H28" i="21"/>
  <c r="I28" i="21" s="1"/>
  <c r="L52" i="13"/>
  <c r="I56" i="13"/>
  <c r="I54" i="13"/>
  <c r="Z23" i="2"/>
  <c r="K23" i="2" s="1"/>
  <c r="Z23" i="36"/>
  <c r="K23" i="36" s="1"/>
  <c r="K19" i="11"/>
  <c r="I31" i="11"/>
  <c r="I35" i="11" s="1"/>
  <c r="H29" i="25"/>
  <c r="I29" i="25" s="1"/>
  <c r="I31" i="25" s="1"/>
  <c r="F26" i="31"/>
  <c r="M33" i="35"/>
  <c r="M19" i="25"/>
  <c r="H29" i="19"/>
  <c r="I29" i="19" s="1"/>
  <c r="H34" i="20"/>
  <c r="I34" i="20" s="1"/>
  <c r="H28" i="18"/>
  <c r="I28" i="18" s="1"/>
  <c r="H33" i="20"/>
  <c r="I33" i="20" s="1"/>
  <c r="H27" i="19"/>
  <c r="I27" i="19" s="1"/>
  <c r="H30" i="24"/>
  <c r="I30" i="24" s="1"/>
  <c r="I38" i="24" s="1"/>
  <c r="D31" i="4"/>
  <c r="I62" i="35"/>
  <c r="I64" i="35" s="1"/>
  <c r="I38" i="36"/>
  <c r="D18" i="7"/>
  <c r="G23" i="8"/>
  <c r="F35" i="6" s="1"/>
  <c r="I54" i="12"/>
  <c r="L52" i="12"/>
  <c r="I56" i="12"/>
  <c r="Z22" i="36"/>
  <c r="K22" i="36" s="1"/>
  <c r="Z22" i="2"/>
  <c r="K22" i="2" s="1"/>
  <c r="D24" i="31"/>
  <c r="H24" i="31" s="1"/>
  <c r="D23" i="31"/>
  <c r="H23" i="31" s="1"/>
  <c r="O22" i="31"/>
  <c r="D26" i="31"/>
  <c r="F37" i="6"/>
  <c r="C13" i="14"/>
  <c r="M92" i="17"/>
  <c r="K42" i="6" l="1"/>
  <c r="K44" i="6" s="1"/>
  <c r="M35" i="6"/>
  <c r="K35" i="6"/>
  <c r="L38" i="24"/>
  <c r="I42" i="24"/>
  <c r="I46" i="24" s="1"/>
  <c r="I58" i="12"/>
  <c r="I60" i="12" s="1"/>
  <c r="G22" i="8"/>
  <c r="F33" i="6" s="1"/>
  <c r="H5" i="7"/>
  <c r="B7" i="7" s="1"/>
  <c r="Y94" i="17"/>
  <c r="Z90" i="17"/>
  <c r="F52" i="6"/>
  <c r="K52" i="6" s="1"/>
  <c r="K54" i="6" s="1"/>
  <c r="C22" i="14"/>
  <c r="B5" i="8"/>
  <c r="I42" i="6"/>
  <c r="I44" i="6" s="1"/>
  <c r="O2" i="28"/>
  <c r="H56" i="11"/>
  <c r="I56" i="11" s="1"/>
  <c r="K36" i="26"/>
  <c r="K61" i="26" s="1"/>
  <c r="I40" i="26"/>
  <c r="I44" i="26" s="1"/>
  <c r="I61" i="26" s="1"/>
  <c r="G18" i="14"/>
  <c r="H18" i="14" s="1"/>
  <c r="G16" i="14"/>
  <c r="H16" i="14" s="1"/>
  <c r="I58" i="13"/>
  <c r="I60" i="13" s="1"/>
  <c r="H26" i="31"/>
  <c r="H27" i="31" s="1"/>
  <c r="F29" i="31" s="1"/>
  <c r="H29" i="31" s="1"/>
  <c r="G5" i="14"/>
  <c r="H5" i="14" s="1"/>
  <c r="G4" i="14"/>
  <c r="H4" i="14" s="1"/>
  <c r="G6" i="14"/>
  <c r="H6" i="14" s="1"/>
  <c r="K47" i="6"/>
  <c r="K49" i="6" s="1"/>
  <c r="H27" i="18"/>
  <c r="I27" i="18" s="1"/>
  <c r="I32" i="18" s="1"/>
  <c r="H30" i="19"/>
  <c r="I30" i="19" s="1"/>
  <c r="I32" i="19" s="1"/>
  <c r="I37" i="6"/>
  <c r="K37" i="6"/>
  <c r="L31" i="25"/>
  <c r="I35" i="25"/>
  <c r="I39" i="25" s="1"/>
  <c r="K31" i="6"/>
  <c r="I31" i="6"/>
  <c r="H27" i="22"/>
  <c r="I27" i="22" s="1"/>
  <c r="I30" i="22" s="1"/>
  <c r="H38" i="20"/>
  <c r="I38" i="20" s="1"/>
  <c r="I41" i="20" s="1"/>
  <c r="H27" i="23"/>
  <c r="I27" i="23" s="1"/>
  <c r="I30" i="23" s="1"/>
  <c r="I34" i="23" s="1"/>
  <c r="I38" i="23" s="1"/>
  <c r="I51" i="23" s="1"/>
  <c r="H27" i="21"/>
  <c r="I27" i="21" s="1"/>
  <c r="I30" i="21" s="1"/>
  <c r="K20" i="14"/>
  <c r="I20" i="14"/>
  <c r="S20" i="14"/>
  <c r="R20" i="14"/>
  <c r="N20" i="14"/>
  <c r="M20" i="14"/>
  <c r="L20" i="14"/>
  <c r="Q23" i="2"/>
  <c r="T23" i="2" s="1"/>
  <c r="Q22" i="36"/>
  <c r="T22" i="36" s="1"/>
  <c r="J13" i="6"/>
  <c r="K13" i="6" s="1"/>
  <c r="K15" i="6" s="1"/>
  <c r="G16" i="4"/>
  <c r="P20" i="6"/>
  <c r="M21" i="14"/>
  <c r="L21" i="14"/>
  <c r="K21" i="14"/>
  <c r="I21" i="14"/>
  <c r="S21" i="14"/>
  <c r="R21" i="14"/>
  <c r="N21" i="14"/>
  <c r="G15" i="14"/>
  <c r="H15" i="14" s="1"/>
  <c r="G13" i="14"/>
  <c r="H13" i="14" s="1"/>
  <c r="I31" i="36"/>
  <c r="C10" i="14"/>
  <c r="I31" i="2"/>
  <c r="D24" i="4"/>
  <c r="S19" i="14"/>
  <c r="R19" i="14"/>
  <c r="N19" i="14"/>
  <c r="M19" i="14"/>
  <c r="L19" i="14"/>
  <c r="K19" i="14"/>
  <c r="I19" i="14"/>
  <c r="P18" i="6"/>
  <c r="Q18" i="6" s="1"/>
  <c r="G15" i="4"/>
  <c r="Q22" i="2"/>
  <c r="T22" i="2" s="1"/>
  <c r="Q23" i="36"/>
  <c r="T23" i="36" s="1"/>
  <c r="I32" i="27"/>
  <c r="K24" i="17"/>
  <c r="G25" i="17"/>
  <c r="I24" i="17"/>
  <c r="M33" i="6" l="1"/>
  <c r="K33" i="6"/>
  <c r="I30" i="2"/>
  <c r="C7" i="14"/>
  <c r="G9" i="14" s="1"/>
  <c r="H9" i="14" s="1"/>
  <c r="I30" i="36"/>
  <c r="D23" i="4"/>
  <c r="B12" i="36"/>
  <c r="B6" i="8"/>
  <c r="B12" i="2"/>
  <c r="AA10" i="3"/>
  <c r="B5" i="32" s="1"/>
  <c r="R18" i="6"/>
  <c r="S18" i="6" s="1"/>
  <c r="K15" i="4" s="1"/>
  <c r="O15" i="4" s="1"/>
  <c r="G22" i="14"/>
  <c r="H22" i="14" s="1"/>
  <c r="G23" i="14"/>
  <c r="H23" i="14" s="1"/>
  <c r="G24" i="14"/>
  <c r="H24" i="14" s="1"/>
  <c r="K32" i="19"/>
  <c r="I36" i="19"/>
  <c r="I40" i="19" s="1"/>
  <c r="I50" i="19" s="1"/>
  <c r="K41" i="20"/>
  <c r="I45" i="20"/>
  <c r="I49" i="20" s="1"/>
  <c r="I59" i="20" s="1"/>
  <c r="I53" i="23"/>
  <c r="I55" i="23"/>
  <c r="Z35" i="2"/>
  <c r="K35" i="2" s="1"/>
  <c r="Z35" i="36"/>
  <c r="K35" i="36" s="1"/>
  <c r="I33" i="6"/>
  <c r="I16" i="4"/>
  <c r="Q20" i="6"/>
  <c r="R20" i="6" s="1"/>
  <c r="S5" i="14"/>
  <c r="N5" i="14"/>
  <c r="M5" i="14"/>
  <c r="L5" i="14"/>
  <c r="K5" i="14"/>
  <c r="J5" i="14"/>
  <c r="I5" i="14"/>
  <c r="I63" i="26"/>
  <c r="L61" i="26"/>
  <c r="I65" i="26"/>
  <c r="I67" i="26" s="1"/>
  <c r="S16" i="14"/>
  <c r="N16" i="14"/>
  <c r="M16" i="14"/>
  <c r="L16" i="14"/>
  <c r="K16" i="14"/>
  <c r="J16" i="14"/>
  <c r="I16" i="14"/>
  <c r="L30" i="22"/>
  <c r="K30" i="22"/>
  <c r="I34" i="22"/>
  <c r="I38" i="22" s="1"/>
  <c r="I48" i="22" s="1"/>
  <c r="N13" i="14"/>
  <c r="M13" i="14"/>
  <c r="L13" i="14"/>
  <c r="K13" i="14"/>
  <c r="J13" i="14"/>
  <c r="I13" i="14"/>
  <c r="S13" i="14"/>
  <c r="H63" i="24"/>
  <c r="I63" i="24" s="1"/>
  <c r="I65" i="24" s="1"/>
  <c r="O3" i="28"/>
  <c r="H49" i="25"/>
  <c r="I49" i="25" s="1"/>
  <c r="I51" i="25" s="1"/>
  <c r="K51" i="25" s="1"/>
  <c r="H57" i="11"/>
  <c r="I57" i="11" s="1"/>
  <c r="I59" i="11" s="1"/>
  <c r="J18" i="14"/>
  <c r="I18" i="14"/>
  <c r="S18" i="14"/>
  <c r="N18" i="14"/>
  <c r="M18" i="14"/>
  <c r="L18" i="14"/>
  <c r="K18" i="14"/>
  <c r="I35" i="6"/>
  <c r="U23" i="2"/>
  <c r="W23" i="2" s="1"/>
  <c r="G26" i="17"/>
  <c r="I25" i="17"/>
  <c r="I34" i="21"/>
  <c r="I38" i="21" s="1"/>
  <c r="L32" i="18"/>
  <c r="I36" i="18"/>
  <c r="I40" i="18" s="1"/>
  <c r="I52" i="18" s="1"/>
  <c r="K26" i="17"/>
  <c r="K27" i="17" s="1"/>
  <c r="K28" i="17"/>
  <c r="I15" i="4"/>
  <c r="I53" i="27"/>
  <c r="U23" i="36"/>
  <c r="W23" i="36" s="1"/>
  <c r="G10" i="14"/>
  <c r="H10" i="14" s="1"/>
  <c r="G12" i="14"/>
  <c r="H12" i="14" s="1"/>
  <c r="J6" i="14"/>
  <c r="I6" i="14"/>
  <c r="S6" i="14"/>
  <c r="N6" i="14"/>
  <c r="M6" i="14"/>
  <c r="L6" i="14"/>
  <c r="K6" i="14"/>
  <c r="S4" i="14"/>
  <c r="N4" i="14"/>
  <c r="M4" i="14"/>
  <c r="L4" i="14"/>
  <c r="K4" i="14"/>
  <c r="J4" i="14"/>
  <c r="I4" i="14"/>
  <c r="U22" i="2"/>
  <c r="S15" i="14"/>
  <c r="N15" i="14"/>
  <c r="M15" i="14"/>
  <c r="L15" i="14"/>
  <c r="K15" i="14"/>
  <c r="J15" i="14"/>
  <c r="I15" i="14"/>
  <c r="L32" i="27"/>
  <c r="I36" i="27"/>
  <c r="I40" i="27" s="1"/>
  <c r="U22" i="36"/>
  <c r="K65" i="24" l="1"/>
  <c r="I69" i="24"/>
  <c r="K39" i="6"/>
  <c r="G7" i="14"/>
  <c r="H7" i="14" s="1"/>
  <c r="H28" i="14" s="1"/>
  <c r="I55" i="25"/>
  <c r="I59" i="25" s="1"/>
  <c r="I24" i="14"/>
  <c r="S24" i="14"/>
  <c r="R24" i="14"/>
  <c r="N24" i="14"/>
  <c r="M24" i="14"/>
  <c r="L24" i="14"/>
  <c r="K24" i="14"/>
  <c r="S23" i="14"/>
  <c r="I23" i="14"/>
  <c r="M23" i="14"/>
  <c r="L23" i="14"/>
  <c r="K23" i="14"/>
  <c r="N23" i="14"/>
  <c r="R23" i="14"/>
  <c r="L22" i="14"/>
  <c r="K22" i="14"/>
  <c r="I22" i="14"/>
  <c r="S22" i="14"/>
  <c r="N22" i="14"/>
  <c r="R22" i="14"/>
  <c r="M22" i="14"/>
  <c r="I39" i="6"/>
  <c r="L53" i="27"/>
  <c r="K53" i="27"/>
  <c r="H52" i="6"/>
  <c r="I59" i="23"/>
  <c r="S20" i="6"/>
  <c r="K16" i="4" s="1"/>
  <c r="O16" i="4" s="1"/>
  <c r="I54" i="21"/>
  <c r="I52" i="21"/>
  <c r="L50" i="21"/>
  <c r="L42" i="6"/>
  <c r="M42" i="6" s="1"/>
  <c r="K51" i="23"/>
  <c r="L51" i="23" s="1"/>
  <c r="AA23" i="2"/>
  <c r="Y23" i="2"/>
  <c r="M59" i="11"/>
  <c r="K59" i="11"/>
  <c r="I63" i="11"/>
  <c r="I69" i="26"/>
  <c r="AA23" i="36"/>
  <c r="Y23" i="36"/>
  <c r="I63" i="20"/>
  <c r="I61" i="20"/>
  <c r="K31" i="2"/>
  <c r="K31" i="36"/>
  <c r="M9" i="14"/>
  <c r="L9" i="14"/>
  <c r="K9" i="14"/>
  <c r="J9" i="14"/>
  <c r="I9" i="14"/>
  <c r="S9" i="14"/>
  <c r="N9" i="14"/>
  <c r="W22" i="36"/>
  <c r="I56" i="18"/>
  <c r="I54" i="18"/>
  <c r="K32" i="18"/>
  <c r="I58" i="18"/>
  <c r="I60" i="18" s="1"/>
  <c r="Z29" i="36"/>
  <c r="K29" i="36" s="1"/>
  <c r="Z29" i="2"/>
  <c r="K29" i="2" s="1"/>
  <c r="G27" i="17"/>
  <c r="I26" i="17"/>
  <c r="I50" i="22"/>
  <c r="I52" i="22"/>
  <c r="Z32" i="36"/>
  <c r="K32" i="36" s="1"/>
  <c r="Q32" i="36" s="1"/>
  <c r="Z32" i="2"/>
  <c r="K32" i="2" s="1"/>
  <c r="K59" i="20"/>
  <c r="L59" i="20" s="1"/>
  <c r="K10" i="14"/>
  <c r="J10" i="14"/>
  <c r="I10" i="14"/>
  <c r="L10" i="14"/>
  <c r="S10" i="14"/>
  <c r="N10" i="14"/>
  <c r="M10" i="14"/>
  <c r="M30" i="22"/>
  <c r="L37" i="6"/>
  <c r="K48" i="22"/>
  <c r="Q35" i="36"/>
  <c r="T35" i="36" s="1"/>
  <c r="T36" i="36" s="1"/>
  <c r="K36" i="36"/>
  <c r="I54" i="19"/>
  <c r="I52" i="19"/>
  <c r="L50" i="19"/>
  <c r="Z30" i="2"/>
  <c r="K30" i="2" s="1"/>
  <c r="Z30" i="36"/>
  <c r="K30" i="36" s="1"/>
  <c r="W22" i="2"/>
  <c r="I57" i="27"/>
  <c r="S12" i="14"/>
  <c r="N12" i="14"/>
  <c r="M12" i="14"/>
  <c r="L12" i="14"/>
  <c r="K12" i="14"/>
  <c r="J12" i="14"/>
  <c r="I12" i="14"/>
  <c r="K36" i="2"/>
  <c r="Q35" i="2"/>
  <c r="T35" i="2" s="1"/>
  <c r="T36" i="2" s="1"/>
  <c r="L33" i="6"/>
  <c r="K50" i="19"/>
  <c r="I71" i="24" l="1"/>
  <c r="I73" i="24"/>
  <c r="K38" i="24"/>
  <c r="H47" i="6"/>
  <c r="I47" i="6" s="1"/>
  <c r="I49" i="6" s="1"/>
  <c r="K7" i="14"/>
  <c r="K28" i="14" s="1"/>
  <c r="G48" i="15" s="1"/>
  <c r="I48" i="15" s="1"/>
  <c r="L7" i="14"/>
  <c r="L28" i="14" s="1"/>
  <c r="L32" i="14" s="1"/>
  <c r="M7" i="14"/>
  <c r="M28" i="14" s="1"/>
  <c r="G54" i="15" s="1"/>
  <c r="I54" i="15" s="1"/>
  <c r="I7" i="14"/>
  <c r="I28" i="14" s="1"/>
  <c r="G46" i="15" s="1"/>
  <c r="I46" i="15" s="1"/>
  <c r="N7" i="14"/>
  <c r="N28" i="14" s="1"/>
  <c r="G50" i="15" s="1"/>
  <c r="I50" i="15" s="1"/>
  <c r="S7" i="14"/>
  <c r="S28" i="14" s="1"/>
  <c r="G52" i="15" s="1"/>
  <c r="I52" i="15" s="1"/>
  <c r="J7" i="14"/>
  <c r="J28" i="14" s="1"/>
  <c r="G47" i="15" s="1"/>
  <c r="I47" i="15" s="1"/>
  <c r="M53" i="27"/>
  <c r="K31" i="25"/>
  <c r="K55" i="25" s="1"/>
  <c r="L55" i="25" s="1"/>
  <c r="I57" i="25"/>
  <c r="I61" i="25" s="1"/>
  <c r="I63" i="25" s="1"/>
  <c r="R28" i="14"/>
  <c r="G51" i="15" s="1"/>
  <c r="I51" i="15" s="1"/>
  <c r="I56" i="21"/>
  <c r="I58" i="21" s="1"/>
  <c r="Q29" i="2"/>
  <c r="T29" i="2" s="1"/>
  <c r="K33" i="2"/>
  <c r="U36" i="6"/>
  <c r="M37" i="6"/>
  <c r="N37" i="6" s="1"/>
  <c r="Z38" i="2"/>
  <c r="K38" i="2" s="1"/>
  <c r="Z38" i="36"/>
  <c r="K38" i="36" s="1"/>
  <c r="H13" i="6"/>
  <c r="K63" i="11"/>
  <c r="L63" i="11" s="1"/>
  <c r="Q30" i="2"/>
  <c r="N59" i="11"/>
  <c r="M60" i="11" s="1"/>
  <c r="T32" i="36"/>
  <c r="Q31" i="36"/>
  <c r="I65" i="20"/>
  <c r="Q29" i="36"/>
  <c r="K33" i="36"/>
  <c r="I67" i="11"/>
  <c r="I65" i="11"/>
  <c r="Z19" i="2"/>
  <c r="K19" i="2" s="1"/>
  <c r="Z19" i="36"/>
  <c r="K19" i="36" s="1"/>
  <c r="Q31" i="2"/>
  <c r="I52" i="6"/>
  <c r="I54" i="6" s="1"/>
  <c r="U34" i="6"/>
  <c r="N35" i="6"/>
  <c r="Q32" i="2"/>
  <c r="T32" i="2" s="1"/>
  <c r="U32" i="6"/>
  <c r="U35" i="2"/>
  <c r="Q36" i="2"/>
  <c r="I54" i="22"/>
  <c r="I56" i="22" s="1"/>
  <c r="Q30" i="36"/>
  <c r="T30" i="36" s="1"/>
  <c r="M32" i="18"/>
  <c r="L31" i="6"/>
  <c r="K52" i="18"/>
  <c r="L52" i="18" s="1"/>
  <c r="I56" i="19"/>
  <c r="I58" i="19" s="1"/>
  <c r="Q36" i="36"/>
  <c r="U35" i="36"/>
  <c r="AA22" i="36"/>
  <c r="Y22" i="36"/>
  <c r="I61" i="27"/>
  <c r="I59" i="27"/>
  <c r="K32" i="27"/>
  <c r="Z41" i="2"/>
  <c r="K41" i="2" s="1"/>
  <c r="K42" i="2" s="1"/>
  <c r="Z41" i="36"/>
  <c r="K41" i="36" s="1"/>
  <c r="AA22" i="2"/>
  <c r="Y22" i="2"/>
  <c r="I27" i="17"/>
  <c r="G28" i="17"/>
  <c r="I28" i="17" s="1"/>
  <c r="U41" i="6"/>
  <c r="M44" i="6"/>
  <c r="I75" i="24" l="1"/>
  <c r="I77" i="24" s="1"/>
  <c r="I63" i="27"/>
  <c r="I65" i="27" s="1"/>
  <c r="N33" i="6"/>
  <c r="M39" i="6"/>
  <c r="I69" i="11"/>
  <c r="I71" i="11" s="1"/>
  <c r="I31" i="17"/>
  <c r="K31" i="17" s="1"/>
  <c r="M31" i="25"/>
  <c r="R32" i="14"/>
  <c r="S32" i="14"/>
  <c r="G49" i="15"/>
  <c r="I49" i="15" s="1"/>
  <c r="L54" i="15" s="1"/>
  <c r="M32" i="14"/>
  <c r="I32" i="14"/>
  <c r="N32" i="14"/>
  <c r="K32" i="14"/>
  <c r="J32" i="14"/>
  <c r="U36" i="36"/>
  <c r="W35" i="36"/>
  <c r="Q33" i="36"/>
  <c r="Q38" i="2"/>
  <c r="T38" i="2" s="1"/>
  <c r="T39" i="2" s="1"/>
  <c r="K39" i="2"/>
  <c r="Q33" i="2"/>
  <c r="U29" i="2"/>
  <c r="Q19" i="36"/>
  <c r="K20" i="36"/>
  <c r="T31" i="2"/>
  <c r="U31" i="2" s="1"/>
  <c r="W31" i="2" s="1"/>
  <c r="Q41" i="2"/>
  <c r="Q42" i="2" s="1"/>
  <c r="M32" i="27"/>
  <c r="L52" i="6"/>
  <c r="L57" i="27"/>
  <c r="U36" i="2"/>
  <c r="W35" i="2"/>
  <c r="T29" i="36"/>
  <c r="T31" i="36"/>
  <c r="U31" i="36" s="1"/>
  <c r="W31" i="36" s="1"/>
  <c r="K42" i="36"/>
  <c r="Q41" i="36"/>
  <c r="T41" i="36" s="1"/>
  <c r="T42" i="36" s="1"/>
  <c r="Q19" i="2"/>
  <c r="T19" i="2" s="1"/>
  <c r="T20" i="2" s="1"/>
  <c r="K20" i="2"/>
  <c r="U30" i="6"/>
  <c r="M31" i="6"/>
  <c r="U12" i="6"/>
  <c r="I13" i="6"/>
  <c r="M38" i="24"/>
  <c r="L47" i="6"/>
  <c r="K69" i="24"/>
  <c r="L69" i="24" s="1"/>
  <c r="U32" i="2"/>
  <c r="W32" i="2" s="1"/>
  <c r="U30" i="36"/>
  <c r="W30" i="36" s="1"/>
  <c r="P35" i="6"/>
  <c r="Q35" i="6" s="1"/>
  <c r="G24" i="4"/>
  <c r="U32" i="36"/>
  <c r="W32" i="36" s="1"/>
  <c r="Q38" i="36"/>
  <c r="T38" i="36" s="1"/>
  <c r="T39" i="36" s="1"/>
  <c r="K39" i="36"/>
  <c r="T30" i="2"/>
  <c r="U30" i="2" s="1"/>
  <c r="W30" i="2" s="1"/>
  <c r="N42" i="6"/>
  <c r="G25" i="4"/>
  <c r="P37" i="6"/>
  <c r="Q37" i="6" s="1"/>
  <c r="N39" i="6" l="1"/>
  <c r="R35" i="6"/>
  <c r="AA31" i="2" s="1"/>
  <c r="G23" i="4"/>
  <c r="I23" i="4" s="1"/>
  <c r="P33" i="6"/>
  <c r="Q33" i="6" s="1"/>
  <c r="I35" i="17"/>
  <c r="I39" i="17" s="1"/>
  <c r="I49" i="17" s="1"/>
  <c r="I53" i="17" s="1"/>
  <c r="U32" i="14"/>
  <c r="L55" i="15" s="1"/>
  <c r="T33" i="36"/>
  <c r="T33" i="2"/>
  <c r="Y31" i="2"/>
  <c r="Y35" i="2"/>
  <c r="W36" i="2"/>
  <c r="U29" i="36"/>
  <c r="Y32" i="36"/>
  <c r="R37" i="6"/>
  <c r="Y35" i="36"/>
  <c r="W36" i="36"/>
  <c r="N31" i="6"/>
  <c r="K49" i="17"/>
  <c r="L26" i="6"/>
  <c r="Q20" i="2"/>
  <c r="U19" i="2"/>
  <c r="I24" i="4"/>
  <c r="L49" i="6"/>
  <c r="U48" i="6" s="1"/>
  <c r="M47" i="6"/>
  <c r="U46" i="6"/>
  <c r="U38" i="36"/>
  <c r="Q39" i="36"/>
  <c r="U38" i="2"/>
  <c r="Q39" i="2"/>
  <c r="Y30" i="2"/>
  <c r="U41" i="36"/>
  <c r="Q42" i="36"/>
  <c r="Y30" i="36"/>
  <c r="Q20" i="36"/>
  <c r="N44" i="6"/>
  <c r="L21" i="1" s="1"/>
  <c r="G28" i="4"/>
  <c r="P42" i="6"/>
  <c r="P44" i="6" s="1"/>
  <c r="P21" i="1" s="1"/>
  <c r="T19" i="36"/>
  <c r="T20" i="36" s="1"/>
  <c r="T41" i="2"/>
  <c r="T42" i="2" s="1"/>
  <c r="I25" i="4"/>
  <c r="Y31" i="36"/>
  <c r="Y32" i="2"/>
  <c r="I15" i="6"/>
  <c r="N13" i="6"/>
  <c r="L54" i="6"/>
  <c r="U53" i="6" s="1"/>
  <c r="M52" i="6"/>
  <c r="M54" i="6" s="1"/>
  <c r="U51" i="6"/>
  <c r="U33" i="2"/>
  <c r="W29" i="2"/>
  <c r="S35" i="6" l="1"/>
  <c r="K24" i="4" s="1"/>
  <c r="O23" i="4" s="1"/>
  <c r="AA31" i="36"/>
  <c r="Z26" i="2"/>
  <c r="K26" i="2" s="1"/>
  <c r="Q26" i="2" s="1"/>
  <c r="T26" i="2" s="1"/>
  <c r="Z26" i="36"/>
  <c r="K26" i="36" s="1"/>
  <c r="Q26" i="36" s="1"/>
  <c r="T26" i="36" s="1"/>
  <c r="L49" i="17"/>
  <c r="P39" i="6"/>
  <c r="R33" i="6"/>
  <c r="Q39" i="6"/>
  <c r="I51" i="17"/>
  <c r="I55" i="17" s="1"/>
  <c r="I57" i="17" s="1"/>
  <c r="U36" i="14"/>
  <c r="O21" i="1"/>
  <c r="S37" i="6"/>
  <c r="K25" i="4" s="1"/>
  <c r="AA32" i="2"/>
  <c r="AA32" i="36"/>
  <c r="M49" i="6"/>
  <c r="N47" i="6"/>
  <c r="Q42" i="6"/>
  <c r="Q44" i="6" s="1"/>
  <c r="U42" i="36"/>
  <c r="W41" i="36"/>
  <c r="U21" i="1"/>
  <c r="W21" i="1" s="1"/>
  <c r="Z21" i="1" s="1"/>
  <c r="U25" i="6"/>
  <c r="M26" i="6"/>
  <c r="N26" i="6" s="1"/>
  <c r="P13" i="6"/>
  <c r="P15" i="6" s="1"/>
  <c r="G12" i="4"/>
  <c r="N15" i="6"/>
  <c r="U20" i="2"/>
  <c r="W19" i="2"/>
  <c r="U39" i="2"/>
  <c r="W38" i="2"/>
  <c r="Y38" i="2" s="1"/>
  <c r="U33" i="36"/>
  <c r="W29" i="36"/>
  <c r="U41" i="2"/>
  <c r="U42" i="2" s="1"/>
  <c r="P31" i="6"/>
  <c r="L19" i="1"/>
  <c r="G22" i="4"/>
  <c r="N52" i="6"/>
  <c r="I28" i="4"/>
  <c r="G29" i="4"/>
  <c r="U19" i="36"/>
  <c r="Y29" i="2"/>
  <c r="W33" i="2"/>
  <c r="U39" i="36"/>
  <c r="W38" i="36"/>
  <c r="Y38" i="36" s="1"/>
  <c r="P19" i="1" l="1"/>
  <c r="U19" i="1" s="1"/>
  <c r="S33" i="6"/>
  <c r="K23" i="4" s="1"/>
  <c r="R39" i="6"/>
  <c r="AA30" i="36"/>
  <c r="AA30" i="2"/>
  <c r="Q31" i="6"/>
  <c r="R42" i="6"/>
  <c r="W41" i="2"/>
  <c r="W42" i="2" s="1"/>
  <c r="W39" i="36"/>
  <c r="U20" i="36"/>
  <c r="W19" i="36"/>
  <c r="W39" i="2"/>
  <c r="I22" i="4"/>
  <c r="G26" i="4"/>
  <c r="Y41" i="36"/>
  <c r="W42" i="36"/>
  <c r="P15" i="1"/>
  <c r="N54" i="6"/>
  <c r="P52" i="6"/>
  <c r="L25" i="1"/>
  <c r="G34" i="4"/>
  <c r="W20" i="2"/>
  <c r="Y19" i="2"/>
  <c r="P47" i="6"/>
  <c r="G31" i="4"/>
  <c r="L23" i="1"/>
  <c r="N49" i="6"/>
  <c r="P26" i="6"/>
  <c r="Q26" i="6" s="1"/>
  <c r="G19" i="4"/>
  <c r="L15" i="1"/>
  <c r="Q13" i="6"/>
  <c r="Q15" i="6" s="1"/>
  <c r="O25" i="4"/>
  <c r="O24" i="4"/>
  <c r="U26" i="2"/>
  <c r="W26" i="2" s="1"/>
  <c r="G13" i="4"/>
  <c r="I12" i="4"/>
  <c r="W33" i="36"/>
  <c r="Y29" i="36"/>
  <c r="U26" i="36"/>
  <c r="W26" i="36" s="1"/>
  <c r="S42" i="6" l="1"/>
  <c r="K28" i="4" s="1"/>
  <c r="O28" i="4" s="1"/>
  <c r="AA35" i="2"/>
  <c r="O15" i="1"/>
  <c r="W19" i="1"/>
  <c r="Z19" i="1" s="1"/>
  <c r="O19" i="1"/>
  <c r="K57" i="17"/>
  <c r="K58" i="17" s="1"/>
  <c r="K59" i="17" s="1"/>
  <c r="AA35" i="36"/>
  <c r="R44" i="6"/>
  <c r="R31" i="6"/>
  <c r="Q47" i="6"/>
  <c r="Q49" i="6" s="1"/>
  <c r="R26" i="6"/>
  <c r="G35" i="4"/>
  <c r="I34" i="4"/>
  <c r="U15" i="1"/>
  <c r="W20" i="36"/>
  <c r="Y19" i="36"/>
  <c r="R13" i="6"/>
  <c r="P25" i="1"/>
  <c r="O25" i="1" s="1"/>
  <c r="P54" i="6"/>
  <c r="Q52" i="6"/>
  <c r="Q54" i="6" s="1"/>
  <c r="Y41" i="2"/>
  <c r="I19" i="4"/>
  <c r="Y26" i="2"/>
  <c r="Y26" i="36"/>
  <c r="I31" i="4"/>
  <c r="G32" i="4"/>
  <c r="P23" i="1"/>
  <c r="O23" i="1" s="1"/>
  <c r="P49" i="6"/>
  <c r="S26" i="6" l="1"/>
  <c r="K19" i="4" s="1"/>
  <c r="O19" i="4" s="1"/>
  <c r="AA26" i="36"/>
  <c r="AA26" i="2"/>
  <c r="L58" i="17"/>
  <c r="M25" i="17"/>
  <c r="AA29" i="36"/>
  <c r="AA29" i="2"/>
  <c r="S31" i="6"/>
  <c r="K22" i="4" s="1"/>
  <c r="O22" i="4" s="1"/>
  <c r="R47" i="6"/>
  <c r="S47" i="6" s="1"/>
  <c r="W15" i="1"/>
  <c r="R52" i="6"/>
  <c r="U23" i="1"/>
  <c r="W23" i="1" s="1"/>
  <c r="Z23" i="1" s="1"/>
  <c r="S13" i="6"/>
  <c r="K12" i="4" s="1"/>
  <c r="O12" i="4" s="1"/>
  <c r="R15" i="6"/>
  <c r="AA19" i="2"/>
  <c r="AA19" i="36"/>
  <c r="U25" i="1"/>
  <c r="W25" i="1" s="1"/>
  <c r="Z25" i="1" s="1"/>
  <c r="AA38" i="36" l="1"/>
  <c r="AA38" i="2"/>
  <c r="K31" i="4"/>
  <c r="O31" i="4" s="1"/>
  <c r="R49" i="6"/>
  <c r="Y8" i="6" s="1"/>
  <c r="B9" i="9" s="1"/>
  <c r="D9" i="9" s="1"/>
  <c r="S52" i="6"/>
  <c r="K34" i="4" s="1"/>
  <c r="O34" i="4" s="1"/>
  <c r="R54" i="6"/>
  <c r="AA41" i="36"/>
  <c r="AA41" i="2"/>
  <c r="Z15" i="1"/>
  <c r="K35" i="16" l="1"/>
  <c r="L48" i="15"/>
  <c r="Y10" i="6"/>
  <c r="B19" i="9" l="1"/>
  <c r="Y11" i="6"/>
  <c r="D19" i="9" l="1"/>
  <c r="D22" i="9" s="1"/>
  <c r="H32" i="9"/>
  <c r="D23" i="9" l="1"/>
  <c r="G25" i="9" l="1"/>
  <c r="D26" i="9"/>
  <c r="D30" i="9" s="1"/>
  <c r="X31" i="14" l="1"/>
  <c r="K34" i="16"/>
  <c r="D32" i="9"/>
  <c r="K11" i="15"/>
  <c r="G7" i="8"/>
  <c r="Y13" i="36"/>
  <c r="AC15" i="3"/>
  <c r="D31" i="9"/>
  <c r="Y13" i="2"/>
  <c r="G58" i="15" l="1"/>
  <c r="G17" i="15"/>
  <c r="I17" i="15" s="1"/>
  <c r="G16" i="15"/>
  <c r="I16" i="15" s="1"/>
  <c r="G15" i="15"/>
  <c r="I15" i="15" s="1"/>
  <c r="G27" i="15"/>
  <c r="B6" i="32"/>
  <c r="Z11" i="1"/>
  <c r="L40" i="16"/>
  <c r="H40" i="16" s="1"/>
  <c r="I40" i="16" s="1"/>
  <c r="L37" i="16"/>
  <c r="H37" i="16" s="1"/>
  <c r="I37" i="16" s="1"/>
  <c r="L39" i="16"/>
  <c r="H39" i="16" s="1"/>
  <c r="I39" i="16" s="1"/>
  <c r="L38" i="16"/>
  <c r="H38" i="16" s="1"/>
  <c r="I38" i="16" s="1"/>
  <c r="U34" i="14"/>
  <c r="W33" i="14"/>
  <c r="X33" i="14" s="1"/>
  <c r="Y33" i="14" s="1"/>
  <c r="Z33" i="14" s="1"/>
  <c r="AA33" i="14" s="1"/>
  <c r="U33" i="14"/>
  <c r="I45" i="16" l="1"/>
  <c r="I49" i="16" s="1"/>
  <c r="I19" i="15"/>
  <c r="K19" i="15" s="1"/>
  <c r="G28" i="15"/>
  <c r="I27" i="15"/>
  <c r="U35" i="14"/>
  <c r="I58" i="15"/>
  <c r="G59" i="15"/>
  <c r="K45" i="16" l="1"/>
  <c r="K49" i="16" s="1"/>
  <c r="L49" i="16" s="1"/>
  <c r="G60" i="15"/>
  <c r="I59" i="15"/>
  <c r="U37" i="14"/>
  <c r="G29" i="15"/>
  <c r="I29" i="15" s="1"/>
  <c r="I28" i="15"/>
  <c r="I53" i="16"/>
  <c r="I51" i="16"/>
  <c r="Z25" i="36"/>
  <c r="K25" i="36" s="1"/>
  <c r="Z25" i="2"/>
  <c r="K25" i="2" s="1"/>
  <c r="J22" i="6"/>
  <c r="K22" i="6" s="1"/>
  <c r="K28" i="6" s="1"/>
  <c r="K56" i="6" l="1"/>
  <c r="O32" i="3" s="1"/>
  <c r="H24" i="6"/>
  <c r="I24" i="6" s="1"/>
  <c r="N24" i="6" s="1"/>
  <c r="I31" i="15"/>
  <c r="K31" i="15" s="1"/>
  <c r="I55" i="16"/>
  <c r="I57" i="16" s="1"/>
  <c r="Q25" i="2"/>
  <c r="U38" i="14"/>
  <c r="U39" i="14" s="1"/>
  <c r="Q25" i="36"/>
  <c r="G61" i="15"/>
  <c r="I61" i="15" s="1"/>
  <c r="I60" i="15"/>
  <c r="Q67" i="15" l="1"/>
  <c r="I63" i="15"/>
  <c r="K63" i="15" s="1"/>
  <c r="H22" i="6" s="1"/>
  <c r="I22" i="6" s="1"/>
  <c r="U23" i="6"/>
  <c r="I35" i="15"/>
  <c r="I39" i="15" s="1"/>
  <c r="P24" i="6"/>
  <c r="Q24" i="6" s="1"/>
  <c r="G18" i="4"/>
  <c r="T25" i="2"/>
  <c r="U25" i="2" s="1"/>
  <c r="W25" i="2" s="1"/>
  <c r="L22" i="6"/>
  <c r="T25" i="36"/>
  <c r="U25" i="36" s="1"/>
  <c r="W25" i="36" s="1"/>
  <c r="M22" i="6" l="1"/>
  <c r="M28" i="6" s="1"/>
  <c r="M56" i="6" s="1"/>
  <c r="O34" i="3" s="1"/>
  <c r="Q69" i="15" s="1"/>
  <c r="I28" i="6"/>
  <c r="I67" i="15"/>
  <c r="Z24" i="2" s="1"/>
  <c r="K24" i="2" s="1"/>
  <c r="K27" i="2" s="1"/>
  <c r="K43" i="2" s="1"/>
  <c r="K67" i="15"/>
  <c r="U21" i="6"/>
  <c r="Y25" i="2"/>
  <c r="Y25" i="36"/>
  <c r="R24" i="6"/>
  <c r="I18" i="4"/>
  <c r="N22" i="6" l="1"/>
  <c r="N28" i="6" s="1"/>
  <c r="L17" i="1" s="1"/>
  <c r="I56" i="6"/>
  <c r="O33" i="3" s="1"/>
  <c r="Q68" i="15" s="1"/>
  <c r="I71" i="15"/>
  <c r="I69" i="15"/>
  <c r="Q24" i="2"/>
  <c r="Q27" i="2" s="1"/>
  <c r="Q43" i="2" s="1"/>
  <c r="Z24" i="36"/>
  <c r="K24" i="36" s="1"/>
  <c r="K27" i="36" s="1"/>
  <c r="K43" i="36" s="1"/>
  <c r="L67" i="15"/>
  <c r="S24" i="6"/>
  <c r="K18" i="4" s="1"/>
  <c r="O18" i="4" s="1"/>
  <c r="AA25" i="36"/>
  <c r="AA25" i="2"/>
  <c r="N56" i="6" l="1"/>
  <c r="E35" i="6" s="1"/>
  <c r="G17" i="4"/>
  <c r="I17" i="4" s="1"/>
  <c r="P22" i="6"/>
  <c r="P28" i="6" s="1"/>
  <c r="P56" i="6" s="1"/>
  <c r="Z47" i="2" s="1"/>
  <c r="T24" i="2"/>
  <c r="T27" i="2" s="1"/>
  <c r="T43" i="2" s="1"/>
  <c r="Q24" i="36"/>
  <c r="T24" i="36" s="1"/>
  <c r="T27" i="36" s="1"/>
  <c r="T43" i="36" s="1"/>
  <c r="I73" i="15"/>
  <c r="I75" i="15" s="1"/>
  <c r="P17" i="1" l="1"/>
  <c r="P27" i="1" s="1"/>
  <c r="AC32" i="1" s="1"/>
  <c r="G20" i="4"/>
  <c r="G36" i="4" s="1"/>
  <c r="M22" i="4" s="1"/>
  <c r="Q22" i="6"/>
  <c r="Q28" i="6" s="1"/>
  <c r="Q56" i="6" s="1"/>
  <c r="Z46" i="2" s="1"/>
  <c r="L27" i="1"/>
  <c r="AC33" i="1" s="1"/>
  <c r="U24" i="2"/>
  <c r="W24" i="2" s="1"/>
  <c r="U24" i="36"/>
  <c r="U27" i="36" s="1"/>
  <c r="Q27" i="36"/>
  <c r="AB33" i="3"/>
  <c r="S68" i="15" s="1"/>
  <c r="O36" i="3"/>
  <c r="AB32" i="3"/>
  <c r="AJ47" i="3" s="1"/>
  <c r="E18" i="6"/>
  <c r="E20" i="6"/>
  <c r="G16" i="32" s="1"/>
  <c r="E37" i="6"/>
  <c r="E33" i="6"/>
  <c r="E42" i="6"/>
  <c r="E44" i="6" s="1"/>
  <c r="E31" i="6"/>
  <c r="E13" i="6"/>
  <c r="E47" i="6"/>
  <c r="E49" i="6" s="1"/>
  <c r="E52" i="6"/>
  <c r="E54" i="6" s="1"/>
  <c r="E26" i="6"/>
  <c r="G19" i="32" s="1"/>
  <c r="E24" i="6"/>
  <c r="Z48" i="36"/>
  <c r="Z48" i="2"/>
  <c r="E22" i="6"/>
  <c r="G17" i="32" s="1"/>
  <c r="U17" i="1" l="1"/>
  <c r="W17" i="1" s="1"/>
  <c r="O17" i="1"/>
  <c r="M23" i="4"/>
  <c r="M25" i="4"/>
  <c r="M24" i="4"/>
  <c r="M15" i="4"/>
  <c r="M28" i="4"/>
  <c r="M29" i="4" s="1"/>
  <c r="M16" i="4"/>
  <c r="M17" i="4"/>
  <c r="M18" i="4"/>
  <c r="G38" i="4"/>
  <c r="M31" i="4"/>
  <c r="M32" i="4" s="1"/>
  <c r="M34" i="4"/>
  <c r="M35" i="4" s="1"/>
  <c r="M19" i="4"/>
  <c r="M12" i="4"/>
  <c r="M13" i="4" s="1"/>
  <c r="R22" i="6"/>
  <c r="R28" i="6" s="1"/>
  <c r="E39" i="6"/>
  <c r="Z46" i="36"/>
  <c r="U27" i="2"/>
  <c r="U43" i="2" s="1"/>
  <c r="Z44" i="2" s="1"/>
  <c r="AB34" i="3"/>
  <c r="S69" i="15" s="1"/>
  <c r="O37" i="3"/>
  <c r="Q72" i="15" s="1"/>
  <c r="Q43" i="36"/>
  <c r="Z47" i="36" s="1"/>
  <c r="U43" i="36"/>
  <c r="Z44" i="36" s="1"/>
  <c r="W24" i="36"/>
  <c r="W27" i="36" s="1"/>
  <c r="W43" i="36" s="1"/>
  <c r="Y24" i="2"/>
  <c r="W27" i="2"/>
  <c r="W43" i="2" s="1"/>
  <c r="G11" i="32"/>
  <c r="G12" i="32" s="1"/>
  <c r="E15" i="6"/>
  <c r="Q71" i="15"/>
  <c r="G15" i="32"/>
  <c r="G20" i="32" s="1"/>
  <c r="E28" i="6"/>
  <c r="R1" i="28"/>
  <c r="K75" i="15"/>
  <c r="S67" i="15"/>
  <c r="U27" i="1"/>
  <c r="AC31" i="1" s="1"/>
  <c r="M26" i="4" l="1"/>
  <c r="M20" i="4"/>
  <c r="S22" i="6"/>
  <c r="K17" i="4" s="1"/>
  <c r="O17" i="4" s="1"/>
  <c r="AA24" i="2"/>
  <c r="Z17" i="1"/>
  <c r="Z27" i="1" s="1"/>
  <c r="R56" i="6"/>
  <c r="Z43" i="2" s="1"/>
  <c r="T28" i="6"/>
  <c r="Y12" i="6"/>
  <c r="Y13" i="6" s="1"/>
  <c r="AB35" i="3"/>
  <c r="S70" i="15" s="1"/>
  <c r="E56" i="6"/>
  <c r="AA24" i="36"/>
  <c r="Y24" i="36"/>
  <c r="G42" i="32"/>
  <c r="W27" i="1"/>
  <c r="AC28" i="1" s="1"/>
  <c r="K77" i="15"/>
  <c r="K78" i="15" s="1"/>
  <c r="M80" i="15"/>
  <c r="M36" i="4" l="1"/>
  <c r="Z43" i="36"/>
  <c r="AC27" i="1"/>
  <c r="AB36" i="3"/>
  <c r="AB41" i="3" s="1"/>
  <c r="AH42" i="3" s="1"/>
  <c r="O38" i="3" l="1"/>
  <c r="O41" i="3" s="1"/>
  <c r="AJ45" i="3" s="1"/>
  <c r="S71" i="15"/>
  <c r="AH52" i="3"/>
  <c r="AH53" i="3" s="1"/>
  <c r="E17" i="3"/>
  <c r="B4" i="32" s="1"/>
  <c r="M63" i="15"/>
  <c r="R106" i="7"/>
  <c r="M50" i="15" s="1"/>
  <c r="AI30" i="3" l="1"/>
  <c r="AJ36" i="3"/>
  <c r="Q73" i="15"/>
  <c r="I58" i="6"/>
</calcChain>
</file>

<file path=xl/sharedStrings.xml><?xml version="1.0" encoding="utf-8"?>
<sst xmlns="http://schemas.openxmlformats.org/spreadsheetml/2006/main" count="4493" uniqueCount="1183">
  <si>
    <t>AURORA DISTRICT ENGINEERING OFFICE</t>
  </si>
  <si>
    <t>FORM ABC-2015-02-00</t>
  </si>
  <si>
    <t>SUMMARY OF APPROVED BUDGET FOR THE CONTRACT</t>
  </si>
  <si>
    <t>Contract Duration :</t>
  </si>
  <si>
    <t>ITEM NO.</t>
  </si>
  <si>
    <t>DESCRIPTION</t>
  </si>
  <si>
    <t>ESTIMATED DIRECT COST</t>
  </si>
  <si>
    <t>TOTAL MARK-UP</t>
  </si>
  <si>
    <t>VAT</t>
  </si>
  <si>
    <t>TOTAL INDIRECT COST</t>
  </si>
  <si>
    <t>TOTAL COST</t>
  </si>
  <si>
    <t>%</t>
  </si>
  <si>
    <t>VALUE</t>
  </si>
  <si>
    <t>AS EVALUATED</t>
  </si>
  <si>
    <t>AS SUBMITTED</t>
  </si>
  <si>
    <t>TOTAL</t>
  </si>
  <si>
    <t>Preparation and Submission:</t>
  </si>
  <si>
    <t>Evaluation:</t>
  </si>
  <si>
    <t xml:space="preserve"> </t>
  </si>
  <si>
    <t>Approval:</t>
  </si>
  <si>
    <t>Prepared by:</t>
  </si>
  <si>
    <t>Checked/Submitted by:</t>
  </si>
  <si>
    <t>Reviewed as to Unit Cost:</t>
  </si>
  <si>
    <t>Recommending Approval:</t>
  </si>
  <si>
    <t>Approved:</t>
  </si>
  <si>
    <t>ATTACHMENT "A"</t>
  </si>
  <si>
    <t>D.O. No. 197, Series of 2016</t>
  </si>
  <si>
    <t>APPROVED BUDGET FOR THE CONTRACT</t>
  </si>
  <si>
    <t>Stations:</t>
  </si>
  <si>
    <t>Net Length:</t>
  </si>
  <si>
    <t>QUANTITY</t>
  </si>
  <si>
    <t>UNIT</t>
  </si>
  <si>
    <t>MARK-UPS IN PERCENT</t>
  </si>
  <si>
    <t>UNIT COST</t>
  </si>
  <si>
    <t>DIRECT UNIT COST</t>
  </si>
  <si>
    <t>OCM</t>
  </si>
  <si>
    <t>PROFIT</t>
  </si>
  <si>
    <t>(5) x (8)</t>
  </si>
  <si>
    <t>5%[(5)+(9)]</t>
  </si>
  <si>
    <t>(9) + (10)</t>
  </si>
  <si>
    <t>(5) + (11)</t>
  </si>
  <si>
    <t>(12)/(3)</t>
  </si>
  <si>
    <t>GRAND TOTAL</t>
  </si>
  <si>
    <t>NOTE:</t>
  </si>
  <si>
    <t>tingnan kung equal yung mga decimals ng VAT TOT IND at TC sa POW</t>
  </si>
  <si>
    <t>check mo yung mga naka link at sum kung may de naiisama kapag de nageequal</t>
  </si>
  <si>
    <t>FORM POW-2015-01-00</t>
  </si>
  <si>
    <t>PROGRAM OF WORK/BUDGET COST</t>
  </si>
  <si>
    <t xml:space="preserve">Project                        </t>
  </si>
  <si>
    <t>:</t>
  </si>
  <si>
    <t>Net Length</t>
  </si>
  <si>
    <t>(a) Road</t>
  </si>
  <si>
    <t>(b) Bridge</t>
  </si>
  <si>
    <t>(c) Others</t>
  </si>
  <si>
    <t>Project ID</t>
  </si>
  <si>
    <t xml:space="preserve">Location                       </t>
  </si>
  <si>
    <t>Target Start Date</t>
  </si>
  <si>
    <t>Station Limits</t>
  </si>
  <si>
    <t>TO</t>
  </si>
  <si>
    <t>Total Project Duration</t>
  </si>
  <si>
    <t>Appropriation</t>
  </si>
  <si>
    <t>No. of Pre-determined</t>
  </si>
  <si>
    <t>Source of Fund</t>
  </si>
  <si>
    <t>Unworkable Days</t>
  </si>
  <si>
    <t>DESCRIPTION OF WORKS TO BE DONE</t>
  </si>
  <si>
    <t>% TOTAL</t>
  </si>
  <si>
    <t>TOTAL DIRECT COST</t>
  </si>
  <si>
    <t>Part</t>
  </si>
  <si>
    <t>A:</t>
  </si>
  <si>
    <t>B:</t>
  </si>
  <si>
    <t>C:</t>
  </si>
  <si>
    <t>(PLS. SEE FORM POW-2015-01C-00)</t>
  </si>
  <si>
    <t>D:</t>
  </si>
  <si>
    <t>E:</t>
  </si>
  <si>
    <t>F:</t>
  </si>
  <si>
    <t>Total</t>
  </si>
  <si>
    <t>EQUIPMENT:</t>
  </si>
  <si>
    <t>BREAKDOWN OF EXPENDITURES:</t>
  </si>
  <si>
    <t>REQUIRED</t>
  </si>
  <si>
    <t>1. Labor</t>
  </si>
  <si>
    <t>A. Total Direct Cost</t>
  </si>
  <si>
    <t>2. Materials</t>
  </si>
  <si>
    <t>B. OCM and Profit</t>
  </si>
  <si>
    <t>3. Rental of Equipment</t>
  </si>
  <si>
    <t>C. Value Added Tax (5%)</t>
  </si>
  <si>
    <t>4. Provisional Sum / Daywork</t>
  </si>
  <si>
    <t>D. Total Construction Cost</t>
  </si>
  <si>
    <t>(PLS. SEE FORM POW-2015-01B-00)</t>
  </si>
  <si>
    <t>5. OCM and Profit</t>
  </si>
  <si>
    <t>E. Eng'g &amp; Administrative Overhead,</t>
  </si>
  <si>
    <t>6. Value Added Tax (5%)</t>
  </si>
  <si>
    <t>F. RROW Acquisition</t>
  </si>
  <si>
    <t>7. EAO,</t>
  </si>
  <si>
    <t>G. Physical Reserved (Contingency)</t>
  </si>
  <si>
    <t>8. RROW Acquisition</t>
  </si>
  <si>
    <t>9. Physical Reserved (Contingency)</t>
  </si>
  <si>
    <t>10.TOTAL ESTIMATED COST</t>
  </si>
  <si>
    <t>H. TOTAL ESTIMATED COST</t>
  </si>
  <si>
    <t>MARK ANGELO E. SURIL</t>
  </si>
  <si>
    <t>NICOMEDES G. NOHAY</t>
  </si>
  <si>
    <t>BENELITO D. PASCUA</t>
  </si>
  <si>
    <t>RODERICK  A. ANDAL</t>
  </si>
  <si>
    <t>Engineer II</t>
  </si>
  <si>
    <t>Engineer III</t>
  </si>
  <si>
    <t>District Engineer</t>
  </si>
  <si>
    <t>Planning and Design Section</t>
  </si>
  <si>
    <t>Concurrent OIC Assistant District Engineer</t>
  </si>
  <si>
    <t>cost per m</t>
  </si>
  <si>
    <t>m</t>
  </si>
  <si>
    <t>FORM POW-2015-01A-00</t>
  </si>
  <si>
    <t>ITEMIZED BREAKDOWN</t>
  </si>
  <si>
    <t>DIRECT COST</t>
  </si>
  <si>
    <t>TOTAL UNIT COST
(DIRECT+INDIRECT)</t>
  </si>
  <si>
    <t>% DIRECT COST</t>
  </si>
  <si>
    <t>Column1</t>
  </si>
  <si>
    <t>Column2</t>
  </si>
  <si>
    <t>FORM POW-2015-01B-00</t>
  </si>
  <si>
    <t>MINIMUM EQUIPMENT REQUIREMENT</t>
  </si>
  <si>
    <t>No.</t>
  </si>
  <si>
    <t>Equipment Description</t>
  </si>
  <si>
    <t>Capacity</t>
  </si>
  <si>
    <t>Number of Equipment</t>
  </si>
  <si>
    <t>Low Bed Trailer</t>
  </si>
  <si>
    <t>Backhoe, SOLAR 220 LC-3 (0.80 m³,138 hp)</t>
  </si>
  <si>
    <t>0.80 m³</t>
  </si>
  <si>
    <t>Dump Truck (12 yd³, 290 hp)</t>
  </si>
  <si>
    <t>12 yd³</t>
  </si>
  <si>
    <t>Chain Saw</t>
  </si>
  <si>
    <t>Bulldozer, DX175 (167 hp)</t>
  </si>
  <si>
    <t>Payloader, LX80-2C (1.50m³, 110 hp)</t>
  </si>
  <si>
    <t>1.50 m3/1.95 yd3</t>
  </si>
  <si>
    <t>Payloader, LX80-2C (1.50m³, 110 hp) - at disposal area</t>
  </si>
  <si>
    <t>1.50 m3/1.95 yd4</t>
  </si>
  <si>
    <t>Motorized Road Grader, G710A (140 hp)</t>
  </si>
  <si>
    <t>Vibratory Roller, SD100DC (10mt, 125 hp)</t>
  </si>
  <si>
    <t>10 mt</t>
  </si>
  <si>
    <t>Water Truck/Pump (16000 L, 360 hp)</t>
  </si>
  <si>
    <t>16000 L</t>
  </si>
  <si>
    <t>Transit Mixer (175 hp)</t>
  </si>
  <si>
    <t>Concrete Vibrator</t>
  </si>
  <si>
    <t>Concrete Batch Plant</t>
  </si>
  <si>
    <t>Concrete Screeder (5.50 hp)</t>
  </si>
  <si>
    <t>Concrete Saw, 14" Blade ø (7.5 hp)</t>
  </si>
  <si>
    <t>Bar Cutter, Single Phase</t>
  </si>
  <si>
    <t>Joint Sealer</t>
  </si>
  <si>
    <t>Bar Bender, Three Phase</t>
  </si>
  <si>
    <t>Cargo/Service Truck (9-10mt, 270 hp)</t>
  </si>
  <si>
    <t>9-10mt</t>
  </si>
  <si>
    <t>One Bagger Mixer (4-6 ft³/min)</t>
  </si>
  <si>
    <t>4-6 ft³/min</t>
  </si>
  <si>
    <t xml:space="preserve">Backhoe, Wheel Mounted (0.28 m³, 50 hp) </t>
  </si>
  <si>
    <t>0.28 m³</t>
  </si>
  <si>
    <t>SUB-TOTAL</t>
  </si>
  <si>
    <t>HRS</t>
  </si>
  <si>
    <t>FORM POW-2015-01C-00</t>
  </si>
  <si>
    <t>DETAILED BREAKDOWN OF COMPONENT COST FOR EACH ITEM</t>
  </si>
  <si>
    <t>ROADWAY</t>
  </si>
  <si>
    <t>=</t>
  </si>
  <si>
    <t>QTY.</t>
  </si>
  <si>
    <t>5% VAT</t>
  </si>
  <si>
    <t>ADJUSTED UNIT COST</t>
  </si>
  <si>
    <t>DRAINAGE</t>
  </si>
  <si>
    <t>MATERIAL UNIT COST</t>
  </si>
  <si>
    <t>MATERIAL</t>
  </si>
  <si>
    <t>LABOR UNIT COST</t>
  </si>
  <si>
    <t>LABOR</t>
  </si>
  <si>
    <t>EQUIPMENT UNIT COST</t>
  </si>
  <si>
    <t>EQUIPMENT</t>
  </si>
  <si>
    <t>STONE MASONRY</t>
  </si>
  <si>
    <t>PART A</t>
  </si>
  <si>
    <t>FACILITIES FOR THE ENGINEER</t>
  </si>
  <si>
    <t>TOTAL OF PART A</t>
  </si>
  <si>
    <t>PART B</t>
  </si>
  <si>
    <t>OTHER GENERAL REQUIREMENTS</t>
  </si>
  <si>
    <t>TOTAL OF PART B</t>
  </si>
  <si>
    <t>PART C</t>
  </si>
  <si>
    <t>EARTHWORK</t>
  </si>
  <si>
    <t>TOTAL OF PART C</t>
  </si>
  <si>
    <t>PART D</t>
  </si>
  <si>
    <t>SUBBASE AND BASE COURSE</t>
  </si>
  <si>
    <t>TOTAL OF PART D</t>
  </si>
  <si>
    <t>PART E</t>
  </si>
  <si>
    <t>SURFACE COURSES</t>
  </si>
  <si>
    <t>TOTAL OF PART E</t>
  </si>
  <si>
    <t>PART F</t>
  </si>
  <si>
    <t>DRAINAGE AND SLOPE PROTECTION STRUCTURES</t>
  </si>
  <si>
    <t>TOTAL OF PART F</t>
  </si>
  <si>
    <t>Project       :</t>
  </si>
  <si>
    <t>CONSTRUCTION OF ROAD</t>
  </si>
  <si>
    <t>Location     :</t>
  </si>
  <si>
    <t>BRGY. L. PIMENTEL, SAN LUIS, AURORA</t>
  </si>
  <si>
    <t>Station Limits:  :</t>
  </si>
  <si>
    <t>to</t>
  </si>
  <si>
    <t>Total Length :</t>
  </si>
  <si>
    <t>km</t>
  </si>
  <si>
    <t>Net Length :</t>
  </si>
  <si>
    <t>Lane km</t>
  </si>
  <si>
    <t>BACKUP COMPUTATION</t>
  </si>
  <si>
    <t>Item</t>
  </si>
  <si>
    <t>Total Quantity</t>
  </si>
  <si>
    <t>gagamitin lang ang item 104(2)a (embankment borrow) kapag mas malaki yung excavation (104(1)a) sa embankment</t>
  </si>
  <si>
    <t>B_7 at B_9 lang ang ginagalaw halos sa dupa. at di pwedeng magexceed ng 1% ang b_9</t>
  </si>
  <si>
    <t>Total Volume</t>
  </si>
  <si>
    <t>Cut Volume</t>
  </si>
  <si>
    <t>cum</t>
  </si>
  <si>
    <t>kapag inedit yung 7 at 9 need palitan lahat ng abc at pow</t>
  </si>
  <si>
    <t>Deduction</t>
  </si>
  <si>
    <t>*from 104(1)a</t>
  </si>
  <si>
    <t>napapalitan ang gasolina</t>
  </si>
  <si>
    <t>icheck yung HEADER NG DUPA at mga title syempre</t>
  </si>
  <si>
    <t>tingnan mga naka link. may nakanote din sa gilid ng mga ABC</t>
  </si>
  <si>
    <t>Total Area</t>
  </si>
  <si>
    <t>Area 1</t>
  </si>
  <si>
    <t>sqm</t>
  </si>
  <si>
    <t>*for Roadway</t>
  </si>
  <si>
    <t>ea</t>
  </si>
  <si>
    <t>QUANTITY SHEET</t>
  </si>
  <si>
    <t>STATION</t>
  </si>
  <si>
    <t>DISTANCE</t>
  </si>
  <si>
    <t>ITEM</t>
  </si>
  <si>
    <t>REMARKS</t>
  </si>
  <si>
    <r>
      <rPr>
        <b/>
        <sz val="11"/>
        <color rgb="FFC00000"/>
        <rFont val="Arial"/>
        <family val="2"/>
      </rPr>
      <t xml:space="preserve">Area
</t>
    </r>
    <r>
      <rPr>
        <sz val="10"/>
        <color rgb="FFC00000"/>
        <rFont val="Arial"/>
        <family val="2"/>
      </rPr>
      <t>(sqm)</t>
    </r>
  </si>
  <si>
    <r>
      <rPr>
        <b/>
        <sz val="11"/>
        <color rgb="FF000000"/>
        <rFont val="Arial"/>
        <family val="2"/>
      </rPr>
      <t xml:space="preserve">Volume
</t>
    </r>
    <r>
      <rPr>
        <sz val="10"/>
        <color rgb="FF000000"/>
        <rFont val="Arial"/>
        <family val="2"/>
      </rPr>
      <t>(cum)</t>
    </r>
  </si>
  <si>
    <r>
      <rPr>
        <b/>
        <sz val="11"/>
        <color rgb="FFC00000"/>
        <rFont val="Arial"/>
        <family val="2"/>
      </rPr>
      <t xml:space="preserve">Width
</t>
    </r>
    <r>
      <rPr>
        <sz val="10"/>
        <color rgb="FFC00000"/>
        <rFont val="Arial"/>
        <family val="2"/>
      </rPr>
      <t>(m)</t>
    </r>
  </si>
  <si>
    <r>
      <rPr>
        <b/>
        <sz val="11"/>
        <color rgb="FF000000"/>
        <rFont val="Arial"/>
        <family val="2"/>
      </rPr>
      <t xml:space="preserve">Area
</t>
    </r>
    <r>
      <rPr>
        <sz val="10"/>
        <color rgb="FF000000"/>
        <rFont val="Arial"/>
        <family val="2"/>
      </rPr>
      <t>(sqm)</t>
    </r>
  </si>
  <si>
    <t>STATION LIMIT</t>
  </si>
  <si>
    <r>
      <rPr>
        <b/>
        <sz val="12"/>
        <color rgb="FF000000"/>
        <rFont val="Arial"/>
        <family val="2"/>
      </rPr>
      <t xml:space="preserve">LENGTH
</t>
    </r>
    <r>
      <rPr>
        <sz val="12"/>
        <color rgb="FF000000"/>
        <rFont val="Arial"/>
        <family val="2"/>
      </rPr>
      <t>(m)</t>
    </r>
  </si>
  <si>
    <r>
      <rPr>
        <b/>
        <sz val="12"/>
        <color rgb="FF000000"/>
        <rFont val="Arial"/>
        <family val="2"/>
      </rPr>
      <t xml:space="preserve">WIDTH
</t>
    </r>
    <r>
      <rPr>
        <sz val="12"/>
        <color rgb="FF000000"/>
        <rFont val="Arial"/>
        <family val="2"/>
      </rPr>
      <t>(m)</t>
    </r>
  </si>
  <si>
    <r>
      <rPr>
        <b/>
        <sz val="12"/>
        <color rgb="FF000000"/>
        <rFont val="Arial"/>
        <family val="2"/>
      </rPr>
      <t xml:space="preserve">THICKNESS
</t>
    </r>
    <r>
      <rPr>
        <sz val="12"/>
        <color rgb="FF000000"/>
        <rFont val="Arial"/>
        <family val="2"/>
      </rPr>
      <t>(m)</t>
    </r>
  </si>
  <si>
    <r>
      <rPr>
        <b/>
        <sz val="12"/>
        <color rgb="FF000000"/>
        <rFont val="Arial"/>
        <family val="2"/>
      </rPr>
      <t xml:space="preserve">AREA
</t>
    </r>
    <r>
      <rPr>
        <sz val="12"/>
        <color rgb="FF000000"/>
        <rFont val="Arial"/>
        <family val="2"/>
      </rPr>
      <t>(sqm)</t>
    </r>
  </si>
  <si>
    <t>SUBTOTAL</t>
  </si>
  <si>
    <t>Length</t>
  </si>
  <si>
    <t>Top</t>
  </si>
  <si>
    <t>Base</t>
  </si>
  <si>
    <t>Height</t>
  </si>
  <si>
    <t>Area</t>
  </si>
  <si>
    <t>Volume</t>
  </si>
  <si>
    <t>(m)</t>
  </si>
  <si>
    <t>(sqm)</t>
  </si>
  <si>
    <t>(cum)</t>
  </si>
  <si>
    <t xml:space="preserve">to </t>
  </si>
  <si>
    <t>RIGHT SIDE</t>
  </si>
  <si>
    <t>Project Title :</t>
  </si>
  <si>
    <t>Location / Section:</t>
  </si>
  <si>
    <t>Station Limits :</t>
  </si>
  <si>
    <t>TOTAL CALENDAR DAYS</t>
  </si>
  <si>
    <t>CD</t>
  </si>
  <si>
    <t>S   U   M   M   A   R   Y       O   F       Q   U   A   N   T   I   T   I   E   S</t>
  </si>
  <si>
    <t xml:space="preserve">   DESCRIPTION</t>
  </si>
  <si>
    <t>Construction of 3.0x3.0m Field Office with CR</t>
  </si>
  <si>
    <t>To be installed and maintained</t>
  </si>
  <si>
    <t>To be provided and maintained
(Considering Safety Measures for COVID-19)</t>
  </si>
  <si>
    <t>To be provided and maintained</t>
  </si>
  <si>
    <t>For Equipments</t>
  </si>
  <si>
    <t>Removal of Coconut Tree</t>
  </si>
  <si>
    <t>To be disposed</t>
  </si>
  <si>
    <t>Embankment for Roadway</t>
  </si>
  <si>
    <t>For Roadbed</t>
  </si>
  <si>
    <t>Compacted Volume, 200mm thk</t>
  </si>
  <si>
    <t>For Roadway Slope Protection</t>
  </si>
  <si>
    <t>PREPARED BY:</t>
  </si>
  <si>
    <t>`</t>
  </si>
  <si>
    <t>TOTAL DURATION OF PROJECT</t>
  </si>
  <si>
    <t>(DO 44 S. 2012 &amp; DO 71 S. 2013)</t>
  </si>
  <si>
    <t>(DO 44 S. 2012)</t>
  </si>
  <si>
    <t>Project:</t>
  </si>
  <si>
    <t>Location:</t>
  </si>
  <si>
    <t>A.</t>
  </si>
  <si>
    <t>Roadways</t>
  </si>
  <si>
    <t>AMOUNT</t>
  </si>
  <si>
    <t>Php</t>
  </si>
  <si>
    <t>(BY INTERPOLATION)</t>
  </si>
  <si>
    <t>B.</t>
  </si>
  <si>
    <t>C.</t>
  </si>
  <si>
    <t>A + B + C</t>
  </si>
  <si>
    <t>Drainage / Slope Protection</t>
  </si>
  <si>
    <t>OR</t>
  </si>
  <si>
    <t>MONTHS</t>
  </si>
  <si>
    <t>Stone Masonry</t>
  </si>
  <si>
    <t>PREDETERMINED UNWORKABLE DAYS</t>
  </si>
  <si>
    <t>X</t>
  </si>
  <si>
    <t>TOTAL DURATION  =( A+B+C )+ PREDETERMINED UNWORKABLE DAYS</t>
  </si>
  <si>
    <t>mo</t>
  </si>
  <si>
    <t>Err:520</t>
  </si>
  <si>
    <t>MOB/DEMOB</t>
  </si>
  <si>
    <t>CD (UP TO 5M.)</t>
  </si>
  <si>
    <t>A + B + C + MOB./DEMOB.</t>
  </si>
  <si>
    <t>TOTAL DURATION  =( A + B + C + MOB/DEMOB )+ PREDETERMINED UNWORKABLE DAYS</t>
  </si>
  <si>
    <t>TOTAL DURATION</t>
  </si>
  <si>
    <t>Concrete</t>
  </si>
  <si>
    <t>MATERIALS</t>
  </si>
  <si>
    <t>Footing</t>
  </si>
  <si>
    <t>Cement</t>
  </si>
  <si>
    <t>bags</t>
  </si>
  <si>
    <t>Column</t>
  </si>
  <si>
    <t>Sand</t>
  </si>
  <si>
    <t>Slab</t>
  </si>
  <si>
    <t>Gravel</t>
  </si>
  <si>
    <t>100 mm thk CHB</t>
  </si>
  <si>
    <t>pcs</t>
  </si>
  <si>
    <t>1/4" Marine Plywood</t>
  </si>
  <si>
    <t>Reinforcing Steel Bar, Grade 40</t>
  </si>
  <si>
    <t>kg</t>
  </si>
  <si>
    <t>Corrugated Roofing</t>
  </si>
  <si>
    <t>Coco Lumber</t>
  </si>
  <si>
    <t>bdft</t>
  </si>
  <si>
    <t>CHB wall</t>
  </si>
  <si>
    <t>Plain G.I. Ridge Roll</t>
  </si>
  <si>
    <t>Plywood Wall</t>
  </si>
  <si>
    <t>RSB</t>
  </si>
  <si>
    <t>10mm</t>
  </si>
  <si>
    <t>12mm</t>
  </si>
  <si>
    <t>CHB Wall</t>
  </si>
  <si>
    <t>Roof</t>
  </si>
  <si>
    <t>Lumber</t>
  </si>
  <si>
    <t>4" x 4" coco lumber</t>
  </si>
  <si>
    <t>ft</t>
  </si>
  <si>
    <t>post</t>
  </si>
  <si>
    <t>2" x 2" coco lumber</t>
  </si>
  <si>
    <t>ceiling joist</t>
  </si>
  <si>
    <t>hanger</t>
  </si>
  <si>
    <t>2" x 4" coco lumber</t>
  </si>
  <si>
    <t>bot chord</t>
  </si>
  <si>
    <t>2" x 5" coco lumber</t>
  </si>
  <si>
    <t>king post</t>
  </si>
  <si>
    <t>collar plate</t>
  </si>
  <si>
    <t>top chord</t>
  </si>
  <si>
    <t>2" x 3" coco lumber</t>
  </si>
  <si>
    <t>purlins</t>
  </si>
  <si>
    <t>wall</t>
  </si>
  <si>
    <t>FORM-POW-2015-01D-00</t>
  </si>
  <si>
    <t>Item No. /  Description</t>
  </si>
  <si>
    <t>A.1.1 (3)</t>
  </si>
  <si>
    <t>Construction of Field Office for the Engineer</t>
  </si>
  <si>
    <t>Unit of Measurement</t>
  </si>
  <si>
    <t>ls</t>
  </si>
  <si>
    <t>Output per hour - As Submitted</t>
  </si>
  <si>
    <t>Output per hour - As Evaluated</t>
  </si>
  <si>
    <t>A.1</t>
  </si>
  <si>
    <t>Designation</t>
  </si>
  <si>
    <t>No. of Person/s</t>
  </si>
  <si>
    <t>No. of Hour/s</t>
  </si>
  <si>
    <t>Hourly Rate</t>
  </si>
  <si>
    <t>Amount (PhP)</t>
  </si>
  <si>
    <t>Labor</t>
  </si>
  <si>
    <t>a.</t>
  </si>
  <si>
    <t>Construction Foreman</t>
  </si>
  <si>
    <t>b.</t>
  </si>
  <si>
    <t>Skilled Laborer</t>
  </si>
  <si>
    <t>c.</t>
  </si>
  <si>
    <t>Unskilled Laborer</t>
  </si>
  <si>
    <t>Sub - Total for A.1 - As Submitted</t>
  </si>
  <si>
    <t>A.2</t>
  </si>
  <si>
    <t>Sub - Total for A.2 - As Evaluated</t>
  </si>
  <si>
    <t xml:space="preserve">
B.1</t>
  </si>
  <si>
    <t>Name and Capacity</t>
  </si>
  <si>
    <t>No. of Unit/s</t>
  </si>
  <si>
    <t>No. of Month/s</t>
  </si>
  <si>
    <t>Monthly Rate</t>
  </si>
  <si>
    <t>Amount (Php)</t>
  </si>
  <si>
    <t>Equipment</t>
  </si>
  <si>
    <t>Sub - Total for B.1 - As Submitted</t>
  </si>
  <si>
    <t>B.2</t>
  </si>
  <si>
    <t>Sub - Total for B.2 - As Evaluated</t>
  </si>
  <si>
    <t>C.1</t>
  </si>
  <si>
    <t>Total (A.1 + B.1) - As Submitted</t>
  </si>
  <si>
    <t>C.2</t>
  </si>
  <si>
    <t>Total (A.2+ B.2) - As Evaluated</t>
  </si>
  <si>
    <t>D.1</t>
  </si>
  <si>
    <t>D.2</t>
  </si>
  <si>
    <t>E.1</t>
  </si>
  <si>
    <t>Direct Unit Cost (C.1 ÷ D.1) - As Submitted</t>
  </si>
  <si>
    <t>E.2</t>
  </si>
  <si>
    <t>Direct Unit Cost (C.1 ÷ D.1) - As Evaluated</t>
  </si>
  <si>
    <t>F.1</t>
  </si>
  <si>
    <t>Name and Specification</t>
  </si>
  <si>
    <t>Unit</t>
  </si>
  <si>
    <t>Quantity</t>
  </si>
  <si>
    <t>Unit Cost</t>
  </si>
  <si>
    <t>Materials</t>
  </si>
  <si>
    <t>d.</t>
  </si>
  <si>
    <t>e.</t>
  </si>
  <si>
    <t>f.</t>
  </si>
  <si>
    <t>g.</t>
  </si>
  <si>
    <t>h.</t>
  </si>
  <si>
    <t>i.</t>
  </si>
  <si>
    <t>j.</t>
  </si>
  <si>
    <t>G.I. Tie Wire #16 (2% of RSB)</t>
  </si>
  <si>
    <t>k.</t>
  </si>
  <si>
    <t>Assorted CWN (1kg./100 bd.ft. of Lumber)</t>
  </si>
  <si>
    <t>l.</t>
  </si>
  <si>
    <t>Water Closet</t>
  </si>
  <si>
    <t>set</t>
  </si>
  <si>
    <t>m.</t>
  </si>
  <si>
    <t>Faucet</t>
  </si>
  <si>
    <t>n.</t>
  </si>
  <si>
    <t>Plastic Blue Drum (Septic tank)</t>
  </si>
  <si>
    <t>Hauling Cost</t>
  </si>
  <si>
    <t>Sub - Total for F.1 - As Submitted</t>
  </si>
  <si>
    <t>F.2</t>
  </si>
  <si>
    <t>Sub - Total for F.2 - As Evaluated</t>
  </si>
  <si>
    <t>G.1</t>
  </si>
  <si>
    <t>Direct Unit Cost (E.1 + F.1) - As Submitted</t>
  </si>
  <si>
    <t>G.2</t>
  </si>
  <si>
    <t>Direct Unit Cost (E.2 + F.2) - As Evaluated</t>
  </si>
  <si>
    <t>H.1</t>
  </si>
  <si>
    <t>Overhead, Contingencies &amp; Miscellaneous (OCM) - As Submitted</t>
  </si>
  <si>
    <t>H.2</t>
  </si>
  <si>
    <t>Overhead, Contingencies &amp; Miscellaneous (OCM) - As Evaluated</t>
  </si>
  <si>
    <t>I.1</t>
  </si>
  <si>
    <t>Contractor's Profit (CP) - As Submitted</t>
  </si>
  <si>
    <t>I.2</t>
  </si>
  <si>
    <t>Contractor's Profit (CP) - As Evaluated</t>
  </si>
  <si>
    <t>J.1</t>
  </si>
  <si>
    <t>Value Added Tax (VAT) - As Submitted</t>
  </si>
  <si>
    <t>J.2</t>
  </si>
  <si>
    <t>Value Added Tax (VAT) - As Evaluated</t>
  </si>
  <si>
    <t>K.1</t>
  </si>
  <si>
    <t>Total Unit Cost - As Submitted</t>
  </si>
  <si>
    <t>(G.1+H.1+I.1+J.1)</t>
  </si>
  <si>
    <t>K.2</t>
  </si>
  <si>
    <t>Total Unit Cost - As Evaluated</t>
  </si>
  <si>
    <t>Checked by:</t>
  </si>
  <si>
    <t>DPWH-ADEO</t>
  </si>
  <si>
    <t>B.5</t>
  </si>
  <si>
    <t>Project Billboard/ Signboard (DPWH)</t>
  </si>
  <si>
    <t xml:space="preserve">
A.1</t>
  </si>
  <si>
    <t>Minor Tools (10% of Labor)</t>
  </si>
  <si>
    <t xml:space="preserve">
F.1</t>
  </si>
  <si>
    <t>a. Tarpaulin</t>
  </si>
  <si>
    <t>sqft</t>
  </si>
  <si>
    <t>c. Marine Plywood (1/4"x4'x8')</t>
  </si>
  <si>
    <t>d. CWN Assorted</t>
  </si>
  <si>
    <t>Project Billboard/ Signboard (COA)</t>
  </si>
  <si>
    <t>DETAILED CALCULATIONS ON COST OF PERSONAL PROTECTIVE EQUIPMENT (ROAD-10)</t>
  </si>
  <si>
    <t>Item No.</t>
  </si>
  <si>
    <t>Description</t>
  </si>
  <si>
    <t>Output per Hour</t>
  </si>
  <si>
    <t>Workers</t>
  </si>
  <si>
    <t>No. of Personnel</t>
  </si>
  <si>
    <t>Days</t>
  </si>
  <si>
    <t>Man-days</t>
  </si>
  <si>
    <t>Safety Helmet</t>
  </si>
  <si>
    <t>Safety Shoes</t>
  </si>
  <si>
    <t>Safety Vest</t>
  </si>
  <si>
    <t>Working Gloves</t>
  </si>
  <si>
    <t>Rain Coats</t>
  </si>
  <si>
    <t>Face Mask</t>
  </si>
  <si>
    <t>Ear Muff</t>
  </si>
  <si>
    <t>Body Harness</t>
  </si>
  <si>
    <t>Lanyard</t>
  </si>
  <si>
    <t>Rubber Boots</t>
  </si>
  <si>
    <t>Eye Goggles</t>
  </si>
  <si>
    <t>Face Shield</t>
  </si>
  <si>
    <t>Foreman</t>
  </si>
  <si>
    <t>A. Total, Personnel/ Man-days</t>
  </si>
  <si>
    <t>B. Service Life, Days</t>
  </si>
  <si>
    <t>C. Purchase Cost, Ph</t>
  </si>
  <si>
    <t>D. Unit Cost/Man-Day (C/B)</t>
  </si>
  <si>
    <t>E. Direct Cost for PPE's (D x A (Man-days))</t>
  </si>
  <si>
    <t>weeks</t>
  </si>
  <si>
    <t>hrs</t>
  </si>
  <si>
    <t>days</t>
  </si>
  <si>
    <t>F. Safety Officer/Practitioner (Part Time) @ 15,000/Month (as Per D.O. 56,S2005, consider at least 4 hours per week)</t>
  </si>
  <si>
    <t>G. Health Personnel (Full Time) @ 8,400/Month ( as per D.O. 56, S2005)</t>
  </si>
  <si>
    <t>H. Total Direct Cost (E+F+G)</t>
  </si>
  <si>
    <t>I. OCM(% of H)</t>
  </si>
  <si>
    <t>J. Profit (% of H)</t>
  </si>
  <si>
    <t>K. Vat (5% of  H+I+J)</t>
  </si>
  <si>
    <t>L. Total Cost (H+I+J+K)</t>
  </si>
  <si>
    <t>Err:508</t>
  </si>
  <si>
    <t>B.7 (2)</t>
  </si>
  <si>
    <t>Occupational Safety and Health Program</t>
  </si>
  <si>
    <t>Output - As Submitted</t>
  </si>
  <si>
    <t>Output - As Evaluated</t>
  </si>
  <si>
    <t>No. of Day/s</t>
  </si>
  <si>
    <t>Daily Rate</t>
  </si>
  <si>
    <t>TOTAL CD</t>
  </si>
  <si>
    <t>Safety Officer (Part Time)</t>
  </si>
  <si>
    <t>Health Personnel (Full Time First Aider)</t>
  </si>
  <si>
    <t>Sanitation Aide (Part Time)</t>
  </si>
  <si>
    <t>B.1</t>
  </si>
  <si>
    <t>Portable Mist-Based Sanitation Tent</t>
  </si>
  <si>
    <t>Thermal Scanner (w/ rechargeable battery)</t>
  </si>
  <si>
    <t>Power Sprayer w/ complete accessories</t>
  </si>
  <si>
    <t>Personal Protective Equipment (PPE)</t>
  </si>
  <si>
    <t>a. Safety Helmet</t>
  </si>
  <si>
    <t>man-days</t>
  </si>
  <si>
    <t>b. Safety Shoes</t>
  </si>
  <si>
    <t>c. Safety Vest</t>
  </si>
  <si>
    <t>d. Working Gloves</t>
  </si>
  <si>
    <t>e. Face Mask (Surgical/Cloth)</t>
  </si>
  <si>
    <t>f. Rubber Boots</t>
  </si>
  <si>
    <t>g. Eye Goggles</t>
  </si>
  <si>
    <t>h. Face Shield</t>
  </si>
  <si>
    <t>i. Rain Coats (30% of the Duration)</t>
  </si>
  <si>
    <t>COVID 19 Rapid Antibody Test</t>
  </si>
  <si>
    <t>each</t>
  </si>
  <si>
    <t>Antiseptics and Disinfectant (25% of Total Duration)</t>
  </si>
  <si>
    <t>k. Sanitizing Solution</t>
  </si>
  <si>
    <t>lit</t>
  </si>
  <si>
    <t>l. Ethyl Alcohol</t>
  </si>
  <si>
    <t>m. Disinfectant Spray (400-550 grams)</t>
  </si>
  <si>
    <t>can</t>
  </si>
  <si>
    <t>n. Liquid Hand Soap</t>
  </si>
  <si>
    <t>gravel to concrete</t>
  </si>
  <si>
    <t>B.8(2)</t>
  </si>
  <si>
    <t>Road Works Safety and Traffic Management</t>
  </si>
  <si>
    <t>PCCP ONLY</t>
  </si>
  <si>
    <t>a. Roadwork Ahead (T1-1)</t>
  </si>
  <si>
    <t>quantity in traffic is 1/no of mos.</t>
  </si>
  <si>
    <t>b. End Roadwork (T2-16)</t>
  </si>
  <si>
    <t>c. Slippery (T3-3)</t>
  </si>
  <si>
    <t>d. Loose Stones (T3-9)</t>
  </si>
  <si>
    <t>Note: Modifications may be made if deemed necessary.</t>
  </si>
  <si>
    <t>B.9</t>
  </si>
  <si>
    <t>Mobilization/ Demobilization</t>
  </si>
  <si>
    <t>Note: Low bed trailer daily rate = Php 20,000</t>
  </si>
  <si>
    <t>Mobilization and demobilization shall not exceed 1% of the Estimated Direct Cost (EDC) of the civil works items. (D.O. No. 197, Series of 2016)</t>
  </si>
  <si>
    <t>EquipmentSource</t>
  </si>
  <si>
    <t>DEO</t>
  </si>
  <si>
    <t>Rental Cost</t>
  </si>
  <si>
    <t>20,000/day</t>
  </si>
  <si>
    <t>per Hour</t>
  </si>
  <si>
    <t>Distance (from DEO to site)</t>
  </si>
  <si>
    <t>Free Hauling Distance</t>
  </si>
  <si>
    <t>Hauling Distance</t>
  </si>
  <si>
    <t>TERRAIN CONDITION</t>
  </si>
  <si>
    <t>DISTANCE (km)</t>
  </si>
  <si>
    <t>RATE (km/h)</t>
  </si>
  <si>
    <t>LOADING TIME              (min)</t>
  </si>
  <si>
    <t>LOADING TIME (hr)</t>
  </si>
  <si>
    <t>TRAVEL TIME (LOADED) (hr)</t>
  </si>
  <si>
    <t>UNLOAD AND MANEUVER (min)</t>
  </si>
  <si>
    <t>UNLOAD AND MANEUVER (hr)</t>
  </si>
  <si>
    <t>TRAVEL TIME (EMPTY)                           (hr)</t>
  </si>
  <si>
    <t>CYCLE TIME</t>
  </si>
  <si>
    <t>ALLOWANCE FOR DELAY (10% of Cycle Time)</t>
  </si>
  <si>
    <t>TOTAL CYCLE TIME                                                 (hr)</t>
  </si>
  <si>
    <t>FLAT</t>
  </si>
  <si>
    <t>Paved</t>
  </si>
  <si>
    <t>Unpaved</t>
  </si>
  <si>
    <t>ROLLING</t>
  </si>
  <si>
    <t>MOUNTAINOUS</t>
  </si>
  <si>
    <t xml:space="preserve">T O T A L           </t>
  </si>
  <si>
    <t>Loading Using Low Bed</t>
  </si>
  <si>
    <t>Day</t>
  </si>
  <si>
    <t>100(3)a1</t>
  </si>
  <si>
    <t>Individual Removal of Trees (150-300 mm dia., Small)</t>
  </si>
  <si>
    <t>Minor Tools (5% of Labor Cost)</t>
  </si>
  <si>
    <r>
      <rPr>
        <sz val="11"/>
        <color rgb="FF000000"/>
        <rFont val="Arial"/>
        <family val="2"/>
      </rPr>
      <t xml:space="preserve">a. Rope, 1" </t>
    </r>
    <r>
      <rPr>
        <sz val="11"/>
        <color rgb="FF000000"/>
        <rFont val="Arial Narrow"/>
        <family val="2"/>
      </rPr>
      <t>Ø</t>
    </r>
    <r>
      <rPr>
        <sz val="11"/>
        <color rgb="FF000000"/>
        <rFont val="Arial"/>
        <family val="2"/>
      </rPr>
      <t xml:space="preserve"> - 5 uses</t>
    </r>
  </si>
  <si>
    <t>102(2)</t>
  </si>
  <si>
    <t>Surplus Common Excavation</t>
  </si>
  <si>
    <t>Item No./Description</t>
  </si>
  <si>
    <t>104(1)a</t>
  </si>
  <si>
    <t>Embankment from Roadway Excavation (Common Soil)</t>
  </si>
  <si>
    <t>For Excavation Work:</t>
  </si>
  <si>
    <t>Spreading and Compaction:</t>
  </si>
  <si>
    <t>104(2)a</t>
  </si>
  <si>
    <t>Embankment from Borrow (Common Soil)</t>
  </si>
  <si>
    <t>a. Common Borrow (w/ 25% Shrinkage Factor)</t>
  </si>
  <si>
    <t xml:space="preserve">  </t>
  </si>
  <si>
    <t>105(1)a</t>
  </si>
  <si>
    <t>Subgrade Preparation (Common Material)</t>
  </si>
  <si>
    <t>200(1)</t>
  </si>
  <si>
    <t>Aggregate Subbase Course</t>
  </si>
  <si>
    <t>a. Aggregate Subbase Course</t>
  </si>
  <si>
    <t>(w/ 15% Shrinkage Factor)</t>
  </si>
  <si>
    <t>311(1)b1</t>
  </si>
  <si>
    <t>Portland Cement Concrete Pavement  (Unreinforced, 0.20m thick, 14 days)</t>
  </si>
  <si>
    <t>a. Reinforcing Steel Bar (1.75 factor)</t>
  </si>
  <si>
    <t>b. Curing Compound</t>
  </si>
  <si>
    <t>L</t>
  </si>
  <si>
    <t>c. Asphalt Sealant (Asphalt Emulsified Cationic SS1)</t>
  </si>
  <si>
    <t>d. Steel Forms (Rental)</t>
  </si>
  <si>
    <t>e. Sand (Fine Aggregate)</t>
  </si>
  <si>
    <t>f. Gravel (2 1/2"), (Natural Gravel)</t>
  </si>
  <si>
    <t>g. Cement</t>
  </si>
  <si>
    <t>bag</t>
  </si>
  <si>
    <t>h. Concrete Saw (diamond blade 14")</t>
  </si>
  <si>
    <t>pc</t>
  </si>
  <si>
    <t>i. Pipe Sleeve, 1.50" dia.</t>
  </si>
  <si>
    <t>j. Grease / Tar</t>
  </si>
  <si>
    <t>404(1)a</t>
  </si>
  <si>
    <t>Reinforcing Steel (Grade 40)</t>
  </si>
  <si>
    <t>a. Tie Wire (2% of RSB)</t>
  </si>
  <si>
    <t>b. Reinforcing Steel Bar, Grade 40</t>
  </si>
  <si>
    <t>(w/ 5% Wastage)</t>
  </si>
  <si>
    <t>405(1)a3</t>
  </si>
  <si>
    <t>Structural Concrete, 20.68 Mpa, Class A, 28 days</t>
  </si>
  <si>
    <t>Installation &amp; Removal of Formworks</t>
  </si>
  <si>
    <t>a. Lumber, Good - 4 uses</t>
  </si>
  <si>
    <t>*70.00</t>
  </si>
  <si>
    <t>b. Marine Plywood (1/2" x 4' x 8') - 4 uses</t>
  </si>
  <si>
    <t>*1.60</t>
  </si>
  <si>
    <t>c. Assorted CWN (1kg./100 bd.ft. of Lumber)</t>
  </si>
  <si>
    <t>*0.70</t>
  </si>
  <si>
    <t>d. Cement</t>
  </si>
  <si>
    <t>f. Gravel (Natural Gravel)</t>
  </si>
  <si>
    <t>506(1)</t>
  </si>
  <si>
    <t>Stone Masonry(Slope Protection)</t>
  </si>
  <si>
    <t xml:space="preserve">a. </t>
  </si>
  <si>
    <t xml:space="preserve">b. </t>
  </si>
  <si>
    <t xml:space="preserve">c. </t>
  </si>
  <si>
    <t>No. of Units</t>
  </si>
  <si>
    <t>No. of Hours</t>
  </si>
  <si>
    <t>Backhoe, Wheel Mounted (0.28 m³, 50 hp)</t>
  </si>
  <si>
    <t>Minor Tools (10% of Labor Cost)</t>
  </si>
  <si>
    <t>a. Cement</t>
  </si>
  <si>
    <t>b. Sand (Fine Aggregate)</t>
  </si>
  <si>
    <t>c. Gravel Fill (Natural Gravel)</t>
  </si>
  <si>
    <t>d. Weep Holes (PVC) 3" dia.</t>
  </si>
  <si>
    <t>l.m.</t>
  </si>
  <si>
    <t>e. Filter Cloth</t>
  </si>
  <si>
    <t>f. Boulders</t>
  </si>
  <si>
    <t xml:space="preserve">G.2 </t>
  </si>
  <si>
    <t>Note: Prices of Material were based on CMPD 3rd Quarter 2019 and Labor based on 2019 rates for DPWH Regional/District Offices</t>
  </si>
  <si>
    <t>611(1)</t>
  </si>
  <si>
    <t>Trees Furnishing and Transplanting (Seedling Only)</t>
  </si>
  <si>
    <t>Note: Including 3 years Maintenance</t>
  </si>
  <si>
    <t>Maintenance and Protection (Hectare)</t>
  </si>
  <si>
    <t>1st year - 1000/ha.</t>
  </si>
  <si>
    <t>2nd year - 5000/ha.</t>
  </si>
  <si>
    <t>3rd year - 5000/ha.</t>
  </si>
  <si>
    <t>(based on Computation of DENR-CENRO)</t>
  </si>
  <si>
    <t>a. Seedling (Delivered at Site)</t>
  </si>
  <si>
    <t>Note: 1 tree (cut/removed = 50 seedlings to replace)</t>
  </si>
  <si>
    <t>30 trees = 1500 seedlings</t>
  </si>
  <si>
    <t>EQUIPMENTS</t>
  </si>
  <si>
    <t>CODE</t>
  </si>
  <si>
    <t>PRICE</t>
  </si>
  <si>
    <t>RENTAL RATE</t>
  </si>
  <si>
    <t>RATE</t>
  </si>
  <si>
    <t>Cement Hauling Cost</t>
  </si>
  <si>
    <t>CP</t>
  </si>
  <si>
    <t>8' x 8' Tarpaulin</t>
  </si>
  <si>
    <t>Rental of Field Office w/ complete facilities</t>
  </si>
  <si>
    <t>monthly</t>
  </si>
  <si>
    <t>hourly</t>
  </si>
  <si>
    <t>RSB Hauling Cost</t>
  </si>
  <si>
    <r>
      <rPr>
        <sz val="11"/>
        <color rgb="FF000000"/>
        <rFont val="Arial"/>
        <family val="2"/>
      </rPr>
      <t xml:space="preserve">0 &lt; DC </t>
    </r>
    <r>
      <rPr>
        <sz val="11"/>
        <color rgb="FF000000"/>
        <rFont val="Calibri"/>
        <family val="2"/>
      </rPr>
      <t xml:space="preserve">≤ </t>
    </r>
    <r>
      <rPr>
        <sz val="11"/>
        <color rgb="FF000000"/>
        <rFont val="Arial"/>
        <family val="2"/>
      </rPr>
      <t>5M</t>
    </r>
  </si>
  <si>
    <t>Asphalt Sealant</t>
  </si>
  <si>
    <r>
      <rPr>
        <sz val="11"/>
        <color rgb="FF000000"/>
        <rFont val="Arial"/>
        <family val="2"/>
      </rPr>
      <t xml:space="preserve">5M &lt; DC </t>
    </r>
    <r>
      <rPr>
        <sz val="11"/>
        <color rgb="FF000000"/>
        <rFont val="Calibri"/>
        <family val="2"/>
      </rPr>
      <t xml:space="preserve">≤ </t>
    </r>
    <r>
      <rPr>
        <sz val="11"/>
        <color rgb="FF000000"/>
        <rFont val="Arial"/>
        <family val="2"/>
      </rPr>
      <t>50M</t>
    </r>
  </si>
  <si>
    <t>Concrete Saw (diamond blade 14")</t>
  </si>
  <si>
    <r>
      <rPr>
        <sz val="11"/>
        <color rgb="FF000000"/>
        <rFont val="Arial"/>
        <family val="2"/>
      </rPr>
      <t xml:space="preserve">50M &lt; DC </t>
    </r>
    <r>
      <rPr>
        <sz val="11"/>
        <color rgb="FF000000"/>
        <rFont val="Calibri"/>
        <family val="2"/>
      </rPr>
      <t xml:space="preserve">≤ </t>
    </r>
    <r>
      <rPr>
        <sz val="11"/>
        <color rgb="FF000000"/>
        <rFont val="Arial"/>
        <family val="2"/>
      </rPr>
      <t>150M</t>
    </r>
  </si>
  <si>
    <t>M104.0000</t>
  </si>
  <si>
    <t>EMBANKMENT</t>
  </si>
  <si>
    <r>
      <rPr>
        <sz val="11"/>
        <color rgb="FF000000"/>
        <rFont val="Arial"/>
        <family val="2"/>
      </rPr>
      <t>DC &gt;</t>
    </r>
    <r>
      <rPr>
        <sz val="11"/>
        <color rgb="FF000000"/>
        <rFont val="Calibri"/>
        <family val="2"/>
      </rPr>
      <t xml:space="preserve"> </t>
    </r>
    <r>
      <rPr>
        <sz val="11"/>
        <color rgb="FF000000"/>
        <rFont val="Arial"/>
        <family val="2"/>
      </rPr>
      <t>150M</t>
    </r>
  </si>
  <si>
    <t>M104.0001</t>
  </si>
  <si>
    <t>Common Borrow</t>
  </si>
  <si>
    <t>Backhoe with Breaker, SOLAR 220 LC-3 (0.80 m³, 138 hp)</t>
  </si>
  <si>
    <t>daily</t>
  </si>
  <si>
    <t>M104.0003</t>
  </si>
  <si>
    <t>Mixed Sand &amp; Gravel</t>
  </si>
  <si>
    <t>Boom Truck, NXG1160D3ZAL1X (197 hp)</t>
  </si>
  <si>
    <t>M104.0004</t>
  </si>
  <si>
    <t>Rock</t>
  </si>
  <si>
    <t>M200.0000</t>
  </si>
  <si>
    <t>AGGREGATE SUBBASE COURSE</t>
  </si>
  <si>
    <t>Bulldozer with Ripper, DX175 (167 hp)</t>
  </si>
  <si>
    <t>Traffic Officer/ Flag Man</t>
  </si>
  <si>
    <t>M200.0001</t>
  </si>
  <si>
    <t>Aggregate Subbase Course Material</t>
  </si>
  <si>
    <t>M201.0000</t>
  </si>
  <si>
    <t>AGGREGATE BASE COURSE</t>
  </si>
  <si>
    <t>M201.0001</t>
  </si>
  <si>
    <t>Crushed Grading A</t>
  </si>
  <si>
    <t>M201.0002</t>
  </si>
  <si>
    <t>Uncrushed Grading A</t>
  </si>
  <si>
    <t>M311.0000</t>
  </si>
  <si>
    <t>PORTLAND CEMENT CONCRETE PAVEMENT</t>
  </si>
  <si>
    <t>M311.0001</t>
  </si>
  <si>
    <t>Ready Mix Concrete 3000psi @ 28 days</t>
  </si>
  <si>
    <t>M311.0009</t>
  </si>
  <si>
    <t>Ready Mix Concrete 4000psi @ 28 days</t>
  </si>
  <si>
    <t>M311.0012</t>
  </si>
  <si>
    <t>Ready Mix Concrete 5000psi @ 28 days</t>
  </si>
  <si>
    <t>M311.0013</t>
  </si>
  <si>
    <t>Curing Compound</t>
  </si>
  <si>
    <t>M311.0015</t>
  </si>
  <si>
    <t>Steel Forms 15 cm width</t>
  </si>
  <si>
    <t>M311.0016</t>
  </si>
  <si>
    <t>Steel Forms 20 cm width</t>
  </si>
  <si>
    <t>M311.0017</t>
  </si>
  <si>
    <t>Steel Forms 23 cm width</t>
  </si>
  <si>
    <t>M400.0000</t>
  </si>
  <si>
    <t>PILING</t>
  </si>
  <si>
    <t>M400.0007</t>
  </si>
  <si>
    <t>Steel Sheet Piles Fy36</t>
  </si>
  <si>
    <t>Cargo/Service Truck (2-5mt, 160 hp)</t>
  </si>
  <si>
    <t>M400.0008</t>
  </si>
  <si>
    <t>Steel Sheet Piles Fy50</t>
  </si>
  <si>
    <t>M400.0025</t>
  </si>
  <si>
    <t>Steel Casing 10mm thick @ 1000mm Dia.</t>
  </si>
  <si>
    <t>M400.0030</t>
  </si>
  <si>
    <t>Steel Casing 10mm thick @ 1500mm Dia.</t>
  </si>
  <si>
    <t>Plate Compactor (5 hp)</t>
  </si>
  <si>
    <t>M400.0031</t>
  </si>
  <si>
    <t>Steel Casing 10mm thick @ 1600mm Dia.</t>
  </si>
  <si>
    <t>Vibro Hammer, Hydraulic Pile Driver (60 ton, 201 hp)</t>
  </si>
  <si>
    <t>M400.0033</t>
  </si>
  <si>
    <t>Steel Casing 10mm thick @ 1800mm Dia.</t>
  </si>
  <si>
    <t>Cutting Outfit</t>
  </si>
  <si>
    <t>M400.0038</t>
  </si>
  <si>
    <t>Steel Casing</t>
  </si>
  <si>
    <t>Steel Casing 12mm thick @ 1600mm Dia.</t>
  </si>
  <si>
    <t>Drilling Rig (300 hp)</t>
  </si>
  <si>
    <t>Steel Casing 12mm thick @ 1800mm Dia.</t>
  </si>
  <si>
    <t>Crawler Crane (36-40 mt, 190 hp)</t>
  </si>
  <si>
    <t>M400.0039</t>
  </si>
  <si>
    <t>Acetylene</t>
  </si>
  <si>
    <t>Crawler Crane with Bucket (36-40 mt, 190 hp)</t>
  </si>
  <si>
    <t>M400.0042</t>
  </si>
  <si>
    <t>Oxygen</t>
  </si>
  <si>
    <t>Crawler Crane (41-45 mt, 190 hp)</t>
  </si>
  <si>
    <t>M400.0046</t>
  </si>
  <si>
    <t>Welding Rod</t>
  </si>
  <si>
    <t>Crawler Crane (21-25 mt, 145 hp)</t>
  </si>
  <si>
    <t>M403.0000</t>
  </si>
  <si>
    <t>METAL STRUCTURES</t>
  </si>
  <si>
    <t>Generator Set (300 kW)</t>
  </si>
  <si>
    <t>M403.0001</t>
  </si>
  <si>
    <t>Milled Steel Plates Checkered FY36</t>
  </si>
  <si>
    <t>Generator Set (900 kW)</t>
  </si>
  <si>
    <t>M403.0007</t>
  </si>
  <si>
    <t>Structural Steel Angular Bar (A36)</t>
  </si>
  <si>
    <t>Bentonite Bin</t>
  </si>
  <si>
    <t>M403.0008</t>
  </si>
  <si>
    <t>Structural Steel Channel Bar (A36)</t>
  </si>
  <si>
    <t>Bentonite Mixer</t>
  </si>
  <si>
    <t>M403.0011</t>
  </si>
  <si>
    <t>Structural Steel Wide Flange (A36)</t>
  </si>
  <si>
    <r>
      <rPr>
        <sz val="11"/>
        <color rgb="FF000000"/>
        <rFont val="Arial"/>
        <family val="2"/>
      </rPr>
      <t xml:space="preserve">Water Pump, 100mm suction </t>
    </r>
    <r>
      <rPr>
        <sz val="11"/>
        <color rgb="FF000000"/>
        <rFont val="Calibri"/>
        <family val="2"/>
      </rPr>
      <t>Ø</t>
    </r>
    <r>
      <rPr>
        <sz val="11"/>
        <color rgb="FF000000"/>
        <rFont val="Arial"/>
        <family val="2"/>
      </rPr>
      <t xml:space="preserve"> (7.5 hp)</t>
    </r>
  </si>
  <si>
    <t>M404.0000</t>
  </si>
  <si>
    <t>REINFORCING STEEL</t>
  </si>
  <si>
    <t>Welding Machine, Gas/Diesel Driven (300A, 48 hp)</t>
  </si>
  <si>
    <t>M404.0003</t>
  </si>
  <si>
    <t>Reinforcing Steel Bars Deformed Grade 40</t>
  </si>
  <si>
    <t>Welding Machine, Gas/Diesel Driven (500A, 70 hp)</t>
  </si>
  <si>
    <t>M404.0004</t>
  </si>
  <si>
    <t>Reinforcing Steel Bars Deformed Grade 60</t>
  </si>
  <si>
    <t>Welding Machine, Electric Driven (500A)</t>
  </si>
  <si>
    <t>M404.0006</t>
  </si>
  <si>
    <t>GI Tie Wire #16</t>
  </si>
  <si>
    <t>Tremie Pipe Set</t>
  </si>
  <si>
    <t>M405.0000</t>
  </si>
  <si>
    <t>STRUCTURAL CONCRETE</t>
  </si>
  <si>
    <t>SPT &amp; Desanding Machine</t>
  </si>
  <si>
    <t>M405.0002</t>
  </si>
  <si>
    <t>Common Nails Assorted</t>
  </si>
  <si>
    <t>Portable Breaker, BHF30s (4 hp)</t>
  </si>
  <si>
    <t>M405.0010</t>
  </si>
  <si>
    <t>Gravel G3/4</t>
  </si>
  <si>
    <t>Air Compressor (126-160 cfm, 51 hp)</t>
  </si>
  <si>
    <t>M405.0011</t>
  </si>
  <si>
    <t>Fine Aggregate</t>
  </si>
  <si>
    <t>Tower Lights</t>
  </si>
  <si>
    <t>M405.0012</t>
  </si>
  <si>
    <t>Natural Gravel</t>
  </si>
  <si>
    <t>Pile Integrity Testing (Sonic) and Accessories</t>
  </si>
  <si>
    <t>M405.0013</t>
  </si>
  <si>
    <t>Lumber Coco</t>
  </si>
  <si>
    <t>Dynamic Pile Testing</t>
  </si>
  <si>
    <t>M405.0014</t>
  </si>
  <si>
    <t>Lumber Good</t>
  </si>
  <si>
    <t>Truck Mounted Crane (31-35 mt, 238 hp)</t>
  </si>
  <si>
    <t>M405.0018</t>
  </si>
  <si>
    <t>Plywood Marine (0.00625m x 1.2m x 2.44m)</t>
  </si>
  <si>
    <t>1/4" x 4' x 8'</t>
  </si>
  <si>
    <t>Truck Mounted Crane (41-45 mt, 246 hp)</t>
  </si>
  <si>
    <t>M405.0019</t>
  </si>
  <si>
    <t>Plywood Marine (0.0125m x 1.2m x 2.44m)</t>
  </si>
  <si>
    <t>1/2" x 4' x 8'</t>
  </si>
  <si>
    <t>Truck Mounted Crane with Bucket (41-45 mt, 246 hp)</t>
  </si>
  <si>
    <t>M406.0000</t>
  </si>
  <si>
    <t>PRESTRESSED CONCRETE STRUCTURES</t>
  </si>
  <si>
    <t>Truck Mounted Crane (51-60 mt, 280 hp)</t>
  </si>
  <si>
    <t>M406.0009</t>
  </si>
  <si>
    <t>Prestressed Concrete Anchorage Assembly</t>
  </si>
  <si>
    <t>Drop Hammer w/ accessories</t>
  </si>
  <si>
    <t>M406.0010</t>
  </si>
  <si>
    <t>Prestressed Concrete Wire Strand 12.70mm</t>
  </si>
  <si>
    <t>1 Air Compressor w/ 2 Jack Hammer</t>
  </si>
  <si>
    <t>M406.0011</t>
  </si>
  <si>
    <t>Duct Tube Galvanized Metal 50mm</t>
  </si>
  <si>
    <t>Stressing (Jack) Machine</t>
  </si>
  <si>
    <t>M406.0012</t>
  </si>
  <si>
    <t>Rubber Hose 12.7mm</t>
  </si>
  <si>
    <t>Grouting Machine, Air Driven</t>
  </si>
  <si>
    <t>M406.0013</t>
  </si>
  <si>
    <t>Packaging Tape 50mm (Industrial Type)</t>
  </si>
  <si>
    <t>Wood/Steel Ladder</t>
  </si>
  <si>
    <t>M412.0000</t>
  </si>
  <si>
    <t>ELASTOMERIC BEARING PAD</t>
  </si>
  <si>
    <t>Applicator Machine</t>
  </si>
  <si>
    <t>M412.0001</t>
  </si>
  <si>
    <t>Elastomeric Plain Bearing Pad</t>
  </si>
  <si>
    <t>8' x 4' x 1"</t>
  </si>
  <si>
    <t>Kneading Machine</t>
  </si>
  <si>
    <t>M412.0002</t>
  </si>
  <si>
    <t>Elastomeric Bearing Pad 1-pc 1-Metal</t>
  </si>
  <si>
    <t>Dolly</t>
  </si>
  <si>
    <t>M412.0003</t>
  </si>
  <si>
    <t>Elastomeric Bearing Pad 1-pc 2-Metal</t>
  </si>
  <si>
    <t>Crawler Crane (51-60 mt, 275 hp)</t>
  </si>
  <si>
    <t>M500.0000</t>
  </si>
  <si>
    <t>PIPE CULVERTS AND STORM DRAINS</t>
  </si>
  <si>
    <t>Vibro Hammer w/ Hydraulic Power Pack</t>
  </si>
  <si>
    <t>M500.0005</t>
  </si>
  <si>
    <t>Reinforced Concrete Pipe Class II Dia 36" (910mm)</t>
  </si>
  <si>
    <t>Vibro Hammer (272.22 hp)</t>
  </si>
  <si>
    <t>M502.0000</t>
  </si>
  <si>
    <t>MANHOLES, INLETS AND CATCH BASINS</t>
  </si>
  <si>
    <t>M502. 0003</t>
  </si>
  <si>
    <t>CHB Ordinary (101mm x 203mm x 406mm)</t>
  </si>
  <si>
    <t>M505.0000</t>
  </si>
  <si>
    <t>RIPRAP &amp; GROUTED RIPRAP</t>
  </si>
  <si>
    <t>Asphalt Distributor, ROSCO/5 ton (3000 USG, 100 hp)</t>
  </si>
  <si>
    <t>M505.0001</t>
  </si>
  <si>
    <t>Riprap, Class A</t>
  </si>
  <si>
    <t>Power Broom (2.0m wide)</t>
  </si>
  <si>
    <t>M506.0000</t>
  </si>
  <si>
    <t>Asphalt Paver (80 hp)</t>
  </si>
  <si>
    <t>M506.0001</t>
  </si>
  <si>
    <t>Pneumatic Tire Roller ( 10 mt, 107 hp)</t>
  </si>
  <si>
    <t>M511.0000</t>
  </si>
  <si>
    <t>GABIONS AND MATTRESSES</t>
  </si>
  <si>
    <t>Tandem Steel Roller, HD110 (11 mt, 134 hp)</t>
  </si>
  <si>
    <t>M511.0003</t>
  </si>
  <si>
    <t>Gabions Metallic Coated, 1.0 x 1.0 x 2.0m</t>
  </si>
  <si>
    <t>Jackhammer</t>
  </si>
  <si>
    <t>M511.0011</t>
  </si>
  <si>
    <t>Mattress Metallic Coated 0.30 x 2.0 x 6.0m</t>
  </si>
  <si>
    <t>Air Compressor, (356-450 cfm, 130 hp)</t>
  </si>
  <si>
    <t>M511.0013</t>
  </si>
  <si>
    <t>Filter Cloth</t>
  </si>
  <si>
    <t>M602.0000</t>
  </si>
  <si>
    <t>MONUMENTS, MARKERS AND GUIDE POSTS</t>
  </si>
  <si>
    <t>M602.0005</t>
  </si>
  <si>
    <t>GI Pipe Schedule 40 Dia (25.4mm)</t>
  </si>
  <si>
    <t>1"</t>
  </si>
  <si>
    <t>M602.0006</t>
  </si>
  <si>
    <t>GI Pipe Schedule 40 Dia (38mm)</t>
  </si>
  <si>
    <t>1.5"</t>
  </si>
  <si>
    <t>M602.0007</t>
  </si>
  <si>
    <t>GI Pipe Schedule 40 Dia (50.8mm)</t>
  </si>
  <si>
    <t>2"</t>
  </si>
  <si>
    <t>M602.0008</t>
  </si>
  <si>
    <t>GI Pipe Schedule 40 Dia (76mm)</t>
  </si>
  <si>
    <t>3"</t>
  </si>
  <si>
    <t>M603.0000</t>
  </si>
  <si>
    <t>GUARDRAIL</t>
  </si>
  <si>
    <t>M603.0010</t>
  </si>
  <si>
    <t>Metal Beam End Piece</t>
  </si>
  <si>
    <t>M603.0011</t>
  </si>
  <si>
    <t>Guardrail Metal Beam (355mm) width</t>
  </si>
  <si>
    <t>M603.0016</t>
  </si>
  <si>
    <t>Guardrail Bolt Nut &amp; Washer (16mm dia x 25.40)</t>
  </si>
  <si>
    <t>5/8" dia x 1"</t>
  </si>
  <si>
    <t>M603.0017</t>
  </si>
  <si>
    <t>Guardrail Bolt Nut &amp; Washer (16mm dia x 152)</t>
  </si>
  <si>
    <t>5/8" dia x 6"</t>
  </si>
  <si>
    <t>M603.0018</t>
  </si>
  <si>
    <t>Guardrail Bolt Nut &amp; Washer (16mm dia x 229)</t>
  </si>
  <si>
    <t>5/8" dia x 9"</t>
  </si>
  <si>
    <t>M606.0000</t>
  </si>
  <si>
    <t>PAVEMENT MARKINGS</t>
  </si>
  <si>
    <t>M606.0001</t>
  </si>
  <si>
    <t>Glass Beads (Pre-Mix)</t>
  </si>
  <si>
    <t>M606.0002</t>
  </si>
  <si>
    <t>Primer White</t>
  </si>
  <si>
    <t>M606.0003</t>
  </si>
  <si>
    <t>Primer Yellow</t>
  </si>
  <si>
    <t>M606.0004</t>
  </si>
  <si>
    <t>LPG Cylinder</t>
  </si>
  <si>
    <t>M606.0005</t>
  </si>
  <si>
    <t>Paint Rollers (152mm)</t>
  </si>
  <si>
    <t>M606.0006</t>
  </si>
  <si>
    <t>Paint Thermoplastic White</t>
  </si>
  <si>
    <t>M606.0007</t>
  </si>
  <si>
    <t>Paint Thermoplastic Yellow</t>
  </si>
  <si>
    <t>M606.0008</t>
  </si>
  <si>
    <t>Reflectorized Traffic Paint White</t>
  </si>
  <si>
    <t>M606.0009</t>
  </si>
  <si>
    <t>Reflectorized Traffic Paint Yellow</t>
  </si>
  <si>
    <t>M700.0000</t>
  </si>
  <si>
    <t>HYDRAULIC CEMENT</t>
  </si>
  <si>
    <t>M700.0002</t>
  </si>
  <si>
    <t>Portland Cement</t>
  </si>
  <si>
    <t>M702.0000</t>
  </si>
  <si>
    <t>BITUMINOUS MATERIALS</t>
  </si>
  <si>
    <t>M702.0017</t>
  </si>
  <si>
    <t>Asphalt Emulsified Cationic SS1</t>
  </si>
  <si>
    <t>mton</t>
  </si>
  <si>
    <t>M708.0000</t>
  </si>
  <si>
    <t>CONCRETE CURING MATERIALS AND ADMIXTURES</t>
  </si>
  <si>
    <t>M708.0001</t>
  </si>
  <si>
    <t>Concrete Admixture Accelerating</t>
  </si>
  <si>
    <t>M709.0000</t>
  </si>
  <si>
    <t>PAINTS</t>
  </si>
  <si>
    <t>M709.0004</t>
  </si>
  <si>
    <t>Paint Latex Gloss</t>
  </si>
  <si>
    <t>gal</t>
  </si>
  <si>
    <t>M900.0000</t>
  </si>
  <si>
    <t>CHEMICALS AND  TERMITE CONTROL PESTICIDE</t>
  </si>
  <si>
    <t>M900.0001</t>
  </si>
  <si>
    <t>Concrete Neutralizer</t>
  </si>
  <si>
    <t>M900.0010</t>
  </si>
  <si>
    <t>Greasing</t>
  </si>
  <si>
    <t>M1002.0000</t>
  </si>
  <si>
    <t>PLUMBING AND FIXTURES</t>
  </si>
  <si>
    <t>M1002.0001</t>
  </si>
  <si>
    <t>Water Closet Including Fitting and Acc. (Elongated) American Std or Equivalent</t>
  </si>
  <si>
    <t>M1002.0005</t>
  </si>
  <si>
    <t>Bronze Faucets (12.7mm D)</t>
  </si>
  <si>
    <t>M1002.0008</t>
  </si>
  <si>
    <t>G.I. Pipes (25.4mm D)</t>
  </si>
  <si>
    <t>M1002.0009</t>
  </si>
  <si>
    <t>G.I. Pipes (38mm D)</t>
  </si>
  <si>
    <t>M1002.0010</t>
  </si>
  <si>
    <t>G.I. Pipes (50mm D)</t>
  </si>
  <si>
    <t>M1002.0012</t>
  </si>
  <si>
    <t>G.I. Pipes (76mm D)</t>
  </si>
  <si>
    <t>3" dia</t>
  </si>
  <si>
    <t>M1002.0070</t>
  </si>
  <si>
    <t>PVC Pipes (76mm D)</t>
  </si>
  <si>
    <t>M1004.0000</t>
  </si>
  <si>
    <t>HARDWARE</t>
  </si>
  <si>
    <t>M1004.0011</t>
  </si>
  <si>
    <t>Sand Paper</t>
  </si>
  <si>
    <t>roll</t>
  </si>
  <si>
    <t>M1013.0000</t>
  </si>
  <si>
    <t>METAL ROOFING</t>
  </si>
  <si>
    <t>M1013.0001</t>
  </si>
  <si>
    <t>Corrugated Roofing, Gauge 26 (0.551mm x 2.44m)</t>
  </si>
  <si>
    <t>M1013.0009</t>
  </si>
  <si>
    <t>Ordinary Ridge Roll, GA 24 (0.701mm x 2.44)</t>
  </si>
  <si>
    <t>OTHERS</t>
  </si>
  <si>
    <t>Bituminous Concrete Surface Course (50mm thk)</t>
  </si>
  <si>
    <t>mt</t>
  </si>
  <si>
    <t>Patching Compound</t>
  </si>
  <si>
    <t>Neutralizer</t>
  </si>
  <si>
    <t>GI Bolts w/ Nuts &amp; washer, 5mm dia</t>
  </si>
  <si>
    <t>GI Bolts w/ Nuts &amp; washer, 2mm dia</t>
  </si>
  <si>
    <t>Sign Face, 3mm thk Auminum Sheet</t>
  </si>
  <si>
    <t>Rope 1" Ø</t>
  </si>
  <si>
    <t>LIST OF EQUIPMENT ADOPTED IN THE STANDARD DUPA FOR ROAD, BRIDGE AND BUILDING (LOW AND HIGH RISE)
CONSTRUCTION COST ESTIMATION MANUALS WITH MAKE, MODEL, CAPACITY AND OPERATED RENTAL RATE
PER HOUR BASED ON THE PREVAILING ACEL EQUIPMENT GUIDEBOOK, EDITION 26</t>
  </si>
  <si>
    <t>1. EARTHMOVING EQUIPMENT</t>
  </si>
  <si>
    <t>FUEL CONSUMPTION (L/hr)</t>
  </si>
  <si>
    <t>OIL/LUBRICANTS (L/hr)</t>
  </si>
  <si>
    <t>RENTAL RATE/ OPERATED WITH FUEL &amp; OIL/LUBRICANT</t>
  </si>
  <si>
    <t>MODEL</t>
  </si>
  <si>
    <t>CAPACITY</t>
  </si>
  <si>
    <t>FLYWHEEL HORSEPOWER</t>
  </si>
  <si>
    <t>RENTAL RATE/ OPERATED</t>
  </si>
  <si>
    <t>RENTAL RATE/ OPERATED DRY</t>
  </si>
  <si>
    <t>LOW</t>
  </si>
  <si>
    <t>AVERAGE</t>
  </si>
  <si>
    <t>HIGH</t>
  </si>
  <si>
    <t>*FUEL COST PER LITER</t>
  </si>
  <si>
    <t>FUEL COST</t>
  </si>
  <si>
    <t>*OIL/LUBRICANT COST PER LITER</t>
  </si>
  <si>
    <t>OIL/LUBRICANT COST</t>
  </si>
  <si>
    <t>Bulldozer</t>
  </si>
  <si>
    <t>DX175</t>
  </si>
  <si>
    <t>PhP</t>
  </si>
  <si>
    <r>
      <rPr>
        <sz val="11"/>
        <color rgb="FF000000"/>
        <rFont val="Cambria1"/>
        <charset val="134"/>
      </rPr>
      <t>BFC</t>
    </r>
    <r>
      <rPr>
        <i/>
        <vertAlign val="subscript"/>
        <sz val="11"/>
        <color rgb="FF000000"/>
        <rFont val="Cambria1"/>
        <charset val="134"/>
      </rPr>
      <t>low</t>
    </r>
  </si>
  <si>
    <t>L/kW-hr</t>
  </si>
  <si>
    <t>Bulldozer with Ripper</t>
  </si>
  <si>
    <r>
      <rPr>
        <sz val="11"/>
        <color rgb="FF000000"/>
        <rFont val="Cambria1"/>
        <charset val="134"/>
      </rPr>
      <t>BFC</t>
    </r>
    <r>
      <rPr>
        <i/>
        <vertAlign val="subscript"/>
        <sz val="11"/>
        <color rgb="FF000000"/>
        <rFont val="Cambria1"/>
        <charset val="134"/>
      </rPr>
      <t>high</t>
    </r>
  </si>
  <si>
    <t>Payloader</t>
  </si>
  <si>
    <t>LX80-2C</t>
  </si>
  <si>
    <r>
      <rPr>
        <sz val="10"/>
        <color rgb="FF000000"/>
        <rFont val="Tahoma"/>
        <family val="2"/>
      </rPr>
      <t>1.50 m</t>
    </r>
    <r>
      <rPr>
        <vertAlign val="superscript"/>
        <sz val="10"/>
        <color rgb="FF000000"/>
        <rFont val="Tahoma"/>
        <family val="2"/>
      </rPr>
      <t>3</t>
    </r>
    <r>
      <rPr>
        <sz val="10"/>
        <color rgb="FF000000"/>
        <rFont val="Tahoma"/>
        <family val="2"/>
      </rPr>
      <t>/1.95 yd</t>
    </r>
    <r>
      <rPr>
        <vertAlign val="superscript"/>
        <sz val="10"/>
        <color rgb="FF000000"/>
        <rFont val="Tahoma"/>
        <family val="2"/>
      </rPr>
      <t>3</t>
    </r>
  </si>
  <si>
    <t>HP factor</t>
  </si>
  <si>
    <t>kW/hp</t>
  </si>
  <si>
    <t>Motorized Road Grader</t>
  </si>
  <si>
    <t>G710A</t>
  </si>
  <si>
    <t>Motorized Road Grader with Scarifier</t>
  </si>
  <si>
    <t>Fuel Cost per Liter</t>
  </si>
  <si>
    <t>2. COMPACTION EQUIPMENT</t>
  </si>
  <si>
    <t>Oil/Lubricant Cost per Liter</t>
  </si>
  <si>
    <t>Pneumatic Tire Roller</t>
  </si>
  <si>
    <t>9-WHL, 9.00X20, 4PR</t>
  </si>
  <si>
    <t>Vibratory Roller</t>
  </si>
  <si>
    <t>SD100DC</t>
  </si>
  <si>
    <t>Tandem Steel Roller</t>
  </si>
  <si>
    <t>HD110</t>
  </si>
  <si>
    <t>11 mt</t>
  </si>
  <si>
    <t>Plate Compactor</t>
  </si>
  <si>
    <t>400-500 Gasoline Engine</t>
  </si>
  <si>
    <t>3. LIFTING EQUIPMENT</t>
  </si>
  <si>
    <t>Crawler Crane</t>
  </si>
  <si>
    <t>All Models</t>
  </si>
  <si>
    <t>21-25 mt</t>
  </si>
  <si>
    <t>36-40 mt</t>
  </si>
  <si>
    <t>Crawler Crane with Bucket</t>
  </si>
  <si>
    <t>41-45 mt</t>
  </si>
  <si>
    <t>51-60 mt</t>
  </si>
  <si>
    <t>61-70 mt</t>
  </si>
  <si>
    <t>71-80 mt</t>
  </si>
  <si>
    <t>Truck Mounted Crane</t>
  </si>
  <si>
    <t>31-35 mt</t>
  </si>
  <si>
    <t>Truck Mounted Crane with Bucket</t>
  </si>
  <si>
    <t>Topless Tower Crane</t>
  </si>
  <si>
    <t>MDT 98-1.2M</t>
  </si>
  <si>
    <t>55M x 6T/1.2T</t>
  </si>
  <si>
    <t>MDT 128</t>
  </si>
  <si>
    <t>55M x 6T/1.6T</t>
  </si>
  <si>
    <t>MDT 132 G8</t>
  </si>
  <si>
    <t>55M x 8T/1.6T</t>
  </si>
  <si>
    <t>MDT 162 H8</t>
  </si>
  <si>
    <t>60M x 8T/1.8T</t>
  </si>
  <si>
    <t>MDT 178</t>
  </si>
  <si>
    <t>60M x 8T/1.5T</t>
  </si>
  <si>
    <t>MDT 192-H12</t>
  </si>
  <si>
    <t>60M x 12T/2.2T</t>
  </si>
  <si>
    <t>Aerial Lift, Self Propelled, Scissor Lift</t>
  </si>
  <si>
    <t>GS4080 Gas/Diesel Driven</t>
  </si>
  <si>
    <t>40 ft hts x 46 ft Range</t>
  </si>
  <si>
    <t>4. EXCAVATING EQUIPMENT</t>
  </si>
  <si>
    <t>Backhoe</t>
  </si>
  <si>
    <t>SOLAR 220 LC-3</t>
  </si>
  <si>
    <r>
      <rPr>
        <sz val="10"/>
        <color rgb="FF000000"/>
        <rFont val="Tahoma"/>
        <family val="2"/>
      </rPr>
      <t>0.80 m</t>
    </r>
    <r>
      <rPr>
        <vertAlign val="superscript"/>
        <sz val="10"/>
        <color rgb="FF000000"/>
        <rFont val="Tahoma"/>
        <family val="2"/>
      </rPr>
      <t>3</t>
    </r>
    <r>
      <rPr>
        <sz val="10"/>
        <color rgb="FF000000"/>
        <rFont val="Tahoma"/>
        <family val="2"/>
      </rPr>
      <t>/1.04 yd</t>
    </r>
    <r>
      <rPr>
        <vertAlign val="superscript"/>
        <sz val="10"/>
        <color rgb="FF000000"/>
        <rFont val="Tahoma"/>
        <family val="2"/>
      </rPr>
      <t>30.80 m3</t>
    </r>
    <r>
      <rPr>
        <sz val="10"/>
        <color rgb="FF000000"/>
        <rFont val="Tahoma"/>
        <family val="2"/>
      </rPr>
      <t>/1.04 yd</t>
    </r>
    <r>
      <rPr>
        <vertAlign val="superscript"/>
        <sz val="10"/>
        <color rgb="FF000000"/>
        <rFont val="Tahoma"/>
        <family val="2"/>
      </rPr>
      <t>30.80 m3</t>
    </r>
    <r>
      <rPr>
        <sz val="10"/>
        <color rgb="FF000000"/>
        <rFont val="Tahoma"/>
        <family val="2"/>
      </rPr>
      <t>/1.04 yd</t>
    </r>
    <r>
      <rPr>
        <vertAlign val="superscript"/>
        <sz val="10"/>
        <color rgb="FF000000"/>
        <rFont val="Tahoma"/>
        <family val="2"/>
      </rPr>
      <t>30.80 m3</t>
    </r>
    <r>
      <rPr>
        <sz val="10"/>
        <color rgb="FF000000"/>
        <rFont val="Tahoma"/>
        <family val="2"/>
      </rPr>
      <t>/1.04 yd</t>
    </r>
    <r>
      <rPr>
        <vertAlign val="superscript"/>
        <sz val="10"/>
        <color rgb="FF000000"/>
        <rFont val="Tahoma"/>
        <family val="2"/>
      </rPr>
      <t>30.80 m3</t>
    </r>
    <r>
      <rPr>
        <sz val="10"/>
        <color rgb="FF000000"/>
        <rFont val="Tahoma"/>
        <family val="2"/>
      </rPr>
      <t>/1.04 yd</t>
    </r>
    <r>
      <rPr>
        <vertAlign val="superscript"/>
        <sz val="10"/>
        <color rgb="FF000000"/>
        <rFont val="Tahoma"/>
        <family val="2"/>
      </rPr>
      <t>30.80 m3</t>
    </r>
    <r>
      <rPr>
        <sz val="10"/>
        <color rgb="FF000000"/>
        <rFont val="Tahoma"/>
        <family val="2"/>
      </rPr>
      <t>/1.04 yd</t>
    </r>
    <r>
      <rPr>
        <vertAlign val="superscript"/>
        <sz val="10"/>
        <color rgb="FF000000"/>
        <rFont val="Tahoma"/>
        <family val="2"/>
      </rPr>
      <t>3</t>
    </r>
  </si>
  <si>
    <t>Backhoe with Breaker</t>
  </si>
  <si>
    <t>Backhoe, Wheel Mounted</t>
  </si>
  <si>
    <t>PW60N-1</t>
  </si>
  <si>
    <r>
      <rPr>
        <sz val="10"/>
        <color rgb="FF000000"/>
        <rFont val="Tahoma"/>
        <family val="2"/>
      </rPr>
      <t>0.28 m</t>
    </r>
    <r>
      <rPr>
        <vertAlign val="superscript"/>
        <sz val="10"/>
        <color rgb="FF000000"/>
        <rFont val="Tahoma"/>
        <family val="2"/>
      </rPr>
      <t>3</t>
    </r>
    <r>
      <rPr>
        <sz val="10"/>
        <color rgb="FF000000"/>
        <rFont val="Tahoma"/>
        <family val="2"/>
      </rPr>
      <t>/0.37 yd</t>
    </r>
    <r>
      <rPr>
        <vertAlign val="superscript"/>
        <sz val="10"/>
        <color rgb="FF000000"/>
        <rFont val="Tahoma"/>
        <family val="2"/>
      </rPr>
      <t>30.28 m3</t>
    </r>
    <r>
      <rPr>
        <sz val="10"/>
        <color rgb="FF000000"/>
        <rFont val="Tahoma"/>
        <family val="2"/>
      </rPr>
      <t>/0.37 yd</t>
    </r>
    <r>
      <rPr>
        <vertAlign val="superscript"/>
        <sz val="10"/>
        <color rgb="FF000000"/>
        <rFont val="Tahoma"/>
        <family val="2"/>
      </rPr>
      <t>30.28 m3</t>
    </r>
    <r>
      <rPr>
        <sz val="10"/>
        <color rgb="FF000000"/>
        <rFont val="Tahoma"/>
        <family val="2"/>
      </rPr>
      <t>/0.37 yd</t>
    </r>
    <r>
      <rPr>
        <vertAlign val="superscript"/>
        <sz val="10"/>
        <color rgb="FF000000"/>
        <rFont val="Tahoma"/>
        <family val="2"/>
      </rPr>
      <t>30.28 m3</t>
    </r>
    <r>
      <rPr>
        <sz val="10"/>
        <color rgb="FF000000"/>
        <rFont val="Tahoma"/>
        <family val="2"/>
      </rPr>
      <t>/0.37 yd</t>
    </r>
    <r>
      <rPr>
        <vertAlign val="superscript"/>
        <sz val="10"/>
        <color rgb="FF000000"/>
        <rFont val="Tahoma"/>
        <family val="2"/>
      </rPr>
      <t>30.28 m3</t>
    </r>
    <r>
      <rPr>
        <sz val="10"/>
        <color rgb="FF000000"/>
        <rFont val="Tahoma"/>
        <family val="2"/>
      </rPr>
      <t>/0.37 yd</t>
    </r>
    <r>
      <rPr>
        <vertAlign val="superscript"/>
        <sz val="10"/>
        <color rgb="FF000000"/>
        <rFont val="Tahoma"/>
        <family val="2"/>
      </rPr>
      <t>30.28 m3</t>
    </r>
    <r>
      <rPr>
        <sz val="10"/>
        <color rgb="FF000000"/>
        <rFont val="Tahoma"/>
        <family val="2"/>
      </rPr>
      <t>/0.37 yd</t>
    </r>
    <r>
      <rPr>
        <vertAlign val="superscript"/>
        <sz val="10"/>
        <color rgb="FF000000"/>
        <rFont val="Tahoma"/>
        <family val="2"/>
      </rPr>
      <t>3</t>
    </r>
  </si>
  <si>
    <t>5. FOUNDATION EQUIPMENT</t>
  </si>
  <si>
    <t>Diesel Hammer</t>
  </si>
  <si>
    <t>K25 - DSL</t>
  </si>
  <si>
    <t>7500 kg-m</t>
  </si>
  <si>
    <t>Vibro Hammer</t>
  </si>
  <si>
    <t>VIBRO FONCEUR, PTC25H1A</t>
  </si>
  <si>
    <t>45000 kg-m</t>
  </si>
  <si>
    <t>MHF12 w/ Hyd. Power Pack</t>
  </si>
  <si>
    <t>120 kN-m</t>
  </si>
  <si>
    <t>DPD600T Hydraulic Pile Driver</t>
  </si>
  <si>
    <t>60 ton</t>
  </si>
  <si>
    <t>Drilling Rig</t>
  </si>
  <si>
    <r>
      <rPr>
        <sz val="10"/>
        <color rgb="FF000000"/>
        <rFont val="Tahoma"/>
        <family val="2"/>
      </rPr>
      <t>C.M.V. TH18/65, 2000mm</t>
    </r>
    <r>
      <rPr>
        <sz val="10"/>
        <color rgb="FF000000"/>
        <rFont val="Arial Narrow"/>
        <family val="2"/>
      </rPr>
      <t>Ø</t>
    </r>
    <r>
      <rPr>
        <sz val="10"/>
        <color rgb="FF000000"/>
        <rFont val="Tahoma"/>
        <family val="2"/>
      </rPr>
      <t xml:space="preserve"> 65m depth &amp; 18000kg-m Drill TorqueC.M.V. TH18/65, 2000mm</t>
    </r>
    <r>
      <rPr>
        <sz val="10"/>
        <color rgb="FF000000"/>
        <rFont val="Arial Narrow"/>
        <family val="2"/>
      </rPr>
      <t>Ø</t>
    </r>
    <r>
      <rPr>
        <sz val="10"/>
        <color rgb="FF000000"/>
        <rFont val="Tahoma"/>
        <family val="2"/>
      </rPr>
      <t xml:space="preserve"> 65m depth &amp; 18000kg-m Drill TorqueC.M.V. TH18/65, 2000mm</t>
    </r>
    <r>
      <rPr>
        <sz val="10"/>
        <color rgb="FF000000"/>
        <rFont val="Arial Narrow"/>
        <family val="2"/>
      </rPr>
      <t>Ø</t>
    </r>
    <r>
      <rPr>
        <sz val="10"/>
        <color rgb="FF000000"/>
        <rFont val="Tahoma"/>
        <family val="2"/>
      </rPr>
      <t xml:space="preserve"> 65m depth &amp; 18000kg-m Drill TorqueC.M.V. TH18/65, 2000mm</t>
    </r>
    <r>
      <rPr>
        <sz val="10"/>
        <color rgb="FF000000"/>
        <rFont val="Arial Narrow"/>
        <family val="2"/>
      </rPr>
      <t>Ø</t>
    </r>
    <r>
      <rPr>
        <sz val="10"/>
        <color rgb="FF000000"/>
        <rFont val="Tahoma"/>
        <family val="2"/>
      </rPr>
      <t xml:space="preserve"> 65m depth &amp; 18000kg-m Drill TorqueC.M.V. TH18/65, 2000mm</t>
    </r>
    <r>
      <rPr>
        <sz val="10"/>
        <color rgb="FF000000"/>
        <rFont val="Arial Narrow"/>
        <family val="2"/>
      </rPr>
      <t>Ø</t>
    </r>
    <r>
      <rPr>
        <sz val="10"/>
        <color rgb="FF000000"/>
        <rFont val="Tahoma"/>
        <family val="2"/>
      </rPr>
      <t xml:space="preserve"> 65m depth &amp; 18000kg-m Drill TorqueC.M.V. TH18/65, 2000mm</t>
    </r>
    <r>
      <rPr>
        <sz val="10"/>
        <color rgb="FF000000"/>
        <rFont val="Arial Narrow"/>
        <family val="2"/>
      </rPr>
      <t>Ø</t>
    </r>
    <r>
      <rPr>
        <sz val="10"/>
        <color rgb="FF000000"/>
        <rFont val="Tahoma"/>
        <family val="2"/>
      </rPr>
      <t xml:space="preserve"> 65m depth &amp; 18000kg-m Drill Torque</t>
    </r>
  </si>
  <si>
    <t>6. ASPHALTING EQUIPMENT</t>
  </si>
  <si>
    <t>Asphalt Distributor</t>
  </si>
  <si>
    <t>ROSCO/5 ton</t>
  </si>
  <si>
    <t>3000 USG</t>
  </si>
  <si>
    <t>Asphalt Paver</t>
  </si>
  <si>
    <t>NF220BIIVDM</t>
  </si>
  <si>
    <t>7. CONCRETING EQUIPMENT</t>
  </si>
  <si>
    <t>Concrete Paver</t>
  </si>
  <si>
    <t>COMMANDER III, FOUR-TRACK</t>
  </si>
  <si>
    <t>Concrete Screeder</t>
  </si>
  <si>
    <t>Wacker Truss Screed</t>
  </si>
  <si>
    <t>One Bagger Mixer</t>
  </si>
  <si>
    <t>4-6</t>
  </si>
  <si>
    <t>Transit Mixer</t>
  </si>
  <si>
    <r>
      <rPr>
        <sz val="10"/>
        <color rgb="FF000000"/>
        <rFont val="Tahoma"/>
        <family val="2"/>
      </rPr>
      <t>5 ft</t>
    </r>
    <r>
      <rPr>
        <vertAlign val="superscript"/>
        <sz val="10"/>
        <color rgb="FF000000"/>
        <rFont val="Tahoma"/>
        <family val="2"/>
      </rPr>
      <t>3</t>
    </r>
    <r>
      <rPr>
        <sz val="10"/>
        <color rgb="FF000000"/>
        <rFont val="Tahoma"/>
        <family val="2"/>
      </rPr>
      <t>/min5 ft</t>
    </r>
    <r>
      <rPr>
        <vertAlign val="superscript"/>
        <sz val="10"/>
        <color rgb="FF000000"/>
        <rFont val="Tahoma"/>
        <family val="2"/>
      </rPr>
      <t>3</t>
    </r>
    <r>
      <rPr>
        <sz val="10"/>
        <color rgb="FF000000"/>
        <rFont val="Tahoma"/>
        <family val="2"/>
      </rPr>
      <t>/min5 ft</t>
    </r>
    <r>
      <rPr>
        <vertAlign val="superscript"/>
        <sz val="10"/>
        <color rgb="FF000000"/>
        <rFont val="Tahoma"/>
        <family val="2"/>
      </rPr>
      <t>3</t>
    </r>
    <r>
      <rPr>
        <sz val="10"/>
        <color rgb="FF000000"/>
        <rFont val="Tahoma"/>
        <family val="2"/>
      </rPr>
      <t>/min5 ft</t>
    </r>
    <r>
      <rPr>
        <vertAlign val="superscript"/>
        <sz val="10"/>
        <color rgb="FF000000"/>
        <rFont val="Tahoma"/>
        <family val="2"/>
      </rPr>
      <t>3</t>
    </r>
    <r>
      <rPr>
        <sz val="10"/>
        <color rgb="FF000000"/>
        <rFont val="Tahoma"/>
        <family val="2"/>
      </rPr>
      <t>/min5 ft</t>
    </r>
    <r>
      <rPr>
        <vertAlign val="superscript"/>
        <sz val="10"/>
        <color rgb="FF000000"/>
        <rFont val="Tahoma"/>
        <family val="2"/>
      </rPr>
      <t>3</t>
    </r>
    <r>
      <rPr>
        <sz val="10"/>
        <color rgb="FF000000"/>
        <rFont val="Tahoma"/>
        <family val="2"/>
      </rPr>
      <t>/min</t>
    </r>
  </si>
  <si>
    <t>Concrete Pump</t>
  </si>
  <si>
    <t>Diesel Driven, Trailer-Mounted Less Pipe</t>
  </si>
  <si>
    <r>
      <rPr>
        <sz val="10"/>
        <color rgb="FF000000"/>
        <rFont val="Tahoma"/>
        <family val="2"/>
      </rPr>
      <t>100 ft</t>
    </r>
    <r>
      <rPr>
        <vertAlign val="superscript"/>
        <sz val="10"/>
        <color rgb="FF000000"/>
        <rFont val="Tahoma"/>
        <family val="2"/>
      </rPr>
      <t>3</t>
    </r>
    <r>
      <rPr>
        <sz val="10"/>
        <color rgb="FF000000"/>
        <rFont val="Tahoma"/>
        <family val="2"/>
      </rPr>
      <t>/min100 ft</t>
    </r>
    <r>
      <rPr>
        <vertAlign val="superscript"/>
        <sz val="10"/>
        <color rgb="FF000000"/>
        <rFont val="Tahoma"/>
        <family val="2"/>
      </rPr>
      <t>3</t>
    </r>
    <r>
      <rPr>
        <sz val="10"/>
        <color rgb="FF000000"/>
        <rFont val="Tahoma"/>
        <family val="2"/>
      </rPr>
      <t>/min100 ft</t>
    </r>
    <r>
      <rPr>
        <vertAlign val="superscript"/>
        <sz val="10"/>
        <color rgb="FF000000"/>
        <rFont val="Tahoma"/>
        <family val="2"/>
      </rPr>
      <t>3</t>
    </r>
    <r>
      <rPr>
        <sz val="10"/>
        <color rgb="FF000000"/>
        <rFont val="Tahoma"/>
        <family val="2"/>
      </rPr>
      <t>/min100 ft</t>
    </r>
    <r>
      <rPr>
        <vertAlign val="superscript"/>
        <sz val="10"/>
        <color rgb="FF000000"/>
        <rFont val="Tahoma"/>
        <family val="2"/>
      </rPr>
      <t>3</t>
    </r>
    <r>
      <rPr>
        <sz val="10"/>
        <color rgb="FF000000"/>
        <rFont val="Tahoma"/>
        <family val="2"/>
      </rPr>
      <t>/min100 ft</t>
    </r>
    <r>
      <rPr>
        <vertAlign val="superscript"/>
        <sz val="10"/>
        <color rgb="FF000000"/>
        <rFont val="Tahoma"/>
        <family val="2"/>
      </rPr>
      <t>3</t>
    </r>
    <r>
      <rPr>
        <sz val="10"/>
        <color rgb="FF000000"/>
        <rFont val="Tahoma"/>
        <family val="2"/>
      </rPr>
      <t>/min</t>
    </r>
  </si>
  <si>
    <t>Grouting Machine</t>
  </si>
  <si>
    <t>GARNER DENVER 6X3X6, Air Driven</t>
  </si>
  <si>
    <t>8. HAULING EQUIPMENT</t>
  </si>
  <si>
    <t>Dump Truck</t>
  </si>
  <si>
    <r>
      <rPr>
        <sz val="10"/>
        <color rgb="FF000000"/>
        <rFont val="Tahoma"/>
        <family val="2"/>
      </rPr>
      <t>12 yd</t>
    </r>
    <r>
      <rPr>
        <vertAlign val="superscript"/>
        <sz val="10"/>
        <color rgb="FF000000"/>
        <rFont val="Tahoma"/>
        <family val="2"/>
      </rPr>
      <t>312 yd312 yd312 yd312 yd3</t>
    </r>
  </si>
  <si>
    <t>Cargo/Service Truck</t>
  </si>
  <si>
    <t>2-5 mt</t>
  </si>
  <si>
    <t>Boom Truck</t>
  </si>
  <si>
    <t>NXG1160D3ZAL1X</t>
  </si>
  <si>
    <t>9-10 mt</t>
  </si>
  <si>
    <t>Water Truck/Pump</t>
  </si>
  <si>
    <t>All Makes</t>
  </si>
  <si>
    <t>9. AIR EQUIPMENT</t>
  </si>
  <si>
    <t>Air Compressor</t>
  </si>
  <si>
    <t>15-35 cfm</t>
  </si>
  <si>
    <t>126-160 cfm</t>
  </si>
  <si>
    <t>161-185 cfm</t>
  </si>
  <si>
    <t>356-450 cfm</t>
  </si>
  <si>
    <t>Diamond Drill</t>
  </si>
  <si>
    <t>CP-8</t>
  </si>
  <si>
    <t>Pneumatic Drilling Machine</t>
  </si>
  <si>
    <t>10. PUMPING EQUIPMENT</t>
  </si>
  <si>
    <r>
      <rPr>
        <sz val="10"/>
        <color rgb="FF000000"/>
        <rFont val="Tahoma"/>
        <family val="2"/>
      </rPr>
      <t xml:space="preserve">Water Pump, 100 mm suction </t>
    </r>
    <r>
      <rPr>
        <sz val="10"/>
        <color rgb="FF000000"/>
        <rFont val="Arial Narrow"/>
        <family val="2"/>
      </rPr>
      <t>ØWater Pump, 100 mm suction ØWater Pump, 100 mm suction ØWater Pump, 100 mm suction Ø</t>
    </r>
  </si>
  <si>
    <t>11. POWER GENERATING EQUIPMENT</t>
  </si>
  <si>
    <t>kW</t>
  </si>
  <si>
    <t>kVA</t>
  </si>
  <si>
    <t>Generator Set</t>
  </si>
  <si>
    <t>12. SHOP EQUIPMENT</t>
  </si>
  <si>
    <t>AMPERE</t>
  </si>
  <si>
    <t>Welding Machine</t>
  </si>
  <si>
    <t>Gas/Diesel Driven</t>
  </si>
  <si>
    <t>Electric Driven/DC Output</t>
  </si>
  <si>
    <t>14. MISCELLANEOUS EQUIPMENT</t>
  </si>
  <si>
    <t>MAKE/MODEL/CAPACITY</t>
  </si>
  <si>
    <t>Portable Breaker</t>
  </si>
  <si>
    <t>WACKER PORTABLE PETROL BREAKER, BHF30S</t>
  </si>
  <si>
    <t>Chainsaw</t>
  </si>
  <si>
    <t>HUSQVARNA 2100 CD with CR22, 7 ft Reach, 9 in Standard Blade</t>
  </si>
  <si>
    <r>
      <rPr>
        <sz val="10"/>
        <color rgb="FF000000"/>
        <rFont val="Tahoma"/>
        <family val="2"/>
      </rPr>
      <t xml:space="preserve">Flexible Shaft Type 2" Head </t>
    </r>
    <r>
      <rPr>
        <sz val="10"/>
        <color rgb="FF000000"/>
        <rFont val="Arial Narrow"/>
        <family val="2"/>
      </rPr>
      <t>Ø</t>
    </r>
    <r>
      <rPr>
        <sz val="10"/>
        <color rgb="FF000000"/>
        <rFont val="Tahoma"/>
        <family val="2"/>
      </rPr>
      <t xml:space="preserve"> with 5 Amperes Gasoline Drive UnitFlexible Shaft Type 2" Head </t>
    </r>
    <r>
      <rPr>
        <sz val="10"/>
        <color rgb="FF000000"/>
        <rFont val="Arial Narrow"/>
        <family val="2"/>
      </rPr>
      <t>Ø</t>
    </r>
    <r>
      <rPr>
        <sz val="10"/>
        <color rgb="FF000000"/>
        <rFont val="Tahoma"/>
        <family val="2"/>
      </rPr>
      <t xml:space="preserve"> with 5 Amperes Gasoline Drive UnitFlexible Shaft Type 2" Head </t>
    </r>
    <r>
      <rPr>
        <sz val="10"/>
        <color rgb="FF000000"/>
        <rFont val="Arial Narrow"/>
        <family val="2"/>
      </rPr>
      <t>Ø</t>
    </r>
    <r>
      <rPr>
        <sz val="10"/>
        <color rgb="FF000000"/>
        <rFont val="Tahoma"/>
        <family val="2"/>
      </rPr>
      <t xml:space="preserve"> with 5 Amperes Gasoline Drive Unit</t>
    </r>
  </si>
  <si>
    <t>Concrete Saw</t>
  </si>
  <si>
    <r>
      <rPr>
        <sz val="10"/>
        <color rgb="FF000000"/>
        <rFont val="Tahoma"/>
        <family val="2"/>
      </rPr>
      <t xml:space="preserve">14" Blade </t>
    </r>
    <r>
      <rPr>
        <sz val="10"/>
        <color rgb="FF000000"/>
        <rFont val="Arial Narrow"/>
        <family val="2"/>
      </rPr>
      <t>Ø</t>
    </r>
    <r>
      <rPr>
        <sz val="10"/>
        <color rgb="FF000000"/>
        <rFont val="Tahoma"/>
        <family val="2"/>
      </rPr>
      <t xml:space="preserve"> with 4 3/4" Cutting Depth14" Blade </t>
    </r>
    <r>
      <rPr>
        <sz val="10"/>
        <color rgb="FF000000"/>
        <rFont val="Arial Narrow"/>
        <family val="2"/>
      </rPr>
      <t>Ø</t>
    </r>
    <r>
      <rPr>
        <sz val="10"/>
        <color rgb="FF000000"/>
        <rFont val="Tahoma"/>
        <family val="2"/>
      </rPr>
      <t xml:space="preserve"> with 4 3/4" Cutting Depth14" Blade </t>
    </r>
    <r>
      <rPr>
        <sz val="10"/>
        <color rgb="FF000000"/>
        <rFont val="Arial Narrow"/>
        <family val="2"/>
      </rPr>
      <t>Ø</t>
    </r>
    <r>
      <rPr>
        <sz val="10"/>
        <color rgb="FF000000"/>
        <rFont val="Tahoma"/>
        <family val="2"/>
      </rPr>
      <t xml:space="preserve"> with 4 3/4" Cutting Depth</t>
    </r>
  </si>
  <si>
    <t>Bar Cutter</t>
  </si>
  <si>
    <r>
      <rPr>
        <sz val="10"/>
        <color rgb="FF000000"/>
        <rFont val="Tahoma"/>
        <family val="2"/>
      </rPr>
      <t xml:space="preserve">25 mm Maximum Rebar </t>
    </r>
    <r>
      <rPr>
        <sz val="10"/>
        <color rgb="FF000000"/>
        <rFont val="Arial Narrow"/>
        <family val="2"/>
      </rPr>
      <t>Ø</t>
    </r>
    <r>
      <rPr>
        <sz val="10"/>
        <color rgb="FF000000"/>
        <rFont val="Tahoma"/>
        <family val="2"/>
      </rPr>
      <t xml:space="preserve"> (Grade 40), Single Phase25 mm Maximum Rebar </t>
    </r>
    <r>
      <rPr>
        <sz val="10"/>
        <color rgb="FF000000"/>
        <rFont val="Arial Narrow"/>
        <family val="2"/>
      </rPr>
      <t>Ø</t>
    </r>
    <r>
      <rPr>
        <sz val="10"/>
        <color rgb="FF000000"/>
        <rFont val="Tahoma"/>
        <family val="2"/>
      </rPr>
      <t xml:space="preserve"> (Grade 40), Single Phase</t>
    </r>
  </si>
  <si>
    <t>Bar Bender</t>
  </si>
  <si>
    <t>25 mm Maximum Rebar Ø, Three Phase</t>
  </si>
  <si>
    <t>Tower Height = 28 ft, No. of Lights = 4 x 1000 watts, hp = 10.50, Generator = 5 kW</t>
  </si>
  <si>
    <t>15. PLANTS</t>
  </si>
  <si>
    <t>Asphalt Concrete Plant</t>
  </si>
  <si>
    <t>Complete with: Cold Feed System, bins, feeder and collecting conveyors. Drying and Burner System, feed conveyors drum and fully modulating burner. Fuel feed system. Screening-Weighing-Mixing System, hot elevator, vibrating screen, hot bins, weighing scale and twinshaft pugmill mixer. Dust collection and filler feeding system, bag  filter and exhaust fan. Thermal Hot Oil System, delivery pump and heater and Computerized Plant Control System.</t>
  </si>
  <si>
    <t>Complete with: Cement silo and screw conveyor system. Water and supply system. Aggregate storage bins with vibrators and conveyors system. Weigh hopper with electronic loadcell for aggregates, cement, water and admixture. Central twinshaft mixer. Hydraulic System and Computerized Plant Control System.</t>
  </si>
  <si>
    <t>18. OTHERS</t>
  </si>
  <si>
    <t>Power Broom</t>
  </si>
  <si>
    <t>Towed Type with Engine 2 m wide 6-30 km/h sweeping capacity</t>
  </si>
  <si>
    <t>Hydroseeding Machine</t>
  </si>
  <si>
    <t>Steel Wheel with Nylon Rope</t>
  </si>
  <si>
    <t>Improvised Bamboo with Bucket</t>
  </si>
  <si>
    <t>Asphalt Kettle/Drum</t>
  </si>
  <si>
    <t>Drop Hammer</t>
  </si>
  <si>
    <t>Drop Hammer with accessories</t>
  </si>
  <si>
    <t>1 Air Compressor with 2 Jack Hammer</t>
  </si>
  <si>
    <t>Pile Integrity Testing (Sonic) &amp; accessories
(includes professional fee of Structural Engineer &amp; reports)</t>
  </si>
  <si>
    <t>Dynamic Pile Testing (includes professional fee of Structural Engineer &amp; reports)</t>
  </si>
  <si>
    <t>Pile Integrity Testing &amp; accessories
(includes professional fee of Structural Engineer &amp; reports)</t>
  </si>
  <si>
    <t>Grinding Machine and accessories</t>
  </si>
  <si>
    <t>Note: Fuel &amp; Oil/Lubricant cost as of October 26, 2022</t>
  </si>
  <si>
    <t>Name of Project</t>
  </si>
  <si>
    <t>Location</t>
  </si>
  <si>
    <t>Material</t>
  </si>
  <si>
    <t>Material Source</t>
  </si>
  <si>
    <t>Baler</t>
  </si>
  <si>
    <t>Material Cost</t>
  </si>
  <si>
    <t>per bag</t>
  </si>
  <si>
    <t>Distance (from source to site)</t>
  </si>
  <si>
    <t>Project Site</t>
  </si>
  <si>
    <t>Distance</t>
  </si>
  <si>
    <t>NO. OF PERSON/S</t>
  </si>
  <si>
    <t>NO. OF HOUR/S</t>
  </si>
  <si>
    <t>HOURLY RATE</t>
  </si>
  <si>
    <t>Helper</t>
  </si>
  <si>
    <t>Driver</t>
  </si>
  <si>
    <t>NO. OF UNITS</t>
  </si>
  <si>
    <t>Trailer Truck</t>
  </si>
  <si>
    <t>HAULING COST per Kilogram</t>
  </si>
  <si>
    <r>
      <rPr>
        <sz val="11"/>
        <color rgb="FFA6A6A6"/>
        <rFont val="Arial Narrow"/>
        <family val="2"/>
      </rPr>
      <t>1</t>
    </r>
    <r>
      <rPr>
        <sz val="11"/>
        <color rgb="FF000000"/>
        <rFont val="Arial Narrow"/>
        <family val="2"/>
      </rPr>
      <t>=</t>
    </r>
  </si>
  <si>
    <t xml:space="preserve">Total Cost    </t>
  </si>
  <si>
    <t xml:space="preserve">  Total capacity of Truck (kg)   </t>
  </si>
  <si>
    <t>Hauling Cost per Bag of Cement =</t>
  </si>
  <si>
    <t>Cost per Bag of Cement =</t>
  </si>
  <si>
    <t>Note: 1 Bag of Cement = 40kg</t>
  </si>
  <si>
    <t>NCR</t>
  </si>
  <si>
    <r>
      <rPr>
        <sz val="11"/>
        <color rgb="FF000000"/>
        <rFont val="Arial Narrow"/>
        <family val="2"/>
      </rPr>
      <t xml:space="preserve">Rizal Monument
to
Aurora Province Welcoming Arch
</t>
    </r>
    <r>
      <rPr>
        <b/>
        <sz val="11"/>
        <color rgb="FF000000"/>
        <rFont val="Arial Narrow"/>
        <family val="2"/>
      </rPr>
      <t>(Villa)</t>
    </r>
  </si>
  <si>
    <r>
      <rPr>
        <sz val="11"/>
        <color rgb="FF000000"/>
        <rFont val="Arial Narrow"/>
        <family val="2"/>
      </rPr>
      <t xml:space="preserve">Rizal Monument
to
Regional Boundary
</t>
    </r>
    <r>
      <rPr>
        <b/>
        <sz val="11"/>
        <color rgb="FF000000"/>
        <rFont val="Arial Narrow"/>
        <family val="2"/>
      </rPr>
      <t>(Canili)</t>
    </r>
  </si>
  <si>
    <t xml:space="preserve"> Boundary (Villa/Canili)
to
Project Site
 </t>
  </si>
  <si>
    <t xml:space="preserve"> Boundary (Villa)
to
DPWH
 </t>
  </si>
  <si>
    <t xml:space="preserve">T O T A L       C Y C L E    T I M E     </t>
  </si>
  <si>
    <t xml:space="preserve"> HAULING COST per Kilogram</t>
  </si>
  <si>
    <t>Road</t>
  </si>
  <si>
    <t>Test</t>
  </si>
  <si>
    <t>Subtotal</t>
  </si>
  <si>
    <t>Err:509</t>
  </si>
  <si>
    <t>INDEX OF DRAWING</t>
  </si>
  <si>
    <t>SHEET NO.</t>
  </si>
  <si>
    <t>SHEET CONTENTS</t>
  </si>
  <si>
    <t>TITLE PAGE</t>
  </si>
  <si>
    <t>MAPS</t>
  </si>
  <si>
    <t>GENERAL NOTES, SYMBOLS AND ABBREVIATIONS</t>
  </si>
  <si>
    <t>GENERAL PLAN, GENERAL ELEVATION,
TYPICAL @ PIER SECTION,TYPICAL ABUTMENT SECTION,
 HYDRAULIC DESIGN DATA &amp; NOTES</t>
  </si>
  <si>
    <t>FRAMING PLAN, LONGITUDINAL SECTION</t>
  </si>
  <si>
    <t xml:space="preserve">SUPERSTRUCTURE CROSS SECTIONS,
REINFORCEMENT OVER PIER
</t>
  </si>
  <si>
    <t xml:space="preserve">GIRDER ELEVATION, DETAILS &amp; SECTION
(TYPE-IV) L = 25M
</t>
  </si>
  <si>
    <t xml:space="preserve">CONCRETE POURING SEQUENCE
 AND SECTION,
GIRDER DESIGN GUIDE AND
 CAMBER DIAGRAM
</t>
  </si>
  <si>
    <t xml:space="preserve">END AND INTERMEDIATE DIAPHRAGM DETAILS,
SECTION AND FIX CONNECTION
</t>
  </si>
  <si>
    <t xml:space="preserve">PIER PLAN, ELEVATION, SECTION,
 SPIRAL SPLICE DETAILS AND
 RISER REINFORCEMENT DETAILS
</t>
  </si>
  <si>
    <t xml:space="preserve">DETAILS OF BORED PILE AT ABUTMENT
</t>
  </si>
  <si>
    <t xml:space="preserve">DETAILS OF BORED PILE AT PIER
</t>
  </si>
  <si>
    <t>LOCATION 1</t>
  </si>
  <si>
    <t>LOCATION 2</t>
  </si>
  <si>
    <t>LEFT SIDE</t>
  </si>
  <si>
    <t>check mo yung mga nakahide pati dito sa backup</t>
  </si>
  <si>
    <t>For Roadway (width = 5m), 200mm thk</t>
  </si>
  <si>
    <t>Note: Prices/Rates were based on CMPD 4TH Quarter CY 2022 for Materials, Memorandum dated December 29, 2022 for Labor cost and Memorandum dated May 18, 2022 for Equipment rental including Fuel &amp; Oil/Lubricant cost as of January 4, 2023 for DPWH Regional/District Engineering Offices</t>
  </si>
  <si>
    <t xml:space="preserve">WINLOVE A. ESTEVES
</t>
  </si>
  <si>
    <t>Backhoe (0.80 m³,138 hp)</t>
  </si>
  <si>
    <t>Lane</t>
  </si>
  <si>
    <t>b. Coco Lumber ( Braces &amp;Frames)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</si>
</sst>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0">
    <numFmt numFmtId="43" formatCode="_-* #,##0.00_-;\-* #,##0.00_-;_-* &quot;-&quot;??_-;_-@_-"/>
    <numFmt numFmtId="164" formatCode="_(* #,##0.00_);_(* \(#,##0.00\);_(* &quot;-&quot;??_);_(@_)"/>
    <numFmt numFmtId="165" formatCode="&quot; &quot;#,##0.0000000&quot; &quot;;&quot;-&quot;#,##0.0000000&quot; &quot;;&quot; -&quot;#&quot; &quot;;&quot; &quot;@&quot; &quot;"/>
    <numFmt numFmtId="166" formatCode="&quot; &quot;#,##0.00&quot; &quot;;&quot; (&quot;#,##0.00&quot;)&quot;;&quot; -&quot;#.0&quot; &quot;;&quot; &quot;@&quot; &quot;"/>
    <numFmt numFmtId="167" formatCode="0%&quot; of G.1&quot;"/>
    <numFmt numFmtId="168" formatCode="0.000"/>
    <numFmt numFmtId="169" formatCode="&quot; $&quot;#,##0.00&quot; &quot;;&quot; $(&quot;#,##0.00&quot;)&quot;;&quot; $-&quot;#&quot; &quot;;&quot; &quot;@&quot; &quot;"/>
    <numFmt numFmtId="170" formatCode="[$-409]0%"/>
    <numFmt numFmtId="171" formatCode="0&quot;+&quot;000&quot;      -&quot;"/>
    <numFmt numFmtId="172" formatCode="0.00&quot;%&quot;"/>
    <numFmt numFmtId="173" formatCode="&quot; &quot;#,##0.000&quot; &quot;;&quot; (&quot;#,##0.000&quot;)&quot;;&quot; -&quot;#&quot; &quot;;&quot; &quot;@&quot; &quot;"/>
    <numFmt numFmtId="174" formatCode="&quot; ₱&quot;#,##0.00&quot; &quot;;&quot; ₱(&quot;#,##0.00&quot;)&quot;;&quot; ₱-&quot;#&quot; &quot;;&quot; &quot;@&quot; &quot;"/>
    <numFmt numFmtId="175" formatCode="[$-409]General"/>
    <numFmt numFmtId="176" formatCode="&quot; &quot;#,##0.0&quot; &quot;;&quot; (&quot;#,##0.0&quot;)&quot;;&quot; -&quot;#&quot; &quot;;&quot; &quot;@&quot; &quot;"/>
    <numFmt numFmtId="177" formatCode="0.000%"/>
    <numFmt numFmtId="178" formatCode="&quot; &quot;#,##0.0000&quot; &quot;;&quot; (&quot;#,##0.0000&quot;)&quot;;&quot; -&quot;#&quot; &quot;;&quot; &quot;@&quot; &quot;"/>
    <numFmt numFmtId="179" formatCode="[$$-409]#,##0.00;[Red]&quot;-&quot;[$$-409]#,##0.00"/>
    <numFmt numFmtId="180" formatCode="&quot; &quot;* #,##0.00&quot; &quot;;&quot; &quot;* &quot;(&quot;#,##0.00&quot;)&quot;;&quot; &quot;* &quot;-&quot;#&quot; &quot;;&quot; &quot;@&quot; &quot;"/>
    <numFmt numFmtId="181" formatCode="0.00&quot; DAYS/MONTH&quot;"/>
    <numFmt numFmtId="182" formatCode="&quot; &quot;#,##0.00000&quot; &quot;;&quot; (&quot;#,##0.00000&quot;)&quot;;&quot; -&quot;#&quot; &quot;;&quot; &quot;@&quot; &quot;"/>
    <numFmt numFmtId="183" formatCode="&quot; &quot;#,##0.00000&quot; &quot;;&quot;-&quot;#,##0.00000&quot; &quot;;&quot; -&quot;#&quot; &quot;;&quot; &quot;@&quot; &quot;"/>
    <numFmt numFmtId="184" formatCode="0.00000"/>
    <numFmt numFmtId="185" formatCode="0.0000"/>
    <numFmt numFmtId="186" formatCode="&quot; &quot;#,##0.00&quot; &quot;;&quot; (&quot;#,##0.00&quot;)&quot;;&quot; -&quot;#&quot; &quot;;&quot; &quot;@&quot; &quot;"/>
    <numFmt numFmtId="187" formatCode="[$₱-3409]#,##0.00"/>
    <numFmt numFmtId="188" formatCode="&quot; &quot;#,##0.00&quot; &quot;;&quot; (&quot;#,##0.00&quot;)&quot;;&quot; -&quot;#.00&quot; &quot;;&quot; &quot;@&quot; &quot;"/>
    <numFmt numFmtId="189" formatCode="[$-409]d\-mmm"/>
    <numFmt numFmtId="190" formatCode="0&quot;+&quot;000.00"/>
    <numFmt numFmtId="191" formatCode="0&quot; &quot;;&quot;(&quot;0&quot;)&quot;"/>
    <numFmt numFmtId="192" formatCode="&quot; &quot;* #,##0.0000&quot; &quot;;&quot; &quot;* &quot;(&quot;#,##0.0000&quot;)&quot;;&quot; &quot;* &quot;-&quot;#.000&quot; &quot;;&quot; &quot;@&quot; &quot;"/>
    <numFmt numFmtId="193" formatCode="0.00&quot; MONTHS&quot;"/>
    <numFmt numFmtId="194" formatCode="[$-409]#,##0.00"/>
    <numFmt numFmtId="195" formatCode="&quot; &quot;* #,##0.00000&quot; &quot;;&quot;-&quot;* #,##0.00000&quot; &quot;;&quot; &quot;* &quot;-&quot;#&quot; &quot;;&quot; &quot;@&quot; &quot;"/>
    <numFmt numFmtId="196" formatCode="[$-409]0"/>
    <numFmt numFmtId="197" formatCode="#,##0.00;[Red]#,##0.00"/>
    <numFmt numFmtId="198" formatCode="&quot; &quot;#,##0&quot; &quot;;&quot; (&quot;#,##0&quot;)&quot;;&quot; -&quot;#&quot; &quot;;&quot; &quot;@&quot; &quot;"/>
    <numFmt numFmtId="199" formatCode="[$PHP-409]&quot; &quot;#,##0.00;&quot;-&quot;[$PHP-409]&quot; &quot;#,##0.00"/>
    <numFmt numFmtId="200" formatCode="[$-409]0.00"/>
    <numFmt numFmtId="201" formatCode="&quot; &quot;#,##0.00&quot; &quot;;&quot;-&quot;#,##0.00&quot; &quot;;&quot; -&quot;#&quot; &quot;;&quot; &quot;@&quot; &quot;"/>
    <numFmt numFmtId="202" formatCode="&quot; &quot;* #,##0.0000&quot; &quot;;&quot; &quot;* &quot;(&quot;#,##0.0000&quot;)&quot;;&quot; &quot;* &quot;-&quot;#.00&quot; &quot;;&quot; &quot;@&quot; &quot;"/>
    <numFmt numFmtId="203" formatCode="[$-409]0.00%"/>
    <numFmt numFmtId="204" formatCode="_-* #,##0.00000_-;\-* #,##0.00000_-;_-* &quot;-&quot;??_-;_-@_-"/>
    <numFmt numFmtId="205" formatCode="0%&quot; of (G.1+H.1+I.1)&quot;"/>
    <numFmt numFmtId="206" formatCode="&quot; &quot;#,##0.000&quot; &quot;;&quot; (&quot;#,##0.000&quot;)&quot;;&quot; -&quot;#.00&quot; &quot;;&quot; &quot;@&quot; &quot;"/>
    <numFmt numFmtId="207" formatCode="&quot; &quot;* #,##0.00000&quot; &quot;;&quot; &quot;* &quot;(&quot;#,##0.00000&quot;)&quot;;&quot; &quot;* &quot;-&quot;#.0000&quot; &quot;;&quot; &quot;@&quot; &quot;"/>
    <numFmt numFmtId="208" formatCode="&quot; &quot;* #,##0.000000&quot; &quot;;&quot; &quot;* &quot;(&quot;#,##0.000000&quot;)&quot;;&quot; &quot;* &quot;-&quot;#.0000&quot; &quot;;&quot; &quot;@&quot; &quot;"/>
    <numFmt numFmtId="209" formatCode="&quot; &quot;* #,##0.00&quot; &quot;;&quot; &quot;* &quot;(&quot;#,##0.00&quot;)&quot;;&quot; &quot;* &quot;-&quot;#.0&quot; &quot;;&quot; &quot;@&quot; &quot;"/>
    <numFmt numFmtId="210" formatCode="&quot; &quot;#,##0.0000&quot; &quot;;&quot; (&quot;#,##0.0000&quot;)&quot;;&quot; -&quot;#.000&quot; &quot;;&quot; &quot;@&quot; &quot;"/>
    <numFmt numFmtId="211" formatCode="&quot; &quot;#,##0.0000&quot; &quot;;&quot; (&quot;#,##0.0000&quot;)&quot;;&quot; -&quot;#.00&quot; &quot;;&quot; &quot;@&quot; &quot;"/>
    <numFmt numFmtId="212" formatCode="&quot; &quot;#,##0.00000&quot; &quot;;&quot; (&quot;#,##0.00000&quot;)&quot;;&quot; -&quot;#.000&quot; &quot;;&quot; &quot;@&quot; &quot;"/>
  </numFmts>
  <fonts count="88">
    <font>
      <sz val="11"/>
      <color rgb="FF000000"/>
      <name val="Arial"/>
      <charset val="134"/>
    </font>
    <font>
      <sz val="12"/>
      <color rgb="FF000000"/>
      <name val="Arial"/>
      <family val="2"/>
    </font>
    <font>
      <b/>
      <sz val="12"/>
      <color rgb="FF000000"/>
      <name val="Arial"/>
      <family val="2"/>
    </font>
    <font>
      <b/>
      <sz val="11"/>
      <color rgb="FF000000"/>
      <name val="Arial"/>
      <family val="2"/>
    </font>
    <font>
      <sz val="11"/>
      <color rgb="FF000000"/>
      <name val="Arial Narrow"/>
      <family val="2"/>
    </font>
    <font>
      <b/>
      <sz val="11"/>
      <color rgb="FF000000"/>
      <name val="Arial Narrow"/>
      <family val="2"/>
    </font>
    <font>
      <b/>
      <i/>
      <sz val="11"/>
      <color rgb="FF000000"/>
      <name val="Arial Narrow"/>
      <family val="2"/>
    </font>
    <font>
      <b/>
      <sz val="13"/>
      <color rgb="FF000000"/>
      <name val="Arial Narrow"/>
      <family val="2"/>
    </font>
    <font>
      <i/>
      <sz val="9"/>
      <color rgb="FF000000"/>
      <name val="Arial Narrow"/>
      <family val="2"/>
    </font>
    <font>
      <sz val="11"/>
      <color rgb="FFC00000"/>
      <name val="Arial Narrow"/>
      <family val="2"/>
    </font>
    <font>
      <sz val="11"/>
      <color rgb="FFFF0000"/>
      <name val="Arial Narrow"/>
      <family val="2"/>
    </font>
    <font>
      <sz val="10"/>
      <color rgb="FF000000"/>
      <name val="Tahoma"/>
      <family val="2"/>
    </font>
    <font>
      <b/>
      <sz val="10"/>
      <color rgb="FF000000"/>
      <name val="Tahoma"/>
      <family val="2"/>
    </font>
    <font>
      <b/>
      <sz val="8"/>
      <color rgb="FF000000"/>
      <name val="Tahoma"/>
      <family val="2"/>
    </font>
    <font>
      <sz val="10"/>
      <color rgb="FFFF0000"/>
      <name val="Tahoma"/>
      <family val="2"/>
    </font>
    <font>
      <sz val="8"/>
      <color rgb="FF000000"/>
      <name val="Tahoma"/>
      <family val="2"/>
    </font>
    <font>
      <sz val="11"/>
      <color rgb="FF000000"/>
      <name val="Cambria1"/>
      <charset val="134"/>
    </font>
    <font>
      <b/>
      <sz val="11"/>
      <color rgb="FF000000"/>
      <name val="Cambria1"/>
      <charset val="134"/>
    </font>
    <font>
      <sz val="11"/>
      <color theme="1"/>
      <name val="Arial"/>
      <family val="2"/>
    </font>
    <font>
      <b/>
      <sz val="9"/>
      <color theme="1"/>
      <name val="Arial"/>
      <family val="2"/>
    </font>
    <font>
      <b/>
      <sz val="11"/>
      <color theme="1"/>
      <name val="Arial"/>
      <family val="2"/>
    </font>
    <font>
      <sz val="11"/>
      <color rgb="FFFF0000"/>
      <name val="Arial"/>
      <family val="2"/>
    </font>
    <font>
      <sz val="10"/>
      <color theme="1"/>
      <name val="Arial"/>
      <family val="2"/>
    </font>
    <font>
      <b/>
      <sz val="9"/>
      <color rgb="FF000000"/>
      <name val="Arial"/>
      <family val="2"/>
    </font>
    <font>
      <i/>
      <sz val="11"/>
      <color rgb="FF000000"/>
      <name val="Arial"/>
      <family val="2"/>
    </font>
    <font>
      <sz val="10"/>
      <color rgb="FF000000"/>
      <name val="Arial"/>
      <family val="2"/>
    </font>
    <font>
      <sz val="13"/>
      <color rgb="FF000000"/>
      <name val="Arial"/>
      <family val="2"/>
    </font>
    <font>
      <i/>
      <sz val="9"/>
      <color rgb="FF000000"/>
      <name val="Arial"/>
      <family val="2"/>
    </font>
    <font>
      <sz val="11"/>
      <color rgb="FFFFFF00"/>
      <name val="Arial"/>
      <family val="2"/>
    </font>
    <font>
      <b/>
      <sz val="11"/>
      <color rgb="FFFF0000"/>
      <name val="Arial"/>
      <family val="2"/>
    </font>
    <font>
      <b/>
      <i/>
      <sz val="11"/>
      <color rgb="FF000000"/>
      <name val="Arial"/>
      <family val="2"/>
    </font>
    <font>
      <b/>
      <sz val="11"/>
      <color rgb="FFC00000"/>
      <name val="Arial"/>
      <family val="2"/>
    </font>
    <font>
      <b/>
      <sz val="13"/>
      <color rgb="FF000000"/>
      <name val="Calibri"/>
      <family val="2"/>
    </font>
    <font>
      <sz val="13"/>
      <color rgb="FF000000"/>
      <name val="Calibri"/>
      <family val="2"/>
    </font>
    <font>
      <sz val="11"/>
      <color rgb="FFC00000"/>
      <name val="Arial"/>
      <family val="2"/>
    </font>
    <font>
      <sz val="8"/>
      <color rgb="FF000000"/>
      <name val="Arial"/>
      <family val="2"/>
    </font>
    <font>
      <b/>
      <sz val="8"/>
      <color rgb="FF000000"/>
      <name val="Arial"/>
      <family val="2"/>
    </font>
    <font>
      <b/>
      <sz val="10"/>
      <color rgb="FF000000"/>
      <name val="Arial"/>
      <family val="2"/>
    </font>
    <font>
      <b/>
      <u/>
      <sz val="11"/>
      <color rgb="FF000000"/>
      <name val="Arial"/>
      <family val="2"/>
    </font>
    <font>
      <sz val="11"/>
      <color rgb="FFFFFFFF"/>
      <name val="Arial"/>
      <family val="2"/>
    </font>
    <font>
      <b/>
      <sz val="16"/>
      <color rgb="FF000000"/>
      <name val="Arial"/>
      <family val="2"/>
    </font>
    <font>
      <b/>
      <sz val="20"/>
      <color rgb="FF000000"/>
      <name val="Arial"/>
      <family val="2"/>
    </font>
    <font>
      <b/>
      <sz val="13"/>
      <color rgb="FF000000"/>
      <name val="Arial"/>
      <family val="2"/>
    </font>
    <font>
      <sz val="11"/>
      <color rgb="FFFFC000"/>
      <name val="Arial"/>
      <family val="2"/>
    </font>
    <font>
      <sz val="12"/>
      <color rgb="FFE46C0A"/>
      <name val="Arial"/>
      <family val="2"/>
    </font>
    <font>
      <b/>
      <sz val="11"/>
      <color rgb="FF002060"/>
      <name val="Arial"/>
      <family val="2"/>
    </font>
    <font>
      <b/>
      <sz val="14"/>
      <color rgb="FF000000"/>
      <name val="Arial"/>
      <family val="2"/>
    </font>
    <font>
      <sz val="14"/>
      <color rgb="FF000000"/>
      <name val="Arial"/>
      <family val="2"/>
    </font>
    <font>
      <sz val="12"/>
      <color theme="1"/>
      <name val="Arial"/>
      <family val="2"/>
    </font>
    <font>
      <sz val="12"/>
      <color rgb="FFFF0000"/>
      <name val="Arial"/>
      <family val="2"/>
    </font>
    <font>
      <b/>
      <sz val="18"/>
      <color rgb="FF000000"/>
      <name val="Arial"/>
      <family val="2"/>
    </font>
    <font>
      <sz val="16"/>
      <color rgb="FF000000"/>
      <name val="Arial"/>
      <family val="2"/>
    </font>
    <font>
      <i/>
      <sz val="10"/>
      <color rgb="FF000000"/>
      <name val="Arial"/>
      <family val="2"/>
    </font>
    <font>
      <sz val="9"/>
      <color rgb="FF000000"/>
      <name val="Arial"/>
      <family val="2"/>
    </font>
    <font>
      <b/>
      <sz val="14"/>
      <color rgb="FF000000"/>
      <name val="Arial Narrow"/>
      <family val="2"/>
    </font>
    <font>
      <sz val="11"/>
      <color rgb="FFFF9900"/>
      <name val="Calibri"/>
      <family val="2"/>
    </font>
    <font>
      <b/>
      <sz val="11"/>
      <color rgb="FFFFFFFF"/>
      <name val="Calibri"/>
      <family val="2"/>
    </font>
    <font>
      <sz val="11"/>
      <color rgb="FF000000"/>
      <name val="Calibri"/>
      <family val="2"/>
    </font>
    <font>
      <sz val="11"/>
      <color rgb="FFFFFFFF"/>
      <name val="Calibri"/>
      <family val="2"/>
    </font>
    <font>
      <b/>
      <sz val="11"/>
      <color rgb="FF003366"/>
      <name val="Calibri"/>
      <family val="2"/>
    </font>
    <font>
      <b/>
      <sz val="11"/>
      <color rgb="FFFF9900"/>
      <name val="Calibri"/>
      <family val="2"/>
    </font>
    <font>
      <sz val="11"/>
      <color rgb="FF333399"/>
      <name val="Calibri"/>
      <family val="2"/>
    </font>
    <font>
      <sz val="11"/>
      <color rgb="FF800080"/>
      <name val="Calibri"/>
      <family val="2"/>
    </font>
    <font>
      <sz val="11"/>
      <color rgb="FF008000"/>
      <name val="Calibri"/>
      <family val="2"/>
    </font>
    <font>
      <u/>
      <sz val="11"/>
      <color rgb="FF0000FF"/>
      <name val="Calibri"/>
      <family val="2"/>
    </font>
    <font>
      <i/>
      <sz val="11"/>
      <color rgb="FF808080"/>
      <name val="Calibri"/>
      <family val="2"/>
    </font>
    <font>
      <b/>
      <i/>
      <sz val="16"/>
      <color rgb="FF000000"/>
      <name val="Arial"/>
      <family val="2"/>
    </font>
    <font>
      <b/>
      <sz val="13"/>
      <color rgb="FF003366"/>
      <name val="Calibri"/>
      <family val="2"/>
    </font>
    <font>
      <u/>
      <sz val="10"/>
      <color rgb="FF0000FF"/>
      <name val="Arial"/>
      <family val="2"/>
    </font>
    <font>
      <b/>
      <sz val="15"/>
      <color rgb="FF003366"/>
      <name val="Calibri"/>
      <family val="2"/>
    </font>
    <font>
      <sz val="11"/>
      <color rgb="FF993300"/>
      <name val="Calibri"/>
      <family val="2"/>
    </font>
    <font>
      <b/>
      <sz val="11"/>
      <color rgb="FF333333"/>
      <name val="Calibri"/>
      <family val="2"/>
    </font>
    <font>
      <b/>
      <i/>
      <u/>
      <sz val="11"/>
      <color rgb="FF000000"/>
      <name val="Arial"/>
      <family val="2"/>
    </font>
    <font>
      <b/>
      <sz val="18"/>
      <color rgb="FF003366"/>
      <name val="Cambria"/>
      <family val="1"/>
    </font>
    <font>
      <b/>
      <sz val="11"/>
      <color rgb="FF000000"/>
      <name val="Calibri"/>
      <family val="2"/>
    </font>
    <font>
      <sz val="11"/>
      <color rgb="FFFF0000"/>
      <name val="Calibri"/>
      <family val="2"/>
    </font>
    <font>
      <sz val="11"/>
      <color rgb="FF000000"/>
      <name val="돋움"/>
      <charset val="134"/>
    </font>
    <font>
      <sz val="11"/>
      <color rgb="FFA6A6A6"/>
      <name val="Arial Narrow"/>
      <family val="2"/>
    </font>
    <font>
      <i/>
      <vertAlign val="subscript"/>
      <sz val="11"/>
      <color rgb="FF000000"/>
      <name val="Cambria1"/>
      <charset val="134"/>
    </font>
    <font>
      <vertAlign val="superscript"/>
      <sz val="10"/>
      <color rgb="FF000000"/>
      <name val="Tahoma"/>
      <family val="2"/>
    </font>
    <font>
      <sz val="10"/>
      <color rgb="FF000000"/>
      <name val="Arial Narrow"/>
      <family val="2"/>
    </font>
    <font>
      <sz val="10"/>
      <color rgb="FFC00000"/>
      <name val="Arial"/>
      <family val="2"/>
    </font>
    <font>
      <sz val="11"/>
      <color rgb="FF000000"/>
      <name val="Arial"/>
      <family val="2"/>
    </font>
    <font>
      <b/>
      <sz val="11"/>
      <color rgb="FF000000"/>
      <name val="Arial"/>
      <family val="2"/>
    </font>
    <font>
      <sz val="11"/>
      <color rgb="FF000000"/>
      <name val="Arial"/>
      <family val="2"/>
    </font>
    <font>
      <b/>
      <sz val="12"/>
      <color rgb="FF000000"/>
      <name val="Arial"/>
      <family val="2"/>
    </font>
    <font>
      <sz val="12"/>
      <color rgb="FF000000"/>
      <name val="Arial"/>
      <family val="2"/>
    </font>
    <font>
      <sz val="8"/>
      <name val="Arial"/>
      <family val="2"/>
    </font>
  </fonts>
  <fills count="46">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rgb="FFA6A6A6"/>
        <bgColor rgb="FFA6A6A6"/>
      </patternFill>
    </fill>
    <fill>
      <patternFill patternType="solid">
        <fgColor rgb="FFFAC090"/>
        <bgColor rgb="FFFAC090"/>
      </patternFill>
    </fill>
    <fill>
      <patternFill patternType="solid">
        <fgColor rgb="FFD99694"/>
        <bgColor rgb="FFD99694"/>
      </patternFill>
    </fill>
    <fill>
      <patternFill patternType="solid">
        <fgColor rgb="FF948A54"/>
        <bgColor rgb="FF948A54"/>
      </patternFill>
    </fill>
    <fill>
      <patternFill patternType="solid">
        <fgColor rgb="FF77933C"/>
        <bgColor rgb="FF77933C"/>
      </patternFill>
    </fill>
    <fill>
      <patternFill patternType="solid">
        <fgColor rgb="FFC4BD97"/>
        <bgColor rgb="FFC4BD97"/>
      </patternFill>
    </fill>
    <fill>
      <patternFill patternType="solid">
        <fgColor rgb="FFC3D69B"/>
        <bgColor rgb="FFC3D69B"/>
      </patternFill>
    </fill>
    <fill>
      <patternFill patternType="solid">
        <fgColor rgb="FFFFFF00"/>
        <bgColor rgb="FFFFFF00"/>
      </patternFill>
    </fill>
    <fill>
      <patternFill patternType="solid">
        <fgColor rgb="FF558ED5"/>
        <bgColor rgb="FF558ED5"/>
      </patternFill>
    </fill>
    <fill>
      <patternFill patternType="solid">
        <fgColor rgb="FFC6D9F1"/>
        <bgColor rgb="FFC6D9F1"/>
      </patternFill>
    </fill>
    <fill>
      <patternFill patternType="solid">
        <fgColor rgb="FFDDD9C3"/>
        <bgColor rgb="FFDDD9C3"/>
      </patternFill>
    </fill>
    <fill>
      <patternFill patternType="solid">
        <fgColor rgb="FFD7E4BD"/>
        <bgColor rgb="FFD7E4BD"/>
      </patternFill>
    </fill>
    <fill>
      <patternFill patternType="solid">
        <fgColor rgb="FFDDD9C3"/>
        <bgColor rgb="FFD0CECE"/>
      </patternFill>
    </fill>
    <fill>
      <patternFill patternType="solid">
        <fgColor rgb="FFD7E4BD"/>
        <bgColor rgb="FFC9C9C9"/>
      </patternFill>
    </fill>
    <fill>
      <patternFill patternType="solid">
        <fgColor theme="0"/>
        <bgColor rgb="FFD99694"/>
      </patternFill>
    </fill>
    <fill>
      <patternFill patternType="solid">
        <fgColor rgb="FFD99694"/>
        <bgColor indexed="64"/>
      </patternFill>
    </fill>
    <fill>
      <patternFill patternType="solid">
        <fgColor rgb="FFF4B084"/>
        <bgColor rgb="FFF4B084"/>
      </patternFill>
    </fill>
    <fill>
      <patternFill patternType="solid">
        <fgColor theme="5" tint="0.39991454817346722"/>
        <bgColor rgb="FFFFFFFF"/>
      </patternFill>
    </fill>
    <fill>
      <patternFill patternType="solid">
        <fgColor rgb="FF969696"/>
        <bgColor rgb="FF969696"/>
      </patternFill>
    </fill>
    <fill>
      <patternFill patternType="solid">
        <fgColor rgb="FFCCCCFF"/>
        <bgColor rgb="FFCCCCFF"/>
      </patternFill>
    </fill>
    <fill>
      <patternFill patternType="solid">
        <fgColor rgb="FF00FF00"/>
        <bgColor rgb="FF00FF00"/>
      </patternFill>
    </fill>
    <fill>
      <patternFill patternType="solid">
        <fgColor rgb="FFCCFFCC"/>
        <bgColor rgb="FFCCFFCC"/>
      </patternFill>
    </fill>
    <fill>
      <patternFill patternType="solid">
        <fgColor rgb="FFCC99FF"/>
        <bgColor rgb="FFCC99FF"/>
      </patternFill>
    </fill>
    <fill>
      <patternFill patternType="solid">
        <fgColor rgb="FFCCFFFF"/>
        <bgColor rgb="FFCCFFFF"/>
      </patternFill>
    </fill>
    <fill>
      <patternFill patternType="solid">
        <fgColor rgb="FFC0C0C0"/>
        <bgColor rgb="FFC0C0C0"/>
      </patternFill>
    </fill>
    <fill>
      <patternFill patternType="solid">
        <fgColor rgb="FFFFCC00"/>
        <bgColor rgb="FFFFCC00"/>
      </patternFill>
    </fill>
    <fill>
      <patternFill patternType="solid">
        <fgColor rgb="FF99CCFF"/>
        <bgColor rgb="FF99CCFF"/>
      </patternFill>
    </fill>
    <fill>
      <patternFill patternType="solid">
        <fgColor rgb="FF0066CC"/>
        <bgColor rgb="FF0066CC"/>
      </patternFill>
    </fill>
    <fill>
      <patternFill patternType="solid">
        <fgColor rgb="FFFF8080"/>
        <bgColor rgb="FFFF8080"/>
      </patternFill>
    </fill>
    <fill>
      <patternFill patternType="solid">
        <fgColor rgb="FF800080"/>
        <bgColor rgb="FF800080"/>
      </patternFill>
    </fill>
    <fill>
      <patternFill patternType="solid">
        <fgColor rgb="FFFF6600"/>
        <bgColor rgb="FFFF6600"/>
      </patternFill>
    </fill>
    <fill>
      <patternFill patternType="solid">
        <fgColor rgb="FFFFCC99"/>
        <bgColor rgb="FFFFCC99"/>
      </patternFill>
    </fill>
    <fill>
      <patternFill patternType="solid">
        <fgColor rgb="FFFF99CC"/>
        <bgColor rgb="FFFF99CC"/>
      </patternFill>
    </fill>
    <fill>
      <patternFill patternType="solid">
        <fgColor rgb="FF33CCCC"/>
        <bgColor rgb="FF33CCCC"/>
      </patternFill>
    </fill>
    <fill>
      <patternFill patternType="solid">
        <fgColor rgb="FFFF0000"/>
        <bgColor rgb="FFFF0000"/>
      </patternFill>
    </fill>
    <fill>
      <patternFill patternType="solid">
        <fgColor rgb="FFFF9900"/>
        <bgColor rgb="FFFF9900"/>
      </patternFill>
    </fill>
    <fill>
      <patternFill patternType="solid">
        <fgColor rgb="FF333399"/>
        <bgColor rgb="FF333399"/>
      </patternFill>
    </fill>
    <fill>
      <patternFill patternType="solid">
        <fgColor rgb="FF339966"/>
        <bgColor rgb="FF339966"/>
      </patternFill>
    </fill>
    <fill>
      <patternFill patternType="solid">
        <fgColor rgb="FFFFFF99"/>
        <bgColor rgb="FFFFFF99"/>
      </patternFill>
    </fill>
    <fill>
      <patternFill patternType="solid">
        <fgColor rgb="FFFFFFCC"/>
        <bgColor rgb="FFFFFFCC"/>
      </patternFill>
    </fill>
    <fill>
      <patternFill patternType="solid">
        <fgColor rgb="FFFFFF00"/>
        <bgColor indexed="64"/>
      </patternFill>
    </fill>
    <fill>
      <patternFill patternType="solid">
        <fgColor rgb="FFFFFF00"/>
        <bgColor rgb="FF558ED5"/>
      </patternFill>
    </fill>
  </fills>
  <borders count="22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right/>
      <top/>
      <bottom style="double">
        <color rgb="FF000000"/>
      </bottom>
      <diagonal/>
    </border>
    <border>
      <left style="double">
        <color rgb="FF000000"/>
      </left>
      <right style="double">
        <color rgb="FF000000"/>
      </right>
      <top style="double">
        <color rgb="FF000000"/>
      </top>
      <bottom style="double">
        <color rgb="FF000000"/>
      </bottom>
      <diagonal/>
    </border>
    <border>
      <left style="double">
        <color rgb="FF000000"/>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double">
        <color rgb="FF000000"/>
      </top>
      <bottom style="thin">
        <color rgb="FF000000"/>
      </bottom>
      <diagonal/>
    </border>
    <border>
      <left style="double">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double">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top/>
      <bottom style="double">
        <color rgb="FF000000"/>
      </bottom>
      <diagonal/>
    </border>
    <border>
      <left/>
      <right style="thin">
        <color rgb="FF000000"/>
      </right>
      <top/>
      <bottom style="double">
        <color rgb="FF000000"/>
      </bottom>
      <diagonal/>
    </border>
    <border>
      <left style="double">
        <color rgb="FF000000"/>
      </left>
      <right/>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thin">
        <color rgb="FF000000"/>
      </left>
      <right style="thin">
        <color rgb="FF000000"/>
      </right>
      <top style="double">
        <color rgb="FF000000"/>
      </top>
      <bottom style="thin">
        <color rgb="FF000000"/>
      </bottom>
      <diagonal/>
    </border>
    <border>
      <left style="thin">
        <color rgb="FF000000"/>
      </left>
      <right style="thin">
        <color rgb="FF000000"/>
      </right>
      <top/>
      <bottom/>
      <diagonal/>
    </border>
    <border>
      <left/>
      <right style="double">
        <color rgb="FF000000"/>
      </right>
      <top style="double">
        <color rgb="FF000000"/>
      </top>
      <bottom style="thin">
        <color rgb="FF000000"/>
      </bottom>
      <diagonal/>
    </border>
    <border>
      <left/>
      <right style="double">
        <color rgb="FF000000"/>
      </right>
      <top style="thin">
        <color rgb="FF000000"/>
      </top>
      <bottom style="thin">
        <color rgb="FF000000"/>
      </bottom>
      <diagonal/>
    </border>
    <border>
      <left/>
      <right style="double">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top/>
      <bottom/>
      <diagonal/>
    </border>
    <border>
      <left/>
      <right style="thin">
        <color rgb="FF000000"/>
      </right>
      <top/>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right style="medium">
        <color auto="1"/>
      </right>
      <top/>
      <bottom/>
      <diagonal/>
    </border>
    <border>
      <left style="thin">
        <color auto="1"/>
      </left>
      <right style="medium">
        <color auto="1"/>
      </right>
      <top/>
      <bottom style="thin">
        <color auto="1"/>
      </bottom>
      <diagonal/>
    </border>
    <border>
      <left/>
      <right style="medium">
        <color auto="1"/>
      </right>
      <top style="thin">
        <color auto="1"/>
      </top>
      <bottom/>
      <diagonal/>
    </border>
    <border>
      <left/>
      <right style="medium">
        <color auto="1"/>
      </right>
      <top/>
      <bottom style="thin">
        <color auto="1"/>
      </bottom>
      <diagonal/>
    </border>
    <border>
      <left style="thin">
        <color auto="1"/>
      </left>
      <right style="medium">
        <color auto="1"/>
      </right>
      <top/>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diagonal/>
    </border>
    <border>
      <left/>
      <right style="medium">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bottom/>
      <diagonal/>
    </border>
    <border>
      <left style="medium">
        <color rgb="FF000000"/>
      </left>
      <right style="thin">
        <color rgb="FF000000"/>
      </right>
      <top/>
      <bottom style="medium">
        <color rgb="FF000000"/>
      </bottom>
      <diagonal/>
    </border>
    <border>
      <left/>
      <right style="thin">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medium">
        <color auto="1"/>
      </left>
      <right style="medium">
        <color rgb="FF000000"/>
      </right>
      <top style="medium">
        <color auto="1"/>
      </top>
      <bottom style="medium">
        <color rgb="FF000000"/>
      </bottom>
      <diagonal/>
    </border>
    <border>
      <left style="medium">
        <color rgb="FF000000"/>
      </left>
      <right style="medium">
        <color rgb="FF000000"/>
      </right>
      <top style="medium">
        <color auto="1"/>
      </top>
      <bottom style="medium">
        <color rgb="FF000000"/>
      </bottom>
      <diagonal/>
    </border>
    <border>
      <left style="medium">
        <color rgb="FF000000"/>
      </left>
      <right style="medium">
        <color auto="1"/>
      </right>
      <top style="medium">
        <color auto="1"/>
      </top>
      <bottom style="medium">
        <color rgb="FF000000"/>
      </bottom>
      <diagonal/>
    </border>
    <border>
      <left style="medium">
        <color auto="1"/>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auto="1"/>
      </right>
      <top style="medium">
        <color rgb="FF000000"/>
      </top>
      <bottom/>
      <diagonal/>
    </border>
    <border>
      <left style="medium">
        <color auto="1"/>
      </left>
      <right style="thin">
        <color rgb="FF000000"/>
      </right>
      <top style="medium">
        <color auto="1"/>
      </top>
      <bottom style="thin">
        <color rgb="FF000000"/>
      </bottom>
      <diagonal/>
    </border>
    <border>
      <left style="thin">
        <color rgb="FF000000"/>
      </left>
      <right style="thin">
        <color rgb="FF000000"/>
      </right>
      <top style="medium">
        <color auto="1"/>
      </top>
      <bottom style="thin">
        <color rgb="FF000000"/>
      </bottom>
      <diagonal/>
    </border>
    <border>
      <left style="thin">
        <color rgb="FF000000"/>
      </left>
      <right style="medium">
        <color auto="1"/>
      </right>
      <top style="medium">
        <color auto="1"/>
      </top>
      <bottom style="thin">
        <color rgb="FF000000"/>
      </bottom>
      <diagonal/>
    </border>
    <border>
      <left style="medium">
        <color auto="1"/>
      </left>
      <right style="thin">
        <color rgb="FF000000"/>
      </right>
      <top style="thin">
        <color rgb="FF000000"/>
      </top>
      <bottom style="thin">
        <color rgb="FF000000"/>
      </bottom>
      <diagonal/>
    </border>
    <border>
      <left style="thin">
        <color rgb="FF000000"/>
      </left>
      <right style="medium">
        <color auto="1"/>
      </right>
      <top style="thin">
        <color rgb="FF000000"/>
      </top>
      <bottom style="thin">
        <color rgb="FF000000"/>
      </bottom>
      <diagonal/>
    </border>
    <border>
      <left style="medium">
        <color auto="1"/>
      </left>
      <right style="thin">
        <color rgb="FF000000"/>
      </right>
      <top style="thin">
        <color rgb="FF000000"/>
      </top>
      <bottom/>
      <diagonal/>
    </border>
    <border>
      <left style="thin">
        <color rgb="FF000000"/>
      </left>
      <right style="medium">
        <color auto="1"/>
      </right>
      <top style="thin">
        <color rgb="FF000000"/>
      </top>
      <bottom/>
      <diagonal/>
    </border>
    <border>
      <left/>
      <right style="medium">
        <color rgb="FF000000"/>
      </right>
      <top style="medium">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medium">
        <color auto="1"/>
      </left>
      <right style="thin">
        <color rgb="FF000000"/>
      </right>
      <top style="medium">
        <color auto="1"/>
      </top>
      <bottom style="medium">
        <color auto="1"/>
      </bottom>
      <diagonal/>
    </border>
    <border>
      <left style="thin">
        <color rgb="FF000000"/>
      </left>
      <right style="thin">
        <color rgb="FF000000"/>
      </right>
      <top style="medium">
        <color auto="1"/>
      </top>
      <bottom style="medium">
        <color auto="1"/>
      </bottom>
      <diagonal/>
    </border>
    <border>
      <left style="medium">
        <color rgb="FF000000"/>
      </left>
      <right/>
      <top/>
      <bottom style="medium">
        <color rgb="FF000000"/>
      </bottom>
      <diagonal/>
    </border>
    <border>
      <left/>
      <right/>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auto="1"/>
      </right>
      <top style="medium">
        <color auto="1"/>
      </top>
      <bottom style="medium">
        <color auto="1"/>
      </bottom>
      <diagonal/>
    </border>
    <border>
      <left/>
      <right style="medium">
        <color rgb="FF000000"/>
      </right>
      <top/>
      <bottom style="medium">
        <color rgb="FF000000"/>
      </bottom>
      <diagonal/>
    </border>
    <border>
      <left style="medium">
        <color auto="1"/>
      </left>
      <right/>
      <top style="medium">
        <color auto="1"/>
      </top>
      <bottom style="medium">
        <color rgb="FF000000"/>
      </bottom>
      <diagonal/>
    </border>
    <border>
      <left/>
      <right/>
      <top style="medium">
        <color auto="1"/>
      </top>
      <bottom style="medium">
        <color rgb="FF000000"/>
      </bottom>
      <diagonal/>
    </border>
    <border>
      <left style="medium">
        <color auto="1"/>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auto="1"/>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auto="1"/>
      </left>
      <right style="thin">
        <color rgb="FF000000"/>
      </right>
      <top style="thin">
        <color rgb="FF000000"/>
      </top>
      <bottom style="medium">
        <color rgb="FF000000"/>
      </bottom>
      <diagonal/>
    </border>
    <border>
      <left style="medium">
        <color auto="1"/>
      </left>
      <right style="thin">
        <color rgb="FF000000"/>
      </right>
      <top/>
      <bottom style="thin">
        <color rgb="FF000000"/>
      </bottom>
      <diagonal/>
    </border>
    <border>
      <left style="medium">
        <color auto="1"/>
      </left>
      <right style="thin">
        <color auto="1"/>
      </right>
      <top style="medium">
        <color auto="1"/>
      </top>
      <bottom style="thin">
        <color auto="1"/>
      </bottom>
      <diagonal/>
    </border>
    <border>
      <left style="medium">
        <color auto="1"/>
      </left>
      <right style="thin">
        <color rgb="FF000000"/>
      </right>
      <top/>
      <bottom style="medium">
        <color rgb="FF000000"/>
      </bottom>
      <diagonal/>
    </border>
    <border>
      <left style="thin">
        <color rgb="FF000000"/>
      </left>
      <right style="thin">
        <color rgb="FF000000"/>
      </right>
      <top/>
      <bottom style="medium">
        <color rgb="FF000000"/>
      </bottom>
      <diagonal/>
    </border>
    <border>
      <left style="medium">
        <color auto="1"/>
      </left>
      <right style="thin">
        <color rgb="FF000000"/>
      </right>
      <top style="medium">
        <color rgb="FF000000"/>
      </top>
      <bottom style="medium">
        <color auto="1"/>
      </bottom>
      <diagonal/>
    </border>
    <border>
      <left style="thin">
        <color rgb="FF000000"/>
      </left>
      <right style="thin">
        <color rgb="FF000000"/>
      </right>
      <top style="medium">
        <color rgb="FF000000"/>
      </top>
      <bottom style="medium">
        <color auto="1"/>
      </bottom>
      <diagonal/>
    </border>
    <border>
      <left/>
      <right style="thin">
        <color rgb="FF000000"/>
      </right>
      <top style="thin">
        <color rgb="FF000000"/>
      </top>
      <bottom style="medium">
        <color auto="1"/>
      </bottom>
      <diagonal/>
    </border>
    <border>
      <left style="thin">
        <color rgb="FF000000"/>
      </left>
      <right style="thin">
        <color rgb="FF000000"/>
      </right>
      <top style="thin">
        <color rgb="FF000000"/>
      </top>
      <bottom style="medium">
        <color auto="1"/>
      </bottom>
      <diagonal/>
    </border>
    <border>
      <left style="thin">
        <color rgb="FF000000"/>
      </left>
      <right/>
      <top style="thin">
        <color rgb="FF000000"/>
      </top>
      <bottom style="medium">
        <color rgb="FF000000"/>
      </bottom>
      <diagonal/>
    </border>
    <border>
      <left/>
      <right style="medium">
        <color auto="1"/>
      </right>
      <top style="medium">
        <color auto="1"/>
      </top>
      <bottom style="medium">
        <color rgb="FF000000"/>
      </bottom>
      <diagonal/>
    </border>
    <border>
      <left style="thin">
        <color rgb="FF000000"/>
      </left>
      <right style="medium">
        <color auto="1"/>
      </right>
      <top style="medium">
        <color rgb="FF000000"/>
      </top>
      <bottom style="medium">
        <color rgb="FF000000"/>
      </bottom>
      <diagonal/>
    </border>
    <border>
      <left style="thin">
        <color rgb="FF000000"/>
      </left>
      <right style="medium">
        <color auto="1"/>
      </right>
      <top style="medium">
        <color rgb="FF000000"/>
      </top>
      <bottom style="thin">
        <color rgb="FF000000"/>
      </bottom>
      <diagonal/>
    </border>
    <border>
      <left style="thin">
        <color rgb="FF000000"/>
      </left>
      <right style="medium">
        <color auto="1"/>
      </right>
      <top style="thin">
        <color rgb="FF000000"/>
      </top>
      <bottom style="medium">
        <color rgb="FF000000"/>
      </bottom>
      <diagonal/>
    </border>
    <border>
      <left style="thin">
        <color rgb="FF000000"/>
      </left>
      <right style="medium">
        <color auto="1"/>
      </right>
      <top/>
      <bottom style="thin">
        <color rgb="FF000000"/>
      </bottom>
      <diagonal/>
    </border>
    <border>
      <left style="thin">
        <color rgb="FF000000"/>
      </left>
      <right style="medium">
        <color auto="1"/>
      </right>
      <top style="thin">
        <color rgb="FF000000"/>
      </top>
      <bottom style="medium">
        <color auto="1"/>
      </bottom>
      <diagonal/>
    </border>
    <border>
      <left style="thin">
        <color rgb="FF000000"/>
      </left>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medium">
        <color rgb="FF000000"/>
      </top>
      <bottom/>
      <diagonal/>
    </border>
    <border>
      <left style="medium">
        <color rgb="FF000000"/>
      </left>
      <right/>
      <top style="thin">
        <color rgb="FF000000"/>
      </top>
      <bottom style="thin">
        <color rgb="FF000000"/>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style="thin">
        <color auto="1"/>
      </bottom>
      <diagonal/>
    </border>
    <border>
      <left style="medium">
        <color rgb="FF000000"/>
      </left>
      <right style="thin">
        <color rgb="FF000000"/>
      </right>
      <top style="thin">
        <color rgb="FF000000"/>
      </top>
      <bottom/>
      <diagonal/>
    </border>
    <border>
      <left style="medium">
        <color auto="1"/>
      </left>
      <right style="thin">
        <color rgb="FF000000"/>
      </right>
      <top style="medium">
        <color auto="1"/>
      </top>
      <bottom style="medium">
        <color rgb="FF000000"/>
      </bottom>
      <diagonal/>
    </border>
    <border>
      <left style="medium">
        <color rgb="FF000000"/>
      </left>
      <right style="thin">
        <color rgb="FF000000"/>
      </right>
      <top style="medium">
        <color auto="1"/>
      </top>
      <bottom style="medium">
        <color rgb="FF000000"/>
      </bottom>
      <diagonal/>
    </border>
    <border>
      <left style="medium">
        <color auto="1"/>
      </left>
      <right style="thin">
        <color rgb="FF000000"/>
      </right>
      <top style="medium">
        <color rgb="FF000000"/>
      </top>
      <bottom/>
      <diagonal/>
    </border>
    <border>
      <left style="medium">
        <color auto="1"/>
      </left>
      <right/>
      <top style="medium">
        <color auto="1"/>
      </top>
      <bottom style="thin">
        <color rgb="FF000000"/>
      </bottom>
      <diagonal/>
    </border>
    <border>
      <left/>
      <right style="thin">
        <color rgb="FF000000"/>
      </right>
      <top style="medium">
        <color auto="1"/>
      </top>
      <bottom style="thin">
        <color rgb="FF000000"/>
      </bottom>
      <diagonal/>
    </border>
    <border>
      <left style="medium">
        <color auto="1"/>
      </left>
      <right/>
      <top style="thin">
        <color rgb="FF000000"/>
      </top>
      <bottom style="thin">
        <color rgb="FF000000"/>
      </bottom>
      <diagonal/>
    </border>
    <border>
      <left style="medium">
        <color auto="1"/>
      </left>
      <right/>
      <top style="thin">
        <color rgb="FF000000"/>
      </top>
      <bottom style="thin">
        <color auto="1"/>
      </bottom>
      <diagonal/>
    </border>
    <border>
      <left/>
      <right/>
      <top/>
      <bottom style="medium">
        <color auto="1"/>
      </bottom>
      <diagonal/>
    </border>
    <border>
      <left style="medium">
        <color auto="1"/>
      </left>
      <right style="thin">
        <color rgb="FF000000"/>
      </right>
      <top/>
      <bottom style="medium">
        <color auto="1"/>
      </bottom>
      <diagonal/>
    </border>
    <border>
      <left style="medium">
        <color rgb="FF000000"/>
      </left>
      <right style="thin">
        <color rgb="FF000000"/>
      </right>
      <top/>
      <bottom style="medium">
        <color auto="1"/>
      </bottom>
      <diagonal/>
    </border>
    <border>
      <left style="thin">
        <color rgb="FF000000"/>
      </left>
      <right style="thin">
        <color rgb="FF000000"/>
      </right>
      <top/>
      <bottom style="medium">
        <color auto="1"/>
      </bottom>
      <diagonal/>
    </border>
    <border>
      <left style="medium">
        <color rgb="FF000000"/>
      </left>
      <right style="medium">
        <color rgb="FF000000"/>
      </right>
      <top style="thin">
        <color rgb="FF000000"/>
      </top>
      <bottom style="thin">
        <color rgb="FF000000"/>
      </bottom>
      <diagonal/>
    </border>
    <border>
      <left style="thin">
        <color rgb="FF000000"/>
      </left>
      <right style="thin">
        <color rgb="FF000000"/>
      </right>
      <top style="medium">
        <color auto="1"/>
      </top>
      <bottom style="medium">
        <color rgb="FF000000"/>
      </bottom>
      <diagonal/>
    </border>
    <border>
      <left style="thin">
        <color rgb="FF000000"/>
      </left>
      <right/>
      <top style="medium">
        <color auto="1"/>
      </top>
      <bottom style="thin">
        <color rgb="FF000000"/>
      </bottom>
      <diagonal/>
    </border>
    <border>
      <left style="thin">
        <color rgb="FF000000"/>
      </left>
      <right/>
      <top/>
      <bottom style="medium">
        <color auto="1"/>
      </bottom>
      <diagonal/>
    </border>
    <border>
      <left/>
      <right style="thin">
        <color rgb="FF000000"/>
      </right>
      <top/>
      <bottom style="medium">
        <color auto="1"/>
      </bottom>
      <diagonal/>
    </border>
    <border>
      <left/>
      <right style="medium">
        <color rgb="FF000000"/>
      </right>
      <top style="thin">
        <color rgb="FF000000"/>
      </top>
      <bottom style="thin">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style="medium">
        <color auto="1"/>
      </top>
      <bottom style="thin">
        <color rgb="FF000000"/>
      </bottom>
      <diagonal/>
    </border>
    <border>
      <left/>
      <right/>
      <top style="medium">
        <color auto="1"/>
      </top>
      <bottom style="thin">
        <color rgb="FF000000"/>
      </bottom>
      <diagonal/>
    </border>
    <border>
      <left style="medium">
        <color rgb="FF000000"/>
      </left>
      <right/>
      <top style="medium">
        <color rgb="FF000000"/>
      </top>
      <bottom style="thin">
        <color rgb="FF000000"/>
      </bottom>
      <diagonal/>
    </border>
    <border>
      <left style="thin">
        <color auto="1"/>
      </left>
      <right style="thin">
        <color rgb="FF000000"/>
      </right>
      <top style="thin">
        <color auto="1"/>
      </top>
      <bottom style="thin">
        <color rgb="FF000000"/>
      </bottom>
      <diagonal/>
    </border>
    <border>
      <left style="thin">
        <color rgb="FF000000"/>
      </left>
      <right style="thin">
        <color rgb="FF000000"/>
      </right>
      <top style="thin">
        <color auto="1"/>
      </top>
      <bottom style="thin">
        <color rgb="FF000000"/>
      </bottom>
      <diagonal/>
    </border>
    <border>
      <left style="thin">
        <color rgb="FF000000"/>
      </left>
      <right style="thin">
        <color auto="1"/>
      </right>
      <top style="thin">
        <color auto="1"/>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style="thin">
        <color auto="1"/>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
      <left/>
      <right style="medium">
        <color auto="1"/>
      </right>
      <top style="medium">
        <color auto="1"/>
      </top>
      <bottom style="thin">
        <color rgb="FF000000"/>
      </bottom>
      <diagonal/>
    </border>
    <border>
      <left/>
      <right style="medium">
        <color auto="1"/>
      </right>
      <top style="thin">
        <color rgb="FF000000"/>
      </top>
      <bottom style="thin">
        <color rgb="FF000000"/>
      </bottom>
      <diagonal/>
    </border>
    <border>
      <left/>
      <right style="medium">
        <color auto="1"/>
      </right>
      <top/>
      <bottom style="medium">
        <color auto="1"/>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style="thin">
        <color rgb="FF000000"/>
      </bottom>
      <diagonal/>
    </border>
    <border>
      <left style="medium">
        <color rgb="FF000000"/>
      </left>
      <right style="thin">
        <color rgb="FF000000"/>
      </right>
      <top style="medium">
        <color auto="1"/>
      </top>
      <bottom style="medium">
        <color auto="1"/>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rgb="FF000000"/>
      </right>
      <top style="medium">
        <color rgb="FF000000"/>
      </top>
      <bottom/>
      <diagonal/>
    </border>
    <border>
      <left style="thin">
        <color rgb="FF000000"/>
      </left>
      <right/>
      <top style="medium">
        <color rgb="FF000000"/>
      </top>
      <bottom/>
      <diagonal/>
    </border>
    <border>
      <left/>
      <right style="thin">
        <color rgb="FF000000"/>
      </right>
      <top style="medium">
        <color auto="1"/>
      </top>
      <bottom style="medium">
        <color auto="1"/>
      </bottom>
      <diagonal/>
    </border>
    <border>
      <left style="thin">
        <color rgb="FF000000"/>
      </left>
      <right/>
      <top style="medium">
        <color auto="1"/>
      </top>
      <bottom style="medium">
        <color auto="1"/>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style="thin">
        <color auto="1"/>
      </left>
      <right style="medium">
        <color auto="1"/>
      </right>
      <top style="medium">
        <color auto="1"/>
      </top>
      <bottom style="medium">
        <color auto="1"/>
      </bottom>
      <diagonal/>
    </border>
    <border>
      <left style="medium">
        <color auto="1"/>
      </left>
      <right/>
      <top/>
      <bottom style="thin">
        <color auto="1"/>
      </bottom>
      <diagonal/>
    </border>
    <border>
      <left/>
      <right style="medium">
        <color rgb="FF000000"/>
      </right>
      <top/>
      <bottom style="thin">
        <color rgb="FF000000"/>
      </bottom>
      <diagonal/>
    </border>
    <border>
      <left style="thin">
        <color rgb="FF000000"/>
      </left>
      <right style="medium">
        <color auto="1"/>
      </right>
      <top style="medium">
        <color auto="1"/>
      </top>
      <bottom style="medium">
        <color rgb="FF000000"/>
      </bottom>
      <diagonal/>
    </border>
    <border>
      <left style="thin">
        <color rgb="FF000000"/>
      </left>
      <right style="medium">
        <color auto="1"/>
      </right>
      <top style="medium">
        <color rgb="FF000000"/>
      </top>
      <bottom style="medium">
        <color auto="1"/>
      </bottom>
      <diagonal/>
    </border>
    <border>
      <left style="thin">
        <color rgb="FF000000"/>
      </left>
      <right style="medium">
        <color auto="1"/>
      </right>
      <top/>
      <bottom/>
      <diagonal/>
    </border>
    <border>
      <left/>
      <right/>
      <top/>
      <bottom style="double">
        <color rgb="FFFF9900"/>
      </bottom>
      <diagonal/>
    </border>
    <border>
      <left style="double">
        <color rgb="FF333333"/>
      </left>
      <right style="double">
        <color rgb="FF333333"/>
      </right>
      <top style="double">
        <color rgb="FF333333"/>
      </top>
      <bottom style="double">
        <color rgb="FF333333"/>
      </bottom>
      <diagonal/>
    </border>
    <border>
      <left/>
      <right/>
      <top/>
      <bottom style="medium">
        <color rgb="FF0066CC"/>
      </bottom>
      <diagonal/>
    </border>
    <border>
      <left style="thin">
        <color rgb="FF808080"/>
      </left>
      <right style="thin">
        <color rgb="FF808080"/>
      </right>
      <top style="thin">
        <color rgb="FF808080"/>
      </top>
      <bottom style="thin">
        <color rgb="FF808080"/>
      </bottom>
      <diagonal/>
    </border>
    <border>
      <left/>
      <right/>
      <top/>
      <bottom style="thick">
        <color rgb="FFC0C0C0"/>
      </bottom>
      <diagonal/>
    </border>
    <border>
      <left/>
      <right/>
      <top/>
      <bottom style="thick">
        <color rgb="FF333399"/>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333399"/>
      </top>
      <bottom style="double">
        <color rgb="FF333399"/>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style="thin">
        <color rgb="FF000000"/>
      </left>
      <right style="medium">
        <color auto="1"/>
      </right>
      <top style="medium">
        <color auto="1"/>
      </top>
      <bottom/>
      <diagonal/>
    </border>
    <border>
      <left style="medium">
        <color auto="1"/>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medium">
        <color auto="1"/>
      </right>
      <top style="thin">
        <color rgb="FF000000"/>
      </top>
      <bottom style="thin">
        <color indexed="64"/>
      </bottom>
      <diagonal/>
    </border>
    <border>
      <left style="medium">
        <color rgb="FF000000"/>
      </left>
      <right style="thin">
        <color rgb="FF000000"/>
      </right>
      <top style="medium">
        <color rgb="FF000000"/>
      </top>
      <bottom style="medium">
        <color indexed="64"/>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medium">
        <color auto="1"/>
      </right>
      <top style="thin">
        <color rgb="FF000000"/>
      </top>
      <bottom style="thin">
        <color indexed="64"/>
      </bottom>
      <diagonal/>
    </border>
    <border>
      <left style="thin">
        <color rgb="FF000000"/>
      </left>
      <right/>
      <top style="medium">
        <color auto="1"/>
      </top>
      <bottom style="thin">
        <color indexed="64"/>
      </bottom>
      <diagonal/>
    </border>
    <border>
      <left/>
      <right style="thin">
        <color rgb="FF000000"/>
      </right>
      <top style="medium">
        <color auto="1"/>
      </top>
      <bottom style="thin">
        <color indexed="64"/>
      </bottom>
      <diagonal/>
    </border>
    <border>
      <left style="thin">
        <color indexed="64"/>
      </left>
      <right/>
      <top style="thin">
        <color rgb="FF000000"/>
      </top>
      <bottom style="thin">
        <color rgb="FF000000"/>
      </bottom>
      <diagonal/>
    </border>
  </borders>
  <cellStyleXfs count="512">
    <xf numFmtId="0" fontId="0" fillId="0" borderId="0"/>
    <xf numFmtId="180" fontId="82" fillId="0" borderId="0" applyFont="0" applyFill="0" applyBorder="0" applyAlignment="0" applyProtection="0"/>
    <xf numFmtId="0" fontId="56" fillId="22" borderId="200" applyNumberFormat="0" applyProtection="0"/>
    <xf numFmtId="0" fontId="55" fillId="0" borderId="199" applyNumberFormat="0" applyProtection="0"/>
    <xf numFmtId="186" fontId="82" fillId="0" borderId="0" applyFont="0" applyBorder="0" applyProtection="0"/>
    <xf numFmtId="0" fontId="55" fillId="0" borderId="199" applyNumberFormat="0" applyProtection="0"/>
    <xf numFmtId="186" fontId="82" fillId="0" borderId="0" applyFont="0" applyBorder="0" applyProtection="0"/>
    <xf numFmtId="9" fontId="82" fillId="0" borderId="0" applyFont="0" applyFill="0" applyBorder="0" applyAlignment="0" applyProtection="0"/>
    <xf numFmtId="0" fontId="55" fillId="0" borderId="199" applyNumberFormat="0" applyProtection="0"/>
    <xf numFmtId="0" fontId="55" fillId="0" borderId="199" applyNumberFormat="0" applyProtection="0"/>
    <xf numFmtId="175" fontId="25" fillId="0" borderId="0" applyBorder="0" applyProtection="0"/>
    <xf numFmtId="0" fontId="55" fillId="0" borderId="199" applyNumberFormat="0" applyProtection="0"/>
    <xf numFmtId="0" fontId="55" fillId="0" borderId="199" applyNumberFormat="0" applyProtection="0"/>
    <xf numFmtId="0" fontId="56" fillId="22" borderId="200" applyNumberFormat="0" applyProtection="0"/>
    <xf numFmtId="0" fontId="55" fillId="0" borderId="199" applyNumberFormat="0" applyProtection="0"/>
    <xf numFmtId="0" fontId="57" fillId="25" borderId="0" applyNumberFormat="0" applyBorder="0" applyProtection="0"/>
    <xf numFmtId="186" fontId="82" fillId="0" borderId="0" applyFont="0" applyBorder="0" applyProtection="0"/>
    <xf numFmtId="0" fontId="55" fillId="0" borderId="199" applyNumberFormat="0" applyProtection="0"/>
    <xf numFmtId="0" fontId="55" fillId="0" borderId="199" applyNumberFormat="0" applyProtection="0"/>
    <xf numFmtId="0" fontId="57" fillId="23" borderId="0" applyNumberFormat="0" applyBorder="0" applyProtection="0"/>
    <xf numFmtId="0" fontId="60" fillId="28" borderId="202" applyNumberFormat="0" applyProtection="0"/>
    <xf numFmtId="0" fontId="56" fillId="22" borderId="200" applyNumberFormat="0" applyProtection="0"/>
    <xf numFmtId="186" fontId="82" fillId="0" borderId="0" applyFont="0" applyBorder="0" applyProtection="0"/>
    <xf numFmtId="0" fontId="55" fillId="0" borderId="199" applyNumberFormat="0" applyProtection="0"/>
    <xf numFmtId="0" fontId="55" fillId="0" borderId="199" applyNumberFormat="0" applyProtection="0"/>
    <xf numFmtId="175" fontId="25" fillId="0" borderId="0" applyBorder="0" applyProtection="0"/>
    <xf numFmtId="0" fontId="56" fillId="22" borderId="200" applyNumberFormat="0" applyProtection="0"/>
    <xf numFmtId="0" fontId="55" fillId="0" borderId="199" applyNumberFormat="0" applyProtection="0"/>
    <xf numFmtId="0" fontId="55" fillId="0" borderId="199" applyNumberFormat="0" applyProtection="0"/>
    <xf numFmtId="175" fontId="57" fillId="0" borderId="0" applyBorder="0" applyProtection="0"/>
    <xf numFmtId="0" fontId="57" fillId="25" borderId="0" applyNumberFormat="0" applyBorder="0" applyProtection="0"/>
    <xf numFmtId="0" fontId="56" fillId="22" borderId="200" applyNumberFormat="0" applyProtection="0"/>
    <xf numFmtId="0" fontId="56" fillId="22" borderId="200" applyNumberFormat="0" applyProtection="0"/>
    <xf numFmtId="0" fontId="55" fillId="0" borderId="199" applyNumberFormat="0" applyProtection="0"/>
    <xf numFmtId="0" fontId="55" fillId="0" borderId="199" applyNumberFormat="0" applyProtection="0"/>
    <xf numFmtId="0" fontId="56" fillId="22" borderId="200" applyNumberFormat="0" applyProtection="0"/>
    <xf numFmtId="186" fontId="82" fillId="0" borderId="0" applyFont="0" applyBorder="0" applyProtection="0"/>
    <xf numFmtId="0" fontId="58" fillId="24" borderId="0" applyNumberFormat="0" applyBorder="0" applyProtection="0"/>
    <xf numFmtId="0" fontId="55" fillId="0" borderId="199" applyNumberFormat="0" applyProtection="0"/>
    <xf numFmtId="0" fontId="55" fillId="0" borderId="199" applyNumberFormat="0" applyProtection="0"/>
    <xf numFmtId="186" fontId="82" fillId="0" borderId="0" applyFont="0" applyBorder="0" applyProtection="0"/>
    <xf numFmtId="0" fontId="55" fillId="0" borderId="199" applyNumberFormat="0" applyProtection="0"/>
    <xf numFmtId="0" fontId="55" fillId="0" borderId="199"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0" fontId="55" fillId="0" borderId="199" applyNumberFormat="0" applyProtection="0"/>
    <xf numFmtId="0" fontId="55" fillId="0" borderId="199" applyNumberFormat="0" applyProtection="0"/>
    <xf numFmtId="0" fontId="58" fillId="33" borderId="0" applyNumberFormat="0" applyBorder="0" applyProtection="0"/>
    <xf numFmtId="0" fontId="55" fillId="0" borderId="199" applyNumberFormat="0" applyProtection="0"/>
    <xf numFmtId="0" fontId="57" fillId="25" borderId="0" applyNumberFormat="0" applyBorder="0" applyProtection="0"/>
    <xf numFmtId="0" fontId="59" fillId="0" borderId="201" applyNumberFormat="0" applyProtection="0"/>
    <xf numFmtId="0" fontId="55" fillId="0" borderId="199" applyNumberFormat="0" applyProtection="0"/>
    <xf numFmtId="0" fontId="57" fillId="27" borderId="0" applyNumberFormat="0" applyBorder="0" applyProtection="0"/>
    <xf numFmtId="0" fontId="57" fillId="26" borderId="0" applyNumberFormat="0" applyBorder="0" applyProtection="0"/>
    <xf numFmtId="170" fontId="82" fillId="0" borderId="0" applyFont="0" applyBorder="0" applyProtection="0"/>
    <xf numFmtId="0" fontId="55" fillId="0" borderId="199" applyNumberFormat="0" applyProtection="0"/>
    <xf numFmtId="0" fontId="57" fillId="26" borderId="0" applyNumberFormat="0" applyBorder="0" applyProtection="0"/>
    <xf numFmtId="0" fontId="57" fillId="23" borderId="0" applyNumberFormat="0" applyBorder="0" applyProtection="0"/>
    <xf numFmtId="0" fontId="61" fillId="35" borderId="202" applyNumberFormat="0" applyProtection="0"/>
    <xf numFmtId="0" fontId="57" fillId="26" borderId="0" applyNumberFormat="0" applyBorder="0" applyProtection="0"/>
    <xf numFmtId="0" fontId="55" fillId="0" borderId="199" applyNumberFormat="0" applyProtection="0"/>
    <xf numFmtId="0" fontId="57" fillId="23" borderId="0" applyNumberFormat="0" applyBorder="0" applyProtection="0"/>
    <xf numFmtId="175" fontId="57" fillId="0" borderId="0" applyBorder="0" applyProtection="0"/>
    <xf numFmtId="0" fontId="57" fillId="36" borderId="0" applyNumberFormat="0" applyBorder="0" applyProtection="0"/>
    <xf numFmtId="0" fontId="57" fillId="36" borderId="0" applyNumberFormat="0" applyBorder="0" applyProtection="0"/>
    <xf numFmtId="0" fontId="55" fillId="0" borderId="199" applyNumberFormat="0" applyProtection="0"/>
    <xf numFmtId="0" fontId="57" fillId="36" borderId="0" applyNumberFormat="0" applyBorder="0" applyProtection="0"/>
    <xf numFmtId="0" fontId="57" fillId="27" borderId="0" applyNumberFormat="0" applyBorder="0" applyProtection="0"/>
    <xf numFmtId="0" fontId="57" fillId="27" borderId="0" applyNumberFormat="0" applyBorder="0" applyProtection="0"/>
    <xf numFmtId="0" fontId="57" fillId="35" borderId="0" applyNumberFormat="0" applyBorder="0" applyProtection="0"/>
    <xf numFmtId="0" fontId="57" fillId="35" borderId="0" applyNumberFormat="0" applyBorder="0" applyProtection="0"/>
    <xf numFmtId="0" fontId="60" fillId="28" borderId="202" applyNumberFormat="0" applyProtection="0"/>
    <xf numFmtId="0" fontId="57" fillId="35" borderId="0" applyNumberFormat="0" applyBorder="0" applyProtection="0"/>
    <xf numFmtId="0" fontId="56" fillId="22" borderId="200" applyNumberFormat="0" applyProtection="0"/>
    <xf numFmtId="0" fontId="57" fillId="30" borderId="0" applyNumberFormat="0" applyBorder="0" applyProtection="0"/>
    <xf numFmtId="0" fontId="56" fillId="22" borderId="200" applyNumberFormat="0" applyProtection="0"/>
    <xf numFmtId="0" fontId="55" fillId="0" borderId="199" applyNumberFormat="0" applyProtection="0"/>
    <xf numFmtId="0" fontId="57" fillId="30" borderId="0" applyNumberFormat="0" applyBorder="0" applyProtection="0"/>
    <xf numFmtId="0" fontId="55" fillId="0" borderId="199" applyNumberFormat="0" applyProtection="0"/>
    <xf numFmtId="0" fontId="57" fillId="30" borderId="0" applyNumberFormat="0" applyBorder="0" applyProtection="0"/>
    <xf numFmtId="0" fontId="57" fillId="32" borderId="0" applyNumberFormat="0" applyBorder="0" applyProtection="0"/>
    <xf numFmtId="186" fontId="82" fillId="0" borderId="0" applyFont="0" applyBorder="0" applyProtection="0"/>
    <xf numFmtId="0" fontId="55" fillId="0" borderId="199" applyNumberFormat="0" applyProtection="0"/>
    <xf numFmtId="0" fontId="57" fillId="32" borderId="0" applyNumberFormat="0" applyBorder="0" applyProtection="0"/>
    <xf numFmtId="0" fontId="55" fillId="0" borderId="199" applyNumberFormat="0" applyProtection="0"/>
    <xf numFmtId="0" fontId="57" fillId="32" borderId="0" applyNumberFormat="0" applyBorder="0" applyProtection="0"/>
    <xf numFmtId="0" fontId="57" fillId="24" borderId="0" applyNumberFormat="0" applyBorder="0" applyProtection="0"/>
    <xf numFmtId="0" fontId="55" fillId="0" borderId="199" applyNumberFormat="0" applyProtection="0"/>
    <xf numFmtId="0" fontId="57" fillId="24" borderId="0" applyNumberFormat="0" applyBorder="0" applyProtection="0"/>
    <xf numFmtId="0" fontId="55" fillId="0" borderId="199" applyNumberFormat="0" applyProtection="0"/>
    <xf numFmtId="0" fontId="55" fillId="0" borderId="199" applyNumberFormat="0" applyProtection="0"/>
    <xf numFmtId="0" fontId="55" fillId="0" borderId="199" applyNumberFormat="0" applyProtection="0"/>
    <xf numFmtId="0" fontId="57" fillId="24" borderId="0" applyNumberFormat="0" applyBorder="0" applyProtection="0"/>
    <xf numFmtId="0" fontId="55" fillId="0" borderId="199" applyNumberFormat="0" applyProtection="0"/>
    <xf numFmtId="0" fontId="57" fillId="26" borderId="0" applyNumberFormat="0" applyBorder="0" applyProtection="0"/>
    <xf numFmtId="0" fontId="55" fillId="0" borderId="199" applyNumberFormat="0" applyProtection="0"/>
    <xf numFmtId="0" fontId="57" fillId="26" borderId="0" applyNumberFormat="0" applyBorder="0" applyProtection="0"/>
    <xf numFmtId="0" fontId="55" fillId="0" borderId="199" applyNumberFormat="0" applyProtection="0"/>
    <xf numFmtId="0" fontId="55" fillId="0" borderId="199" applyNumberFormat="0" applyProtection="0"/>
    <xf numFmtId="0" fontId="57" fillId="26" borderId="0" applyNumberFormat="0" applyBorder="0" applyProtection="0"/>
    <xf numFmtId="0" fontId="57" fillId="30" borderId="0" applyNumberFormat="0" applyBorder="0" applyProtection="0"/>
    <xf numFmtId="0" fontId="55" fillId="0" borderId="199" applyNumberFormat="0" applyProtection="0"/>
    <xf numFmtId="0" fontId="57" fillId="30" borderId="0" applyNumberFormat="0" applyBorder="0" applyProtection="0"/>
    <xf numFmtId="186" fontId="82" fillId="0" borderId="0" applyFont="0" applyBorder="0" applyProtection="0"/>
    <xf numFmtId="0" fontId="55" fillId="0" borderId="199" applyNumberFormat="0" applyProtection="0"/>
    <xf numFmtId="0" fontId="55" fillId="0" borderId="199" applyNumberFormat="0" applyProtection="0"/>
    <xf numFmtId="0" fontId="57" fillId="30" borderId="0" applyNumberFormat="0" applyBorder="0" applyProtection="0"/>
    <xf numFmtId="186" fontId="82" fillId="0" borderId="0" applyFont="0" applyBorder="0" applyProtection="0"/>
    <xf numFmtId="0" fontId="57" fillId="29" borderId="0" applyNumberFormat="0" applyBorder="0" applyProtection="0"/>
    <xf numFmtId="0" fontId="57" fillId="29" borderId="0" applyNumberFormat="0" applyBorder="0" applyProtection="0"/>
    <xf numFmtId="0" fontId="57" fillId="29" borderId="0" applyNumberFormat="0" applyBorder="0" applyProtection="0"/>
    <xf numFmtId="0" fontId="58" fillId="31" borderId="0" applyNumberFormat="0" applyBorder="0" applyProtection="0"/>
    <xf numFmtId="0" fontId="58" fillId="32" borderId="0" applyNumberFormat="0" applyBorder="0" applyProtection="0"/>
    <xf numFmtId="0" fontId="58" fillId="33" borderId="0" applyNumberFormat="0" applyBorder="0" applyProtection="0"/>
    <xf numFmtId="0" fontId="55" fillId="0" borderId="199" applyNumberFormat="0" applyProtection="0"/>
    <xf numFmtId="0" fontId="58" fillId="37" borderId="0" applyNumberFormat="0" applyBorder="0" applyProtection="0"/>
    <xf numFmtId="0" fontId="58" fillId="39" borderId="0" applyNumberFormat="0" applyBorder="0" applyProtection="0"/>
    <xf numFmtId="0" fontId="58" fillId="40" borderId="0" applyNumberFormat="0" applyBorder="0" applyProtection="0"/>
    <xf numFmtId="0" fontId="58" fillId="38" borderId="0" applyNumberFormat="0" applyBorder="0" applyProtection="0"/>
    <xf numFmtId="0" fontId="58" fillId="41" borderId="0" applyNumberFormat="0" applyBorder="0" applyProtection="0"/>
    <xf numFmtId="0" fontId="58" fillId="37" borderId="0" applyNumberFormat="0" applyBorder="0" applyProtection="0"/>
    <xf numFmtId="0" fontId="58" fillId="34" borderId="0" applyNumberFormat="0" applyBorder="0" applyProtection="0"/>
    <xf numFmtId="0" fontId="62" fillId="36" borderId="0" applyNumberFormat="0" applyBorder="0" applyProtection="0"/>
    <xf numFmtId="0" fontId="55" fillId="0" borderId="199"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0" fontId="56" fillId="22" borderId="200" applyNumberFormat="0" applyProtection="0"/>
    <xf numFmtId="0" fontId="56" fillId="22" borderId="200" applyNumberFormat="0" applyProtection="0"/>
    <xf numFmtId="186" fontId="82" fillId="0" borderId="0" applyFont="0" applyBorder="0" applyProtection="0"/>
    <xf numFmtId="0" fontId="56" fillId="22" borderId="200" applyNumberFormat="0" applyProtection="0"/>
    <xf numFmtId="0" fontId="56" fillId="22" borderId="200" applyNumberFormat="0" applyProtection="0"/>
    <xf numFmtId="0" fontId="56" fillId="22" borderId="200" applyNumberFormat="0" applyProtection="0"/>
    <xf numFmtId="186" fontId="82" fillId="0" borderId="0" applyFont="0" applyBorder="0" applyProtection="0"/>
    <xf numFmtId="0" fontId="56" fillId="22" borderId="200" applyNumberFormat="0" applyProtection="0"/>
    <xf numFmtId="0" fontId="56" fillId="22" borderId="200" applyNumberFormat="0" applyProtection="0"/>
    <xf numFmtId="0" fontId="56" fillId="22" borderId="200" applyNumberFormat="0" applyProtection="0"/>
    <xf numFmtId="186" fontId="82" fillId="0" borderId="0" applyFont="0" applyBorder="0" applyProtection="0"/>
    <xf numFmtId="0" fontId="56" fillId="22" borderId="200" applyNumberFormat="0" applyProtection="0"/>
    <xf numFmtId="0" fontId="56" fillId="22" borderId="200" applyNumberFormat="0" applyProtection="0"/>
    <xf numFmtId="0" fontId="56" fillId="22" borderId="200" applyNumberFormat="0" applyProtection="0"/>
    <xf numFmtId="186" fontId="82" fillId="0" borderId="0" applyFont="0" applyBorder="0" applyProtection="0"/>
    <xf numFmtId="0" fontId="55" fillId="0" borderId="199" applyNumberFormat="0" applyProtection="0"/>
    <xf numFmtId="0" fontId="56" fillId="22" borderId="200" applyNumberFormat="0" applyProtection="0"/>
    <xf numFmtId="0" fontId="56" fillId="22" borderId="200" applyNumberFormat="0" applyProtection="0"/>
    <xf numFmtId="0" fontId="56" fillId="22" borderId="200" applyNumberFormat="0" applyProtection="0"/>
    <xf numFmtId="0" fontId="56" fillId="22" borderId="200" applyNumberFormat="0" applyProtection="0"/>
    <xf numFmtId="0" fontId="56" fillId="22" borderId="200"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0" fontId="56" fillId="22" borderId="200" applyNumberFormat="0" applyProtection="0"/>
    <xf numFmtId="186" fontId="82" fillId="0" borderId="0" applyFont="0" applyBorder="0" applyProtection="0"/>
    <xf numFmtId="0" fontId="56" fillId="22" borderId="200"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0" fontId="56" fillId="22" borderId="200" applyNumberFormat="0" applyProtection="0"/>
    <xf numFmtId="0" fontId="56" fillId="22" borderId="200" applyNumberFormat="0" applyProtection="0"/>
    <xf numFmtId="0" fontId="56" fillId="22" borderId="200" applyNumberFormat="0" applyProtection="0"/>
    <xf numFmtId="0" fontId="56" fillId="22" borderId="200" applyNumberFormat="0" applyProtection="0"/>
    <xf numFmtId="0" fontId="56" fillId="22" borderId="200" applyNumberFormat="0" applyProtection="0"/>
    <xf numFmtId="0" fontId="56" fillId="22" borderId="200" applyNumberFormat="0" applyProtection="0"/>
    <xf numFmtId="0" fontId="56" fillId="22" borderId="200" applyNumberFormat="0" applyProtection="0"/>
    <xf numFmtId="0" fontId="56" fillId="22" borderId="200" applyNumberFormat="0" applyProtection="0"/>
    <xf numFmtId="0" fontId="56" fillId="22" borderId="200" applyNumberFormat="0" applyProtection="0"/>
    <xf numFmtId="0" fontId="56" fillId="22" borderId="200" applyNumberFormat="0" applyProtection="0"/>
    <xf numFmtId="0" fontId="56" fillId="22" borderId="200" applyNumberFormat="0" applyProtection="0"/>
    <xf numFmtId="186" fontId="82" fillId="0" borderId="0" applyFont="0" applyBorder="0" applyProtection="0"/>
    <xf numFmtId="0" fontId="56" fillId="22" borderId="200" applyNumberFormat="0" applyProtection="0"/>
    <xf numFmtId="186" fontId="82" fillId="0" borderId="0" applyFont="0" applyBorder="0" applyProtection="0"/>
    <xf numFmtId="0" fontId="55" fillId="0" borderId="199" applyNumberFormat="0" applyProtection="0"/>
    <xf numFmtId="0" fontId="63" fillId="25" borderId="0" applyNumberFormat="0" applyBorder="0" applyProtection="0"/>
    <xf numFmtId="0" fontId="55" fillId="0" borderId="199" applyNumberFormat="0" applyProtection="0"/>
    <xf numFmtId="0" fontId="56" fillId="22" borderId="200" applyNumberFormat="0" applyProtection="0"/>
    <xf numFmtId="0" fontId="56" fillId="22" borderId="200"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0" fontId="56" fillId="22" borderId="200"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0" fontId="56" fillId="22" borderId="200" applyNumberFormat="0" applyProtection="0"/>
    <xf numFmtId="0" fontId="56" fillId="22" borderId="200"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0" fontId="55" fillId="0" borderId="199" applyNumberFormat="0" applyProtection="0"/>
    <xf numFmtId="175" fontId="57" fillId="0" borderId="0" applyBorder="0" applyProtection="0"/>
    <xf numFmtId="0" fontId="56" fillId="22" borderId="200" applyNumberFormat="0" applyProtection="0"/>
    <xf numFmtId="0" fontId="56" fillId="22" borderId="200" applyNumberFormat="0" applyProtection="0"/>
    <xf numFmtId="186" fontId="82" fillId="0" borderId="0" applyFont="0" applyBorder="0" applyProtection="0"/>
    <xf numFmtId="0" fontId="55" fillId="0" borderId="199" applyNumberFormat="0" applyProtection="0"/>
    <xf numFmtId="0" fontId="56" fillId="22" borderId="200" applyNumberFormat="0" applyProtection="0"/>
    <xf numFmtId="186" fontId="82" fillId="0" borderId="0" applyFont="0" applyBorder="0" applyProtection="0"/>
    <xf numFmtId="0" fontId="56" fillId="22" borderId="200" applyNumberFormat="0" applyProtection="0"/>
    <xf numFmtId="0" fontId="56" fillId="22" borderId="200" applyNumberFormat="0" applyProtection="0"/>
    <xf numFmtId="186" fontId="82" fillId="0" borderId="0" applyFont="0" applyBorder="0" applyProtection="0"/>
    <xf numFmtId="186" fontId="82" fillId="0" borderId="0" applyFont="0" applyBorder="0" applyProtection="0"/>
    <xf numFmtId="0" fontId="56" fillId="22" borderId="200" applyNumberFormat="0" applyProtection="0"/>
    <xf numFmtId="186" fontId="82" fillId="0" borderId="0" applyFont="0" applyBorder="0" applyProtection="0"/>
    <xf numFmtId="0" fontId="56" fillId="22" borderId="200" applyNumberFormat="0" applyProtection="0"/>
    <xf numFmtId="0" fontId="56" fillId="22" borderId="200" applyNumberFormat="0" applyProtection="0"/>
    <xf numFmtId="186" fontId="82" fillId="0" borderId="0" applyFont="0" applyBorder="0" applyProtection="0"/>
    <xf numFmtId="0" fontId="56" fillId="22" borderId="200" applyNumberFormat="0" applyProtection="0"/>
    <xf numFmtId="186" fontId="82" fillId="0" borderId="0" applyFont="0" applyBorder="0" applyProtection="0"/>
    <xf numFmtId="0" fontId="56" fillId="22" borderId="200" applyNumberFormat="0" applyProtection="0"/>
    <xf numFmtId="180" fontId="82" fillId="0" borderId="0" applyFont="0" applyFill="0" applyBorder="0" applyAlignment="0" applyProtection="0"/>
    <xf numFmtId="0" fontId="56" fillId="22" borderId="200" applyNumberFormat="0" applyProtection="0"/>
    <xf numFmtId="0" fontId="56" fillId="22" borderId="200" applyNumberFormat="0" applyProtection="0"/>
    <xf numFmtId="0" fontId="56" fillId="22" borderId="200"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186" fontId="82" fillId="0" borderId="0" applyFont="0" applyBorder="0" applyProtection="0"/>
    <xf numFmtId="0" fontId="56" fillId="22" borderId="200" applyNumberFormat="0" applyProtection="0"/>
    <xf numFmtId="0" fontId="56" fillId="22" borderId="200" applyNumberFormat="0" applyProtection="0"/>
    <xf numFmtId="186" fontId="82" fillId="0" borderId="0" applyFont="0" applyBorder="0" applyProtection="0"/>
    <xf numFmtId="0" fontId="56" fillId="22" borderId="200"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186" fontId="82" fillId="0" borderId="0" applyFont="0" applyBorder="0" applyProtection="0"/>
    <xf numFmtId="0" fontId="55" fillId="0" borderId="199" applyNumberFormat="0" applyProtection="0"/>
    <xf numFmtId="0" fontId="55" fillId="0" borderId="199" applyNumberFormat="0" applyProtection="0"/>
    <xf numFmtId="0" fontId="56" fillId="22" borderId="200" applyNumberFormat="0" applyProtection="0"/>
    <xf numFmtId="0" fontId="56" fillId="22" borderId="200" applyNumberFormat="0" applyProtection="0"/>
    <xf numFmtId="186" fontId="82" fillId="0" borderId="0" applyFont="0" applyBorder="0" applyProtection="0"/>
    <xf numFmtId="0" fontId="55" fillId="0" borderId="199" applyNumberFormat="0" applyProtection="0"/>
    <xf numFmtId="0" fontId="55" fillId="0" borderId="199" applyNumberFormat="0" applyProtection="0"/>
    <xf numFmtId="0" fontId="56" fillId="22" borderId="200" applyNumberFormat="0" applyProtection="0"/>
    <xf numFmtId="186" fontId="82" fillId="0" borderId="0" applyFont="0" applyBorder="0" applyProtection="0"/>
    <xf numFmtId="0" fontId="55" fillId="0" borderId="199" applyNumberFormat="0" applyProtection="0"/>
    <xf numFmtId="0" fontId="55" fillId="0" borderId="199" applyNumberFormat="0" applyProtection="0"/>
    <xf numFmtId="0" fontId="56" fillId="22" borderId="200" applyNumberFormat="0" applyProtection="0"/>
    <xf numFmtId="186" fontId="82" fillId="0" borderId="0" applyFont="0" applyBorder="0" applyProtection="0"/>
    <xf numFmtId="0" fontId="55" fillId="0" borderId="199" applyNumberFormat="0" applyProtection="0"/>
    <xf numFmtId="0" fontId="55" fillId="0" borderId="199"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0" fontId="55" fillId="0" borderId="199" applyNumberFormat="0" applyProtection="0"/>
    <xf numFmtId="0" fontId="55" fillId="0" borderId="199" applyNumberFormat="0" applyProtection="0"/>
    <xf numFmtId="0" fontId="56" fillId="22" borderId="200" applyNumberFormat="0" applyProtection="0"/>
    <xf numFmtId="0" fontId="56" fillId="22" borderId="200" applyNumberFormat="0" applyProtection="0"/>
    <xf numFmtId="186" fontId="82" fillId="0" borderId="0" applyFont="0" applyBorder="0" applyProtection="0"/>
    <xf numFmtId="186" fontId="82" fillId="0" borderId="0" applyFont="0" applyBorder="0" applyProtection="0"/>
    <xf numFmtId="0" fontId="56" fillId="22" borderId="200" applyNumberFormat="0" applyProtection="0"/>
    <xf numFmtId="0" fontId="55" fillId="0" borderId="199" applyNumberFormat="0" applyProtection="0"/>
    <xf numFmtId="0" fontId="56" fillId="22" borderId="200" applyNumberFormat="0" applyProtection="0"/>
    <xf numFmtId="186" fontId="82" fillId="0" borderId="0" applyFont="0" applyBorder="0" applyProtection="0"/>
    <xf numFmtId="0" fontId="61" fillId="35" borderId="202"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0" fontId="55" fillId="0" borderId="199" applyNumberFormat="0" applyProtection="0"/>
    <xf numFmtId="0" fontId="56" fillId="22" borderId="200" applyNumberFormat="0" applyProtection="0"/>
    <xf numFmtId="186" fontId="82" fillId="0" borderId="0" applyFont="0" applyBorder="0" applyProtection="0"/>
    <xf numFmtId="0" fontId="55" fillId="0" borderId="199" applyNumberFormat="0" applyProtection="0"/>
    <xf numFmtId="186" fontId="82" fillId="0" borderId="0" applyFont="0" applyBorder="0" applyProtection="0"/>
    <xf numFmtId="186" fontId="82" fillId="0" borderId="0" applyFont="0" applyBorder="0" applyProtection="0"/>
    <xf numFmtId="186" fontId="82" fillId="0" borderId="0" applyFont="0" applyBorder="0" applyProtection="0"/>
    <xf numFmtId="0" fontId="55" fillId="0" borderId="199" applyNumberFormat="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0" fontId="55" fillId="0" borderId="199" applyNumberFormat="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0" fontId="55" fillId="0" borderId="199" applyNumberFormat="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0" fontId="55" fillId="0" borderId="199" applyNumberFormat="0" applyProtection="0"/>
    <xf numFmtId="186" fontId="82" fillId="0" borderId="0" applyFont="0" applyBorder="0" applyProtection="0"/>
    <xf numFmtId="175" fontId="57" fillId="0" borderId="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0" fontId="55" fillId="0" borderId="199" applyNumberFormat="0" applyProtection="0"/>
    <xf numFmtId="186" fontId="82" fillId="0" borderId="0" applyFont="0" applyBorder="0" applyProtection="0"/>
    <xf numFmtId="186" fontId="82" fillId="0" borderId="0" applyFont="0" applyBorder="0" applyProtection="0"/>
    <xf numFmtId="0" fontId="67" fillId="0" borderId="203" applyNumberFormat="0" applyProtection="0"/>
    <xf numFmtId="0" fontId="55" fillId="0" borderId="199" applyNumberFormat="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75" fontId="25" fillId="0" borderId="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0" fontId="55" fillId="0" borderId="199" applyNumberFormat="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0" fontId="55" fillId="0" borderId="199" applyNumberFormat="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186" fontId="82" fillId="0" borderId="0" applyFont="0" applyBorder="0" applyProtection="0"/>
    <xf numFmtId="0" fontId="55" fillId="0" borderId="199" applyNumberFormat="0" applyProtection="0"/>
    <xf numFmtId="186" fontId="82" fillId="0" borderId="0" applyFont="0" applyBorder="0" applyProtection="0"/>
    <xf numFmtId="186" fontId="82" fillId="0" borderId="0" applyFont="0" applyBorder="0" applyProtection="0"/>
    <xf numFmtId="175" fontId="25" fillId="0" borderId="0" applyBorder="0" applyProtection="0"/>
    <xf numFmtId="186" fontId="82" fillId="0" borderId="0" applyFont="0" applyBorder="0" applyProtection="0"/>
    <xf numFmtId="175" fontId="57" fillId="0" borderId="0" applyBorder="0" applyProtection="0"/>
    <xf numFmtId="186" fontId="82" fillId="0" borderId="0" applyFont="0" applyBorder="0" applyProtection="0"/>
    <xf numFmtId="175" fontId="25" fillId="0" borderId="0" applyBorder="0" applyProtection="0"/>
    <xf numFmtId="186" fontId="82" fillId="0" borderId="0" applyFont="0" applyBorder="0" applyProtection="0"/>
    <xf numFmtId="186" fontId="82" fillId="0" borderId="0" applyFont="0" applyBorder="0" applyProtection="0"/>
    <xf numFmtId="0" fontId="64" fillId="0" borderId="0" applyNumberFormat="0" applyBorder="0" applyProtection="0"/>
    <xf numFmtId="0" fontId="55" fillId="0" borderId="199" applyNumberFormat="0" applyProtection="0"/>
    <xf numFmtId="186" fontId="82" fillId="0" borderId="0" applyFont="0" applyBorder="0" applyProtection="0"/>
    <xf numFmtId="0" fontId="55" fillId="0" borderId="199" applyNumberFormat="0" applyProtection="0"/>
    <xf numFmtId="175" fontId="57" fillId="0" borderId="0" applyBorder="0" applyProtection="0"/>
    <xf numFmtId="186" fontId="82" fillId="0" borderId="0" applyFont="0" applyBorder="0" applyProtection="0"/>
    <xf numFmtId="0" fontId="55" fillId="0" borderId="199" applyNumberFormat="0" applyProtection="0"/>
    <xf numFmtId="186" fontId="82" fillId="0" borderId="0" applyFont="0" applyBorder="0" applyProtection="0"/>
    <xf numFmtId="0" fontId="55" fillId="0" borderId="199" applyNumberFormat="0" applyProtection="0"/>
    <xf numFmtId="186" fontId="82" fillId="0" borderId="0" applyFont="0" applyBorder="0" applyProtection="0"/>
    <xf numFmtId="186" fontId="82" fillId="0" borderId="0" applyFont="0" applyBorder="0" applyProtection="0"/>
    <xf numFmtId="0" fontId="55" fillId="0" borderId="199" applyNumberFormat="0" applyProtection="0"/>
    <xf numFmtId="186" fontId="82" fillId="0" borderId="0" applyFont="0" applyBorder="0" applyProtection="0"/>
    <xf numFmtId="186" fontId="82" fillId="0" borderId="0" applyFont="0" applyBorder="0" applyProtection="0"/>
    <xf numFmtId="169" fontId="82" fillId="0" borderId="0" applyFont="0" applyBorder="0" applyProtection="0"/>
    <xf numFmtId="0" fontId="55" fillId="0" borderId="199" applyNumberFormat="0" applyProtection="0"/>
    <xf numFmtId="169" fontId="82" fillId="0" borderId="0" applyFont="0" applyBorder="0" applyProtection="0"/>
    <xf numFmtId="0" fontId="55" fillId="0" borderId="199" applyNumberFormat="0" applyProtection="0"/>
    <xf numFmtId="170" fontId="82" fillId="0" borderId="0" applyFont="0" applyBorder="0" applyProtection="0"/>
    <xf numFmtId="0" fontId="55" fillId="0" borderId="199" applyNumberFormat="0" applyProtection="0"/>
    <xf numFmtId="0" fontId="65" fillId="0" borderId="0" applyNumberFormat="0" applyBorder="0" applyProtection="0"/>
    <xf numFmtId="0" fontId="66" fillId="0" borderId="0" applyNumberFormat="0" applyBorder="0" applyProtection="0">
      <alignment horizontal="center"/>
    </xf>
    <xf numFmtId="175" fontId="57" fillId="0" borderId="0" applyBorder="0" applyProtection="0"/>
    <xf numFmtId="0" fontId="69" fillId="0" borderId="204" applyNumberFormat="0" applyProtection="0"/>
    <xf numFmtId="0" fontId="55" fillId="0" borderId="199" applyNumberFormat="0" applyProtection="0"/>
    <xf numFmtId="0" fontId="59" fillId="0" borderId="0" applyNumberFormat="0" applyBorder="0" applyProtection="0"/>
    <xf numFmtId="0" fontId="55" fillId="0" borderId="199" applyNumberFormat="0" applyProtection="0"/>
    <xf numFmtId="0" fontId="66" fillId="0" borderId="0" applyNumberFormat="0" applyBorder="0" applyProtection="0">
      <alignment horizontal="center" textRotation="90"/>
    </xf>
    <xf numFmtId="0" fontId="68" fillId="0" borderId="0" applyNumberFormat="0" applyBorder="0" applyProtection="0"/>
    <xf numFmtId="0" fontId="55" fillId="0" borderId="199" applyNumberFormat="0" applyProtection="0"/>
    <xf numFmtId="170" fontId="82" fillId="0" borderId="0" applyFont="0" applyBorder="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175" fontId="57" fillId="0" borderId="0" applyBorder="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70" fillId="42" borderId="0" applyNumberFormat="0" applyBorder="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0" fontId="55" fillId="0" borderId="199" applyNumberFormat="0" applyProtection="0"/>
    <xf numFmtId="175" fontId="25" fillId="0" borderId="0" applyBorder="0" applyProtection="0"/>
    <xf numFmtId="0" fontId="55" fillId="0" borderId="199" applyNumberFormat="0" applyProtection="0"/>
    <xf numFmtId="175" fontId="25" fillId="0" borderId="0" applyBorder="0" applyProtection="0"/>
    <xf numFmtId="0" fontId="55" fillId="0" borderId="199" applyNumberFormat="0" applyProtection="0"/>
    <xf numFmtId="175" fontId="57" fillId="0" borderId="0" applyBorder="0" applyProtection="0"/>
    <xf numFmtId="175" fontId="57" fillId="0" borderId="0" applyBorder="0" applyProtection="0"/>
    <xf numFmtId="0" fontId="57" fillId="0" borderId="0" applyNumberFormat="0" applyBorder="0" applyProtection="0"/>
    <xf numFmtId="175" fontId="25" fillId="0" borderId="0" applyBorder="0" applyProtection="0"/>
    <xf numFmtId="175" fontId="57" fillId="0" borderId="0" applyBorder="0" applyProtection="0"/>
    <xf numFmtId="175" fontId="57" fillId="0" borderId="0" applyBorder="0" applyProtection="0"/>
    <xf numFmtId="175" fontId="57" fillId="0" borderId="0" applyBorder="0" applyProtection="0"/>
    <xf numFmtId="175" fontId="57" fillId="0" borderId="0" applyBorder="0" applyProtection="0"/>
    <xf numFmtId="175" fontId="57" fillId="0" borderId="0" applyBorder="0" applyProtection="0"/>
    <xf numFmtId="175" fontId="25" fillId="0" borderId="0" applyBorder="0" applyProtection="0"/>
    <xf numFmtId="175" fontId="57" fillId="0" borderId="0" applyBorder="0" applyProtection="0"/>
    <xf numFmtId="175" fontId="25" fillId="0" borderId="0" applyBorder="0" applyProtection="0"/>
    <xf numFmtId="175" fontId="57" fillId="0" borderId="0" applyBorder="0" applyProtection="0"/>
    <xf numFmtId="175" fontId="25" fillId="0" borderId="0" applyBorder="0" applyProtection="0"/>
    <xf numFmtId="175" fontId="57" fillId="0" borderId="0" applyBorder="0" applyProtection="0"/>
    <xf numFmtId="175" fontId="25" fillId="0" borderId="0" applyBorder="0" applyProtection="0"/>
    <xf numFmtId="175" fontId="25" fillId="0" borderId="0" applyBorder="0" applyProtection="0"/>
    <xf numFmtId="175" fontId="25" fillId="0" borderId="0" applyBorder="0" applyProtection="0"/>
    <xf numFmtId="175" fontId="25" fillId="0" borderId="0" applyBorder="0" applyProtection="0"/>
    <xf numFmtId="175" fontId="25" fillId="0" borderId="0" applyBorder="0" applyProtection="0"/>
    <xf numFmtId="175" fontId="25" fillId="0" borderId="0" applyBorder="0" applyProtection="0"/>
    <xf numFmtId="175" fontId="25" fillId="0" borderId="0" applyBorder="0" applyProtection="0"/>
    <xf numFmtId="175" fontId="25" fillId="0" borderId="0" applyBorder="0" applyProtection="0"/>
    <xf numFmtId="0" fontId="82" fillId="43" borderId="205" applyNumberFormat="0" applyFont="0" applyProtection="0"/>
    <xf numFmtId="0" fontId="82" fillId="43" borderId="205" applyNumberFormat="0" applyFont="0" applyProtection="0"/>
    <xf numFmtId="0" fontId="82" fillId="43" borderId="205" applyNumberFormat="0" applyFont="0" applyProtection="0"/>
    <xf numFmtId="0" fontId="82" fillId="43" borderId="205" applyNumberFormat="0" applyFont="0" applyProtection="0"/>
    <xf numFmtId="0" fontId="82" fillId="43" borderId="205" applyNumberFormat="0" applyFont="0" applyProtection="0"/>
    <xf numFmtId="0" fontId="71" fillId="28" borderId="206" applyNumberFormat="0" applyProtection="0"/>
    <xf numFmtId="0" fontId="71" fillId="28" borderId="206" applyNumberFormat="0" applyProtection="0"/>
    <xf numFmtId="170" fontId="82" fillId="0" borderId="0" applyFont="0" applyBorder="0" applyProtection="0"/>
    <xf numFmtId="170" fontId="82" fillId="0" borderId="0" applyFont="0" applyBorder="0" applyProtection="0"/>
    <xf numFmtId="170" fontId="82" fillId="0" borderId="0" applyFont="0" applyBorder="0" applyProtection="0"/>
    <xf numFmtId="170" fontId="82" fillId="0" borderId="0" applyFont="0" applyBorder="0" applyProtection="0"/>
    <xf numFmtId="170" fontId="82" fillId="0" borderId="0" applyFont="0" applyBorder="0" applyProtection="0"/>
    <xf numFmtId="170" fontId="82" fillId="0" borderId="0" applyFont="0" applyBorder="0" applyProtection="0"/>
    <xf numFmtId="170" fontId="82" fillId="0" borderId="0" applyFont="0" applyBorder="0" applyProtection="0"/>
    <xf numFmtId="170" fontId="82" fillId="0" borderId="0" applyFont="0" applyBorder="0" applyProtection="0"/>
    <xf numFmtId="170" fontId="82" fillId="0" borderId="0" applyFont="0" applyBorder="0" applyProtection="0"/>
    <xf numFmtId="170" fontId="82" fillId="0" borderId="0" applyFont="0" applyBorder="0" applyProtection="0"/>
    <xf numFmtId="170" fontId="82" fillId="0" borderId="0" applyFont="0" applyBorder="0" applyProtection="0"/>
    <xf numFmtId="170" fontId="82" fillId="0" borderId="0" applyFont="0" applyBorder="0" applyProtection="0"/>
    <xf numFmtId="170" fontId="82" fillId="0" borderId="0" applyFont="0" applyBorder="0" applyProtection="0"/>
    <xf numFmtId="170" fontId="82" fillId="0" borderId="0" applyFont="0" applyBorder="0" applyProtection="0"/>
    <xf numFmtId="170" fontId="82" fillId="0" borderId="0" applyFont="0" applyBorder="0" applyProtection="0"/>
    <xf numFmtId="170" fontId="82" fillId="0" borderId="0" applyFont="0" applyBorder="0" applyProtection="0"/>
    <xf numFmtId="170" fontId="82" fillId="0" borderId="0" applyFont="0" applyBorder="0" applyProtection="0"/>
    <xf numFmtId="170" fontId="82" fillId="0" borderId="0" applyFont="0" applyBorder="0" applyProtection="0"/>
    <xf numFmtId="170" fontId="82" fillId="0" borderId="0" applyFont="0" applyBorder="0" applyProtection="0"/>
    <xf numFmtId="170" fontId="82" fillId="0" borderId="0" applyFont="0" applyBorder="0" applyProtection="0"/>
    <xf numFmtId="170" fontId="82" fillId="0" borderId="0" applyFont="0" applyBorder="0" applyProtection="0"/>
    <xf numFmtId="170" fontId="82" fillId="0" borderId="0" applyFont="0" applyBorder="0" applyProtection="0"/>
    <xf numFmtId="170" fontId="82" fillId="0" borderId="0" applyFont="0" applyBorder="0" applyProtection="0"/>
    <xf numFmtId="170" fontId="82" fillId="0" borderId="0" applyFont="0" applyBorder="0" applyProtection="0"/>
    <xf numFmtId="9" fontId="82" fillId="0" borderId="0" applyFont="0" applyFill="0" applyBorder="0" applyAlignment="0" applyProtection="0"/>
    <xf numFmtId="0" fontId="72" fillId="0" borderId="0" applyNumberFormat="0" applyBorder="0" applyProtection="0"/>
    <xf numFmtId="179" fontId="72" fillId="0" borderId="0" applyBorder="0" applyProtection="0"/>
    <xf numFmtId="0" fontId="73" fillId="0" borderId="0" applyNumberFormat="0" applyBorder="0" applyProtection="0"/>
    <xf numFmtId="0" fontId="74" fillId="0" borderId="207" applyNumberFormat="0" applyProtection="0"/>
    <xf numFmtId="0" fontId="74" fillId="0" borderId="207" applyNumberFormat="0" applyProtection="0"/>
    <xf numFmtId="0" fontId="75" fillId="0" borderId="0" applyNumberFormat="0" applyBorder="0" applyProtection="0"/>
    <xf numFmtId="175" fontId="76" fillId="0" borderId="0" applyBorder="0" applyProtection="0">
      <alignment vertical="center"/>
    </xf>
  </cellStyleXfs>
  <cellXfs count="1745">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wrapText="1"/>
    </xf>
    <xf numFmtId="0" fontId="3" fillId="0" borderId="0" xfId="0" applyFont="1"/>
    <xf numFmtId="190" fontId="3" fillId="0" borderId="0" xfId="0" applyNumberFormat="1" applyFont="1" applyAlignment="1">
      <alignment horizontal="center"/>
    </xf>
    <xf numFmtId="186" fontId="3" fillId="0" borderId="0" xfId="249" applyFont="1"/>
    <xf numFmtId="196" fontId="3" fillId="0" borderId="0" xfId="0" applyNumberFormat="1" applyFont="1"/>
    <xf numFmtId="200" fontId="3" fillId="0" borderId="0" xfId="379" applyNumberFormat="1" applyFont="1" applyAlignment="1">
      <alignment horizontal="center"/>
    </xf>
    <xf numFmtId="0" fontId="0" fillId="0" borderId="0" xfId="0" applyAlignment="1">
      <alignment horizontal="center"/>
    </xf>
    <xf numFmtId="200" fontId="0" fillId="0" borderId="0" xfId="379" applyNumberFormat="1" applyFont="1"/>
    <xf numFmtId="0" fontId="3" fillId="0" borderId="0" xfId="0" applyFont="1" applyAlignment="1">
      <alignment horizontal="center"/>
    </xf>
    <xf numFmtId="200" fontId="3" fillId="0" borderId="0" xfId="379" applyNumberFormat="1" applyFont="1"/>
    <xf numFmtId="200" fontId="3" fillId="0" borderId="0" xfId="0" applyNumberFormat="1" applyFont="1"/>
    <xf numFmtId="0" fontId="4" fillId="0" borderId="0" xfId="0" applyFont="1"/>
    <xf numFmtId="0" fontId="4" fillId="2" borderId="0" xfId="0" applyFont="1" applyFill="1"/>
    <xf numFmtId="0" fontId="5" fillId="0" borderId="0" xfId="0" applyFont="1"/>
    <xf numFmtId="200" fontId="4" fillId="0" borderId="0" xfId="0" applyNumberFormat="1" applyFont="1" applyAlignment="1">
      <alignment horizontal="left"/>
    </xf>
    <xf numFmtId="200" fontId="4" fillId="0" borderId="0" xfId="0" applyNumberFormat="1" applyFont="1"/>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0" borderId="1" xfId="0" applyFont="1" applyBorder="1" applyAlignment="1">
      <alignment horizontal="left"/>
    </xf>
    <xf numFmtId="0" fontId="0" fillId="0" borderId="1" xfId="0" applyBorder="1"/>
    <xf numFmtId="0" fontId="4" fillId="0" borderId="1" xfId="0" applyFont="1" applyBorder="1" applyAlignment="1">
      <alignment horizontal="center"/>
    </xf>
    <xf numFmtId="0" fontId="4" fillId="0" borderId="1" xfId="0" applyFont="1" applyBorder="1" applyAlignment="1">
      <alignment horizontal="left"/>
    </xf>
    <xf numFmtId="200" fontId="4" fillId="0" borderId="1" xfId="0" applyNumberFormat="1" applyFont="1" applyBorder="1" applyAlignment="1">
      <alignment horizontal="center"/>
    </xf>
    <xf numFmtId="0" fontId="4" fillId="0" borderId="0" xfId="0" applyFont="1" applyAlignment="1">
      <alignment horizontal="center"/>
    </xf>
    <xf numFmtId="0" fontId="4" fillId="0" borderId="2" xfId="0" applyFont="1" applyBorder="1" applyAlignment="1">
      <alignment horizontal="left"/>
    </xf>
    <xf numFmtId="0" fontId="4" fillId="0" borderId="2" xfId="0" applyFont="1" applyBorder="1" applyAlignment="1">
      <alignment horizontal="center"/>
    </xf>
    <xf numFmtId="200" fontId="4" fillId="0" borderId="2" xfId="0" applyNumberFormat="1" applyFont="1" applyBorder="1" applyAlignment="1">
      <alignment horizontal="center"/>
    </xf>
    <xf numFmtId="0" fontId="5" fillId="3" borderId="1" xfId="0" applyFont="1" applyFill="1" applyBorder="1"/>
    <xf numFmtId="0" fontId="4" fillId="0" borderId="1" xfId="0" applyFont="1" applyBorder="1"/>
    <xf numFmtId="0" fontId="4" fillId="0" borderId="2" xfId="0" applyFont="1" applyBorder="1"/>
    <xf numFmtId="0" fontId="4" fillId="2" borderId="0" xfId="0" applyFont="1" applyFill="1" applyAlignment="1">
      <alignment horizontal="left"/>
    </xf>
    <xf numFmtId="186" fontId="4" fillId="2" borderId="0" xfId="0" applyNumberFormat="1" applyFont="1" applyFill="1"/>
    <xf numFmtId="186" fontId="4" fillId="4" borderId="5" xfId="249" applyFont="1" applyFill="1" applyBorder="1" applyAlignment="1">
      <alignment horizontal="left" vertical="top"/>
    </xf>
    <xf numFmtId="186" fontId="4" fillId="4" borderId="6" xfId="249" applyFont="1" applyFill="1" applyBorder="1" applyAlignment="1">
      <alignment horizontal="left" vertical="top"/>
    </xf>
    <xf numFmtId="0" fontId="5" fillId="0" borderId="0" xfId="0" applyFont="1" applyAlignment="1">
      <alignment horizontal="right"/>
    </xf>
    <xf numFmtId="186" fontId="5" fillId="0" borderId="0" xfId="249" applyFont="1"/>
    <xf numFmtId="0" fontId="7" fillId="0" borderId="0" xfId="0" applyFont="1" applyAlignment="1">
      <alignment horizontal="right"/>
    </xf>
    <xf numFmtId="186" fontId="7" fillId="0" borderId="0" xfId="249" applyFont="1" applyAlignment="1">
      <alignment horizontal="center" vertical="center"/>
    </xf>
    <xf numFmtId="0" fontId="7" fillId="0" borderId="0" xfId="0" applyFont="1" applyAlignment="1">
      <alignment horizontal="center" vertical="center"/>
    </xf>
    <xf numFmtId="200" fontId="7" fillId="0" borderId="0" xfId="0" applyNumberFormat="1" applyFont="1" applyAlignment="1">
      <alignment horizontal="center" vertical="center"/>
    </xf>
    <xf numFmtId="0" fontId="5" fillId="2" borderId="0" xfId="0" applyFont="1" applyFill="1"/>
    <xf numFmtId="0" fontId="8" fillId="2" borderId="0" xfId="0" applyFont="1" applyFill="1" applyAlignment="1">
      <alignment horizontal="right"/>
    </xf>
    <xf numFmtId="0" fontId="4" fillId="3" borderId="1" xfId="0" applyFont="1" applyFill="1" applyBorder="1" applyAlignment="1">
      <alignment horizontal="center" vertical="center" wrapText="1"/>
    </xf>
    <xf numFmtId="168" fontId="4" fillId="0" borderId="1" xfId="0" applyNumberFormat="1" applyFont="1" applyBorder="1" applyAlignment="1">
      <alignment horizontal="center"/>
    </xf>
    <xf numFmtId="168" fontId="4" fillId="0" borderId="2" xfId="0" applyNumberFormat="1" applyFont="1" applyBorder="1" applyAlignment="1">
      <alignment horizontal="center"/>
    </xf>
    <xf numFmtId="200" fontId="6" fillId="3" borderId="4" xfId="0" applyNumberFormat="1" applyFont="1" applyFill="1" applyBorder="1" applyAlignment="1">
      <alignment horizontal="center"/>
    </xf>
    <xf numFmtId="0" fontId="4" fillId="2" borderId="0" xfId="0" applyFont="1" applyFill="1" applyAlignment="1">
      <alignment horizontal="center"/>
    </xf>
    <xf numFmtId="0" fontId="9" fillId="0" borderId="1" xfId="0" applyFont="1" applyBorder="1" applyAlignment="1">
      <alignment horizontal="center" vertical="top" wrapText="1"/>
    </xf>
    <xf numFmtId="0" fontId="4" fillId="0" borderId="0" xfId="0" applyFont="1" applyAlignment="1">
      <alignment horizontal="center" vertical="top" wrapText="1"/>
    </xf>
    <xf numFmtId="0" fontId="9" fillId="0" borderId="1" xfId="0" applyFont="1" applyBorder="1"/>
    <xf numFmtId="200" fontId="9" fillId="0" borderId="1" xfId="0" applyNumberFormat="1" applyFont="1" applyBorder="1" applyAlignment="1">
      <alignment horizontal="center"/>
    </xf>
    <xf numFmtId="0" fontId="9" fillId="0" borderId="1" xfId="0" applyFont="1" applyBorder="1" applyAlignment="1">
      <alignment horizontal="center"/>
    </xf>
    <xf numFmtId="200" fontId="6" fillId="3" borderId="0" xfId="0" applyNumberFormat="1" applyFont="1" applyFill="1" applyAlignment="1">
      <alignment horizontal="center"/>
    </xf>
    <xf numFmtId="174" fontId="4" fillId="0" borderId="0" xfId="249" applyNumberFormat="1" applyFont="1" applyAlignment="1">
      <alignment horizontal="right"/>
    </xf>
    <xf numFmtId="186" fontId="4" fillId="0" borderId="0" xfId="249" applyFont="1"/>
    <xf numFmtId="186" fontId="4" fillId="0" borderId="0" xfId="0" applyNumberFormat="1" applyFont="1"/>
    <xf numFmtId="0" fontId="5" fillId="3" borderId="1" xfId="0" applyFont="1" applyFill="1" applyBorder="1" applyAlignment="1">
      <alignment horizontal="left" vertical="center"/>
    </xf>
    <xf numFmtId="0" fontId="4" fillId="0" borderId="0" xfId="0" applyFont="1" applyAlignment="1">
      <alignment horizontal="right"/>
    </xf>
    <xf numFmtId="190" fontId="4" fillId="0" borderId="0" xfId="0" applyNumberFormat="1" applyFont="1"/>
    <xf numFmtId="0" fontId="5" fillId="0" borderId="0" xfId="0" applyFont="1" applyAlignment="1">
      <alignment horizontal="center"/>
    </xf>
    <xf numFmtId="0" fontId="11" fillId="0" borderId="0" xfId="0" applyFont="1" applyAlignment="1">
      <alignment vertical="center"/>
    </xf>
    <xf numFmtId="0" fontId="12" fillId="0" borderId="0" xfId="0" applyFont="1" applyAlignment="1">
      <alignment vertical="center"/>
    </xf>
    <xf numFmtId="0" fontId="12" fillId="0" borderId="0" xfId="0" applyFont="1" applyAlignment="1">
      <alignment horizontal="center" vertical="center" wrapText="1"/>
    </xf>
    <xf numFmtId="0" fontId="11" fillId="0" borderId="0" xfId="0" applyFont="1"/>
    <xf numFmtId="0" fontId="11" fillId="0" borderId="0" xfId="0" applyFont="1" applyAlignment="1">
      <alignment horizontal="center"/>
    </xf>
    <xf numFmtId="186" fontId="11" fillId="0" borderId="0" xfId="156" applyFont="1" applyAlignment="1">
      <alignment horizontal="center"/>
    </xf>
    <xf numFmtId="186" fontId="11" fillId="0" borderId="0" xfId="0" applyNumberFormat="1" applyFont="1" applyAlignment="1">
      <alignment horizontal="center"/>
    </xf>
    <xf numFmtId="0" fontId="12" fillId="0" borderId="12" xfId="0" applyFont="1" applyBorder="1" applyAlignment="1">
      <alignment horizontal="center" vertical="center" wrapText="1"/>
    </xf>
    <xf numFmtId="0" fontId="13" fillId="0" borderId="12" xfId="0" applyFont="1" applyBorder="1" applyAlignment="1">
      <alignment horizontal="center" vertical="center" wrapText="1"/>
    </xf>
    <xf numFmtId="0" fontId="11" fillId="0" borderId="13" xfId="0" applyFont="1" applyBorder="1" applyAlignment="1">
      <alignment horizontal="center" vertical="center"/>
    </xf>
    <xf numFmtId="0" fontId="11" fillId="0" borderId="14" xfId="0" applyFont="1" applyBorder="1" applyAlignment="1">
      <alignment vertical="center"/>
    </xf>
    <xf numFmtId="0" fontId="11" fillId="0" borderId="15" xfId="0" applyFont="1" applyBorder="1" applyAlignment="1">
      <alignment horizontal="center" vertical="center"/>
    </xf>
    <xf numFmtId="199" fontId="11" fillId="0" borderId="16" xfId="156" applyNumberFormat="1" applyFont="1" applyBorder="1" applyAlignment="1">
      <alignment horizontal="center" vertical="center"/>
    </xf>
    <xf numFmtId="186" fontId="11" fillId="0" borderId="14" xfId="156" applyFont="1" applyBorder="1" applyAlignment="1">
      <alignment horizontal="center" vertical="center"/>
    </xf>
    <xf numFmtId="0" fontId="11" fillId="0" borderId="17" xfId="0" applyFont="1" applyBorder="1" applyAlignment="1">
      <alignment horizontal="center" vertical="center"/>
    </xf>
    <xf numFmtId="0" fontId="11" fillId="0" borderId="4" xfId="0" applyFont="1" applyBorder="1" applyAlignment="1">
      <alignment vertical="center"/>
    </xf>
    <xf numFmtId="0" fontId="11" fillId="0" borderId="1" xfId="0" applyFont="1" applyBorder="1" applyAlignment="1">
      <alignment horizontal="center" vertical="center"/>
    </xf>
    <xf numFmtId="199" fontId="11" fillId="0" borderId="18" xfId="156" applyNumberFormat="1" applyFont="1" applyBorder="1" applyAlignment="1">
      <alignment horizontal="center" vertical="center"/>
    </xf>
    <xf numFmtId="186" fontId="11" fillId="0" borderId="19" xfId="156" applyFont="1" applyBorder="1" applyAlignment="1">
      <alignment horizontal="center" vertical="center"/>
    </xf>
    <xf numFmtId="0" fontId="11" fillId="0" borderId="20" xfId="0" applyFont="1" applyBorder="1" applyAlignment="1">
      <alignment horizontal="center" vertical="center"/>
    </xf>
    <xf numFmtId="0" fontId="11" fillId="0" borderId="21" xfId="0" applyFont="1" applyBorder="1" applyAlignment="1">
      <alignment vertical="center"/>
    </xf>
    <xf numFmtId="199" fontId="11" fillId="0" borderId="22" xfId="156" applyNumberFormat="1" applyFont="1" applyBorder="1" applyAlignment="1">
      <alignment horizontal="center" vertical="center"/>
    </xf>
    <xf numFmtId="186" fontId="11" fillId="0" borderId="23" xfId="156" applyFont="1" applyBorder="1" applyAlignment="1">
      <alignment horizontal="center" vertical="center"/>
    </xf>
    <xf numFmtId="200" fontId="11" fillId="0" borderId="1" xfId="0" applyNumberFormat="1" applyFont="1" applyBorder="1" applyAlignment="1">
      <alignment horizontal="center" vertical="center"/>
    </xf>
    <xf numFmtId="0" fontId="11" fillId="0" borderId="24" xfId="0" applyFont="1" applyBorder="1" applyAlignment="1">
      <alignment horizontal="center" vertical="center"/>
    </xf>
    <xf numFmtId="0" fontId="11" fillId="0" borderId="19" xfId="0" applyFont="1" applyBorder="1" applyAlignment="1">
      <alignment vertical="center"/>
    </xf>
    <xf numFmtId="200" fontId="11" fillId="0" borderId="17" xfId="0" applyNumberFormat="1" applyFont="1" applyBorder="1" applyAlignment="1">
      <alignment horizontal="center" vertical="center"/>
    </xf>
    <xf numFmtId="0" fontId="11" fillId="2" borderId="1" xfId="0" applyFont="1" applyFill="1" applyBorder="1" applyAlignment="1">
      <alignment horizontal="center" vertical="center"/>
    </xf>
    <xf numFmtId="186" fontId="11" fillId="5" borderId="19" xfId="156" applyFont="1" applyFill="1" applyBorder="1" applyAlignment="1">
      <alignment horizontal="center" vertical="center"/>
    </xf>
    <xf numFmtId="0" fontId="11" fillId="2" borderId="15" xfId="0" applyFont="1" applyFill="1" applyBorder="1" applyAlignment="1">
      <alignment horizontal="center" vertical="center"/>
    </xf>
    <xf numFmtId="186" fontId="11" fillId="5" borderId="14" xfId="156" applyFont="1" applyFill="1" applyBorder="1" applyAlignment="1">
      <alignment horizontal="center" vertical="center"/>
    </xf>
    <xf numFmtId="0" fontId="11" fillId="0" borderId="1" xfId="0" applyFont="1" applyBorder="1" applyAlignment="1">
      <alignment horizontal="center" vertical="center" wrapText="1"/>
    </xf>
    <xf numFmtId="0" fontId="11" fillId="0" borderId="25" xfId="0" applyFont="1" applyBorder="1" applyAlignment="1">
      <alignment horizontal="center" vertical="center"/>
    </xf>
    <xf numFmtId="199" fontId="11" fillId="0" borderId="26" xfId="156" applyNumberFormat="1" applyFont="1" applyBorder="1" applyAlignment="1">
      <alignment horizontal="center" vertical="center"/>
    </xf>
    <xf numFmtId="186" fontId="11" fillId="0" borderId="21" xfId="156" applyFont="1" applyBorder="1" applyAlignment="1">
      <alignment horizontal="center" vertical="center"/>
    </xf>
    <xf numFmtId="189" fontId="11" fillId="0" borderId="1" xfId="0" applyNumberFormat="1" applyFont="1" applyBorder="1" applyAlignment="1">
      <alignment horizontal="center" vertical="center"/>
    </xf>
    <xf numFmtId="186" fontId="11" fillId="5" borderId="23" xfId="156" applyFont="1" applyFill="1" applyBorder="1" applyAlignment="1">
      <alignment horizontal="center" vertical="center"/>
    </xf>
    <xf numFmtId="185" fontId="11" fillId="0" borderId="15" xfId="0" applyNumberFormat="1" applyFont="1" applyBorder="1" applyAlignment="1">
      <alignment horizontal="right" vertical="center"/>
    </xf>
    <xf numFmtId="186" fontId="11" fillId="0" borderId="14" xfId="156" applyFont="1" applyBorder="1" applyAlignment="1">
      <alignment horizontal="right" vertical="center"/>
    </xf>
    <xf numFmtId="186" fontId="11" fillId="0" borderId="19" xfId="156" applyFont="1" applyBorder="1" applyAlignment="1">
      <alignment horizontal="right" vertical="center"/>
    </xf>
    <xf numFmtId="186" fontId="11" fillId="0" borderId="23" xfId="156" applyFont="1" applyBorder="1" applyAlignment="1">
      <alignment horizontal="right" vertical="center"/>
    </xf>
    <xf numFmtId="186" fontId="11" fillId="6" borderId="23" xfId="156" applyFont="1" applyFill="1" applyBorder="1" applyAlignment="1">
      <alignment horizontal="center" vertical="center"/>
    </xf>
    <xf numFmtId="185" fontId="11" fillId="0" borderId="25" xfId="0" applyNumberFormat="1" applyFont="1" applyBorder="1" applyAlignment="1">
      <alignment horizontal="right" vertical="center"/>
    </xf>
    <xf numFmtId="186" fontId="11" fillId="0" borderId="21" xfId="156" applyFont="1" applyBorder="1" applyAlignment="1">
      <alignment horizontal="right" vertical="center"/>
    </xf>
    <xf numFmtId="185" fontId="11" fillId="0" borderId="27" xfId="0" applyNumberFormat="1" applyFont="1" applyBorder="1" applyAlignment="1">
      <alignment horizontal="right" vertical="center"/>
    </xf>
    <xf numFmtId="185" fontId="12" fillId="0" borderId="16" xfId="0" applyNumberFormat="1" applyFont="1" applyBorder="1" applyAlignment="1">
      <alignment horizontal="center" vertical="center"/>
    </xf>
    <xf numFmtId="185" fontId="11" fillId="0" borderId="1" xfId="0" applyNumberFormat="1" applyFont="1" applyBorder="1" applyAlignment="1">
      <alignment horizontal="right" vertical="center"/>
    </xf>
    <xf numFmtId="186" fontId="11" fillId="0" borderId="4" xfId="0" applyNumberFormat="1" applyFont="1" applyBorder="1" applyAlignment="1">
      <alignment horizontal="right" vertical="center"/>
    </xf>
    <xf numFmtId="186" fontId="11" fillId="0" borderId="4" xfId="156" applyFont="1" applyBorder="1" applyAlignment="1">
      <alignment horizontal="right" vertical="center"/>
    </xf>
    <xf numFmtId="185" fontId="12" fillId="0" borderId="3" xfId="0" applyNumberFormat="1" applyFont="1" applyBorder="1" applyAlignment="1">
      <alignment horizontal="center" vertical="center"/>
    </xf>
    <xf numFmtId="185" fontId="11" fillId="0" borderId="28" xfId="0" applyNumberFormat="1" applyFont="1" applyBorder="1" applyAlignment="1">
      <alignment horizontal="right" vertical="center"/>
    </xf>
    <xf numFmtId="185" fontId="14" fillId="0" borderId="15" xfId="0" applyNumberFormat="1" applyFont="1" applyBorder="1" applyAlignment="1">
      <alignment horizontal="right" vertical="center"/>
    </xf>
    <xf numFmtId="185" fontId="14" fillId="0" borderId="25" xfId="0" applyNumberFormat="1" applyFont="1" applyBorder="1" applyAlignment="1">
      <alignment horizontal="right" vertical="center"/>
    </xf>
    <xf numFmtId="186" fontId="11" fillId="0" borderId="21" xfId="0" applyNumberFormat="1" applyFont="1" applyBorder="1" applyAlignment="1">
      <alignment horizontal="right" vertical="center"/>
    </xf>
    <xf numFmtId="185" fontId="12" fillId="0" borderId="26" xfId="0" applyNumberFormat="1" applyFont="1" applyBorder="1" applyAlignment="1">
      <alignment horizontal="center" vertical="center"/>
    </xf>
    <xf numFmtId="186" fontId="11" fillId="0" borderId="0" xfId="0" applyNumberFormat="1" applyFont="1" applyAlignment="1">
      <alignment horizontal="center" vertical="center" wrapText="1"/>
    </xf>
    <xf numFmtId="186" fontId="15" fillId="0" borderId="0" xfId="0" applyNumberFormat="1" applyFont="1" applyAlignment="1">
      <alignment horizontal="center" vertical="center" wrapText="1"/>
    </xf>
    <xf numFmtId="186" fontId="12" fillId="0" borderId="29" xfId="156" applyFont="1" applyBorder="1" applyAlignment="1">
      <alignment horizontal="right" vertical="center"/>
    </xf>
    <xf numFmtId="186" fontId="11" fillId="0" borderId="0" xfId="156" applyFont="1" applyAlignment="1">
      <alignment horizontal="right" vertical="center"/>
    </xf>
    <xf numFmtId="0" fontId="16" fillId="0" borderId="0" xfId="0" applyFont="1" applyAlignment="1">
      <alignment horizontal="left" vertical="center"/>
    </xf>
    <xf numFmtId="0" fontId="16" fillId="0" borderId="0" xfId="0" applyFont="1" applyAlignment="1">
      <alignment horizontal="center" vertical="center"/>
    </xf>
    <xf numFmtId="0" fontId="16" fillId="0" borderId="0" xfId="0" applyFont="1" applyAlignment="1">
      <alignment horizontal="right" vertical="center"/>
    </xf>
    <xf numFmtId="186" fontId="12" fillId="0" borderId="30" xfId="0" applyNumberFormat="1" applyFont="1" applyBorder="1" applyAlignment="1">
      <alignment horizontal="right" vertical="center"/>
    </xf>
    <xf numFmtId="0" fontId="16" fillId="0" borderId="12" xfId="0" applyFont="1" applyBorder="1" applyAlignment="1">
      <alignment horizontal="left" vertical="center"/>
    </xf>
    <xf numFmtId="0" fontId="16" fillId="0" borderId="12" xfId="0" applyFont="1" applyBorder="1" applyAlignment="1">
      <alignment horizontal="center" vertical="center"/>
    </xf>
    <xf numFmtId="186" fontId="17" fillId="5" borderId="12" xfId="156" applyFont="1" applyFill="1" applyBorder="1" applyAlignment="1">
      <alignment horizontal="right" vertical="center"/>
    </xf>
    <xf numFmtId="186" fontId="12" fillId="6" borderId="30" xfId="0" applyNumberFormat="1" applyFont="1" applyFill="1" applyBorder="1" applyAlignment="1">
      <alignment horizontal="right" vertical="center"/>
    </xf>
    <xf numFmtId="186" fontId="12" fillId="5" borderId="30" xfId="0" applyNumberFormat="1" applyFont="1" applyFill="1" applyBorder="1" applyAlignment="1">
      <alignment horizontal="right" vertical="center"/>
    </xf>
    <xf numFmtId="186" fontId="12" fillId="0" borderId="31" xfId="0" applyNumberFormat="1" applyFont="1" applyBorder="1" applyAlignment="1">
      <alignment horizontal="right" vertical="center"/>
    </xf>
    <xf numFmtId="200" fontId="11" fillId="0" borderId="0" xfId="0" applyNumberFormat="1" applyFont="1" applyAlignment="1">
      <alignment vertical="center"/>
    </xf>
    <xf numFmtId="200" fontId="11" fillId="0" borderId="15" xfId="0" applyNumberFormat="1" applyFont="1" applyBorder="1" applyAlignment="1">
      <alignment horizontal="center" vertical="center"/>
    </xf>
    <xf numFmtId="186" fontId="11" fillId="5" borderId="21" xfId="156" applyFont="1" applyFill="1" applyBorder="1" applyAlignment="1">
      <alignment horizontal="center" vertical="center"/>
    </xf>
    <xf numFmtId="0" fontId="11" fillId="0" borderId="24" xfId="0" applyFont="1" applyBorder="1" applyAlignment="1">
      <alignment horizontal="center" vertical="top"/>
    </xf>
    <xf numFmtId="0" fontId="11" fillId="0" borderId="19" xfId="0" applyFont="1" applyBorder="1" applyAlignment="1">
      <alignment vertical="top"/>
    </xf>
    <xf numFmtId="199" fontId="11" fillId="0" borderId="16" xfId="156" applyNumberFormat="1" applyFont="1" applyBorder="1" applyAlignment="1">
      <alignment horizontal="center" vertical="top"/>
    </xf>
    <xf numFmtId="186" fontId="11" fillId="5" borderId="14" xfId="156" applyFont="1" applyFill="1" applyBorder="1" applyAlignment="1">
      <alignment horizontal="center" vertical="top"/>
    </xf>
    <xf numFmtId="0" fontId="11" fillId="0" borderId="17" xfId="0" applyFont="1" applyBorder="1" applyAlignment="1">
      <alignment horizontal="center" vertical="top"/>
    </xf>
    <xf numFmtId="199" fontId="11" fillId="0" borderId="22" xfId="156" applyNumberFormat="1" applyFont="1" applyBorder="1" applyAlignment="1">
      <alignment horizontal="center" vertical="top"/>
    </xf>
    <xf numFmtId="186" fontId="11" fillId="5" borderId="23" xfId="156" applyFont="1" applyFill="1" applyBorder="1" applyAlignment="1">
      <alignment horizontal="center" vertical="top"/>
    </xf>
    <xf numFmtId="200" fontId="11" fillId="0" borderId="17" xfId="0" applyNumberFormat="1" applyFont="1" applyBorder="1" applyAlignment="1">
      <alignment horizontal="center" vertical="top"/>
    </xf>
    <xf numFmtId="0" fontId="11" fillId="0" borderId="4" xfId="0" applyFont="1" applyBorder="1" applyAlignment="1">
      <alignment vertical="center" wrapText="1"/>
    </xf>
    <xf numFmtId="200" fontId="11" fillId="0" borderId="20" xfId="0" applyNumberFormat="1" applyFont="1" applyBorder="1" applyAlignment="1">
      <alignment horizontal="center" vertical="center"/>
    </xf>
    <xf numFmtId="186" fontId="11" fillId="6" borderId="14" xfId="156" applyFont="1" applyFill="1" applyBorder="1" applyAlignment="1">
      <alignment horizontal="center" vertical="center"/>
    </xf>
    <xf numFmtId="186" fontId="11" fillId="6" borderId="19" xfId="156" applyFont="1" applyFill="1" applyBorder="1" applyAlignment="1">
      <alignment horizontal="center" vertical="center"/>
    </xf>
    <xf numFmtId="186" fontId="11" fillId="0" borderId="14" xfId="156" applyFont="1" applyBorder="1" applyAlignment="1">
      <alignment horizontal="center" vertical="top"/>
    </xf>
    <xf numFmtId="185" fontId="11" fillId="0" borderId="14" xfId="0" applyNumberFormat="1" applyFont="1" applyBorder="1" applyAlignment="1">
      <alignment horizontal="right" vertical="center"/>
    </xf>
    <xf numFmtId="186" fontId="11" fillId="0" borderId="23" xfId="156" applyFont="1" applyBorder="1" applyAlignment="1">
      <alignment horizontal="center" vertical="top"/>
    </xf>
    <xf numFmtId="185" fontId="11" fillId="0" borderId="21" xfId="0" applyNumberFormat="1" applyFont="1" applyBorder="1" applyAlignment="1">
      <alignment horizontal="right" vertical="center"/>
    </xf>
    <xf numFmtId="185" fontId="11" fillId="0" borderId="4" xfId="0" applyNumberFormat="1" applyFont="1" applyBorder="1" applyAlignment="1">
      <alignment horizontal="right" vertical="center"/>
    </xf>
    <xf numFmtId="185" fontId="11" fillId="0" borderId="32" xfId="0" applyNumberFormat="1" applyFont="1" applyBorder="1" applyAlignment="1">
      <alignment horizontal="right" vertical="center"/>
    </xf>
    <xf numFmtId="185" fontId="14" fillId="0" borderId="1" xfId="0" applyNumberFormat="1" applyFont="1" applyBorder="1" applyAlignment="1">
      <alignment horizontal="right" vertical="center"/>
    </xf>
    <xf numFmtId="185" fontId="14" fillId="0" borderId="28" xfId="0" applyNumberFormat="1" applyFont="1" applyBorder="1" applyAlignment="1">
      <alignment horizontal="right" vertical="center"/>
    </xf>
    <xf numFmtId="0" fontId="11" fillId="0" borderId="0" xfId="0" applyFont="1" applyAlignment="1">
      <alignment horizontal="left"/>
    </xf>
    <xf numFmtId="0" fontId="12" fillId="0" borderId="6" xfId="0" applyFont="1" applyBorder="1" applyAlignment="1">
      <alignment horizontal="center"/>
    </xf>
    <xf numFmtId="0" fontId="0" fillId="0" borderId="0" xfId="0" applyAlignment="1">
      <alignment horizontal="left"/>
    </xf>
    <xf numFmtId="186" fontId="0" fillId="0" borderId="0" xfId="249" applyFont="1" applyAlignment="1">
      <alignment horizontal="center"/>
    </xf>
    <xf numFmtId="0" fontId="0" fillId="0" borderId="33" xfId="0" applyBorder="1"/>
    <xf numFmtId="186" fontId="0" fillId="0" borderId="0" xfId="249" applyFont="1"/>
    <xf numFmtId="0" fontId="0" fillId="0" borderId="34" xfId="0" applyBorder="1"/>
    <xf numFmtId="0" fontId="3" fillId="9" borderId="1" xfId="0" applyFont="1" applyFill="1" applyBorder="1" applyAlignment="1">
      <alignment horizontal="center"/>
    </xf>
    <xf numFmtId="186" fontId="3" fillId="9" borderId="1" xfId="249" applyFont="1" applyFill="1" applyBorder="1" applyAlignment="1">
      <alignment horizontal="center"/>
    </xf>
    <xf numFmtId="0" fontId="3" fillId="9" borderId="3" xfId="0" applyFont="1" applyFill="1" applyBorder="1" applyAlignment="1">
      <alignment horizontal="center"/>
    </xf>
    <xf numFmtId="0" fontId="3" fillId="10" borderId="1" xfId="0" applyFont="1" applyFill="1" applyBorder="1" applyAlignment="1">
      <alignment horizontal="center"/>
    </xf>
    <xf numFmtId="186" fontId="3" fillId="10" borderId="1" xfId="249" applyFont="1" applyFill="1" applyBorder="1" applyAlignment="1">
      <alignment horizontal="center"/>
    </xf>
    <xf numFmtId="0" fontId="0" fillId="0" borderId="33" xfId="0" applyBorder="1" applyAlignment="1">
      <alignment horizontal="center"/>
    </xf>
    <xf numFmtId="186" fontId="0" fillId="11" borderId="0" xfId="249" applyFont="1" applyFill="1"/>
    <xf numFmtId="0" fontId="3" fillId="0" borderId="33" xfId="0" applyFont="1" applyBorder="1" applyAlignment="1">
      <alignment horizontal="left"/>
    </xf>
    <xf numFmtId="0" fontId="3" fillId="0" borderId="0" xfId="0" applyFont="1" applyAlignment="1">
      <alignment horizontal="left"/>
    </xf>
    <xf numFmtId="186" fontId="0" fillId="11" borderId="0" xfId="249" applyFont="1" applyFill="1" applyAlignment="1">
      <alignment horizontal="center"/>
    </xf>
    <xf numFmtId="186" fontId="0" fillId="12" borderId="0" xfId="249" applyFont="1" applyFill="1" applyAlignment="1">
      <alignment horizontal="center"/>
    </xf>
    <xf numFmtId="0" fontId="3" fillId="13" borderId="4" xfId="0" applyFont="1" applyFill="1" applyBorder="1" applyAlignment="1">
      <alignment horizontal="center"/>
    </xf>
    <xf numFmtId="0" fontId="3" fillId="13" borderId="1" xfId="0" applyFont="1" applyFill="1" applyBorder="1" applyAlignment="1">
      <alignment horizontal="center"/>
    </xf>
    <xf numFmtId="0" fontId="0" fillId="5" borderId="0" xfId="0" applyFill="1"/>
    <xf numFmtId="200" fontId="0" fillId="5" borderId="0" xfId="0" applyNumberFormat="1" applyFill="1"/>
    <xf numFmtId="0" fontId="3" fillId="0" borderId="34" xfId="0" applyFont="1" applyBorder="1"/>
    <xf numFmtId="186" fontId="3" fillId="0" borderId="0" xfId="0" applyNumberFormat="1" applyFont="1"/>
    <xf numFmtId="0" fontId="0" fillId="0" borderId="1" xfId="0" applyBorder="1" applyAlignment="1">
      <alignment horizontal="center"/>
    </xf>
    <xf numFmtId="170" fontId="0" fillId="0" borderId="1" xfId="379" applyFont="1" applyBorder="1" applyAlignment="1">
      <alignment horizontal="center"/>
    </xf>
    <xf numFmtId="170" fontId="0" fillId="0" borderId="0" xfId="0" applyNumberFormat="1"/>
    <xf numFmtId="0" fontId="3" fillId="0" borderId="33" xfId="0" applyFont="1" applyBorder="1"/>
    <xf numFmtId="186" fontId="3" fillId="0" borderId="0" xfId="249" applyFont="1" applyAlignment="1">
      <alignment horizontal="center"/>
    </xf>
    <xf numFmtId="0" fontId="3" fillId="0" borderId="33" xfId="0" applyFont="1" applyBorder="1" applyAlignment="1">
      <alignment horizontal="center"/>
    </xf>
    <xf numFmtId="0" fontId="18" fillId="0" borderId="0" xfId="0" applyFont="1"/>
    <xf numFmtId="0" fontId="18" fillId="0" borderId="0" xfId="0" applyFont="1" applyAlignment="1">
      <alignment horizontal="left"/>
    </xf>
    <xf numFmtId="0" fontId="19" fillId="0" borderId="0" xfId="0" applyFont="1" applyAlignment="1">
      <alignment horizontal="right"/>
    </xf>
    <xf numFmtId="0" fontId="20" fillId="0" borderId="0" xfId="0" applyFont="1" applyAlignment="1">
      <alignment horizontal="center" vertical="center"/>
    </xf>
    <xf numFmtId="2" fontId="18" fillId="0" borderId="0" xfId="0" applyNumberFormat="1" applyFont="1" applyAlignment="1">
      <alignment horizontal="left"/>
    </xf>
    <xf numFmtId="0" fontId="20" fillId="0" borderId="0" xfId="0" applyFont="1"/>
    <xf numFmtId="0" fontId="20" fillId="0" borderId="0" xfId="0" applyFont="1" applyAlignment="1">
      <alignment horizontal="left"/>
    </xf>
    <xf numFmtId="0" fontId="20" fillId="0" borderId="39" xfId="0" applyFont="1" applyBorder="1"/>
    <xf numFmtId="0" fontId="18" fillId="0" borderId="40" xfId="0" applyFont="1" applyBorder="1" applyAlignment="1">
      <alignment horizontal="left"/>
    </xf>
    <xf numFmtId="0" fontId="20" fillId="0" borderId="40" xfId="0" applyFont="1" applyBorder="1"/>
    <xf numFmtId="0" fontId="20" fillId="0" borderId="41" xfId="0" applyFont="1" applyBorder="1"/>
    <xf numFmtId="0" fontId="18" fillId="0" borderId="40" xfId="0" applyFont="1" applyBorder="1" applyAlignment="1">
      <alignment horizontal="center"/>
    </xf>
    <xf numFmtId="0" fontId="18" fillId="0" borderId="40" xfId="0" applyFont="1" applyBorder="1" applyAlignment="1">
      <alignment horizontal="center" vertical="center"/>
    </xf>
    <xf numFmtId="2" fontId="18" fillId="0" borderId="41" xfId="0" applyNumberFormat="1" applyFont="1" applyBorder="1" applyAlignment="1">
      <alignment horizontal="center"/>
    </xf>
    <xf numFmtId="164" fontId="18" fillId="0" borderId="0" xfId="1" applyNumberFormat="1" applyFont="1" applyBorder="1" applyAlignment="1">
      <alignment horizontal="center"/>
    </xf>
    <xf numFmtId="0" fontId="18" fillId="0" borderId="43" xfId="0" applyFont="1" applyBorder="1"/>
    <xf numFmtId="0" fontId="18" fillId="0" borderId="0" xfId="0" applyFont="1" applyAlignment="1">
      <alignment horizontal="center"/>
    </xf>
    <xf numFmtId="0" fontId="18" fillId="0" borderId="41" xfId="0" applyFont="1" applyBorder="1"/>
    <xf numFmtId="0" fontId="20" fillId="0" borderId="43" xfId="0" applyFont="1" applyBorder="1"/>
    <xf numFmtId="0" fontId="20" fillId="0" borderId="52" xfId="0" applyFont="1" applyBorder="1" applyAlignment="1">
      <alignment horizontal="center" vertical="center"/>
    </xf>
    <xf numFmtId="2" fontId="18" fillId="0" borderId="40" xfId="0" applyNumberFormat="1" applyFont="1" applyBorder="1" applyAlignment="1">
      <alignment horizontal="center" vertical="center"/>
    </xf>
    <xf numFmtId="164" fontId="18" fillId="0" borderId="41" xfId="1" applyNumberFormat="1" applyFont="1" applyBorder="1" applyAlignment="1">
      <alignment horizontal="right" vertical="center"/>
    </xf>
    <xf numFmtId="0" fontId="20" fillId="0" borderId="52" xfId="0" applyFont="1" applyBorder="1" applyAlignment="1">
      <alignment horizontal="center"/>
    </xf>
    <xf numFmtId="0" fontId="18" fillId="0" borderId="39" xfId="0" applyFont="1" applyBorder="1"/>
    <xf numFmtId="0" fontId="18" fillId="0" borderId="40" xfId="0" applyFont="1" applyBorder="1"/>
    <xf numFmtId="2" fontId="18" fillId="0" borderId="40" xfId="0" applyNumberFormat="1" applyFont="1" applyBorder="1" applyAlignment="1">
      <alignment horizontal="center"/>
    </xf>
    <xf numFmtId="164" fontId="18" fillId="0" borderId="41" xfId="1" applyNumberFormat="1" applyFont="1" applyBorder="1" applyAlignment="1">
      <alignment horizontal="center"/>
    </xf>
    <xf numFmtId="0" fontId="18" fillId="0" borderId="48" xfId="0" applyFont="1" applyBorder="1" applyAlignment="1">
      <alignment horizontal="left"/>
    </xf>
    <xf numFmtId="164" fontId="18" fillId="0" borderId="40" xfId="1" applyNumberFormat="1" applyFont="1" applyBorder="1" applyAlignment="1">
      <alignment horizontal="center"/>
    </xf>
    <xf numFmtId="167" fontId="18" fillId="0" borderId="56" xfId="0" applyNumberFormat="1" applyFont="1" applyBorder="1" applyAlignment="1">
      <alignment horizontal="center" vertical="center"/>
    </xf>
    <xf numFmtId="0" fontId="18" fillId="0" borderId="56" xfId="0" applyFont="1" applyBorder="1" applyAlignment="1">
      <alignment horizontal="center" vertical="center"/>
    </xf>
    <xf numFmtId="205" fontId="18" fillId="0" borderId="56" xfId="0" applyNumberFormat="1" applyFont="1" applyBorder="1" applyAlignment="1">
      <alignment horizontal="center" vertical="center"/>
    </xf>
    <xf numFmtId="0" fontId="20" fillId="0" borderId="40" xfId="0" applyFont="1" applyBorder="1" applyAlignment="1">
      <alignment horizontal="center"/>
    </xf>
    <xf numFmtId="0" fontId="20" fillId="0" borderId="60" xfId="0" applyFont="1" applyBorder="1" applyAlignment="1">
      <alignment horizontal="center"/>
    </xf>
    <xf numFmtId="164" fontId="18" fillId="0" borderId="40" xfId="1" applyNumberFormat="1" applyFont="1" applyBorder="1" applyAlignment="1">
      <alignment horizontal="left"/>
    </xf>
    <xf numFmtId="164" fontId="18" fillId="0" borderId="60" xfId="1" applyNumberFormat="1" applyFont="1" applyBorder="1" applyAlignment="1">
      <alignment horizontal="left"/>
    </xf>
    <xf numFmtId="164" fontId="21" fillId="0" borderId="0" xfId="0" applyNumberFormat="1" applyFont="1"/>
    <xf numFmtId="164" fontId="18" fillId="0" borderId="0" xfId="1" applyNumberFormat="1" applyFont="1"/>
    <xf numFmtId="204" fontId="18" fillId="0" borderId="0" xfId="0" applyNumberFormat="1" applyFont="1"/>
    <xf numFmtId="0" fontId="18" fillId="0" borderId="60" xfId="0" applyFont="1" applyBorder="1" applyAlignment="1">
      <alignment horizontal="center"/>
    </xf>
    <xf numFmtId="0" fontId="20" fillId="0" borderId="0" xfId="0" applyFont="1" applyAlignment="1">
      <alignment horizontal="center"/>
    </xf>
    <xf numFmtId="164" fontId="18" fillId="0" borderId="0" xfId="0" applyNumberFormat="1" applyFont="1" applyAlignment="1">
      <alignment horizontal="center" vertical="center"/>
    </xf>
    <xf numFmtId="0" fontId="18" fillId="0" borderId="60" xfId="0" applyFont="1" applyBorder="1" applyAlignment="1">
      <alignment horizontal="center" vertical="center"/>
    </xf>
    <xf numFmtId="9" fontId="18" fillId="0" borderId="0" xfId="7" applyFont="1" applyAlignment="1">
      <alignment horizontal="left"/>
    </xf>
    <xf numFmtId="164" fontId="18" fillId="0" borderId="60" xfId="1" applyNumberFormat="1" applyFont="1" applyBorder="1" applyAlignment="1">
      <alignment horizontal="center"/>
    </xf>
    <xf numFmtId="9" fontId="18" fillId="0" borderId="0" xfId="7" applyFont="1" applyBorder="1" applyAlignment="1">
      <alignment horizontal="left"/>
    </xf>
    <xf numFmtId="164" fontId="18" fillId="0" borderId="0" xfId="0" applyNumberFormat="1" applyFont="1"/>
    <xf numFmtId="9" fontId="18" fillId="0" borderId="0" xfId="7" applyFont="1" applyAlignment="1">
      <alignment horizontal="center"/>
    </xf>
    <xf numFmtId="43" fontId="18" fillId="0" borderId="0" xfId="0" applyNumberFormat="1" applyFont="1"/>
    <xf numFmtId="0" fontId="20" fillId="0" borderId="66" xfId="0" applyFont="1" applyBorder="1" applyAlignment="1">
      <alignment horizontal="center"/>
    </xf>
    <xf numFmtId="0" fontId="18" fillId="0" borderId="69" xfId="0" applyFont="1" applyBorder="1" applyAlignment="1">
      <alignment vertical="center"/>
    </xf>
    <xf numFmtId="0" fontId="0" fillId="0" borderId="0" xfId="452" applyFont="1"/>
    <xf numFmtId="0" fontId="0" fillId="0" borderId="0" xfId="452" applyFont="1" applyAlignment="1">
      <alignment horizontal="left"/>
    </xf>
    <xf numFmtId="0" fontId="23" fillId="0" borderId="0" xfId="452" applyFont="1" applyAlignment="1">
      <alignment horizontal="right"/>
    </xf>
    <xf numFmtId="0" fontId="3" fillId="0" borderId="0" xfId="452" applyFont="1" applyAlignment="1">
      <alignment horizontal="center" vertical="center"/>
    </xf>
    <xf numFmtId="2" fontId="0" fillId="0" borderId="0" xfId="452" applyNumberFormat="1" applyFont="1" applyAlignment="1">
      <alignment horizontal="left"/>
    </xf>
    <xf numFmtId="0" fontId="3" fillId="0" borderId="0" xfId="452" applyFont="1"/>
    <xf numFmtId="0" fontId="3" fillId="0" borderId="0" xfId="452" applyFont="1" applyAlignment="1">
      <alignment horizontal="left"/>
    </xf>
    <xf numFmtId="0" fontId="3" fillId="0" borderId="2" xfId="452" applyFont="1" applyBorder="1"/>
    <xf numFmtId="0" fontId="0" fillId="0" borderId="33" xfId="452" applyFont="1" applyBorder="1" applyAlignment="1">
      <alignment horizontal="left"/>
    </xf>
    <xf numFmtId="0" fontId="3" fillId="0" borderId="33" xfId="452" applyFont="1" applyBorder="1"/>
    <xf numFmtId="0" fontId="3" fillId="0" borderId="28" xfId="452" applyFont="1" applyBorder="1"/>
    <xf numFmtId="0" fontId="0" fillId="0" borderId="33" xfId="452" applyFont="1" applyBorder="1" applyAlignment="1">
      <alignment horizontal="center"/>
    </xf>
    <xf numFmtId="0" fontId="0" fillId="0" borderId="33" xfId="452" applyFont="1" applyBorder="1" applyAlignment="1">
      <alignment horizontal="center" vertical="center"/>
    </xf>
    <xf numFmtId="2" fontId="0" fillId="0" borderId="28" xfId="452" applyNumberFormat="1" applyFont="1" applyBorder="1" applyAlignment="1">
      <alignment horizontal="center"/>
    </xf>
    <xf numFmtId="180" fontId="0" fillId="0" borderId="0" xfId="218" applyFont="1" applyAlignment="1">
      <alignment horizontal="center"/>
    </xf>
    <xf numFmtId="0" fontId="0" fillId="0" borderId="15" xfId="452" applyFont="1" applyBorder="1"/>
    <xf numFmtId="0" fontId="0" fillId="0" borderId="28" xfId="0" applyBorder="1"/>
    <xf numFmtId="0" fontId="0" fillId="0" borderId="28" xfId="452" applyFont="1" applyBorder="1"/>
    <xf numFmtId="0" fontId="3" fillId="0" borderId="15" xfId="452" applyFont="1" applyBorder="1"/>
    <xf numFmtId="0" fontId="3" fillId="0" borderId="74" xfId="452" applyFont="1" applyBorder="1" applyAlignment="1">
      <alignment horizontal="center" vertical="center"/>
    </xf>
    <xf numFmtId="2" fontId="0" fillId="0" borderId="33" xfId="452" applyNumberFormat="1" applyFont="1" applyBorder="1" applyAlignment="1">
      <alignment horizontal="center" vertical="center"/>
    </xf>
    <xf numFmtId="180" fontId="0" fillId="0" borderId="28" xfId="218" applyFont="1" applyBorder="1" applyAlignment="1">
      <alignment horizontal="center" vertical="center"/>
    </xf>
    <xf numFmtId="180" fontId="0" fillId="0" borderId="28" xfId="218" applyFont="1" applyBorder="1" applyAlignment="1">
      <alignment horizontal="right" vertical="center"/>
    </xf>
    <xf numFmtId="0" fontId="3" fillId="0" borderId="74" xfId="452" applyFont="1" applyBorder="1" applyAlignment="1">
      <alignment horizontal="center"/>
    </xf>
    <xf numFmtId="0" fontId="0" fillId="0" borderId="2" xfId="452" applyFont="1" applyBorder="1"/>
    <xf numFmtId="0" fontId="0" fillId="0" borderId="33" xfId="452" applyFont="1" applyBorder="1"/>
    <xf numFmtId="2" fontId="0" fillId="0" borderId="33" xfId="452" applyNumberFormat="1" applyFont="1" applyBorder="1" applyAlignment="1">
      <alignment horizontal="center"/>
    </xf>
    <xf numFmtId="180" fontId="0" fillId="0" borderId="28" xfId="218" applyFont="1" applyBorder="1" applyAlignment="1">
      <alignment horizontal="center"/>
    </xf>
    <xf numFmtId="168" fontId="0" fillId="0" borderId="33" xfId="452" applyNumberFormat="1" applyFont="1" applyBorder="1" applyAlignment="1">
      <alignment horizontal="center"/>
    </xf>
    <xf numFmtId="0" fontId="24" fillId="0" borderId="33" xfId="0" applyFont="1" applyBorder="1" applyAlignment="1">
      <alignment horizontal="left"/>
    </xf>
    <xf numFmtId="185" fontId="0" fillId="0" borderId="33" xfId="0" applyNumberFormat="1" applyBorder="1" applyAlignment="1">
      <alignment horizontal="center"/>
    </xf>
    <xf numFmtId="180" fontId="0" fillId="0" borderId="33" xfId="249" applyNumberFormat="1" applyFont="1" applyBorder="1" applyAlignment="1">
      <alignment horizontal="center"/>
    </xf>
    <xf numFmtId="0" fontId="0" fillId="0" borderId="33" xfId="0" applyBorder="1" applyAlignment="1">
      <alignment horizontal="left"/>
    </xf>
    <xf numFmtId="0" fontId="0" fillId="0" borderId="34" xfId="452" applyFont="1" applyBorder="1" applyAlignment="1">
      <alignment horizontal="left"/>
    </xf>
    <xf numFmtId="180" fontId="0" fillId="0" borderId="33" xfId="218" applyFont="1" applyBorder="1" applyAlignment="1">
      <alignment horizontal="center"/>
    </xf>
    <xf numFmtId="167" fontId="0" fillId="0" borderId="4" xfId="452" applyNumberFormat="1" applyFont="1" applyBorder="1" applyAlignment="1">
      <alignment horizontal="center" vertical="center"/>
    </xf>
    <xf numFmtId="0" fontId="0" fillId="0" borderId="4" xfId="452" applyFont="1" applyBorder="1" applyAlignment="1">
      <alignment horizontal="center" vertical="center"/>
    </xf>
    <xf numFmtId="0" fontId="3" fillId="0" borderId="33" xfId="452" applyFont="1" applyBorder="1" applyAlignment="1">
      <alignment horizontal="center"/>
    </xf>
    <xf numFmtId="0" fontId="3" fillId="0" borderId="77" xfId="452" applyFont="1" applyBorder="1" applyAlignment="1">
      <alignment horizontal="center"/>
    </xf>
    <xf numFmtId="180" fontId="0" fillId="0" borderId="33" xfId="218" applyFont="1" applyBorder="1" applyAlignment="1">
      <alignment horizontal="left"/>
    </xf>
    <xf numFmtId="180" fontId="0" fillId="0" borderId="77" xfId="218" applyFont="1" applyBorder="1" applyAlignment="1">
      <alignment horizontal="left"/>
    </xf>
    <xf numFmtId="180" fontId="21" fillId="0" borderId="0" xfId="452" applyNumberFormat="1" applyFont="1"/>
    <xf numFmtId="180" fontId="0" fillId="0" borderId="0" xfId="218" applyFont="1"/>
    <xf numFmtId="195" fontId="0" fillId="0" borderId="0" xfId="452" applyNumberFormat="1" applyFont="1"/>
    <xf numFmtId="0" fontId="3" fillId="0" borderId="0" xfId="452" applyFont="1" applyAlignment="1">
      <alignment horizontal="center"/>
    </xf>
    <xf numFmtId="9" fontId="0" fillId="0" borderId="0" xfId="504" applyFont="1" applyAlignment="1">
      <alignment horizontal="left"/>
    </xf>
    <xf numFmtId="180" fontId="0" fillId="0" borderId="0" xfId="452" applyNumberFormat="1" applyFont="1" applyAlignment="1">
      <alignment horizontal="center" vertical="center"/>
    </xf>
    <xf numFmtId="0" fontId="0" fillId="0" borderId="77" xfId="452" applyFont="1" applyBorder="1" applyAlignment="1">
      <alignment horizontal="center" vertical="center"/>
    </xf>
    <xf numFmtId="0" fontId="0" fillId="0" borderId="0" xfId="452" applyFont="1" applyAlignment="1">
      <alignment horizontal="center"/>
    </xf>
    <xf numFmtId="0" fontId="0" fillId="0" borderId="77" xfId="452" applyFont="1" applyBorder="1" applyAlignment="1">
      <alignment horizontal="center"/>
    </xf>
    <xf numFmtId="180" fontId="0" fillId="0" borderId="33" xfId="0" applyNumberFormat="1" applyBorder="1" applyAlignment="1">
      <alignment horizontal="center"/>
    </xf>
    <xf numFmtId="180" fontId="0" fillId="0" borderId="77" xfId="0" applyNumberFormat="1" applyBorder="1" applyAlignment="1">
      <alignment horizontal="center"/>
    </xf>
    <xf numFmtId="180" fontId="0" fillId="0" borderId="77" xfId="218" applyFont="1" applyBorder="1" applyAlignment="1">
      <alignment horizontal="center"/>
    </xf>
    <xf numFmtId="180" fontId="0" fillId="0" borderId="0" xfId="452" applyNumberFormat="1" applyFont="1"/>
    <xf numFmtId="9" fontId="0" fillId="0" borderId="0" xfId="504" applyFont="1" applyAlignment="1">
      <alignment horizontal="center"/>
    </xf>
    <xf numFmtId="205" fontId="0" fillId="0" borderId="4" xfId="452" applyNumberFormat="1" applyFont="1" applyBorder="1" applyAlignment="1">
      <alignment horizontal="center" vertical="center"/>
    </xf>
    <xf numFmtId="0" fontId="3" fillId="0" borderId="81" xfId="452" applyFont="1" applyBorder="1" applyAlignment="1">
      <alignment horizontal="center"/>
    </xf>
    <xf numFmtId="0" fontId="0" fillId="0" borderId="83" xfId="452" applyFont="1" applyBorder="1" applyAlignment="1">
      <alignment vertical="center"/>
    </xf>
    <xf numFmtId="0" fontId="23" fillId="0" borderId="0" xfId="0" applyFont="1" applyAlignment="1">
      <alignment horizontal="right"/>
    </xf>
    <xf numFmtId="0" fontId="3" fillId="0" borderId="0" xfId="0" applyFont="1" applyAlignment="1">
      <alignment horizontal="center" vertical="center"/>
    </xf>
    <xf numFmtId="200" fontId="0" fillId="0" borderId="0" xfId="0" applyNumberFormat="1" applyAlignment="1">
      <alignment horizontal="left"/>
    </xf>
    <xf numFmtId="0" fontId="3" fillId="0" borderId="73" xfId="0" applyFont="1" applyBorder="1" applyAlignment="1">
      <alignment horizontal="center" vertical="center"/>
    </xf>
    <xf numFmtId="0" fontId="0" fillId="0" borderId="2" xfId="0" applyBorder="1" applyAlignment="1">
      <alignment horizontal="left"/>
    </xf>
    <xf numFmtId="0" fontId="3" fillId="0" borderId="2" xfId="0" applyFont="1" applyBorder="1"/>
    <xf numFmtId="0" fontId="0" fillId="0" borderId="33" xfId="0" applyBorder="1" applyAlignment="1">
      <alignment horizontal="center" vertical="center"/>
    </xf>
    <xf numFmtId="200" fontId="0" fillId="0" borderId="33" xfId="0" applyNumberFormat="1" applyBorder="1" applyAlignment="1">
      <alignment horizontal="center"/>
    </xf>
    <xf numFmtId="186" fontId="0" fillId="0" borderId="33" xfId="249" applyFont="1" applyBorder="1" applyAlignment="1">
      <alignment horizontal="center"/>
    </xf>
    <xf numFmtId="0" fontId="0" fillId="0" borderId="15" xfId="0" applyBorder="1"/>
    <xf numFmtId="0" fontId="3" fillId="0" borderId="15" xfId="0" applyFont="1" applyBorder="1"/>
    <xf numFmtId="0" fontId="3" fillId="0" borderId="28" xfId="0" applyFont="1" applyBorder="1"/>
    <xf numFmtId="200" fontId="0" fillId="0" borderId="33" xfId="0" applyNumberFormat="1" applyBorder="1" applyAlignment="1">
      <alignment horizontal="center" vertical="center"/>
    </xf>
    <xf numFmtId="186" fontId="0" fillId="0" borderId="28" xfId="249" applyFont="1" applyBorder="1" applyAlignment="1">
      <alignment horizontal="center" vertical="center"/>
    </xf>
    <xf numFmtId="186" fontId="0" fillId="0" borderId="28" xfId="249" applyFont="1" applyBorder="1"/>
    <xf numFmtId="186" fontId="0" fillId="0" borderId="28" xfId="249" applyFont="1" applyBorder="1" applyAlignment="1">
      <alignment horizontal="right" vertical="center"/>
    </xf>
    <xf numFmtId="0" fontId="3" fillId="0" borderId="74" xfId="0" applyFont="1" applyBorder="1" applyAlignment="1">
      <alignment horizontal="center" vertical="center"/>
    </xf>
    <xf numFmtId="0" fontId="0" fillId="0" borderId="1" xfId="0" applyBorder="1" applyAlignment="1">
      <alignment horizontal="left"/>
    </xf>
    <xf numFmtId="0" fontId="3" fillId="0" borderId="74" xfId="0" applyFont="1" applyBorder="1" applyAlignment="1">
      <alignment horizontal="center"/>
    </xf>
    <xf numFmtId="0" fontId="0" fillId="0" borderId="2" xfId="0" applyBorder="1"/>
    <xf numFmtId="0" fontId="0" fillId="0" borderId="34" xfId="0" applyBorder="1" applyAlignment="1">
      <alignment horizontal="left"/>
    </xf>
    <xf numFmtId="184" fontId="0" fillId="0" borderId="33" xfId="0" applyNumberFormat="1" applyBorder="1" applyAlignment="1">
      <alignment horizontal="center"/>
    </xf>
    <xf numFmtId="186" fontId="0" fillId="0" borderId="28" xfId="249" applyFont="1" applyBorder="1" applyAlignment="1">
      <alignment horizontal="center"/>
    </xf>
    <xf numFmtId="167" fontId="0" fillId="0" borderId="4" xfId="0" applyNumberFormat="1" applyBorder="1" applyAlignment="1">
      <alignment horizontal="center" vertical="center"/>
    </xf>
    <xf numFmtId="0" fontId="0" fillId="0" borderId="4" xfId="0" applyBorder="1" applyAlignment="1">
      <alignment horizontal="center" vertical="center"/>
    </xf>
    <xf numFmtId="0" fontId="3" fillId="0" borderId="77" xfId="0" applyFont="1" applyBorder="1" applyAlignment="1">
      <alignment horizontal="center"/>
    </xf>
    <xf numFmtId="186" fontId="0" fillId="0" borderId="33" xfId="249" applyFont="1" applyBorder="1" applyAlignment="1">
      <alignment horizontal="left"/>
    </xf>
    <xf numFmtId="186" fontId="0" fillId="0" borderId="77" xfId="249" applyFont="1" applyBorder="1" applyAlignment="1">
      <alignment horizontal="left"/>
    </xf>
    <xf numFmtId="186" fontId="21" fillId="0" borderId="0" xfId="0" applyNumberFormat="1" applyFont="1"/>
    <xf numFmtId="170" fontId="0" fillId="0" borderId="0" xfId="379" applyFont="1" applyAlignment="1">
      <alignment horizontal="left"/>
    </xf>
    <xf numFmtId="0" fontId="0" fillId="0" borderId="85" xfId="0" applyBorder="1"/>
    <xf numFmtId="186" fontId="0" fillId="0" borderId="0" xfId="0" applyNumberFormat="1" applyAlignment="1">
      <alignment horizontal="center" vertical="center"/>
    </xf>
    <xf numFmtId="0" fontId="0" fillId="0" borderId="77" xfId="0" applyBorder="1" applyAlignment="1">
      <alignment horizontal="center" vertical="center"/>
    </xf>
    <xf numFmtId="0" fontId="0" fillId="0" borderId="77" xfId="0" applyBorder="1" applyAlignment="1">
      <alignment horizontal="center"/>
    </xf>
    <xf numFmtId="200" fontId="0" fillId="0" borderId="0" xfId="0" applyNumberFormat="1"/>
    <xf numFmtId="186" fontId="0" fillId="0" borderId="0" xfId="0" applyNumberFormat="1" applyAlignment="1">
      <alignment horizontal="center"/>
    </xf>
    <xf numFmtId="186" fontId="0" fillId="0" borderId="77" xfId="0" applyNumberFormat="1" applyBorder="1" applyAlignment="1">
      <alignment horizontal="center"/>
    </xf>
    <xf numFmtId="186" fontId="0" fillId="0" borderId="0" xfId="0" applyNumberFormat="1"/>
    <xf numFmtId="170" fontId="0" fillId="0" borderId="0" xfId="379" applyFont="1" applyAlignment="1">
      <alignment horizontal="center"/>
    </xf>
    <xf numFmtId="0" fontId="0" fillId="0" borderId="77" xfId="0" applyBorder="1"/>
    <xf numFmtId="205" fontId="0" fillId="0" borderId="4" xfId="0" applyNumberFormat="1" applyBorder="1" applyAlignment="1">
      <alignment horizontal="center" vertical="center"/>
    </xf>
    <xf numFmtId="0" fontId="3" fillId="0" borderId="86" xfId="0" applyFont="1" applyBorder="1" applyAlignment="1">
      <alignment horizontal="center"/>
    </xf>
    <xf numFmtId="0" fontId="0" fillId="0" borderId="87" xfId="0" applyBorder="1" applyAlignment="1">
      <alignment vertical="center"/>
    </xf>
    <xf numFmtId="0" fontId="0" fillId="0" borderId="34" xfId="0" applyBorder="1" applyAlignment="1">
      <alignment horizontal="center"/>
    </xf>
    <xf numFmtId="168" fontId="0" fillId="0" borderId="0" xfId="0" applyNumberFormat="1" applyAlignment="1">
      <alignment horizontal="center"/>
    </xf>
    <xf numFmtId="200" fontId="0" fillId="0" borderId="0" xfId="0" applyNumberFormat="1" applyAlignment="1">
      <alignment horizontal="center"/>
    </xf>
    <xf numFmtId="0" fontId="0" fillId="0" borderId="3" xfId="0" applyBorder="1" applyAlignment="1">
      <alignment horizontal="left"/>
    </xf>
    <xf numFmtId="0" fontId="0" fillId="0" borderId="5" xfId="0" applyBorder="1" applyAlignment="1">
      <alignment horizontal="left"/>
    </xf>
    <xf numFmtId="0" fontId="0" fillId="0" borderId="4" xfId="0" applyBorder="1" applyAlignment="1">
      <alignment horizontal="left" vertical="center"/>
    </xf>
    <xf numFmtId="183" fontId="0" fillId="0" borderId="0" xfId="0" applyNumberFormat="1"/>
    <xf numFmtId="0" fontId="0" fillId="0" borderId="0" xfId="0" applyAlignment="1">
      <alignment horizontal="left" wrapText="1"/>
    </xf>
    <xf numFmtId="180" fontId="0" fillId="0" borderId="33" xfId="249" applyNumberFormat="1" applyFont="1" applyBorder="1" applyAlignment="1">
      <alignment horizontal="center" vertical="center"/>
    </xf>
    <xf numFmtId="180" fontId="0" fillId="0" borderId="33" xfId="249" applyNumberFormat="1" applyFont="1" applyBorder="1" applyAlignment="1">
      <alignment horizontal="right" vertical="center"/>
    </xf>
    <xf numFmtId="180" fontId="3" fillId="0" borderId="15" xfId="0" applyNumberFormat="1" applyFont="1" applyBorder="1"/>
    <xf numFmtId="178" fontId="0" fillId="0" borderId="0" xfId="0" applyNumberFormat="1"/>
    <xf numFmtId="180" fontId="0" fillId="0" borderId="33" xfId="0" applyNumberFormat="1" applyBorder="1" applyAlignment="1">
      <alignment horizontal="center" vertical="center"/>
    </xf>
    <xf numFmtId="180" fontId="0" fillId="0" borderId="77" xfId="0" applyNumberFormat="1" applyBorder="1" applyAlignment="1">
      <alignment horizontal="center" vertical="center"/>
    </xf>
    <xf numFmtId="180" fontId="0" fillId="0" borderId="15" xfId="0" applyNumberFormat="1" applyBorder="1"/>
    <xf numFmtId="0" fontId="3" fillId="0" borderId="81" xfId="0" applyFont="1" applyBorder="1" applyAlignment="1">
      <alignment horizontal="center"/>
    </xf>
    <xf numFmtId="0" fontId="0" fillId="0" borderId="83" xfId="0" applyBorder="1" applyAlignment="1">
      <alignment vertical="center"/>
    </xf>
    <xf numFmtId="180" fontId="0" fillId="0" borderId="28" xfId="249" applyNumberFormat="1" applyFont="1" applyBorder="1" applyAlignment="1">
      <alignment horizontal="center" vertical="center"/>
    </xf>
    <xf numFmtId="186" fontId="0" fillId="0" borderId="33" xfId="0" applyNumberFormat="1" applyBorder="1" applyAlignment="1">
      <alignment horizontal="center"/>
    </xf>
    <xf numFmtId="182" fontId="0" fillId="0" borderId="0" xfId="0" applyNumberFormat="1"/>
    <xf numFmtId="0" fontId="0" fillId="0" borderId="28" xfId="0" applyBorder="1" applyAlignment="1">
      <alignment horizontal="center"/>
    </xf>
    <xf numFmtId="0" fontId="3" fillId="0" borderId="6" xfId="0" applyFont="1" applyBorder="1"/>
    <xf numFmtId="180" fontId="0" fillId="0" borderId="28" xfId="0" applyNumberFormat="1" applyBorder="1"/>
    <xf numFmtId="180" fontId="0" fillId="0" borderId="33" xfId="249" applyNumberFormat="1" applyFont="1" applyBorder="1" applyAlignment="1">
      <alignment horizontal="left"/>
    </xf>
    <xf numFmtId="180" fontId="0" fillId="0" borderId="77" xfId="249" applyNumberFormat="1" applyFont="1" applyBorder="1" applyAlignment="1">
      <alignment horizontal="left"/>
    </xf>
    <xf numFmtId="180" fontId="0" fillId="0" borderId="0" xfId="0" applyNumberFormat="1" applyAlignment="1">
      <alignment horizontal="center"/>
    </xf>
    <xf numFmtId="200" fontId="0" fillId="0" borderId="28" xfId="0" applyNumberFormat="1" applyBorder="1" applyAlignment="1">
      <alignment horizontal="center"/>
    </xf>
    <xf numFmtId="180" fontId="0" fillId="0" borderId="33" xfId="1" applyFont="1" applyFill="1" applyBorder="1" applyAlignment="1">
      <alignment horizontal="center" vertical="center"/>
    </xf>
    <xf numFmtId="180" fontId="0" fillId="0" borderId="33" xfId="1" applyFont="1" applyFill="1" applyBorder="1" applyAlignment="1">
      <alignment horizontal="right" vertical="center"/>
    </xf>
    <xf numFmtId="186" fontId="0" fillId="0" borderId="33" xfId="249" applyFont="1" applyBorder="1" applyAlignment="1">
      <alignment horizontal="right" vertical="center"/>
    </xf>
    <xf numFmtId="178" fontId="0" fillId="0" borderId="0" xfId="249" applyNumberFormat="1" applyFont="1"/>
    <xf numFmtId="186" fontId="0" fillId="0" borderId="33" xfId="0" applyNumberFormat="1" applyBorder="1" applyAlignment="1">
      <alignment horizontal="center" vertical="center"/>
    </xf>
    <xf numFmtId="0" fontId="3" fillId="0" borderId="72" xfId="0" applyFont="1" applyBorder="1" applyAlignment="1">
      <alignment horizontal="center" vertical="center"/>
    </xf>
    <xf numFmtId="186" fontId="0" fillId="0" borderId="33" xfId="249" applyFont="1" applyBorder="1" applyAlignment="1">
      <alignment horizontal="center" vertical="center"/>
    </xf>
    <xf numFmtId="170" fontId="0" fillId="0" borderId="0" xfId="379" applyFont="1"/>
    <xf numFmtId="0" fontId="0" fillId="0" borderId="0" xfId="0" applyAlignment="1">
      <alignment vertical="center"/>
    </xf>
    <xf numFmtId="0" fontId="0" fillId="0" borderId="0" xfId="0" applyAlignment="1">
      <alignment horizontal="center" vertical="center"/>
    </xf>
    <xf numFmtId="177" fontId="0" fillId="0" borderId="0" xfId="7" applyNumberFormat="1" applyFont="1" applyAlignment="1">
      <alignment horizontal="center"/>
    </xf>
    <xf numFmtId="186" fontId="0" fillId="0" borderId="77" xfId="0" applyNumberFormat="1" applyBorder="1" applyAlignment="1">
      <alignment horizontal="center" vertical="center"/>
    </xf>
    <xf numFmtId="186" fontId="21" fillId="0" borderId="85" xfId="0" applyNumberFormat="1" applyFont="1" applyBorder="1"/>
    <xf numFmtId="0" fontId="0" fillId="3" borderId="0" xfId="0" applyFill="1" applyAlignment="1">
      <alignment vertical="center"/>
    </xf>
    <xf numFmtId="200" fontId="0" fillId="0" borderId="0" xfId="0" applyNumberFormat="1" applyAlignment="1">
      <alignment vertical="center"/>
    </xf>
    <xf numFmtId="0" fontId="0" fillId="2" borderId="0" xfId="0" applyFill="1" applyAlignment="1">
      <alignment horizontal="left" vertical="center"/>
    </xf>
    <xf numFmtId="0" fontId="0" fillId="4" borderId="0" xfId="0" applyFill="1" applyAlignment="1">
      <alignment vertical="center"/>
    </xf>
    <xf numFmtId="0" fontId="0" fillId="0" borderId="0" xfId="0" applyAlignment="1">
      <alignment horizontal="right" vertical="center"/>
    </xf>
    <xf numFmtId="186" fontId="0" fillId="0" borderId="0" xfId="249" applyFont="1" applyAlignment="1">
      <alignment vertical="center"/>
    </xf>
    <xf numFmtId="0" fontId="26" fillId="3" borderId="0" xfId="0" applyFont="1" applyFill="1" applyAlignment="1">
      <alignment vertical="center"/>
    </xf>
    <xf numFmtId="200" fontId="26" fillId="3" borderId="0" xfId="0" applyNumberFormat="1" applyFont="1" applyFill="1" applyAlignment="1">
      <alignment vertical="center"/>
    </xf>
    <xf numFmtId="0" fontId="27" fillId="2" borderId="0" xfId="0" applyFont="1" applyFill="1" applyAlignment="1">
      <alignment vertical="center"/>
    </xf>
    <xf numFmtId="0" fontId="0" fillId="0" borderId="0" xfId="0" applyAlignment="1">
      <alignment horizontal="right"/>
    </xf>
    <xf numFmtId="0" fontId="28" fillId="0" borderId="0" xfId="0" applyFont="1"/>
    <xf numFmtId="170" fontId="0" fillId="0" borderId="85" xfId="379" applyFont="1" applyBorder="1" applyAlignment="1">
      <alignment horizontal="center"/>
    </xf>
    <xf numFmtId="0" fontId="29" fillId="0" borderId="0" xfId="0" applyFont="1"/>
    <xf numFmtId="176" fontId="21" fillId="0" borderId="0" xfId="249" applyNumberFormat="1" applyFont="1"/>
    <xf numFmtId="177" fontId="29" fillId="0" borderId="0" xfId="379" applyNumberFormat="1" applyFont="1"/>
    <xf numFmtId="186" fontId="0" fillId="0" borderId="0" xfId="0" applyNumberFormat="1" applyAlignment="1">
      <alignment vertical="center"/>
    </xf>
    <xf numFmtId="186" fontId="0" fillId="3" borderId="0" xfId="0" applyNumberFormat="1" applyFill="1" applyAlignment="1">
      <alignment vertical="center"/>
    </xf>
    <xf numFmtId="186" fontId="0" fillId="2" borderId="0" xfId="0" applyNumberFormat="1" applyFill="1" applyAlignment="1">
      <alignment vertical="center"/>
    </xf>
    <xf numFmtId="0" fontId="0" fillId="2" borderId="0" xfId="0" applyFill="1" applyAlignment="1">
      <alignment vertical="center"/>
    </xf>
    <xf numFmtId="186" fontId="0" fillId="4" borderId="0" xfId="249" applyFont="1" applyFill="1" applyAlignment="1">
      <alignment horizontal="left" vertical="center"/>
    </xf>
    <xf numFmtId="168" fontId="0" fillId="4" borderId="0" xfId="0" applyNumberFormat="1" applyFill="1" applyAlignment="1">
      <alignment vertical="center"/>
    </xf>
    <xf numFmtId="196" fontId="0" fillId="0" borderId="0" xfId="0" applyNumberFormat="1"/>
    <xf numFmtId="200" fontId="0" fillId="0" borderId="0" xfId="0" applyNumberFormat="1" applyAlignment="1">
      <alignment horizontal="right"/>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xf>
    <xf numFmtId="194" fontId="0" fillId="0" borderId="0" xfId="0" applyNumberFormat="1"/>
    <xf numFmtId="0" fontId="3" fillId="0" borderId="1" xfId="0" applyFont="1" applyBorder="1" applyAlignment="1">
      <alignment horizontal="left"/>
    </xf>
    <xf numFmtId="0" fontId="0" fillId="0" borderId="2" xfId="0" applyBorder="1" applyAlignment="1">
      <alignment horizontal="center"/>
    </xf>
    <xf numFmtId="0" fontId="30" fillId="3" borderId="3" xfId="0" applyFont="1" applyFill="1" applyBorder="1"/>
    <xf numFmtId="0" fontId="30" fillId="3" borderId="1" xfId="0" applyFont="1" applyFill="1" applyBorder="1"/>
    <xf numFmtId="0" fontId="30" fillId="3" borderId="0" xfId="0" applyFont="1" applyFill="1"/>
    <xf numFmtId="0" fontId="30" fillId="3" borderId="0" xfId="0" applyFont="1" applyFill="1" applyAlignment="1">
      <alignment horizontal="center"/>
    </xf>
    <xf numFmtId="200" fontId="0" fillId="0" borderId="1" xfId="0" applyNumberFormat="1" applyBorder="1" applyAlignment="1">
      <alignment horizontal="center"/>
    </xf>
    <xf numFmtId="168" fontId="0" fillId="0" borderId="1" xfId="0" applyNumberFormat="1" applyBorder="1" applyAlignment="1">
      <alignment horizontal="center"/>
    </xf>
    <xf numFmtId="200" fontId="0" fillId="0" borderId="2" xfId="0" applyNumberFormat="1" applyBorder="1" applyAlignment="1">
      <alignment horizontal="center"/>
    </xf>
    <xf numFmtId="168" fontId="0" fillId="0" borderId="2" xfId="0" applyNumberFormat="1" applyBorder="1" applyAlignment="1">
      <alignment horizontal="center"/>
    </xf>
    <xf numFmtId="200" fontId="30" fillId="3" borderId="1" xfId="0" applyNumberFormat="1" applyFont="1" applyFill="1" applyBorder="1"/>
    <xf numFmtId="200" fontId="30" fillId="3" borderId="0" xfId="0" applyNumberFormat="1" applyFont="1" applyFill="1"/>
    <xf numFmtId="200" fontId="21" fillId="0" borderId="0" xfId="0" applyNumberFormat="1" applyFont="1"/>
    <xf numFmtId="168" fontId="21" fillId="0" borderId="0" xfId="0" applyNumberFormat="1" applyFont="1"/>
    <xf numFmtId="184" fontId="31" fillId="2" borderId="0" xfId="0" applyNumberFormat="1" applyFont="1" applyFill="1"/>
    <xf numFmtId="200" fontId="21" fillId="0" borderId="0" xfId="0" applyNumberFormat="1" applyFont="1" applyAlignment="1">
      <alignment horizontal="right"/>
    </xf>
    <xf numFmtId="0" fontId="3" fillId="0" borderId="34" xfId="0" applyFont="1" applyBorder="1" applyAlignment="1">
      <alignment horizontal="left"/>
    </xf>
    <xf numFmtId="196" fontId="0" fillId="0" borderId="28" xfId="0" applyNumberFormat="1" applyBorder="1" applyAlignment="1">
      <alignment horizontal="center"/>
    </xf>
    <xf numFmtId="180" fontId="0" fillId="0" borderId="28" xfId="0" applyNumberFormat="1" applyBorder="1" applyAlignment="1">
      <alignment horizontal="center"/>
    </xf>
    <xf numFmtId="180" fontId="3" fillId="0" borderId="28" xfId="0" applyNumberFormat="1" applyFont="1" applyBorder="1"/>
    <xf numFmtId="180" fontId="0" fillId="0" borderId="28" xfId="249" applyNumberFormat="1" applyFont="1" applyBorder="1" applyAlignment="1">
      <alignment horizontal="center"/>
    </xf>
    <xf numFmtId="0" fontId="0" fillId="0" borderId="33" xfId="0" applyBorder="1" applyAlignment="1">
      <alignment horizontal="left" vertical="center" wrapText="1"/>
    </xf>
    <xf numFmtId="0" fontId="0" fillId="0" borderId="0" xfId="0" applyAlignment="1">
      <alignment horizontal="left" vertical="center" wrapText="1"/>
    </xf>
    <xf numFmtId="0" fontId="0" fillId="0" borderId="34" xfId="0" applyBorder="1" applyAlignment="1">
      <alignment horizontal="left" vertical="center" wrapText="1"/>
    </xf>
    <xf numFmtId="0" fontId="0" fillId="0" borderId="87" xfId="0" applyBorder="1" applyAlignment="1">
      <alignment horizontal="center" vertical="center"/>
    </xf>
    <xf numFmtId="186" fontId="0" fillId="0" borderId="4" xfId="249" applyFont="1" applyBorder="1"/>
    <xf numFmtId="186" fontId="0" fillId="0" borderId="4" xfId="0" applyNumberFormat="1" applyBorder="1"/>
    <xf numFmtId="0" fontId="3" fillId="11" borderId="0" xfId="0" applyFont="1" applyFill="1"/>
    <xf numFmtId="0" fontId="0" fillId="11" borderId="0" xfId="0" applyFill="1"/>
    <xf numFmtId="0" fontId="0" fillId="0" borderId="28" xfId="0" applyBorder="1" applyAlignment="1">
      <alignment horizontal="center" vertical="center"/>
    </xf>
    <xf numFmtId="180" fontId="0" fillId="0" borderId="28" xfId="249" applyNumberFormat="1" applyFont="1" applyBorder="1"/>
    <xf numFmtId="186" fontId="0" fillId="0" borderId="33" xfId="286" applyFont="1" applyBorder="1" applyAlignment="1">
      <alignment horizontal="center"/>
    </xf>
    <xf numFmtId="180" fontId="0" fillId="0" borderId="33" xfId="286" applyNumberFormat="1" applyFont="1" applyBorder="1" applyAlignment="1">
      <alignment horizontal="center"/>
    </xf>
    <xf numFmtId="196" fontId="3" fillId="0" borderId="4" xfId="0" applyNumberFormat="1" applyFont="1" applyBorder="1"/>
    <xf numFmtId="186" fontId="0" fillId="0" borderId="33" xfId="286" applyFont="1" applyBorder="1" applyAlignment="1">
      <alignment horizontal="left"/>
    </xf>
    <xf numFmtId="186" fontId="0" fillId="0" borderId="77" xfId="286" applyFont="1" applyBorder="1" applyAlignment="1">
      <alignment horizontal="left"/>
    </xf>
    <xf numFmtId="194" fontId="21" fillId="0" borderId="85" xfId="0" applyNumberFormat="1" applyFont="1" applyBorder="1"/>
    <xf numFmtId="2" fontId="0" fillId="0" borderId="0" xfId="0" applyNumberFormat="1"/>
    <xf numFmtId="0" fontId="0" fillId="0" borderId="88" xfId="0" applyBorder="1"/>
    <xf numFmtId="177" fontId="0" fillId="0" borderId="0" xfId="379" applyNumberFormat="1" applyFont="1"/>
    <xf numFmtId="186" fontId="0" fillId="0" borderId="85" xfId="286" applyFont="1" applyBorder="1"/>
    <xf numFmtId="186" fontId="0" fillId="0" borderId="0" xfId="286" applyFont="1"/>
    <xf numFmtId="203" fontId="0" fillId="0" borderId="0" xfId="379" applyNumberFormat="1" applyFont="1"/>
    <xf numFmtId="0" fontId="32" fillId="0" borderId="0" xfId="0" applyFont="1" applyAlignment="1">
      <alignment horizontal="center" vertical="center"/>
    </xf>
    <xf numFmtId="0" fontId="33" fillId="0" borderId="0" xfId="0" applyFont="1" applyAlignment="1">
      <alignment horizontal="center" vertical="center"/>
    </xf>
    <xf numFmtId="0" fontId="33" fillId="0" borderId="0" xfId="0" applyFont="1" applyAlignment="1">
      <alignment horizontal="left" vertical="center"/>
    </xf>
    <xf numFmtId="0" fontId="32" fillId="0" borderId="0" xfId="0" applyFont="1" applyAlignment="1">
      <alignment horizontal="left"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0" fontId="33" fillId="0" borderId="1" xfId="0" applyFont="1" applyBorder="1" applyAlignment="1">
      <alignment horizontal="center" vertical="center" wrapText="1"/>
    </xf>
    <xf numFmtId="194" fontId="33" fillId="0" borderId="1" xfId="0" applyNumberFormat="1" applyFont="1" applyBorder="1" applyAlignment="1">
      <alignment horizontal="center" vertical="center" wrapText="1"/>
    </xf>
    <xf numFmtId="0" fontId="33" fillId="0" borderId="1" xfId="0" applyFont="1" applyBorder="1" applyAlignment="1">
      <alignment horizontal="left" vertical="center"/>
    </xf>
    <xf numFmtId="0" fontId="32" fillId="0" borderId="1" xfId="0" applyFont="1" applyBorder="1" applyAlignment="1">
      <alignment horizontal="left" vertical="center"/>
    </xf>
    <xf numFmtId="186" fontId="32" fillId="0" borderId="1" xfId="249" applyFont="1" applyBorder="1" applyAlignment="1">
      <alignment horizontal="center" vertical="center"/>
    </xf>
    <xf numFmtId="198" fontId="32" fillId="0" borderId="1" xfId="249" applyNumberFormat="1" applyFont="1" applyBorder="1" applyAlignment="1">
      <alignment horizontal="center" vertical="center"/>
    </xf>
    <xf numFmtId="194" fontId="33" fillId="0" borderId="1" xfId="0" applyNumberFormat="1" applyFont="1" applyBorder="1" applyAlignment="1">
      <alignment horizontal="center" vertical="center"/>
    </xf>
    <xf numFmtId="200" fontId="33" fillId="0" borderId="1" xfId="0" applyNumberFormat="1" applyFont="1" applyBorder="1" applyAlignment="1">
      <alignment horizontal="center" vertical="center"/>
    </xf>
    <xf numFmtId="176" fontId="32" fillId="0" borderId="1" xfId="249" applyNumberFormat="1" applyFont="1" applyBorder="1" applyAlignment="1">
      <alignment horizontal="center" vertical="center"/>
    </xf>
    <xf numFmtId="166" fontId="32" fillId="0" borderId="1" xfId="249" applyNumberFormat="1" applyFont="1" applyBorder="1" applyAlignment="1">
      <alignment horizontal="center" vertical="center"/>
    </xf>
    <xf numFmtId="188" fontId="32" fillId="0" borderId="1" xfId="249" applyNumberFormat="1" applyFont="1" applyBorder="1" applyAlignment="1">
      <alignment horizontal="center" vertical="center"/>
    </xf>
    <xf numFmtId="196" fontId="32" fillId="0" borderId="0" xfId="0" applyNumberFormat="1" applyFont="1" applyAlignment="1">
      <alignment horizontal="center" vertical="center"/>
    </xf>
    <xf numFmtId="186" fontId="33" fillId="0" borderId="1" xfId="286" applyFont="1" applyBorder="1" applyAlignment="1">
      <alignment horizontal="center" vertical="center"/>
    </xf>
    <xf numFmtId="170" fontId="33" fillId="0" borderId="0" xfId="0" applyNumberFormat="1" applyFont="1" applyAlignment="1">
      <alignment horizontal="center" vertical="center"/>
    </xf>
    <xf numFmtId="186" fontId="21" fillId="11" borderId="85" xfId="0" applyNumberFormat="1" applyFont="1" applyFill="1" applyBorder="1"/>
    <xf numFmtId="0" fontId="34" fillId="0" borderId="0" xfId="0" applyFont="1"/>
    <xf numFmtId="0" fontId="2" fillId="0" borderId="0" xfId="0" applyFont="1"/>
    <xf numFmtId="0" fontId="3" fillId="0" borderId="89" xfId="0" applyFont="1" applyBorder="1" applyAlignment="1">
      <alignment horizontal="left"/>
    </xf>
    <xf numFmtId="0" fontId="0" fillId="0" borderId="7" xfId="0" applyBorder="1" applyAlignment="1">
      <alignment horizontal="center"/>
    </xf>
    <xf numFmtId="0" fontId="0" fillId="0" borderId="7" xfId="0" applyBorder="1"/>
    <xf numFmtId="0" fontId="0" fillId="0" borderId="6" xfId="0" applyBorder="1"/>
    <xf numFmtId="0" fontId="0" fillId="0" borderId="6" xfId="0" applyBorder="1" applyAlignment="1">
      <alignment horizontal="center"/>
    </xf>
    <xf numFmtId="186" fontId="0" fillId="0" borderId="6" xfId="249" applyFont="1" applyBorder="1"/>
    <xf numFmtId="0" fontId="34" fillId="0" borderId="0" xfId="0" applyFont="1" applyAlignment="1">
      <alignment horizontal="center"/>
    </xf>
    <xf numFmtId="186" fontId="34" fillId="0" borderId="0" xfId="249" applyFont="1"/>
    <xf numFmtId="0" fontId="0" fillId="0" borderId="18" xfId="0" applyBorder="1"/>
    <xf numFmtId="186" fontId="3" fillId="0" borderId="6" xfId="249" applyFont="1" applyBorder="1"/>
    <xf numFmtId="186" fontId="34" fillId="0" borderId="0" xfId="249" applyFont="1" applyAlignment="1">
      <alignment horizontal="center"/>
    </xf>
    <xf numFmtId="186" fontId="34" fillId="0" borderId="0" xfId="0" applyNumberFormat="1" applyFont="1"/>
    <xf numFmtId="0" fontId="0" fillId="0" borderId="90" xfId="0" applyBorder="1"/>
    <xf numFmtId="0" fontId="0" fillId="0" borderId="19" xfId="0" applyBorder="1"/>
    <xf numFmtId="0" fontId="35" fillId="0" borderId="0" xfId="0" applyFont="1"/>
    <xf numFmtId="0" fontId="36" fillId="0" borderId="0" xfId="0" applyFont="1"/>
    <xf numFmtId="0" fontId="35" fillId="0" borderId="0" xfId="0" applyFont="1" applyAlignment="1">
      <alignment horizontal="center"/>
    </xf>
    <xf numFmtId="186" fontId="36" fillId="0" borderId="0" xfId="285" applyFont="1"/>
    <xf numFmtId="0" fontId="37" fillId="0" borderId="0" xfId="0" applyFont="1" applyAlignment="1">
      <alignment horizontal="center"/>
    </xf>
    <xf numFmtId="0" fontId="37" fillId="0" borderId="0" xfId="0" applyFont="1"/>
    <xf numFmtId="0" fontId="36" fillId="0" borderId="0" xfId="0" applyFont="1" applyAlignment="1">
      <alignment horizontal="center"/>
    </xf>
    <xf numFmtId="0" fontId="35" fillId="0" borderId="0" xfId="0" applyFont="1" applyAlignment="1">
      <alignment horizontal="right"/>
    </xf>
    <xf numFmtId="186" fontId="35" fillId="0" borderId="0" xfId="284" applyFont="1" applyAlignment="1">
      <alignment horizontal="right"/>
    </xf>
    <xf numFmtId="186" fontId="35" fillId="0" borderId="0" xfId="285" applyFont="1"/>
    <xf numFmtId="186" fontId="36" fillId="0" borderId="0" xfId="284" applyFont="1"/>
    <xf numFmtId="186" fontId="37" fillId="0" borderId="0" xfId="0" applyNumberFormat="1" applyFont="1"/>
    <xf numFmtId="186" fontId="35" fillId="0" borderId="0" xfId="296" applyFont="1" applyAlignment="1">
      <alignment horizontal="right"/>
    </xf>
    <xf numFmtId="186" fontId="35" fillId="0" borderId="0" xfId="286" applyFont="1"/>
    <xf numFmtId="186" fontId="38" fillId="0" borderId="0" xfId="0" applyNumberFormat="1" applyFont="1"/>
    <xf numFmtId="200" fontId="35" fillId="0" borderId="0" xfId="0" applyNumberFormat="1" applyFont="1"/>
    <xf numFmtId="193" fontId="35" fillId="0" borderId="0" xfId="0" applyNumberFormat="1" applyFont="1" applyAlignment="1">
      <alignment horizontal="left"/>
    </xf>
    <xf numFmtId="196" fontId="38" fillId="0" borderId="0" xfId="0" applyNumberFormat="1" applyFont="1"/>
    <xf numFmtId="0" fontId="3" fillId="0" borderId="0" xfId="0" applyFont="1" applyAlignment="1">
      <alignment horizontal="right"/>
    </xf>
    <xf numFmtId="186" fontId="39" fillId="0" borderId="0" xfId="0" applyNumberFormat="1" applyFont="1"/>
    <xf numFmtId="193" fontId="0" fillId="0" borderId="0" xfId="0" applyNumberFormat="1" applyAlignment="1">
      <alignment horizontal="left"/>
    </xf>
    <xf numFmtId="175" fontId="25" fillId="0" borderId="0" xfId="328" applyAlignment="1">
      <alignment horizontal="right"/>
    </xf>
    <xf numFmtId="175" fontId="25" fillId="0" borderId="0" xfId="328"/>
    <xf numFmtId="186" fontId="25" fillId="0" borderId="0" xfId="328" applyNumberFormat="1"/>
    <xf numFmtId="186" fontId="37" fillId="0" borderId="0" xfId="285" applyFont="1"/>
    <xf numFmtId="175" fontId="0" fillId="0" borderId="0" xfId="328" applyFont="1"/>
    <xf numFmtId="0" fontId="38" fillId="0" borderId="0" xfId="0" applyFont="1"/>
    <xf numFmtId="0" fontId="2" fillId="0" borderId="0" xfId="0" applyFont="1" applyAlignment="1">
      <alignment horizontal="left"/>
    </xf>
    <xf numFmtId="0" fontId="25" fillId="0" borderId="0" xfId="0" applyFont="1" applyAlignment="1">
      <alignment horizontal="center"/>
    </xf>
    <xf numFmtId="190" fontId="2" fillId="0" borderId="0" xfId="0" applyNumberFormat="1" applyFont="1" applyAlignment="1">
      <alignment horizontal="center"/>
    </xf>
    <xf numFmtId="168" fontId="2" fillId="0" borderId="0" xfId="0" applyNumberFormat="1" applyFont="1" applyAlignment="1">
      <alignment horizontal="center"/>
    </xf>
    <xf numFmtId="184" fontId="2" fillId="0" borderId="0" xfId="0" applyNumberFormat="1" applyFont="1" applyAlignment="1">
      <alignment horizontal="left"/>
    </xf>
    <xf numFmtId="184" fontId="2" fillId="0" borderId="0" xfId="0" applyNumberFormat="1" applyFont="1" applyAlignment="1">
      <alignment horizontal="center"/>
    </xf>
    <xf numFmtId="185" fontId="2" fillId="0" borderId="0" xfId="0" applyNumberFormat="1" applyFont="1" applyAlignment="1">
      <alignment horizontal="left"/>
    </xf>
    <xf numFmtId="185" fontId="2" fillId="0" borderId="0" xfId="0" applyNumberFormat="1" applyFont="1" applyAlignment="1">
      <alignment horizontal="center"/>
    </xf>
    <xf numFmtId="0" fontId="40" fillId="0" borderId="0" xfId="0" applyFont="1" applyAlignment="1">
      <alignment horizontal="right"/>
    </xf>
    <xf numFmtId="0" fontId="40" fillId="0" borderId="0" xfId="0" applyFont="1" applyAlignment="1">
      <alignment horizontal="center"/>
    </xf>
    <xf numFmtId="196" fontId="40" fillId="0" borderId="0" xfId="0" applyNumberFormat="1" applyFont="1" applyAlignment="1">
      <alignment horizontal="center"/>
    </xf>
    <xf numFmtId="0" fontId="40" fillId="0" borderId="0" xfId="0" applyFont="1" applyAlignment="1">
      <alignment horizontal="left"/>
    </xf>
    <xf numFmtId="0" fontId="42" fillId="0" borderId="97" xfId="0" applyFont="1" applyBorder="1" applyAlignment="1">
      <alignment horizontal="center" vertical="center"/>
    </xf>
    <xf numFmtId="0" fontId="42" fillId="0" borderId="98" xfId="0" applyFont="1" applyBorder="1" applyAlignment="1">
      <alignment horizontal="center" vertical="center"/>
    </xf>
    <xf numFmtId="0" fontId="42" fillId="0" borderId="99" xfId="0" applyFont="1" applyBorder="1" applyAlignment="1">
      <alignment horizontal="center" vertical="center"/>
    </xf>
    <xf numFmtId="0" fontId="26" fillId="0" borderId="100" xfId="0" applyFont="1" applyBorder="1" applyAlignment="1">
      <alignment horizontal="center" vertical="center"/>
    </xf>
    <xf numFmtId="0" fontId="26" fillId="0" borderId="1" xfId="0" applyFont="1" applyBorder="1" applyAlignment="1">
      <alignment horizontal="center" vertical="center"/>
    </xf>
    <xf numFmtId="186" fontId="26" fillId="0" borderId="1" xfId="0" applyNumberFormat="1" applyFont="1" applyBorder="1" applyAlignment="1">
      <alignment vertical="center"/>
    </xf>
    <xf numFmtId="0" fontId="26" fillId="0" borderId="101" xfId="0" applyFont="1" applyBorder="1" applyAlignment="1">
      <alignment horizontal="center" vertical="center"/>
    </xf>
    <xf numFmtId="0" fontId="42" fillId="0" borderId="100" xfId="0" applyFont="1" applyBorder="1" applyAlignment="1">
      <alignment horizontal="center" vertical="center"/>
    </xf>
    <xf numFmtId="186" fontId="26" fillId="0" borderId="100" xfId="0" applyNumberFormat="1" applyFont="1" applyBorder="1" applyAlignment="1">
      <alignment horizontal="center" vertical="center"/>
    </xf>
    <xf numFmtId="186" fontId="26" fillId="0" borderId="1" xfId="0" applyNumberFormat="1" applyFont="1" applyBorder="1" applyAlignment="1">
      <alignment horizontal="center" vertical="center"/>
    </xf>
    <xf numFmtId="186" fontId="42" fillId="0" borderId="1" xfId="0" applyNumberFormat="1" applyFont="1" applyBorder="1" applyAlignment="1">
      <alignment vertical="center"/>
    </xf>
    <xf numFmtId="0" fontId="26" fillId="0" borderId="101" xfId="0" applyFont="1" applyBorder="1" applyAlignment="1">
      <alignment horizontal="center" vertical="center" wrapText="1"/>
    </xf>
    <xf numFmtId="0" fontId="26" fillId="0" borderId="0" xfId="0" applyFont="1" applyAlignment="1">
      <alignment horizontal="center" vertical="center"/>
    </xf>
    <xf numFmtId="0" fontId="26" fillId="0" borderId="0" xfId="0" applyFont="1" applyAlignment="1">
      <alignment horizontal="left" vertical="center" wrapText="1"/>
    </xf>
    <xf numFmtId="186" fontId="26" fillId="0" borderId="0" xfId="0" applyNumberFormat="1" applyFont="1" applyAlignment="1">
      <alignment horizontal="center" vertical="center"/>
    </xf>
    <xf numFmtId="186" fontId="42" fillId="0" borderId="0" xfId="0" applyNumberFormat="1" applyFont="1" applyAlignment="1">
      <alignment vertical="center"/>
    </xf>
    <xf numFmtId="0" fontId="26" fillId="0" borderId="0" xfId="0" applyFont="1" applyAlignment="1">
      <alignment horizontal="center" vertical="center" wrapText="1"/>
    </xf>
    <xf numFmtId="0" fontId="25" fillId="0" borderId="0" xfId="0" applyFont="1"/>
    <xf numFmtId="186" fontId="0" fillId="0" borderId="0" xfId="284" applyFont="1"/>
    <xf numFmtId="0" fontId="3" fillId="0" borderId="0" xfId="0" applyFont="1" applyAlignment="1">
      <alignment vertical="center"/>
    </xf>
    <xf numFmtId="0" fontId="1" fillId="0" borderId="0" xfId="0" applyFont="1" applyAlignment="1">
      <alignment vertical="center"/>
    </xf>
    <xf numFmtId="0" fontId="1" fillId="0" borderId="0" xfId="0" applyFont="1"/>
    <xf numFmtId="190" fontId="0" fillId="0" borderId="0" xfId="0" applyNumberFormat="1" applyAlignment="1">
      <alignment horizontal="center"/>
    </xf>
    <xf numFmtId="186" fontId="0" fillId="0" borderId="0" xfId="249" applyFont="1" applyAlignment="1">
      <alignment horizontal="left"/>
    </xf>
    <xf numFmtId="196" fontId="0" fillId="0" borderId="0" xfId="249" applyNumberFormat="1" applyFont="1" applyAlignment="1">
      <alignment horizontal="center"/>
    </xf>
    <xf numFmtId="200" fontId="3" fillId="0" borderId="0" xfId="0" applyNumberFormat="1" applyFont="1" applyAlignment="1">
      <alignment horizontal="center"/>
    </xf>
    <xf numFmtId="168" fontId="0" fillId="0" borderId="0" xfId="0" applyNumberFormat="1"/>
    <xf numFmtId="190" fontId="0" fillId="0" borderId="0" xfId="0" applyNumberFormat="1" applyAlignment="1">
      <alignment horizontal="left"/>
    </xf>
    <xf numFmtId="186" fontId="3" fillId="0" borderId="0" xfId="249" applyFont="1" applyAlignment="1">
      <alignment horizontal="right"/>
    </xf>
    <xf numFmtId="0" fontId="43" fillId="0" borderId="0" xfId="0" applyFont="1" applyAlignment="1">
      <alignment horizontal="center"/>
    </xf>
    <xf numFmtId="0" fontId="44" fillId="0" borderId="0" xfId="0" applyFont="1" applyAlignment="1">
      <alignment horizontal="center"/>
    </xf>
    <xf numFmtId="0" fontId="43" fillId="0" borderId="0" xfId="0" applyFont="1" applyAlignment="1">
      <alignment horizontal="center" vertical="center"/>
    </xf>
    <xf numFmtId="0" fontId="3" fillId="0" borderId="0" xfId="0" applyFont="1" applyAlignment="1">
      <alignment horizontal="left" vertical="center"/>
    </xf>
    <xf numFmtId="186" fontId="34" fillId="0" borderId="6" xfId="0" applyNumberFormat="1" applyFont="1" applyBorder="1" applyAlignment="1">
      <alignment vertical="center"/>
    </xf>
    <xf numFmtId="200" fontId="34" fillId="0" borderId="0" xfId="0" applyNumberFormat="1" applyFont="1" applyAlignment="1">
      <alignment vertical="center"/>
    </xf>
    <xf numFmtId="0" fontId="0" fillId="0" borderId="0" xfId="0" applyAlignment="1">
      <alignment horizontal="left" vertical="center"/>
    </xf>
    <xf numFmtId="186" fontId="34" fillId="0" borderId="0" xfId="0" applyNumberFormat="1" applyFont="1" applyAlignment="1">
      <alignment vertical="center"/>
    </xf>
    <xf numFmtId="200" fontId="0" fillId="0" borderId="0" xfId="0" applyNumberFormat="1" applyAlignment="1">
      <alignment horizontal="center" vertical="center"/>
    </xf>
    <xf numFmtId="186" fontId="3" fillId="0" borderId="0" xfId="0" applyNumberFormat="1" applyFont="1" applyAlignment="1">
      <alignment horizontal="center" vertical="center"/>
    </xf>
    <xf numFmtId="180" fontId="34" fillId="0" borderId="50" xfId="0" applyNumberFormat="1" applyFont="1" applyBorder="1"/>
    <xf numFmtId="2" fontId="34" fillId="0" borderId="0" xfId="0" applyNumberFormat="1" applyFont="1"/>
    <xf numFmtId="180" fontId="34" fillId="0" borderId="0" xfId="0" applyNumberFormat="1" applyFont="1"/>
    <xf numFmtId="0" fontId="2" fillId="10" borderId="3" xfId="0" applyFont="1" applyFill="1" applyBorder="1" applyAlignment="1">
      <alignment horizontal="left"/>
    </xf>
    <xf numFmtId="0" fontId="2" fillId="10" borderId="5" xfId="0" applyFont="1" applyFill="1" applyBorder="1" applyAlignment="1">
      <alignment horizontal="center"/>
    </xf>
    <xf numFmtId="197" fontId="1" fillId="10" borderId="5" xfId="0" applyNumberFormat="1" applyFont="1" applyFill="1" applyBorder="1" applyAlignment="1">
      <alignment horizontal="right"/>
    </xf>
    <xf numFmtId="0" fontId="3" fillId="9" borderId="1" xfId="0" applyFont="1" applyFill="1" applyBorder="1" applyAlignment="1">
      <alignment horizontal="center" vertical="center"/>
    </xf>
    <xf numFmtId="0" fontId="45" fillId="9" borderId="3" xfId="0" applyFont="1" applyFill="1" applyBorder="1" applyAlignment="1">
      <alignment horizontal="right" vertical="center"/>
    </xf>
    <xf numFmtId="0" fontId="45" fillId="9" borderId="4" xfId="0" applyFont="1" applyFill="1" applyBorder="1" applyAlignment="1">
      <alignment horizontal="left" vertical="center"/>
    </xf>
    <xf numFmtId="0" fontId="31" fillId="0" borderId="1" xfId="0" applyFont="1" applyBorder="1" applyAlignment="1">
      <alignment horizontal="center" vertical="center" wrapText="1"/>
    </xf>
    <xf numFmtId="0" fontId="3" fillId="0" borderId="1" xfId="0" applyFont="1" applyBorder="1" applyAlignment="1">
      <alignment horizontal="center" vertical="center" wrapText="1"/>
    </xf>
    <xf numFmtId="190" fontId="0" fillId="0" borderId="1" xfId="0" applyNumberFormat="1" applyBorder="1" applyAlignment="1">
      <alignment horizontal="center" vertical="center" wrapText="1"/>
    </xf>
    <xf numFmtId="200" fontId="0" fillId="0" borderId="1" xfId="0" applyNumberFormat="1" applyBorder="1" applyAlignment="1">
      <alignment horizontal="center" vertical="center"/>
    </xf>
    <xf numFmtId="200" fontId="3" fillId="0" borderId="1" xfId="0" applyNumberFormat="1" applyFont="1" applyBorder="1" applyAlignment="1">
      <alignment horizontal="center" vertical="center"/>
    </xf>
    <xf numFmtId="200" fontId="0" fillId="0" borderId="1" xfId="0" applyNumberFormat="1" applyBorder="1" applyAlignment="1">
      <alignment horizontal="center" vertical="center" wrapText="1"/>
    </xf>
    <xf numFmtId="0" fontId="37" fillId="0" borderId="0" xfId="0" applyFont="1" applyAlignment="1">
      <alignment vertical="center"/>
    </xf>
    <xf numFmtId="0" fontId="25" fillId="0" borderId="0" xfId="0" applyFont="1" applyAlignment="1">
      <alignment vertical="center"/>
    </xf>
    <xf numFmtId="0" fontId="1" fillId="10" borderId="5" xfId="0" applyFont="1" applyFill="1" applyBorder="1"/>
    <xf numFmtId="0" fontId="1" fillId="10" borderId="5" xfId="0" applyFont="1" applyFill="1" applyBorder="1" applyAlignment="1">
      <alignment horizontal="center"/>
    </xf>
    <xf numFmtId="200" fontId="2" fillId="10" borderId="5" xfId="0" applyNumberFormat="1" applyFont="1" applyFill="1" applyBorder="1" applyAlignment="1">
      <alignment horizontal="center"/>
    </xf>
    <xf numFmtId="0" fontId="2" fillId="10" borderId="5" xfId="0" applyFont="1" applyFill="1" applyBorder="1" applyAlignment="1">
      <alignment horizontal="left"/>
    </xf>
    <xf numFmtId="0" fontId="1" fillId="10" borderId="1" xfId="0" applyFont="1" applyFill="1" applyBorder="1"/>
    <xf numFmtId="0" fontId="45" fillId="9" borderId="5" xfId="0" applyFont="1" applyFill="1" applyBorder="1" applyAlignment="1">
      <alignment horizontal="left" vertical="center"/>
    </xf>
    <xf numFmtId="0" fontId="3" fillId="0" borderId="3" xfId="0" applyFont="1" applyBorder="1" applyAlignment="1">
      <alignment horizontal="center" vertical="center" wrapText="1"/>
    </xf>
    <xf numFmtId="200" fontId="3" fillId="0" borderId="3" xfId="0" applyNumberFormat="1"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186" fontId="0" fillId="0" borderId="0" xfId="249" applyFont="1" applyAlignment="1">
      <alignment horizontal="left" vertical="center"/>
    </xf>
    <xf numFmtId="190" fontId="0" fillId="0" borderId="0" xfId="0" applyNumberFormat="1" applyAlignment="1">
      <alignment horizontal="left" vertical="center"/>
    </xf>
    <xf numFmtId="190" fontId="2" fillId="0" borderId="1" xfId="0" applyNumberFormat="1" applyFont="1" applyBorder="1" applyAlignment="1">
      <alignment horizontal="center" vertical="center" wrapText="1"/>
    </xf>
    <xf numFmtId="200" fontId="2" fillId="0" borderId="1" xfId="0" applyNumberFormat="1" applyFont="1" applyBorder="1" applyAlignment="1">
      <alignment horizontal="center" vertical="center" wrapText="1"/>
    </xf>
    <xf numFmtId="200" fontId="0" fillId="0" borderId="1" xfId="0" applyNumberFormat="1" applyBorder="1" applyAlignment="1">
      <alignment horizontal="right"/>
    </xf>
    <xf numFmtId="200" fontId="0" fillId="10" borderId="1" xfId="0" applyNumberFormat="1" applyFill="1" applyBorder="1" applyAlignment="1">
      <alignment horizontal="right"/>
    </xf>
    <xf numFmtId="186" fontId="1" fillId="0" borderId="0" xfId="249" applyFont="1"/>
    <xf numFmtId="0" fontId="1" fillId="2" borderId="0" xfId="0" applyFont="1" applyFill="1" applyAlignment="1">
      <alignment vertical="center"/>
    </xf>
    <xf numFmtId="0" fontId="46" fillId="0" borderId="0" xfId="0" applyFont="1" applyAlignment="1">
      <alignment vertical="center"/>
    </xf>
    <xf numFmtId="0" fontId="47" fillId="3" borderId="0" xfId="0" applyFont="1" applyFill="1" applyAlignment="1">
      <alignment vertical="center"/>
    </xf>
    <xf numFmtId="186" fontId="0" fillId="2" borderId="0" xfId="249" applyFont="1" applyFill="1" applyAlignment="1">
      <alignment vertical="center"/>
    </xf>
    <xf numFmtId="202" fontId="0" fillId="0" borderId="0" xfId="249" applyNumberFormat="1" applyFont="1" applyAlignment="1">
      <alignment vertical="center"/>
    </xf>
    <xf numFmtId="9" fontId="0" fillId="0" borderId="0" xfId="7" applyFont="1" applyFill="1" applyAlignment="1">
      <alignment vertical="center"/>
    </xf>
    <xf numFmtId="180" fontId="0" fillId="2" borderId="0" xfId="249" applyNumberFormat="1" applyFont="1" applyFill="1" applyAlignment="1">
      <alignment vertical="center"/>
    </xf>
    <xf numFmtId="192" fontId="0" fillId="0" borderId="0" xfId="249" applyNumberFormat="1" applyFont="1" applyAlignment="1">
      <alignment vertical="center"/>
    </xf>
    <xf numFmtId="0" fontId="3" fillId="2" borderId="0" xfId="0" applyFont="1" applyFill="1" applyAlignment="1">
      <alignment horizontal="center" vertical="center"/>
    </xf>
    <xf numFmtId="0" fontId="46" fillId="2" borderId="0" xfId="0" applyFont="1" applyFill="1" applyAlignment="1">
      <alignment horizontal="center" vertical="center"/>
    </xf>
    <xf numFmtId="0" fontId="47" fillId="2" borderId="0" xfId="0" applyFont="1" applyFill="1" applyAlignment="1">
      <alignment horizontal="center" vertical="center"/>
    </xf>
    <xf numFmtId="186" fontId="46" fillId="0" borderId="0" xfId="249" applyFont="1" applyAlignment="1">
      <alignment horizontal="center" vertical="center"/>
    </xf>
    <xf numFmtId="186" fontId="46" fillId="2" borderId="0" xfId="249" applyFont="1" applyFill="1" applyAlignment="1">
      <alignment horizontal="center" vertical="center"/>
    </xf>
    <xf numFmtId="0" fontId="46" fillId="2" borderId="0" xfId="0" applyFont="1" applyFill="1" applyAlignment="1">
      <alignment horizontal="left" vertical="center"/>
    </xf>
    <xf numFmtId="186" fontId="46" fillId="0" borderId="0" xfId="249" applyFont="1" applyBorder="1" applyAlignment="1">
      <alignment horizontal="center" vertical="center"/>
    </xf>
    <xf numFmtId="186" fontId="46" fillId="2" borderId="0" xfId="249" applyFont="1" applyFill="1" applyBorder="1" applyAlignment="1">
      <alignment horizontal="center" vertical="center"/>
    </xf>
    <xf numFmtId="0" fontId="46" fillId="3" borderId="120" xfId="0" applyFont="1" applyFill="1" applyBorder="1" applyAlignment="1">
      <alignment horizontal="center" vertical="center"/>
    </xf>
    <xf numFmtId="0" fontId="46" fillId="3" borderId="121" xfId="0" applyFont="1" applyFill="1" applyBorder="1" applyAlignment="1">
      <alignment horizontal="center" vertical="center"/>
    </xf>
    <xf numFmtId="186" fontId="47" fillId="3" borderId="73" xfId="249" applyFont="1" applyFill="1" applyBorder="1" applyAlignment="1">
      <alignment horizontal="center" vertical="center"/>
    </xf>
    <xf numFmtId="0" fontId="47" fillId="3" borderId="73" xfId="0" applyFont="1" applyFill="1" applyBorder="1" applyAlignment="1">
      <alignment horizontal="center" vertical="center"/>
    </xf>
    <xf numFmtId="186" fontId="0" fillId="0" borderId="1" xfId="249" applyFont="1" applyBorder="1" applyAlignment="1">
      <alignment horizontal="right" vertical="center" wrapText="1"/>
    </xf>
    <xf numFmtId="186" fontId="0" fillId="2" borderId="1" xfId="249" applyFont="1" applyFill="1" applyBorder="1" applyAlignment="1">
      <alignment horizontal="center" vertical="center" wrapText="1"/>
    </xf>
    <xf numFmtId="186" fontId="0" fillId="0" borderId="1" xfId="249" applyFont="1" applyBorder="1" applyAlignment="1">
      <alignment horizontal="center" vertical="center" wrapText="1"/>
    </xf>
    <xf numFmtId="0" fontId="3" fillId="0" borderId="4" xfId="0" applyFont="1" applyBorder="1" applyAlignment="1">
      <alignment horizontal="center" vertical="center"/>
    </xf>
    <xf numFmtId="186" fontId="3" fillId="0" borderId="1" xfId="249" applyFont="1" applyBorder="1" applyAlignment="1">
      <alignment horizontal="right" vertical="center" wrapText="1"/>
    </xf>
    <xf numFmtId="186" fontId="3" fillId="2" borderId="1" xfId="249" applyFont="1" applyFill="1" applyBorder="1" applyAlignment="1">
      <alignment horizontal="center" vertical="center" wrapText="1"/>
    </xf>
    <xf numFmtId="0" fontId="3" fillId="0" borderId="83" xfId="0" applyFont="1" applyBorder="1" applyAlignment="1">
      <alignment horizontal="center" vertical="center"/>
    </xf>
    <xf numFmtId="186" fontId="3" fillId="0" borderId="82" xfId="249" applyFont="1" applyBorder="1" applyAlignment="1">
      <alignment horizontal="right" vertical="center" wrapText="1"/>
    </xf>
    <xf numFmtId="186" fontId="3" fillId="2" borderId="82" xfId="249" applyFont="1" applyFill="1" applyBorder="1" applyAlignment="1">
      <alignment horizontal="center" vertical="center" wrapText="1"/>
    </xf>
    <xf numFmtId="0" fontId="46" fillId="3" borderId="123" xfId="0" applyFont="1" applyFill="1" applyBorder="1" applyAlignment="1">
      <alignment horizontal="center" vertical="center"/>
    </xf>
    <xf numFmtId="0" fontId="3" fillId="3" borderId="15" xfId="0" applyFont="1" applyFill="1" applyBorder="1" applyAlignment="1">
      <alignment horizontal="center" vertical="center"/>
    </xf>
    <xf numFmtId="186" fontId="47" fillId="3" borderId="15" xfId="249" applyFont="1" applyFill="1" applyBorder="1" applyAlignment="1">
      <alignment horizontal="right" vertical="center"/>
    </xf>
    <xf numFmtId="186" fontId="47" fillId="3" borderId="15" xfId="249" applyFont="1" applyFill="1" applyBorder="1" applyAlignment="1">
      <alignment horizontal="center" vertical="center"/>
    </xf>
    <xf numFmtId="0" fontId="47" fillId="3" borderId="15" xfId="0" applyFont="1" applyFill="1" applyBorder="1" applyAlignment="1">
      <alignment horizontal="center" vertical="center"/>
    </xf>
    <xf numFmtId="0" fontId="3" fillId="0" borderId="19" xfId="0" applyFont="1" applyBorder="1" applyAlignment="1">
      <alignment horizontal="center" vertical="center"/>
    </xf>
    <xf numFmtId="186" fontId="0" fillId="0" borderId="15" xfId="249" applyFont="1" applyBorder="1" applyAlignment="1">
      <alignment horizontal="right" vertical="center" wrapText="1"/>
    </xf>
    <xf numFmtId="186" fontId="0" fillId="2" borderId="15" xfId="249" applyFont="1" applyFill="1" applyBorder="1" applyAlignment="1">
      <alignment horizontal="center" vertical="center" wrapText="1"/>
    </xf>
    <xf numFmtId="186" fontId="0" fillId="2" borderId="82" xfId="249" applyFont="1" applyFill="1" applyBorder="1" applyAlignment="1">
      <alignment horizontal="center" vertical="center" wrapText="1"/>
    </xf>
    <xf numFmtId="0" fontId="0" fillId="0" borderId="38" xfId="0" applyBorder="1" applyAlignment="1">
      <alignment horizontal="center" vertical="center"/>
    </xf>
    <xf numFmtId="180" fontId="0" fillId="0" borderId="15" xfId="218" applyFont="1" applyBorder="1" applyAlignment="1">
      <alignment horizontal="right" vertical="center" wrapText="1"/>
    </xf>
    <xf numFmtId="180" fontId="0" fillId="2" borderId="15" xfId="218" applyFont="1" applyFill="1" applyBorder="1" applyAlignment="1">
      <alignment horizontal="center" vertical="center" wrapText="1"/>
    </xf>
    <xf numFmtId="0" fontId="3" fillId="0" borderId="129" xfId="0" applyFont="1" applyBorder="1" applyAlignment="1">
      <alignment horizontal="center" vertical="center"/>
    </xf>
    <xf numFmtId="4" fontId="3" fillId="2" borderId="130" xfId="218" applyNumberFormat="1" applyFont="1" applyFill="1" applyBorder="1" applyAlignment="1">
      <alignment horizontal="center" vertical="center" wrapText="1"/>
    </xf>
    <xf numFmtId="180" fontId="0" fillId="2" borderId="130" xfId="218" applyFont="1" applyFill="1" applyBorder="1" applyAlignment="1">
      <alignment horizontal="center" vertical="center" wrapText="1"/>
    </xf>
    <xf numFmtId="9" fontId="0" fillId="2" borderId="0" xfId="7" applyFont="1" applyFill="1" applyAlignment="1">
      <alignment vertical="center"/>
    </xf>
    <xf numFmtId="202" fontId="46" fillId="0" borderId="0" xfId="249" applyNumberFormat="1" applyFont="1" applyAlignment="1">
      <alignment horizontal="center" vertical="center"/>
    </xf>
    <xf numFmtId="9" fontId="46" fillId="2" borderId="0" xfId="7" applyFont="1" applyFill="1" applyAlignment="1">
      <alignment horizontal="center" vertical="center"/>
    </xf>
    <xf numFmtId="180" fontId="46" fillId="2" borderId="0" xfId="249" applyNumberFormat="1" applyFont="1" applyFill="1" applyAlignment="1">
      <alignment horizontal="center" vertical="center"/>
    </xf>
    <xf numFmtId="202" fontId="46" fillId="0" borderId="0" xfId="249" applyNumberFormat="1" applyFont="1" applyBorder="1" applyAlignment="1">
      <alignment horizontal="center" vertical="center"/>
    </xf>
    <xf numFmtId="9" fontId="46" fillId="2" borderId="0" xfId="7" applyFont="1" applyFill="1" applyBorder="1" applyAlignment="1">
      <alignment horizontal="center" vertical="center"/>
    </xf>
    <xf numFmtId="180" fontId="46" fillId="2" borderId="0" xfId="249" applyNumberFormat="1" applyFont="1" applyFill="1" applyBorder="1" applyAlignment="1">
      <alignment horizontal="center" vertical="center"/>
    </xf>
    <xf numFmtId="202" fontId="46" fillId="0" borderId="82" xfId="249" applyNumberFormat="1" applyFont="1" applyBorder="1" applyAlignment="1">
      <alignment horizontal="center" vertical="center"/>
    </xf>
    <xf numFmtId="9" fontId="46" fillId="0" borderId="82" xfId="7" applyFont="1" applyFill="1" applyBorder="1" applyAlignment="1">
      <alignment horizontal="center" vertical="center"/>
    </xf>
    <xf numFmtId="180" fontId="46" fillId="2" borderId="82" xfId="249" applyNumberFormat="1" applyFont="1" applyFill="1" applyBorder="1" applyAlignment="1">
      <alignment horizontal="center" vertical="center" wrapText="1"/>
    </xf>
    <xf numFmtId="202" fontId="47" fillId="3" borderId="73" xfId="249" applyNumberFormat="1" applyFont="1" applyFill="1" applyBorder="1" applyAlignment="1">
      <alignment vertical="center"/>
    </xf>
    <xf numFmtId="9" fontId="47" fillId="3" borderId="73" xfId="7" applyFont="1" applyFill="1" applyBorder="1" applyAlignment="1">
      <alignment vertical="center"/>
    </xf>
    <xf numFmtId="180" fontId="47" fillId="3" borderId="73" xfId="249" applyNumberFormat="1" applyFont="1" applyFill="1" applyBorder="1" applyAlignment="1">
      <alignment vertical="center"/>
    </xf>
    <xf numFmtId="164" fontId="0" fillId="2" borderId="1" xfId="1" applyNumberFormat="1" applyFont="1" applyFill="1" applyBorder="1" applyAlignment="1">
      <alignment horizontal="center" vertical="center" wrapText="1"/>
    </xf>
    <xf numFmtId="202" fontId="0" fillId="0" borderId="1" xfId="1" applyNumberFormat="1" applyFont="1" applyFill="1" applyBorder="1" applyAlignment="1">
      <alignment horizontal="center" vertical="center" wrapText="1"/>
    </xf>
    <xf numFmtId="9" fontId="0" fillId="0" borderId="1" xfId="7" applyFont="1" applyFill="1" applyBorder="1" applyAlignment="1">
      <alignment horizontal="center" vertical="center" wrapText="1"/>
    </xf>
    <xf numFmtId="180" fontId="0" fillId="2" borderId="1" xfId="1" applyFont="1" applyFill="1" applyBorder="1" applyAlignment="1">
      <alignment horizontal="center" vertical="center" wrapText="1"/>
    </xf>
    <xf numFmtId="164" fontId="0" fillId="0" borderId="1" xfId="1" applyNumberFormat="1" applyFont="1" applyFill="1" applyBorder="1" applyAlignment="1">
      <alignment horizontal="center" vertical="center" wrapText="1"/>
    </xf>
    <xf numFmtId="164" fontId="3" fillId="0" borderId="1" xfId="1" applyNumberFormat="1" applyFont="1" applyFill="1" applyBorder="1" applyAlignment="1">
      <alignment horizontal="center" vertical="center" wrapText="1"/>
    </xf>
    <xf numFmtId="9" fontId="3" fillId="0" borderId="1" xfId="7" applyFont="1" applyFill="1" applyBorder="1" applyAlignment="1">
      <alignment horizontal="center" vertical="center" wrapText="1"/>
    </xf>
    <xf numFmtId="164" fontId="3" fillId="2" borderId="1" xfId="1" applyNumberFormat="1" applyFont="1" applyFill="1" applyBorder="1" applyAlignment="1">
      <alignment horizontal="center" vertical="center" wrapText="1"/>
    </xf>
    <xf numFmtId="164" fontId="3" fillId="0" borderId="82" xfId="1" applyNumberFormat="1" applyFont="1" applyFill="1" applyBorder="1" applyAlignment="1">
      <alignment horizontal="right" vertical="center" wrapText="1"/>
    </xf>
    <xf numFmtId="9" fontId="3" fillId="0" borderId="82" xfId="7" applyFont="1" applyFill="1" applyBorder="1" applyAlignment="1">
      <alignment horizontal="center" vertical="center" wrapText="1"/>
    </xf>
    <xf numFmtId="164" fontId="47" fillId="3" borderId="15" xfId="1" applyNumberFormat="1" applyFont="1" applyFill="1" applyBorder="1" applyAlignment="1">
      <alignment vertical="center"/>
    </xf>
    <xf numFmtId="9" fontId="47" fillId="3" borderId="15" xfId="7" applyFont="1" applyFill="1" applyBorder="1" applyAlignment="1">
      <alignment vertical="center"/>
    </xf>
    <xf numFmtId="164" fontId="3" fillId="0" borderId="2" xfId="1" applyNumberFormat="1" applyFont="1" applyFill="1" applyBorder="1" applyAlignment="1">
      <alignment horizontal="center" vertical="center" wrapText="1"/>
    </xf>
    <xf numFmtId="164" fontId="3" fillId="0" borderId="38" xfId="1" applyNumberFormat="1" applyFont="1" applyFill="1" applyBorder="1" applyAlignment="1">
      <alignment horizontal="right" vertical="center" wrapText="1"/>
    </xf>
    <xf numFmtId="9" fontId="3" fillId="0" borderId="83" xfId="7" applyFont="1" applyFill="1" applyBorder="1" applyAlignment="1">
      <alignment horizontal="center" vertical="center" wrapText="1"/>
    </xf>
    <xf numFmtId="164" fontId="0" fillId="2" borderId="15" xfId="1" applyNumberFormat="1" applyFont="1" applyFill="1" applyBorder="1" applyAlignment="1">
      <alignment horizontal="center" vertical="center" wrapText="1"/>
    </xf>
    <xf numFmtId="164" fontId="0" fillId="0" borderId="15" xfId="1" applyNumberFormat="1" applyFont="1" applyFill="1" applyBorder="1" applyAlignment="1">
      <alignment horizontal="center" vertical="center" wrapText="1"/>
    </xf>
    <xf numFmtId="9" fontId="0" fillId="0" borderId="15" xfId="7" applyFont="1" applyFill="1" applyBorder="1" applyAlignment="1">
      <alignment horizontal="center" vertical="center" wrapText="1"/>
    </xf>
    <xf numFmtId="9" fontId="3" fillId="0" borderId="82" xfId="7" applyFont="1" applyFill="1" applyBorder="1" applyAlignment="1">
      <alignment horizontal="right" vertical="center" wrapText="1"/>
    </xf>
    <xf numFmtId="164" fontId="0" fillId="0" borderId="15" xfId="218" applyNumberFormat="1" applyFont="1" applyBorder="1" applyAlignment="1">
      <alignment horizontal="center" vertical="center" wrapText="1"/>
    </xf>
    <xf numFmtId="9" fontId="0" fillId="0" borderId="15" xfId="504" applyFont="1" applyBorder="1" applyAlignment="1">
      <alignment horizontal="center" vertical="center" wrapText="1"/>
    </xf>
    <xf numFmtId="164" fontId="0" fillId="2" borderId="15" xfId="218" applyNumberFormat="1" applyFont="1" applyFill="1" applyBorder="1" applyAlignment="1">
      <alignment horizontal="center" vertical="center" wrapText="1"/>
    </xf>
    <xf numFmtId="164" fontId="3" fillId="2" borderId="130" xfId="218" applyNumberFormat="1" applyFont="1" applyFill="1" applyBorder="1" applyAlignment="1">
      <alignment horizontal="center" vertical="center" wrapText="1"/>
    </xf>
    <xf numFmtId="180" fontId="3" fillId="2" borderId="130" xfId="218" applyFont="1" applyFill="1" applyBorder="1" applyAlignment="1">
      <alignment horizontal="center" vertical="center" wrapText="1"/>
    </xf>
    <xf numFmtId="192" fontId="46" fillId="2" borderId="0" xfId="249" applyNumberFormat="1" applyFont="1" applyFill="1" applyAlignment="1">
      <alignment horizontal="center" vertical="center"/>
    </xf>
    <xf numFmtId="0" fontId="1" fillId="2" borderId="0" xfId="0" applyFont="1" applyFill="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192" fontId="47" fillId="3" borderId="134" xfId="249" applyNumberFormat="1" applyFont="1" applyFill="1" applyBorder="1" applyAlignment="1">
      <alignment vertical="center"/>
    </xf>
    <xf numFmtId="0" fontId="1" fillId="3" borderId="0" xfId="0" applyFont="1" applyFill="1" applyAlignment="1">
      <alignment vertical="center"/>
    </xf>
    <xf numFmtId="0" fontId="1" fillId="3" borderId="0" xfId="0" applyFont="1" applyFill="1" applyAlignment="1">
      <alignment horizontal="center" vertical="center"/>
    </xf>
    <xf numFmtId="192" fontId="0" fillId="0" borderId="101" xfId="1" applyNumberFormat="1" applyFont="1" applyFill="1" applyBorder="1" applyAlignment="1">
      <alignment horizontal="center" vertical="center" wrapText="1"/>
    </xf>
    <xf numFmtId="186" fontId="0" fillId="0" borderId="0" xfId="249" applyFont="1" applyAlignment="1">
      <alignment horizontal="center" vertical="center" wrapText="1"/>
    </xf>
    <xf numFmtId="164" fontId="0" fillId="0" borderId="101" xfId="1" applyNumberFormat="1" applyFont="1" applyFill="1" applyBorder="1" applyAlignment="1">
      <alignment horizontal="center" vertical="center" wrapText="1"/>
    </xf>
    <xf numFmtId="164" fontId="3" fillId="0" borderId="101" xfId="1" applyNumberFormat="1" applyFont="1" applyFill="1" applyBorder="1" applyAlignment="1">
      <alignment horizontal="center" vertical="center" wrapText="1"/>
    </xf>
    <xf numFmtId="186" fontId="3" fillId="0" borderId="0" xfId="249" applyFont="1" applyAlignment="1">
      <alignment horizontal="center" vertical="center" wrapText="1"/>
    </xf>
    <xf numFmtId="186" fontId="3" fillId="0" borderId="0" xfId="0" applyNumberFormat="1" applyFont="1" applyAlignment="1">
      <alignment vertical="center"/>
    </xf>
    <xf numFmtId="164" fontId="3" fillId="0" borderId="135" xfId="1" applyNumberFormat="1" applyFont="1" applyFill="1" applyBorder="1" applyAlignment="1">
      <alignment horizontal="right" vertical="center" wrapText="1"/>
    </xf>
    <xf numFmtId="164" fontId="47" fillId="3" borderId="136" xfId="1" applyNumberFormat="1" applyFont="1" applyFill="1" applyBorder="1" applyAlignment="1">
      <alignment vertical="center"/>
    </xf>
    <xf numFmtId="164" fontId="0" fillId="0" borderId="136" xfId="1" applyNumberFormat="1" applyFont="1" applyFill="1" applyBorder="1" applyAlignment="1">
      <alignment horizontal="center" vertical="center" wrapText="1"/>
    </xf>
    <xf numFmtId="164" fontId="0" fillId="0" borderId="136" xfId="218" applyNumberFormat="1" applyFont="1" applyBorder="1" applyAlignment="1">
      <alignment horizontal="center" vertical="center" wrapText="1"/>
    </xf>
    <xf numFmtId="180" fontId="0" fillId="0" borderId="0" xfId="218" applyFont="1" applyAlignment="1">
      <alignment horizontal="center" vertical="center" wrapText="1"/>
    </xf>
    <xf numFmtId="180" fontId="0" fillId="0" borderId="0" xfId="0" applyNumberFormat="1" applyAlignment="1">
      <alignment vertical="center"/>
    </xf>
    <xf numFmtId="164" fontId="3" fillId="2" borderId="137" xfId="218" applyNumberFormat="1" applyFont="1" applyFill="1" applyBorder="1" applyAlignment="1">
      <alignment horizontal="center" vertical="center" wrapText="1"/>
    </xf>
    <xf numFmtId="186" fontId="1" fillId="2" borderId="0" xfId="0" applyNumberFormat="1" applyFont="1" applyFill="1" applyAlignment="1">
      <alignment vertical="center"/>
    </xf>
    <xf numFmtId="186" fontId="2" fillId="0" borderId="0" xfId="0" applyNumberFormat="1" applyFont="1" applyAlignment="1">
      <alignment vertical="center"/>
    </xf>
    <xf numFmtId="186" fontId="2" fillId="0" borderId="0" xfId="249" applyFont="1" applyAlignment="1">
      <alignment vertical="center"/>
    </xf>
    <xf numFmtId="186" fontId="1" fillId="0" borderId="0" xfId="249" applyFont="1" applyAlignment="1">
      <alignment vertical="center"/>
    </xf>
    <xf numFmtId="186" fontId="3" fillId="0" borderId="0" xfId="249" applyFont="1" applyAlignment="1">
      <alignment vertical="center"/>
    </xf>
    <xf numFmtId="165" fontId="3" fillId="0" borderId="0" xfId="0" applyNumberFormat="1" applyFont="1" applyAlignment="1">
      <alignment vertical="center"/>
    </xf>
    <xf numFmtId="0" fontId="0" fillId="2" borderId="0" xfId="0" applyFill="1"/>
    <xf numFmtId="0" fontId="21" fillId="0" borderId="0" xfId="0" applyFont="1" applyAlignment="1">
      <alignment horizontal="center" vertical="center"/>
    </xf>
    <xf numFmtId="186" fontId="0" fillId="0" borderId="0" xfId="249" applyFont="1" applyAlignment="1">
      <alignment horizontal="center" vertical="center"/>
    </xf>
    <xf numFmtId="0" fontId="0" fillId="2" borderId="0" xfId="0" applyFill="1" applyAlignment="1">
      <alignment horizontal="center"/>
    </xf>
    <xf numFmtId="0" fontId="2" fillId="2" borderId="0" xfId="0" applyFont="1" applyFill="1" applyAlignment="1">
      <alignment horizontal="center"/>
    </xf>
    <xf numFmtId="0" fontId="1" fillId="2" borderId="0" xfId="0" applyFont="1" applyFill="1" applyAlignment="1">
      <alignment horizontal="center"/>
    </xf>
    <xf numFmtId="0" fontId="25" fillId="2" borderId="0" xfId="0" applyFont="1" applyFill="1"/>
    <xf numFmtId="0" fontId="3" fillId="0" borderId="124" xfId="0" applyFont="1" applyBorder="1" applyAlignment="1">
      <alignment horizontal="center" vertical="center"/>
    </xf>
    <xf numFmtId="0" fontId="3" fillId="0" borderId="36" xfId="0" applyFont="1" applyBorder="1" applyAlignment="1">
      <alignment horizontal="center" vertical="center"/>
    </xf>
    <xf numFmtId="0" fontId="3" fillId="2" borderId="57" xfId="0" applyFont="1" applyFill="1" applyBorder="1" applyAlignment="1">
      <alignment horizontal="center" vertical="center" wrapText="1"/>
    </xf>
    <xf numFmtId="0" fontId="3" fillId="0" borderId="0" xfId="0" applyFont="1" applyAlignment="1">
      <alignment horizontal="center" vertical="center" wrapText="1"/>
    </xf>
    <xf numFmtId="0" fontId="0" fillId="0" borderId="52" xfId="0" applyBorder="1" applyAlignment="1">
      <alignment horizontal="center"/>
    </xf>
    <xf numFmtId="0" fontId="0" fillId="0" borderId="38" xfId="0" applyBorder="1"/>
    <xf numFmtId="0" fontId="0" fillId="2" borderId="38" xfId="0" applyFill="1" applyBorder="1" applyAlignment="1">
      <alignment horizontal="center" vertical="center"/>
    </xf>
    <xf numFmtId="0" fontId="0" fillId="0" borderId="58" xfId="0" applyBorder="1" applyAlignment="1">
      <alignment horizontal="center"/>
    </xf>
    <xf numFmtId="0" fontId="0" fillId="0" borderId="74" xfId="0" applyBorder="1" applyAlignment="1">
      <alignment horizontal="center"/>
    </xf>
    <xf numFmtId="0" fontId="0" fillId="0" borderId="38" xfId="0" applyBorder="1" applyAlignment="1">
      <alignment horizontal="center"/>
    </xf>
    <xf numFmtId="0" fontId="0" fillId="0" borderId="1" xfId="0" applyBorder="1" applyAlignment="1">
      <alignment vertical="center"/>
    </xf>
    <xf numFmtId="0" fontId="0" fillId="2" borderId="58" xfId="0" applyFill="1" applyBorder="1" applyAlignment="1">
      <alignment horizontal="center" vertical="center"/>
    </xf>
    <xf numFmtId="0" fontId="0" fillId="0" borderId="38" xfId="0" applyBorder="1" applyAlignment="1">
      <alignment vertical="center"/>
    </xf>
    <xf numFmtId="0" fontId="0" fillId="2" borderId="33" xfId="0" applyFill="1" applyBorder="1" applyAlignment="1">
      <alignment horizontal="center"/>
    </xf>
    <xf numFmtId="0" fontId="3" fillId="0" borderId="66" xfId="0" applyFont="1" applyBorder="1" applyAlignment="1">
      <alignment horizontal="center"/>
    </xf>
    <xf numFmtId="0" fontId="3" fillId="0" borderId="70" xfId="0" applyFont="1" applyBorder="1" applyAlignment="1">
      <alignment vertical="center" wrapText="1"/>
    </xf>
    <xf numFmtId="0" fontId="3" fillId="0" borderId="70" xfId="0" applyFont="1" applyBorder="1" applyAlignment="1">
      <alignment horizontal="center"/>
    </xf>
    <xf numFmtId="0" fontId="3" fillId="2" borderId="71" xfId="0" applyFont="1" applyFill="1" applyBorder="1" applyAlignment="1">
      <alignment horizontal="center"/>
    </xf>
    <xf numFmtId="0" fontId="3" fillId="0" borderId="111" xfId="0" applyFont="1" applyBorder="1"/>
    <xf numFmtId="0" fontId="3" fillId="0" borderId="82" xfId="0" applyFont="1" applyBorder="1" applyAlignment="1">
      <alignment vertical="center" wrapText="1"/>
    </xf>
    <xf numFmtId="0" fontId="3" fillId="0" borderId="82" xfId="0" applyFont="1" applyBorder="1" applyAlignment="1">
      <alignment horizontal="center"/>
    </xf>
    <xf numFmtId="0" fontId="3" fillId="0" borderId="110" xfId="0" applyFont="1" applyBorder="1" applyAlignment="1">
      <alignment horizontal="center" vertical="center"/>
    </xf>
    <xf numFmtId="0" fontId="3" fillId="0" borderId="111" xfId="0" applyFont="1" applyBorder="1" applyAlignment="1">
      <alignment vertical="center"/>
    </xf>
    <xf numFmtId="0" fontId="3" fillId="2" borderId="111" xfId="0" applyFont="1" applyFill="1" applyBorder="1" applyAlignment="1">
      <alignment vertical="center"/>
    </xf>
    <xf numFmtId="0" fontId="3" fillId="0" borderId="105" xfId="0" applyFont="1" applyBorder="1" applyAlignment="1">
      <alignment vertical="center"/>
    </xf>
    <xf numFmtId="0" fontId="3" fillId="0" borderId="105" xfId="0" applyFont="1" applyBorder="1" applyAlignment="1">
      <alignment horizontal="center" vertical="center"/>
    </xf>
    <xf numFmtId="0" fontId="3" fillId="0" borderId="138" xfId="0" applyFont="1" applyBorder="1" applyAlignment="1">
      <alignment horizontal="center" vertical="center"/>
    </xf>
    <xf numFmtId="0" fontId="21" fillId="2" borderId="0" xfId="0" applyFont="1" applyFill="1" applyAlignment="1">
      <alignment horizontal="center" vertical="center"/>
    </xf>
    <xf numFmtId="0" fontId="0" fillId="2" borderId="0" xfId="0" applyFill="1" applyAlignment="1">
      <alignment horizontal="center" vertical="center"/>
    </xf>
    <xf numFmtId="186" fontId="0" fillId="2" borderId="0" xfId="249" applyFont="1" applyFill="1" applyAlignment="1">
      <alignment horizontal="center" vertical="center"/>
    </xf>
    <xf numFmtId="0" fontId="37" fillId="2" borderId="0" xfId="0" applyFont="1" applyFill="1" applyAlignment="1">
      <alignment horizontal="right" vertical="center"/>
    </xf>
    <xf numFmtId="0" fontId="3" fillId="0" borderId="75" xfId="0" applyFont="1" applyBorder="1" applyAlignment="1">
      <alignment horizontal="center" vertical="center" wrapText="1"/>
    </xf>
    <xf numFmtId="186" fontId="1" fillId="0" borderId="0" xfId="249" applyFont="1" applyAlignment="1">
      <alignment horizontal="center" vertical="center"/>
    </xf>
    <xf numFmtId="0" fontId="0" fillId="0" borderId="80" xfId="0" applyBorder="1" applyAlignment="1">
      <alignment horizontal="center" vertical="center"/>
    </xf>
    <xf numFmtId="0" fontId="0" fillId="0" borderId="80" xfId="0" applyBorder="1" applyAlignment="1">
      <alignment horizontal="center"/>
    </xf>
    <xf numFmtId="0" fontId="0" fillId="2" borderId="80" xfId="0" applyFill="1" applyBorder="1" applyAlignment="1">
      <alignment horizontal="center" vertical="center"/>
    </xf>
    <xf numFmtId="0" fontId="3" fillId="2" borderId="84" xfId="0" applyFont="1" applyFill="1" applyBorder="1" applyAlignment="1">
      <alignment horizontal="center"/>
    </xf>
    <xf numFmtId="0" fontId="3" fillId="0" borderId="112" xfId="0" applyFont="1" applyBorder="1" applyAlignment="1">
      <alignment horizontal="center" vertical="center"/>
    </xf>
    <xf numFmtId="0" fontId="21" fillId="0" borderId="1" xfId="0" applyFont="1" applyBorder="1" applyAlignment="1">
      <alignment horizontal="center" vertical="center"/>
    </xf>
    <xf numFmtId="186" fontId="0" fillId="0" borderId="1" xfId="249" applyFont="1" applyBorder="1" applyAlignment="1">
      <alignment horizontal="center" vertical="center"/>
    </xf>
    <xf numFmtId="0" fontId="51" fillId="2" borderId="0" xfId="0" applyFont="1" applyFill="1" applyAlignment="1">
      <alignment vertical="center"/>
    </xf>
    <xf numFmtId="194" fontId="0" fillId="0" borderId="0" xfId="0" applyNumberFormat="1" applyAlignment="1">
      <alignment vertical="center"/>
    </xf>
    <xf numFmtId="0" fontId="3" fillId="2" borderId="0" xfId="0" applyFont="1" applyFill="1" applyAlignment="1">
      <alignment vertical="center"/>
    </xf>
    <xf numFmtId="186" fontId="47" fillId="2" borderId="0" xfId="249" applyFont="1" applyFill="1" applyAlignment="1">
      <alignment horizontal="center" vertical="center"/>
    </xf>
    <xf numFmtId="0" fontId="46" fillId="2" borderId="111" xfId="0" applyFont="1" applyFill="1" applyBorder="1" applyAlignment="1">
      <alignment vertical="center"/>
    </xf>
    <xf numFmtId="186" fontId="46" fillId="2" borderId="111" xfId="249" applyFont="1" applyFill="1" applyBorder="1" applyAlignment="1">
      <alignment vertical="center"/>
    </xf>
    <xf numFmtId="0" fontId="46" fillId="2" borderId="111" xfId="0" applyFont="1" applyFill="1" applyBorder="1" applyAlignment="1">
      <alignment horizontal="center" vertical="center"/>
    </xf>
    <xf numFmtId="175" fontId="2" fillId="0" borderId="126" xfId="249" applyNumberFormat="1" applyFont="1" applyBorder="1" applyAlignment="1">
      <alignment horizontal="center" vertical="center"/>
    </xf>
    <xf numFmtId="0" fontId="2" fillId="0" borderId="82" xfId="0" applyFont="1" applyBorder="1" applyAlignment="1">
      <alignment horizontal="center" vertical="center"/>
    </xf>
    <xf numFmtId="0" fontId="2" fillId="3" borderId="74" xfId="0" applyFont="1" applyFill="1" applyBorder="1" applyAlignment="1">
      <alignment horizontal="center" vertical="center"/>
    </xf>
    <xf numFmtId="186" fontId="1" fillId="3" borderId="1" xfId="249" applyFont="1" applyFill="1" applyBorder="1" applyAlignment="1">
      <alignment vertical="center" wrapText="1"/>
    </xf>
    <xf numFmtId="200" fontId="1" fillId="3" borderId="1" xfId="0" applyNumberFormat="1" applyFont="1" applyFill="1" applyBorder="1" applyAlignment="1">
      <alignment horizontal="center" vertical="center" wrapText="1"/>
    </xf>
    <xf numFmtId="200" fontId="1" fillId="3" borderId="1" xfId="0" applyNumberFormat="1" applyFont="1" applyFill="1" applyBorder="1" applyAlignment="1">
      <alignment vertical="center" wrapText="1"/>
    </xf>
    <xf numFmtId="186" fontId="26" fillId="0" borderId="74" xfId="284" applyFont="1" applyBorder="1" applyAlignment="1">
      <alignment horizontal="center" vertical="center"/>
    </xf>
    <xf numFmtId="164" fontId="0" fillId="0" borderId="1" xfId="249" applyNumberFormat="1" applyFont="1" applyBorder="1" applyAlignment="1">
      <alignment horizontal="center" vertical="center" wrapText="1"/>
    </xf>
    <xf numFmtId="0" fontId="3" fillId="0" borderId="81" xfId="0" applyFont="1" applyBorder="1" applyAlignment="1">
      <alignment horizontal="center" vertical="center"/>
    </xf>
    <xf numFmtId="186" fontId="3" fillId="0" borderId="82" xfId="249" applyFont="1" applyBorder="1" applyAlignment="1">
      <alignment horizontal="center" vertical="center" wrapText="1"/>
    </xf>
    <xf numFmtId="186" fontId="2" fillId="0" borderId="82" xfId="249" applyFont="1" applyBorder="1" applyAlignment="1">
      <alignment horizontal="center" vertical="center" wrapText="1"/>
    </xf>
    <xf numFmtId="186" fontId="3" fillId="0" borderId="82" xfId="249" applyFont="1" applyBorder="1" applyAlignment="1">
      <alignment vertical="center"/>
    </xf>
    <xf numFmtId="0" fontId="2" fillId="3" borderId="139" xfId="0" applyFont="1" applyFill="1" applyBorder="1" applyAlignment="1">
      <alignment horizontal="center" vertical="center"/>
    </xf>
    <xf numFmtId="186" fontId="0" fillId="3" borderId="15" xfId="249" applyFont="1" applyFill="1" applyBorder="1" applyAlignment="1">
      <alignment vertical="center" wrapText="1"/>
    </xf>
    <xf numFmtId="186" fontId="1" fillId="3" borderId="15" xfId="249" applyFont="1" applyFill="1" applyBorder="1" applyAlignment="1">
      <alignment horizontal="center" vertical="center" wrapText="1"/>
    </xf>
    <xf numFmtId="0" fontId="26" fillId="0" borderId="74" xfId="0" applyFont="1" applyBorder="1" applyAlignment="1">
      <alignment horizontal="center" vertical="center"/>
    </xf>
    <xf numFmtId="186" fontId="0" fillId="0" borderId="1" xfId="249" applyFont="1" applyBorder="1" applyAlignment="1">
      <alignment vertical="center"/>
    </xf>
    <xf numFmtId="0" fontId="26" fillId="0" borderId="141" xfId="0" applyFont="1" applyBorder="1" applyAlignment="1">
      <alignment horizontal="center" vertical="center"/>
    </xf>
    <xf numFmtId="186" fontId="0" fillId="0" borderId="4" xfId="249" applyFont="1" applyBorder="1" applyAlignment="1">
      <alignment horizontal="center" vertical="center"/>
    </xf>
    <xf numFmtId="0" fontId="3" fillId="0" borderId="144" xfId="0" applyFont="1" applyBorder="1" applyAlignment="1">
      <alignment horizontal="center" vertical="center"/>
    </xf>
    <xf numFmtId="186" fontId="3" fillId="0" borderId="2" xfId="249" applyFont="1" applyBorder="1" applyAlignment="1">
      <alignment horizontal="center" vertical="center" wrapText="1"/>
    </xf>
    <xf numFmtId="186" fontId="3" fillId="0" borderId="2" xfId="249" applyFont="1" applyBorder="1" applyAlignment="1">
      <alignment vertical="center"/>
    </xf>
    <xf numFmtId="0" fontId="3" fillId="0" borderId="86" xfId="0" applyFont="1" applyBorder="1" applyAlignment="1">
      <alignment horizontal="center" vertical="center"/>
    </xf>
    <xf numFmtId="186" fontId="3" fillId="0" borderId="126" xfId="249" applyFont="1" applyBorder="1" applyAlignment="1">
      <alignment horizontal="center" vertical="center" wrapText="1"/>
    </xf>
    <xf numFmtId="186" fontId="2" fillId="0" borderId="126" xfId="249" applyFont="1" applyBorder="1" applyAlignment="1">
      <alignment horizontal="center" vertical="center"/>
    </xf>
    <xf numFmtId="186" fontId="3" fillId="0" borderId="126" xfId="249" applyFont="1" applyBorder="1" applyAlignment="1">
      <alignment vertical="center"/>
    </xf>
    <xf numFmtId="194" fontId="0" fillId="2" borderId="0" xfId="0" applyNumberFormat="1" applyFill="1" applyAlignment="1">
      <alignment vertical="center"/>
    </xf>
    <xf numFmtId="194" fontId="51" fillId="2" borderId="0" xfId="0" applyNumberFormat="1" applyFont="1" applyFill="1" applyAlignment="1">
      <alignment vertical="center"/>
    </xf>
    <xf numFmtId="0" fontId="46" fillId="2" borderId="0" xfId="0" applyFont="1" applyFill="1" applyAlignment="1">
      <alignment vertical="center"/>
    </xf>
    <xf numFmtId="0" fontId="3" fillId="2" borderId="0" xfId="0" applyFont="1" applyFill="1" applyAlignment="1">
      <alignment horizontal="right" vertical="center"/>
    </xf>
    <xf numFmtId="0" fontId="2" fillId="0" borderId="82" xfId="0" applyFont="1" applyBorder="1" applyAlignment="1">
      <alignment horizontal="center" vertical="center" wrapText="1"/>
    </xf>
    <xf numFmtId="0" fontId="2" fillId="0" borderId="84" xfId="0" applyFont="1" applyBorder="1" applyAlignment="1">
      <alignment horizontal="center" vertical="center" wrapText="1"/>
    </xf>
    <xf numFmtId="194" fontId="3" fillId="0" borderId="0" xfId="0" applyNumberFormat="1" applyFont="1" applyAlignment="1">
      <alignment vertical="center"/>
    </xf>
    <xf numFmtId="0" fontId="1" fillId="3" borderId="1" xfId="0" applyFont="1" applyFill="1" applyBorder="1" applyAlignment="1">
      <alignment vertical="center"/>
    </xf>
    <xf numFmtId="0" fontId="1" fillId="3" borderId="3" xfId="0" applyFont="1" applyFill="1" applyBorder="1" applyAlignment="1">
      <alignment vertical="center"/>
    </xf>
    <xf numFmtId="0" fontId="1" fillId="3" borderId="80" xfId="0" applyFont="1" applyFill="1" applyBorder="1" applyAlignment="1">
      <alignment vertical="center"/>
    </xf>
    <xf numFmtId="194" fontId="1" fillId="0" borderId="0" xfId="0" applyNumberFormat="1" applyFont="1" applyAlignment="1">
      <alignment vertical="center"/>
    </xf>
    <xf numFmtId="164" fontId="0" fillId="0" borderId="1" xfId="249" applyNumberFormat="1" applyFont="1" applyBorder="1" applyAlignment="1">
      <alignment horizontal="center" vertical="center"/>
    </xf>
    <xf numFmtId="186" fontId="0" fillId="0" borderId="3" xfId="249" applyFont="1" applyBorder="1" applyAlignment="1">
      <alignment horizontal="center" vertical="center"/>
    </xf>
    <xf numFmtId="164" fontId="0" fillId="0" borderId="80" xfId="249" applyNumberFormat="1" applyFont="1" applyBorder="1" applyAlignment="1">
      <alignment horizontal="center" vertical="center" wrapText="1"/>
    </xf>
    <xf numFmtId="186" fontId="0" fillId="0" borderId="82" xfId="249" applyFont="1" applyBorder="1" applyAlignment="1">
      <alignment vertical="center"/>
    </xf>
    <xf numFmtId="186" fontId="0" fillId="0" borderId="131" xfId="249" applyFont="1" applyBorder="1" applyAlignment="1">
      <alignment vertical="center"/>
    </xf>
    <xf numFmtId="186" fontId="3" fillId="0" borderId="84" xfId="249" applyFont="1" applyBorder="1" applyAlignment="1">
      <alignment horizontal="right" vertical="center" wrapText="1"/>
    </xf>
    <xf numFmtId="186" fontId="0" fillId="3" borderId="18" xfId="249" applyFont="1" applyFill="1" applyBorder="1" applyAlignment="1">
      <alignment vertical="center" wrapText="1"/>
    </xf>
    <xf numFmtId="173" fontId="0" fillId="3" borderId="79" xfId="249" applyNumberFormat="1" applyFont="1" applyFill="1" applyBorder="1" applyAlignment="1">
      <alignment vertical="center" wrapText="1"/>
    </xf>
    <xf numFmtId="186" fontId="0" fillId="0" borderId="3" xfId="249" applyFont="1" applyBorder="1" applyAlignment="1">
      <alignment vertical="center"/>
    </xf>
    <xf numFmtId="164" fontId="0" fillId="0" borderId="1" xfId="249" applyNumberFormat="1" applyFont="1" applyBorder="1" applyAlignment="1">
      <alignment vertical="center"/>
    </xf>
    <xf numFmtId="186" fontId="3" fillId="0" borderId="131" xfId="249" applyFont="1" applyBorder="1" applyAlignment="1">
      <alignment vertical="center"/>
    </xf>
    <xf numFmtId="186" fontId="3" fillId="0" borderId="84" xfId="249" applyFont="1" applyBorder="1" applyAlignment="1">
      <alignment vertical="center"/>
    </xf>
    <xf numFmtId="164" fontId="3" fillId="0" borderId="82" xfId="249" applyNumberFormat="1" applyFont="1" applyBorder="1" applyAlignment="1">
      <alignment vertical="center"/>
    </xf>
    <xf numFmtId="186" fontId="3" fillId="0" borderId="89" xfId="249" applyFont="1" applyBorder="1" applyAlignment="1">
      <alignment vertical="center"/>
    </xf>
    <xf numFmtId="0" fontId="3" fillId="2" borderId="0" xfId="0" applyFont="1" applyFill="1"/>
    <xf numFmtId="0" fontId="47" fillId="2" borderId="0" xfId="0" applyFont="1" applyFill="1" applyAlignment="1">
      <alignment vertical="center"/>
    </xf>
    <xf numFmtId="0" fontId="2" fillId="2" borderId="0" xfId="0" applyFont="1" applyFill="1" applyAlignment="1">
      <alignment horizontal="center" vertical="center"/>
    </xf>
    <xf numFmtId="0" fontId="47" fillId="2" borderId="0" xfId="0" applyFont="1" applyFill="1"/>
    <xf numFmtId="0" fontId="47" fillId="2" borderId="0" xfId="0" applyFont="1" applyFill="1" applyAlignment="1">
      <alignment horizontal="center"/>
    </xf>
    <xf numFmtId="0" fontId="0" fillId="2" borderId="5" xfId="0" applyFill="1" applyBorder="1"/>
    <xf numFmtId="0" fontId="3" fillId="2" borderId="6" xfId="0" applyFont="1" applyFill="1" applyBorder="1" applyAlignment="1">
      <alignment horizontal="center"/>
    </xf>
    <xf numFmtId="190" fontId="2" fillId="2" borderId="5" xfId="0" applyNumberFormat="1" applyFont="1" applyFill="1" applyBorder="1" applyAlignment="1">
      <alignment horizontal="center"/>
    </xf>
    <xf numFmtId="0" fontId="47" fillId="2" borderId="148" xfId="0" applyFont="1" applyFill="1" applyBorder="1" applyAlignment="1">
      <alignment vertical="center"/>
    </xf>
    <xf numFmtId="0" fontId="47" fillId="2" borderId="149" xfId="0" applyFont="1" applyFill="1" applyBorder="1" applyAlignment="1">
      <alignment horizontal="right" vertical="center"/>
    </xf>
    <xf numFmtId="0" fontId="47" fillId="2" borderId="150" xfId="0" applyFont="1" applyFill="1" applyBorder="1" applyAlignment="1">
      <alignment horizontal="right" vertical="center"/>
    </xf>
    <xf numFmtId="0" fontId="47" fillId="2" borderId="4" xfId="0" applyFont="1" applyFill="1" applyBorder="1" applyAlignment="1">
      <alignment horizontal="right" vertical="center"/>
    </xf>
    <xf numFmtId="0" fontId="47" fillId="2" borderId="3" xfId="0" applyFont="1" applyFill="1" applyBorder="1" applyAlignment="1">
      <alignment horizontal="left" vertical="center"/>
    </xf>
    <xf numFmtId="0" fontId="47" fillId="2" borderId="5" xfId="0" applyFont="1" applyFill="1" applyBorder="1" applyAlignment="1">
      <alignment horizontal="left" vertical="center"/>
    </xf>
    <xf numFmtId="0" fontId="47" fillId="2" borderId="151" xfId="0" applyFont="1" applyFill="1" applyBorder="1" applyAlignment="1">
      <alignment horizontal="right" vertical="center"/>
    </xf>
    <xf numFmtId="0" fontId="47" fillId="2" borderId="50" xfId="0" applyFont="1" applyFill="1" applyBorder="1" applyAlignment="1">
      <alignment horizontal="right" vertical="center"/>
    </xf>
    <xf numFmtId="0" fontId="46" fillId="2" borderId="112" xfId="0" applyFont="1" applyFill="1" applyBorder="1" applyAlignment="1">
      <alignment horizontal="center" vertical="center"/>
    </xf>
    <xf numFmtId="0" fontId="46" fillId="2" borderId="0" xfId="0" applyFont="1" applyFill="1"/>
    <xf numFmtId="0" fontId="52" fillId="2" borderId="0" xfId="0" applyFont="1" applyFill="1" applyAlignment="1">
      <alignment vertical="top"/>
    </xf>
    <xf numFmtId="0" fontId="26" fillId="2" borderId="0" xfId="0" applyFont="1" applyFill="1"/>
    <xf numFmtId="0" fontId="3" fillId="2" borderId="0" xfId="0" applyFont="1" applyFill="1" applyAlignment="1">
      <alignment horizontal="center"/>
    </xf>
    <xf numFmtId="0" fontId="46" fillId="2" borderId="0" xfId="0" applyFont="1" applyFill="1" applyAlignment="1">
      <alignment horizontal="center" vertical="top" wrapText="1"/>
    </xf>
    <xf numFmtId="0" fontId="46" fillId="2" borderId="0" xfId="0" applyFont="1" applyFill="1" applyAlignment="1">
      <alignment horizontal="center"/>
    </xf>
    <xf numFmtId="0" fontId="0" fillId="2" borderId="0" xfId="0" applyFill="1" applyAlignment="1">
      <alignment wrapText="1"/>
    </xf>
    <xf numFmtId="0" fontId="0" fillId="2" borderId="0" xfId="0" applyFill="1" applyAlignment="1">
      <alignment horizontal="center" wrapText="1"/>
    </xf>
    <xf numFmtId="0" fontId="3" fillId="2" borderId="5" xfId="0" applyFont="1" applyFill="1" applyBorder="1" applyAlignment="1">
      <alignment horizontal="center"/>
    </xf>
    <xf numFmtId="190" fontId="2" fillId="2" borderId="5" xfId="0" applyNumberFormat="1" applyFont="1" applyFill="1" applyBorder="1" applyAlignment="1">
      <alignment horizontal="left"/>
    </xf>
    <xf numFmtId="0" fontId="47" fillId="2" borderId="158" xfId="0" applyFont="1" applyFill="1" applyBorder="1" applyAlignment="1">
      <alignment vertical="center"/>
    </xf>
    <xf numFmtId="0" fontId="47" fillId="2" borderId="149" xfId="0" applyFont="1" applyFill="1" applyBorder="1" applyAlignment="1">
      <alignment vertical="center"/>
    </xf>
    <xf numFmtId="0" fontId="47" fillId="2" borderId="56" xfId="0" applyFont="1" applyFill="1" applyBorder="1" applyAlignment="1">
      <alignment vertical="center" wrapText="1"/>
    </xf>
    <xf numFmtId="172" fontId="47" fillId="2" borderId="5" xfId="249" applyNumberFormat="1" applyFont="1" applyFill="1" applyBorder="1" applyAlignment="1">
      <alignment horizontal="right"/>
    </xf>
    <xf numFmtId="0" fontId="46" fillId="2" borderId="159" xfId="0" applyFont="1" applyFill="1" applyBorder="1"/>
    <xf numFmtId="0" fontId="46" fillId="2" borderId="160" xfId="0" applyFont="1" applyFill="1" applyBorder="1"/>
    <xf numFmtId="0" fontId="47" fillId="2" borderId="111" xfId="0" applyFont="1" applyFill="1" applyBorder="1" applyAlignment="1">
      <alignment vertical="center"/>
    </xf>
    <xf numFmtId="0" fontId="46" fillId="2" borderId="119" xfId="0" applyFont="1" applyFill="1" applyBorder="1" applyAlignment="1">
      <alignment horizontal="center" vertical="center"/>
    </xf>
    <xf numFmtId="200" fontId="47" fillId="2" borderId="0" xfId="0" applyNumberFormat="1" applyFont="1" applyFill="1" applyAlignment="1">
      <alignment horizontal="center"/>
    </xf>
    <xf numFmtId="200" fontId="47" fillId="2" borderId="0" xfId="0" applyNumberFormat="1" applyFont="1" applyFill="1" applyAlignment="1">
      <alignment horizontal="center" vertical="center"/>
    </xf>
    <xf numFmtId="0" fontId="26" fillId="2" borderId="141" xfId="0" applyFont="1" applyFill="1" applyBorder="1" applyAlignment="1">
      <alignment horizontal="left"/>
    </xf>
    <xf numFmtId="0" fontId="26" fillId="2" borderId="5" xfId="0" applyFont="1" applyFill="1" applyBorder="1" applyAlignment="1">
      <alignment horizontal="left"/>
    </xf>
    <xf numFmtId="203" fontId="26" fillId="2" borderId="5" xfId="0" applyNumberFormat="1" applyFont="1" applyFill="1" applyBorder="1" applyAlignment="1">
      <alignment horizontal="left"/>
    </xf>
    <xf numFmtId="0" fontId="26" fillId="2" borderId="4" xfId="0" applyFont="1" applyFill="1" applyBorder="1" applyAlignment="1">
      <alignment horizontal="left"/>
    </xf>
    <xf numFmtId="186" fontId="26" fillId="2" borderId="3" xfId="0" applyNumberFormat="1" applyFont="1" applyFill="1" applyBorder="1"/>
    <xf numFmtId="0" fontId="26" fillId="2" borderId="4" xfId="0" applyFont="1" applyFill="1" applyBorder="1"/>
    <xf numFmtId="186" fontId="26" fillId="2" borderId="131" xfId="0" applyNumberFormat="1" applyFont="1" applyFill="1" applyBorder="1"/>
    <xf numFmtId="0" fontId="26" fillId="2" borderId="83" xfId="0" applyFont="1" applyFill="1" applyBorder="1"/>
    <xf numFmtId="203" fontId="3" fillId="2" borderId="0" xfId="379" applyNumberFormat="1" applyFont="1" applyFill="1"/>
    <xf numFmtId="0" fontId="1" fillId="2" borderId="0" xfId="0" applyFont="1" applyFill="1"/>
    <xf numFmtId="186" fontId="0" fillId="2" borderId="0" xfId="0" applyNumberFormat="1" applyFill="1" applyAlignment="1">
      <alignment horizontal="center"/>
    </xf>
    <xf numFmtId="186" fontId="0" fillId="2" borderId="0" xfId="0" applyNumberFormat="1" applyFill="1"/>
    <xf numFmtId="0" fontId="1" fillId="2" borderId="0" xfId="0" applyFont="1" applyFill="1" applyAlignment="1">
      <alignment horizontal="left"/>
    </xf>
    <xf numFmtId="0" fontId="0" fillId="2" borderId="0" xfId="0" applyFill="1" applyAlignment="1">
      <alignment horizontal="right" vertical="center"/>
    </xf>
    <xf numFmtId="0" fontId="47" fillId="2" borderId="0" xfId="0" applyFont="1" applyFill="1" applyAlignment="1">
      <alignment horizontal="left"/>
    </xf>
    <xf numFmtId="172" fontId="47" fillId="2" borderId="4" xfId="249" applyNumberFormat="1" applyFont="1" applyFill="1" applyBorder="1" applyAlignment="1">
      <alignment horizontal="right"/>
    </xf>
    <xf numFmtId="186" fontId="47" fillId="2" borderId="3" xfId="249" applyFont="1" applyFill="1" applyBorder="1" applyAlignment="1">
      <alignment horizontal="center"/>
    </xf>
    <xf numFmtId="186" fontId="47" fillId="2" borderId="5" xfId="249" applyFont="1" applyFill="1" applyBorder="1" applyAlignment="1">
      <alignment horizontal="center"/>
    </xf>
    <xf numFmtId="186" fontId="47" fillId="2" borderId="4" xfId="249" applyFont="1" applyFill="1" applyBorder="1" applyAlignment="1">
      <alignment horizontal="center"/>
    </xf>
    <xf numFmtId="186" fontId="26" fillId="2" borderId="5" xfId="0" applyNumberFormat="1" applyFont="1" applyFill="1" applyBorder="1"/>
    <xf numFmtId="0" fontId="26" fillId="2" borderId="161" xfId="0" applyFont="1" applyFill="1" applyBorder="1"/>
    <xf numFmtId="0" fontId="42" fillId="2" borderId="0" xfId="0" applyFont="1" applyFill="1" applyAlignment="1">
      <alignment vertical="center"/>
    </xf>
    <xf numFmtId="0" fontId="26" fillId="2" borderId="141" xfId="0" applyFont="1" applyFill="1" applyBorder="1" applyAlignment="1">
      <alignment horizontal="left" vertical="center"/>
    </xf>
    <xf numFmtId="0" fontId="26" fillId="2" borderId="5" xfId="0" applyFont="1" applyFill="1" applyBorder="1" applyAlignment="1">
      <alignment horizontal="left" vertical="center"/>
    </xf>
    <xf numFmtId="186" fontId="26" fillId="2" borderId="162" xfId="0" applyNumberFormat="1" applyFont="1" applyFill="1" applyBorder="1"/>
    <xf numFmtId="0" fontId="26" fillId="2" borderId="163" xfId="0" applyFont="1" applyFill="1" applyBorder="1"/>
    <xf numFmtId="0" fontId="26" fillId="2" borderId="0" xfId="0" applyFont="1" applyFill="1" applyAlignment="1">
      <alignment vertical="center"/>
    </xf>
    <xf numFmtId="0" fontId="1" fillId="2" borderId="0" xfId="0" applyFont="1" applyFill="1" applyAlignment="1">
      <alignment horizontal="left" vertical="center"/>
    </xf>
    <xf numFmtId="168" fontId="2" fillId="2" borderId="5" xfId="0" applyNumberFormat="1" applyFont="1" applyFill="1" applyBorder="1" applyAlignment="1">
      <alignment horizontal="center"/>
    </xf>
    <xf numFmtId="0" fontId="2" fillId="2" borderId="5" xfId="0" applyFont="1" applyFill="1" applyBorder="1" applyAlignment="1">
      <alignment horizontal="left"/>
    </xf>
    <xf numFmtId="0" fontId="2" fillId="2" borderId="6" xfId="0" applyFont="1" applyFill="1" applyBorder="1" applyAlignment="1">
      <alignment horizontal="left"/>
    </xf>
    <xf numFmtId="0" fontId="0" fillId="2" borderId="6" xfId="0" applyFill="1" applyBorder="1" applyAlignment="1">
      <alignment horizontal="center"/>
    </xf>
    <xf numFmtId="0" fontId="0" fillId="2" borderId="5" xfId="0" applyFill="1" applyBorder="1" applyAlignment="1">
      <alignment horizontal="center"/>
    </xf>
    <xf numFmtId="0" fontId="3" fillId="2" borderId="6" xfId="0" applyFont="1" applyFill="1" applyBorder="1"/>
    <xf numFmtId="196" fontId="2" fillId="2" borderId="6" xfId="0" applyNumberFormat="1" applyFont="1" applyFill="1" applyBorder="1"/>
    <xf numFmtId="0" fontId="2" fillId="2" borderId="6" xfId="0" applyFont="1" applyFill="1" applyBorder="1"/>
    <xf numFmtId="200" fontId="47" fillId="2" borderId="158" xfId="0" applyNumberFormat="1" applyFont="1" applyFill="1" applyBorder="1"/>
    <xf numFmtId="200" fontId="47" fillId="2" borderId="165" xfId="0" applyNumberFormat="1" applyFont="1" applyFill="1" applyBorder="1"/>
    <xf numFmtId="200" fontId="47" fillId="2" borderId="149" xfId="0" applyNumberFormat="1" applyFont="1" applyFill="1" applyBorder="1"/>
    <xf numFmtId="200" fontId="47" fillId="2" borderId="3" xfId="0" applyNumberFormat="1" applyFont="1" applyFill="1" applyBorder="1"/>
    <xf numFmtId="200" fontId="47" fillId="2" borderId="5" xfId="0" applyNumberFormat="1" applyFont="1" applyFill="1" applyBorder="1"/>
    <xf numFmtId="200" fontId="47" fillId="2" borderId="4" xfId="0" applyNumberFormat="1" applyFont="1" applyFill="1" applyBorder="1"/>
    <xf numFmtId="200" fontId="47" fillId="2" borderId="159" xfId="0" applyNumberFormat="1" applyFont="1" applyFill="1" applyBorder="1"/>
    <xf numFmtId="200" fontId="47" fillId="2" borderId="152" xfId="0" applyNumberFormat="1" applyFont="1" applyFill="1" applyBorder="1"/>
    <xf numFmtId="0" fontId="46" fillId="2" borderId="140" xfId="0" applyFont="1" applyFill="1" applyBorder="1" applyAlignment="1">
      <alignment horizontal="center" vertical="center"/>
    </xf>
    <xf numFmtId="203" fontId="26" fillId="2" borderId="5" xfId="379" applyNumberFormat="1" applyFont="1" applyFill="1" applyBorder="1" applyAlignment="1">
      <alignment horizontal="left" vertical="center"/>
    </xf>
    <xf numFmtId="186" fontId="42" fillId="2" borderId="138" xfId="0" applyNumberFormat="1" applyFont="1" applyFill="1" applyBorder="1" applyAlignment="1">
      <alignment vertical="center"/>
    </xf>
    <xf numFmtId="0" fontId="42" fillId="2" borderId="105" xfId="0" applyFont="1" applyFill="1" applyBorder="1" applyAlignment="1">
      <alignment vertical="center"/>
    </xf>
    <xf numFmtId="0" fontId="46" fillId="2" borderId="0" xfId="0" applyFont="1" applyFill="1" applyAlignment="1">
      <alignment horizontal="center" wrapText="1"/>
    </xf>
    <xf numFmtId="186" fontId="0" fillId="2" borderId="0" xfId="249" applyFont="1" applyFill="1"/>
    <xf numFmtId="201" fontId="0" fillId="2" borderId="0" xfId="0" applyNumberFormat="1" applyFill="1"/>
    <xf numFmtId="200" fontId="47" fillId="2" borderId="175" xfId="0" applyNumberFormat="1" applyFont="1" applyFill="1" applyBorder="1"/>
    <xf numFmtId="200" fontId="47" fillId="2" borderId="176" xfId="0" applyNumberFormat="1" applyFont="1" applyFill="1" applyBorder="1"/>
    <xf numFmtId="0" fontId="26" fillId="2" borderId="0" xfId="0" applyFont="1" applyFill="1" applyAlignment="1">
      <alignment horizontal="left"/>
    </xf>
    <xf numFmtId="186" fontId="26" fillId="2" borderId="0" xfId="0" applyNumberFormat="1" applyFont="1" applyFill="1" applyAlignment="1">
      <alignment horizontal="center"/>
    </xf>
    <xf numFmtId="200" fontId="47" fillId="2" borderId="177" xfId="0" applyNumberFormat="1" applyFont="1" applyFill="1" applyBorder="1"/>
    <xf numFmtId="186" fontId="47" fillId="2" borderId="0" xfId="249" applyFont="1" applyFill="1" applyAlignment="1">
      <alignment vertical="center"/>
    </xf>
    <xf numFmtId="194" fontId="0" fillId="2" borderId="0" xfId="0" applyNumberFormat="1" applyFill="1"/>
    <xf numFmtId="194" fontId="0" fillId="2" borderId="4" xfId="0" applyNumberFormat="1" applyFill="1" applyBorder="1"/>
    <xf numFmtId="186" fontId="0" fillId="2" borderId="4" xfId="249" applyFont="1" applyFill="1" applyBorder="1"/>
    <xf numFmtId="0" fontId="42" fillId="2" borderId="9" xfId="0" applyFont="1" applyFill="1" applyBorder="1" applyAlignment="1">
      <alignment vertical="center"/>
    </xf>
    <xf numFmtId="186" fontId="3" fillId="2" borderId="0" xfId="249" applyFont="1" applyFill="1" applyAlignment="1">
      <alignment vertical="center"/>
    </xf>
    <xf numFmtId="186" fontId="3" fillId="2" borderId="0" xfId="249" applyFont="1" applyFill="1"/>
    <xf numFmtId="203" fontId="3" fillId="2" borderId="88" xfId="379" applyNumberFormat="1" applyFont="1" applyFill="1" applyBorder="1"/>
    <xf numFmtId="186" fontId="26" fillId="2" borderId="0" xfId="0" applyNumberFormat="1" applyFont="1" applyFill="1"/>
    <xf numFmtId="0" fontId="25" fillId="2" borderId="0" xfId="0" applyFont="1" applyFill="1" applyAlignment="1">
      <alignment horizontal="center"/>
    </xf>
    <xf numFmtId="0" fontId="35" fillId="2" borderId="0" xfId="0" applyFont="1" applyFill="1"/>
    <xf numFmtId="0" fontId="35" fillId="2" borderId="0" xfId="0" applyFont="1" applyFill="1" applyAlignment="1">
      <alignment horizontal="center"/>
    </xf>
    <xf numFmtId="0" fontId="0" fillId="2" borderId="0" xfId="0" applyFill="1" applyAlignment="1">
      <alignment horizontal="right"/>
    </xf>
    <xf numFmtId="0" fontId="53" fillId="2" borderId="0" xfId="0" applyFont="1" applyFill="1"/>
    <xf numFmtId="170" fontId="47" fillId="2" borderId="0" xfId="379" applyFont="1" applyFill="1"/>
    <xf numFmtId="178" fontId="47" fillId="2" borderId="0" xfId="249" applyNumberFormat="1" applyFont="1" applyFill="1"/>
    <xf numFmtId="0" fontId="54" fillId="2" borderId="0" xfId="0" applyFont="1" applyFill="1" applyAlignment="1">
      <alignment horizontal="center" vertical="center"/>
    </xf>
    <xf numFmtId="190" fontId="2" fillId="2" borderId="0" xfId="0" applyNumberFormat="1" applyFont="1" applyFill="1" applyAlignment="1">
      <alignment horizontal="center"/>
    </xf>
    <xf numFmtId="190" fontId="2" fillId="2" borderId="0" xfId="0" applyNumberFormat="1" applyFont="1" applyFill="1" applyAlignment="1">
      <alignment horizontal="left"/>
    </xf>
    <xf numFmtId="173" fontId="54" fillId="2" borderId="0" xfId="249" applyNumberFormat="1" applyFont="1" applyFill="1" applyAlignment="1">
      <alignment horizontal="right" vertical="center"/>
    </xf>
    <xf numFmtId="178" fontId="54" fillId="2" borderId="0" xfId="249" applyNumberFormat="1" applyFont="1" applyFill="1" applyAlignment="1">
      <alignment horizontal="left" vertical="center"/>
    </xf>
    <xf numFmtId="186" fontId="54" fillId="2" borderId="0" xfId="249" applyFont="1" applyFill="1" applyAlignment="1">
      <alignment horizontal="left" vertical="center"/>
    </xf>
    <xf numFmtId="0" fontId="54" fillId="2" borderId="0" xfId="0" applyFont="1" applyFill="1" applyAlignment="1">
      <alignment vertical="center"/>
    </xf>
    <xf numFmtId="171" fontId="47" fillId="2" borderId="0" xfId="0" applyNumberFormat="1" applyFont="1" applyFill="1" applyAlignment="1">
      <alignment horizontal="left" vertical="center" indent="7"/>
    </xf>
    <xf numFmtId="185" fontId="54" fillId="2" borderId="0" xfId="0" applyNumberFormat="1" applyFont="1" applyFill="1" applyAlignment="1">
      <alignment vertical="center"/>
    </xf>
    <xf numFmtId="0" fontId="54" fillId="2" borderId="111" xfId="0" applyFont="1" applyFill="1" applyBorder="1" applyAlignment="1">
      <alignment vertical="center"/>
    </xf>
    <xf numFmtId="0" fontId="47" fillId="2" borderId="0" xfId="0" applyFont="1" applyFill="1" applyAlignment="1">
      <alignment horizontal="left" vertical="center"/>
    </xf>
    <xf numFmtId="0" fontId="46" fillId="2" borderId="88" xfId="0" applyFont="1" applyFill="1" applyBorder="1" applyAlignment="1">
      <alignment horizontal="center" vertical="center" wrapText="1"/>
    </xf>
    <xf numFmtId="0" fontId="47" fillId="2" borderId="178" xfId="0" applyFont="1" applyFill="1" applyBorder="1" applyAlignment="1">
      <alignment horizontal="center" vertical="center" wrapText="1"/>
    </xf>
    <xf numFmtId="0" fontId="47" fillId="2" borderId="179" xfId="0" applyFont="1" applyFill="1" applyBorder="1" applyAlignment="1">
      <alignment horizontal="center" vertical="center" wrapText="1"/>
    </xf>
    <xf numFmtId="0" fontId="47" fillId="2" borderId="156" xfId="0" applyFont="1" applyFill="1" applyBorder="1" applyAlignment="1">
      <alignment horizontal="center" vertical="center" wrapText="1"/>
    </xf>
    <xf numFmtId="0" fontId="47" fillId="2" borderId="53" xfId="0" applyFont="1" applyFill="1" applyBorder="1" applyAlignment="1">
      <alignment horizontal="center" vertical="center" wrapText="1"/>
    </xf>
    <xf numFmtId="0" fontId="46" fillId="2" borderId="181" xfId="0" applyFont="1" applyFill="1" applyBorder="1" applyAlignment="1">
      <alignment horizontal="center" vertical="center" wrapText="1"/>
    </xf>
    <xf numFmtId="0" fontId="47" fillId="2" borderId="182" xfId="0" applyFont="1" applyFill="1" applyBorder="1" applyAlignment="1">
      <alignment horizontal="center" vertical="center" wrapText="1"/>
    </xf>
    <xf numFmtId="0" fontId="46" fillId="2" borderId="186" xfId="0" applyFont="1" applyFill="1" applyBorder="1" applyAlignment="1">
      <alignment horizontal="center" vertical="center"/>
    </xf>
    <xf numFmtId="0" fontId="47" fillId="2" borderId="0" xfId="0" applyFont="1" applyFill="1" applyAlignment="1">
      <alignment horizontal="left" vertical="center" wrapText="1"/>
    </xf>
    <xf numFmtId="170" fontId="2" fillId="2" borderId="0" xfId="379" applyFont="1" applyFill="1" applyAlignment="1">
      <alignment horizontal="center" vertical="center"/>
    </xf>
    <xf numFmtId="0" fontId="51" fillId="2" borderId="0" xfId="0" applyFont="1" applyFill="1"/>
    <xf numFmtId="203" fontId="51" fillId="2" borderId="0" xfId="379" applyNumberFormat="1" applyFont="1" applyFill="1"/>
    <xf numFmtId="170" fontId="51" fillId="2" borderId="0" xfId="379" applyFont="1" applyFill="1"/>
    <xf numFmtId="190" fontId="47" fillId="2" borderId="0" xfId="0" applyNumberFormat="1" applyFont="1" applyFill="1" applyAlignment="1">
      <alignment horizontal="left" vertical="center"/>
    </xf>
    <xf numFmtId="170" fontId="47" fillId="2" borderId="0" xfId="379" applyFont="1" applyFill="1" applyAlignment="1">
      <alignment horizontal="center" vertical="center"/>
    </xf>
    <xf numFmtId="170" fontId="46" fillId="2" borderId="82" xfId="379" applyFont="1" applyFill="1" applyBorder="1" applyAlignment="1">
      <alignment horizontal="center" vertical="center"/>
    </xf>
    <xf numFmtId="0" fontId="46" fillId="2" borderId="72" xfId="0" applyFont="1" applyFill="1" applyBorder="1" applyAlignment="1">
      <alignment horizontal="center"/>
    </xf>
    <xf numFmtId="0" fontId="46" fillId="2" borderId="104" xfId="0" applyFont="1" applyFill="1" applyBorder="1"/>
    <xf numFmtId="191" fontId="46" fillId="2" borderId="81" xfId="0" applyNumberFormat="1" applyFont="1" applyFill="1" applyBorder="1" applyAlignment="1">
      <alignment horizontal="center" vertical="center" wrapText="1"/>
    </xf>
    <xf numFmtId="191" fontId="46" fillId="2" borderId="115" xfId="0" applyNumberFormat="1" applyFont="1" applyFill="1" applyBorder="1" applyAlignment="1">
      <alignment horizontal="center" vertical="center" wrapText="1"/>
    </xf>
    <xf numFmtId="170" fontId="46" fillId="2" borderId="119" xfId="379" applyFont="1" applyFill="1" applyBorder="1" applyAlignment="1">
      <alignment horizontal="center" vertical="center"/>
    </xf>
    <xf numFmtId="186" fontId="47" fillId="2" borderId="28" xfId="0" applyNumberFormat="1" applyFont="1" applyFill="1" applyBorder="1" applyAlignment="1">
      <alignment horizontal="center" vertical="center"/>
    </xf>
    <xf numFmtId="0" fontId="47" fillId="2" borderId="28" xfId="0" applyFont="1" applyFill="1" applyBorder="1" applyAlignment="1">
      <alignment horizontal="center" vertical="center"/>
    </xf>
    <xf numFmtId="170" fontId="47" fillId="2" borderId="89" xfId="379" applyFont="1" applyFill="1" applyBorder="1" applyAlignment="1">
      <alignment horizontal="center" vertical="center"/>
    </xf>
    <xf numFmtId="170" fontId="47" fillId="2" borderId="33" xfId="379" applyFont="1" applyFill="1" applyBorder="1" applyAlignment="1">
      <alignment horizontal="center" vertical="center"/>
    </xf>
    <xf numFmtId="170" fontId="46" fillId="2" borderId="138" xfId="379" applyFont="1" applyFill="1" applyBorder="1" applyAlignment="1">
      <alignment horizontal="center" vertical="center"/>
    </xf>
    <xf numFmtId="186" fontId="47" fillId="2" borderId="15" xfId="0" applyNumberFormat="1" applyFont="1" applyFill="1" applyBorder="1" applyAlignment="1">
      <alignment horizontal="center" vertical="center"/>
    </xf>
    <xf numFmtId="0" fontId="47" fillId="2" borderId="15" xfId="0" applyFont="1" applyFill="1" applyBorder="1" applyAlignment="1">
      <alignment horizontal="center" vertical="center"/>
    </xf>
    <xf numFmtId="170" fontId="47" fillId="2" borderId="18" xfId="379" applyFont="1" applyFill="1" applyBorder="1" applyAlignment="1">
      <alignment horizontal="center" vertical="center"/>
    </xf>
    <xf numFmtId="170" fontId="47" fillId="2" borderId="15" xfId="379" applyFont="1" applyFill="1" applyBorder="1" applyAlignment="1">
      <alignment horizontal="center" vertical="center"/>
    </xf>
    <xf numFmtId="186" fontId="47" fillId="2" borderId="1" xfId="0" applyNumberFormat="1" applyFont="1" applyFill="1" applyBorder="1" applyAlignment="1">
      <alignment horizontal="center" vertical="center"/>
    </xf>
    <xf numFmtId="0" fontId="47" fillId="2" borderId="1" xfId="0" applyFont="1" applyFill="1" applyBorder="1" applyAlignment="1">
      <alignment horizontal="center" vertical="center"/>
    </xf>
    <xf numFmtId="170" fontId="47" fillId="2" borderId="3" xfId="379" applyFont="1" applyFill="1" applyBorder="1" applyAlignment="1">
      <alignment horizontal="center" vertical="center"/>
    </xf>
    <xf numFmtId="170" fontId="47" fillId="2" borderId="1" xfId="379" applyFont="1" applyFill="1" applyBorder="1" applyAlignment="1">
      <alignment horizontal="center" vertical="center"/>
    </xf>
    <xf numFmtId="186" fontId="47" fillId="2" borderId="2" xfId="0" applyNumberFormat="1" applyFont="1" applyFill="1" applyBorder="1" applyAlignment="1">
      <alignment horizontal="center" vertical="center"/>
    </xf>
    <xf numFmtId="0" fontId="47" fillId="2" borderId="2" xfId="0" applyFont="1" applyFill="1" applyBorder="1" applyAlignment="1">
      <alignment horizontal="center" vertical="center"/>
    </xf>
    <xf numFmtId="0" fontId="46" fillId="2" borderId="187" xfId="0" applyFont="1" applyFill="1" applyBorder="1" applyAlignment="1">
      <alignment horizontal="center" vertical="center"/>
    </xf>
    <xf numFmtId="170" fontId="46" fillId="2" borderId="188" xfId="379" applyFont="1" applyFill="1" applyBorder="1" applyAlignment="1">
      <alignment horizontal="center" vertical="center"/>
    </xf>
    <xf numFmtId="170" fontId="46" fillId="2" borderId="140" xfId="379" applyFont="1" applyFill="1" applyBorder="1" applyAlignment="1">
      <alignment horizontal="center" vertical="center"/>
    </xf>
    <xf numFmtId="186" fontId="47" fillId="2" borderId="38" xfId="0" applyNumberFormat="1" applyFont="1" applyFill="1" applyBorder="1" applyAlignment="1">
      <alignment horizontal="center" vertical="center"/>
    </xf>
    <xf numFmtId="0" fontId="47" fillId="2" borderId="38" xfId="0" applyFont="1" applyFill="1" applyBorder="1" applyAlignment="1">
      <alignment horizontal="center" vertical="center"/>
    </xf>
    <xf numFmtId="170" fontId="47" fillId="2" borderId="38" xfId="379" applyFont="1" applyFill="1" applyBorder="1" applyAlignment="1">
      <alignment horizontal="center" vertical="center"/>
    </xf>
    <xf numFmtId="186" fontId="47" fillId="2" borderId="70" xfId="0" applyNumberFormat="1" applyFont="1" applyFill="1" applyBorder="1" applyAlignment="1">
      <alignment horizontal="center" vertical="center"/>
    </xf>
    <xf numFmtId="0" fontId="47" fillId="2" borderId="70" xfId="0" applyFont="1" applyFill="1" applyBorder="1" applyAlignment="1">
      <alignment horizontal="center" vertical="center"/>
    </xf>
    <xf numFmtId="170" fontId="47" fillId="2" borderId="70" xfId="379" applyFont="1" applyFill="1" applyBorder="1" applyAlignment="1">
      <alignment horizontal="center" vertical="center"/>
    </xf>
    <xf numFmtId="0" fontId="46" fillId="2" borderId="189" xfId="0" applyFont="1" applyFill="1" applyBorder="1" applyAlignment="1">
      <alignment horizontal="center" vertical="center"/>
    </xf>
    <xf numFmtId="0" fontId="46" fillId="2" borderId="109" xfId="0" applyFont="1" applyFill="1" applyBorder="1" applyAlignment="1">
      <alignment horizontal="center" vertical="center"/>
    </xf>
    <xf numFmtId="170" fontId="46" fillId="2" borderId="190" xfId="379" applyFont="1" applyFill="1" applyBorder="1" applyAlignment="1">
      <alignment horizontal="center" vertical="center"/>
    </xf>
    <xf numFmtId="170" fontId="46" fillId="2" borderId="109" xfId="379" applyFont="1" applyFill="1" applyBorder="1" applyAlignment="1">
      <alignment horizontal="center" vertical="center"/>
    </xf>
    <xf numFmtId="0" fontId="46" fillId="2" borderId="126" xfId="0" applyFont="1" applyFill="1" applyBorder="1" applyAlignment="1">
      <alignment horizontal="center" vertical="center"/>
    </xf>
    <xf numFmtId="170" fontId="46" fillId="2" borderId="191" xfId="379" applyFont="1" applyFill="1" applyBorder="1" applyAlignment="1">
      <alignment horizontal="center" vertical="center"/>
    </xf>
    <xf numFmtId="170" fontId="46" fillId="2" borderId="126" xfId="379" applyFont="1" applyFill="1" applyBorder="1" applyAlignment="1">
      <alignment horizontal="center" vertical="center"/>
    </xf>
    <xf numFmtId="170" fontId="47" fillId="2" borderId="2" xfId="379" applyFont="1" applyFill="1" applyBorder="1" applyAlignment="1">
      <alignment horizontal="center" vertical="center"/>
    </xf>
    <xf numFmtId="170" fontId="46" fillId="2" borderId="186" xfId="379" applyFont="1" applyFill="1" applyBorder="1" applyAlignment="1">
      <alignment horizontal="center" vertical="center"/>
    </xf>
    <xf numFmtId="170" fontId="46" fillId="2" borderId="189" xfId="379" applyFont="1" applyFill="1" applyBorder="1" applyAlignment="1">
      <alignment horizontal="center" vertical="center"/>
    </xf>
    <xf numFmtId="170" fontId="47" fillId="2" borderId="186" xfId="0" applyNumberFormat="1" applyFont="1" applyFill="1" applyBorder="1" applyAlignment="1">
      <alignment horizontal="center" vertical="center"/>
    </xf>
    <xf numFmtId="0" fontId="46" fillId="2" borderId="0" xfId="0" applyFont="1" applyFill="1" applyAlignment="1">
      <alignment horizontal="left"/>
    </xf>
    <xf numFmtId="203" fontId="46" fillId="2" borderId="0" xfId="379" applyNumberFormat="1" applyFont="1" applyFill="1"/>
    <xf numFmtId="170" fontId="46" fillId="2" borderId="0" xfId="379" applyFont="1" applyFill="1"/>
    <xf numFmtId="170" fontId="3" fillId="2" borderId="0" xfId="379" applyFont="1" applyFill="1"/>
    <xf numFmtId="191" fontId="46" fillId="2" borderId="95" xfId="0" applyNumberFormat="1" applyFont="1" applyFill="1" applyBorder="1" applyAlignment="1">
      <alignment horizontal="center" vertical="center" wrapText="1"/>
    </xf>
    <xf numFmtId="191" fontId="46" fillId="2" borderId="181" xfId="0" applyNumberFormat="1" applyFont="1" applyFill="1" applyBorder="1" applyAlignment="1">
      <alignment horizontal="center" vertical="center" wrapText="1"/>
    </xf>
    <xf numFmtId="186" fontId="47" fillId="2" borderId="34" xfId="0" applyNumberFormat="1" applyFont="1" applyFill="1" applyBorder="1" applyAlignment="1">
      <alignment horizontal="center" vertical="center"/>
    </xf>
    <xf numFmtId="186" fontId="46" fillId="2" borderId="119" xfId="0" applyNumberFormat="1" applyFont="1" applyFill="1" applyBorder="1" applyAlignment="1">
      <alignment horizontal="center" vertical="center"/>
    </xf>
    <xf numFmtId="186" fontId="47" fillId="2" borderId="90" xfId="0" applyNumberFormat="1" applyFont="1" applyFill="1" applyBorder="1" applyAlignment="1">
      <alignment horizontal="center" vertical="center"/>
    </xf>
    <xf numFmtId="186" fontId="46" fillId="2" borderId="140" xfId="0" applyNumberFormat="1" applyFont="1" applyFill="1" applyBorder="1" applyAlignment="1">
      <alignment horizontal="center" vertical="center"/>
    </xf>
    <xf numFmtId="186" fontId="46" fillId="2" borderId="109" xfId="0" applyNumberFormat="1" applyFont="1" applyFill="1" applyBorder="1" applyAlignment="1">
      <alignment horizontal="center" vertical="center"/>
    </xf>
    <xf numFmtId="0" fontId="46" fillId="2" borderId="0" xfId="0" applyFont="1" applyFill="1" applyAlignment="1">
      <alignment horizontal="right"/>
    </xf>
    <xf numFmtId="186" fontId="47" fillId="2" borderId="0" xfId="0" applyNumberFormat="1" applyFont="1" applyFill="1"/>
    <xf numFmtId="0" fontId="2" fillId="2" borderId="0" xfId="0" applyFont="1" applyFill="1" applyAlignment="1">
      <alignment horizontal="left" vertical="center"/>
    </xf>
    <xf numFmtId="178" fontId="46" fillId="2" borderId="0" xfId="249" applyNumberFormat="1" applyFont="1" applyFill="1" applyAlignment="1">
      <alignment horizontal="center" vertical="center"/>
    </xf>
    <xf numFmtId="178" fontId="47" fillId="2" borderId="0" xfId="249" applyNumberFormat="1" applyFont="1" applyFill="1" applyAlignment="1">
      <alignment horizontal="center" vertical="center"/>
    </xf>
    <xf numFmtId="196" fontId="46" fillId="2" borderId="0" xfId="0" applyNumberFormat="1" applyFont="1" applyFill="1" applyAlignment="1">
      <alignment horizontal="center"/>
    </xf>
    <xf numFmtId="178" fontId="46" fillId="2" borderId="0" xfId="249" applyNumberFormat="1" applyFont="1" applyFill="1"/>
    <xf numFmtId="186" fontId="47" fillId="2" borderId="78" xfId="249" applyFont="1" applyFill="1" applyBorder="1" applyAlignment="1">
      <alignment horizontal="center" vertical="center"/>
    </xf>
    <xf numFmtId="186" fontId="47" fillId="2" borderId="79" xfId="249" applyFont="1" applyFill="1" applyBorder="1" applyAlignment="1">
      <alignment horizontal="center" vertical="center"/>
    </xf>
    <xf numFmtId="186" fontId="47" fillId="2" borderId="80" xfId="249" applyFont="1" applyFill="1" applyBorder="1" applyAlignment="1">
      <alignment horizontal="center" vertical="center"/>
    </xf>
    <xf numFmtId="186" fontId="47" fillId="2" borderId="76" xfId="249" applyFont="1" applyFill="1" applyBorder="1" applyAlignment="1">
      <alignment horizontal="center" vertical="center"/>
    </xf>
    <xf numFmtId="0" fontId="46" fillId="2" borderId="113" xfId="0" applyFont="1" applyFill="1" applyBorder="1" applyAlignment="1">
      <alignment horizontal="center" vertical="center"/>
    </xf>
    <xf numFmtId="186" fontId="47" fillId="2" borderId="58" xfId="249" applyFont="1" applyFill="1" applyBorder="1" applyAlignment="1">
      <alignment horizontal="center" vertical="center"/>
    </xf>
    <xf numFmtId="186" fontId="47" fillId="2" borderId="71" xfId="249" applyFont="1" applyFill="1" applyBorder="1" applyAlignment="1">
      <alignment horizontal="center" vertical="center"/>
    </xf>
    <xf numFmtId="0" fontId="46" fillId="2" borderId="114" xfId="0" applyFont="1" applyFill="1" applyBorder="1" applyAlignment="1">
      <alignment horizontal="center" vertical="center"/>
    </xf>
    <xf numFmtId="0" fontId="46" fillId="2" borderId="192" xfId="0" applyFont="1" applyFill="1" applyBorder="1" applyAlignment="1">
      <alignment horizontal="center" vertical="center"/>
    </xf>
    <xf numFmtId="186" fontId="46" fillId="2" borderId="0" xfId="0" applyNumberFormat="1" applyFont="1" applyFill="1"/>
    <xf numFmtId="0" fontId="46" fillId="2" borderId="193" xfId="0" applyFont="1" applyFill="1" applyBorder="1" applyAlignment="1">
      <alignment horizontal="center" vertical="center"/>
    </xf>
    <xf numFmtId="178" fontId="46" fillId="2" borderId="0" xfId="249" applyNumberFormat="1" applyFont="1" applyFill="1" applyAlignment="1">
      <alignment vertical="center"/>
    </xf>
    <xf numFmtId="178" fontId="46" fillId="2" borderId="0" xfId="249" applyNumberFormat="1" applyFont="1" applyFill="1" applyAlignment="1">
      <alignment wrapText="1"/>
    </xf>
    <xf numFmtId="0" fontId="46" fillId="2" borderId="0" xfId="0" applyFont="1" applyFill="1" applyAlignment="1">
      <alignment wrapText="1"/>
    </xf>
    <xf numFmtId="0" fontId="46" fillId="2" borderId="185" xfId="0" applyFont="1" applyFill="1" applyBorder="1" applyAlignment="1">
      <alignment horizontal="center" vertical="center" wrapText="1"/>
    </xf>
    <xf numFmtId="0" fontId="47" fillId="2" borderId="194" xfId="0" applyFont="1" applyFill="1" applyBorder="1" applyAlignment="1">
      <alignment horizontal="center" vertical="center" wrapText="1"/>
    </xf>
    <xf numFmtId="170" fontId="46" fillId="2" borderId="130" xfId="379" applyFont="1" applyFill="1" applyBorder="1" applyAlignment="1">
      <alignment horizontal="center" vertical="center"/>
    </xf>
    <xf numFmtId="0" fontId="46" fillId="2" borderId="139" xfId="0" applyFont="1" applyFill="1" applyBorder="1" applyAlignment="1">
      <alignment horizontal="center"/>
    </xf>
    <xf numFmtId="0" fontId="46" fillId="2" borderId="195" xfId="0" applyFont="1" applyFill="1" applyBorder="1"/>
    <xf numFmtId="186" fontId="47" fillId="2" borderId="36" xfId="0" applyNumberFormat="1" applyFont="1" applyFill="1" applyBorder="1" applyAlignment="1">
      <alignment horizontal="center" vertical="center"/>
    </xf>
    <xf numFmtId="0" fontId="47" fillId="2" borderId="36" xfId="0" applyFont="1" applyFill="1" applyBorder="1" applyAlignment="1">
      <alignment horizontal="center" vertical="center"/>
    </xf>
    <xf numFmtId="170" fontId="47" fillId="2" borderId="36" xfId="379" applyFont="1" applyFill="1" applyBorder="1" applyAlignment="1">
      <alignment horizontal="center" vertical="center"/>
    </xf>
    <xf numFmtId="191" fontId="46" fillId="2" borderId="182" xfId="0" applyNumberFormat="1" applyFont="1" applyFill="1" applyBorder="1" applyAlignment="1">
      <alignment horizontal="center" vertical="center" wrapText="1"/>
    </xf>
    <xf numFmtId="186" fontId="47" fillId="2" borderId="57" xfId="249" applyFont="1" applyFill="1" applyBorder="1" applyAlignment="1">
      <alignment horizontal="center" vertical="center"/>
    </xf>
    <xf numFmtId="203" fontId="0" fillId="2" borderId="0" xfId="379" applyNumberFormat="1" applyFont="1" applyFill="1"/>
    <xf numFmtId="0" fontId="46" fillId="2" borderId="0" xfId="0" applyFont="1" applyFill="1" applyAlignment="1">
      <alignment horizontal="left" vertical="center" wrapText="1"/>
    </xf>
    <xf numFmtId="186" fontId="1" fillId="2" borderId="0" xfId="0" applyNumberFormat="1" applyFont="1" applyFill="1" applyAlignment="1">
      <alignment horizontal="center" vertical="center"/>
    </xf>
    <xf numFmtId="203" fontId="1" fillId="2" borderId="0" xfId="379" applyNumberFormat="1" applyFont="1" applyFill="1" applyAlignment="1">
      <alignment horizontal="center" vertical="center"/>
    </xf>
    <xf numFmtId="203" fontId="46" fillId="2" borderId="2" xfId="379" applyNumberFormat="1" applyFont="1" applyFill="1" applyBorder="1" applyAlignment="1">
      <alignment horizontal="center" vertical="center"/>
    </xf>
    <xf numFmtId="203" fontId="47" fillId="2" borderId="98" xfId="379" applyNumberFormat="1" applyFont="1" applyFill="1" applyBorder="1" applyAlignment="1">
      <alignment horizontal="center" vertical="center"/>
    </xf>
    <xf numFmtId="203" fontId="47" fillId="2" borderId="1" xfId="379" applyNumberFormat="1" applyFont="1" applyFill="1" applyBorder="1" applyAlignment="1">
      <alignment horizontal="center" vertical="center"/>
    </xf>
    <xf numFmtId="203" fontId="47" fillId="2" borderId="2" xfId="379" applyNumberFormat="1" applyFont="1" applyFill="1" applyBorder="1" applyAlignment="1">
      <alignment horizontal="center" vertical="center"/>
    </xf>
    <xf numFmtId="203" fontId="47" fillId="2" borderId="0" xfId="379" applyNumberFormat="1" applyFont="1" applyFill="1"/>
    <xf numFmtId="203" fontId="47" fillId="2" borderId="0" xfId="379" applyNumberFormat="1" applyFont="1" applyFill="1" applyAlignment="1">
      <alignment horizontal="center"/>
    </xf>
    <xf numFmtId="0" fontId="25" fillId="2" borderId="0" xfId="0" applyFont="1" applyFill="1" applyAlignment="1">
      <alignment horizontal="center" vertical="center"/>
    </xf>
    <xf numFmtId="0" fontId="25" fillId="2" borderId="0" xfId="0" applyFont="1" applyFill="1" applyAlignment="1">
      <alignment vertical="center"/>
    </xf>
    <xf numFmtId="0" fontId="3" fillId="2" borderId="0" xfId="0" applyFont="1" applyFill="1" applyAlignment="1">
      <alignment horizontal="right"/>
    </xf>
    <xf numFmtId="186" fontId="47" fillId="2" borderId="99" xfId="249" applyFont="1" applyFill="1" applyBorder="1" applyAlignment="1">
      <alignment horizontal="center" vertical="center"/>
    </xf>
    <xf numFmtId="186" fontId="47" fillId="2" borderId="198" xfId="249" applyFont="1" applyFill="1" applyBorder="1" applyAlignment="1">
      <alignment horizontal="center" vertical="center"/>
    </xf>
    <xf numFmtId="186" fontId="47" fillId="2" borderId="101" xfId="249" applyFont="1" applyFill="1" applyBorder="1" applyAlignment="1">
      <alignment horizontal="center" vertical="center"/>
    </xf>
    <xf numFmtId="200" fontId="1" fillId="2" borderId="0" xfId="0" applyNumberFormat="1" applyFont="1" applyFill="1"/>
    <xf numFmtId="186" fontId="47" fillId="2" borderId="103" xfId="249" applyFont="1" applyFill="1" applyBorder="1" applyAlignment="1">
      <alignment horizontal="center" vertical="center"/>
    </xf>
    <xf numFmtId="186" fontId="46" fillId="2" borderId="0" xfId="249" applyFont="1" applyFill="1" applyAlignment="1">
      <alignment vertical="center"/>
    </xf>
    <xf numFmtId="0" fontId="3" fillId="0" borderId="1" xfId="0" applyFont="1" applyBorder="1" applyAlignment="1">
      <alignment horizontal="center" vertical="center"/>
    </xf>
    <xf numFmtId="190" fontId="83" fillId="0" borderId="1" xfId="0" applyNumberFormat="1" applyFont="1" applyBorder="1" applyAlignment="1">
      <alignment horizontal="left" vertical="center" wrapText="1"/>
    </xf>
    <xf numFmtId="0" fontId="3" fillId="0" borderId="1" xfId="0" applyFont="1" applyBorder="1" applyAlignment="1">
      <alignment horizontal="left" vertical="center" wrapText="1"/>
    </xf>
    <xf numFmtId="190" fontId="2" fillId="0" borderId="4" xfId="0" applyNumberFormat="1" applyFont="1" applyBorder="1" applyAlignment="1">
      <alignment horizontal="center" vertical="center"/>
    </xf>
    <xf numFmtId="200" fontId="1" fillId="0" borderId="2" xfId="0" applyNumberFormat="1" applyFont="1" applyBorder="1" applyAlignment="1">
      <alignment horizontal="center" vertical="center"/>
    </xf>
    <xf numFmtId="190" fontId="1" fillId="0" borderId="2" xfId="0" applyNumberFormat="1" applyFont="1" applyBorder="1" applyAlignment="1">
      <alignment horizontal="center" vertical="center"/>
    </xf>
    <xf numFmtId="194" fontId="1" fillId="0" borderId="2" xfId="0" applyNumberFormat="1" applyFont="1" applyBorder="1" applyAlignment="1">
      <alignment horizontal="center" vertical="center"/>
    </xf>
    <xf numFmtId="190" fontId="1" fillId="0" borderId="38" xfId="0" applyNumberFormat="1" applyFont="1" applyBorder="1" applyAlignment="1">
      <alignment horizontal="center" vertical="center"/>
    </xf>
    <xf numFmtId="200" fontId="1" fillId="0" borderId="38" xfId="0" applyNumberFormat="1" applyFont="1" applyBorder="1" applyAlignment="1">
      <alignment horizontal="center" vertical="center"/>
    </xf>
    <xf numFmtId="194" fontId="1" fillId="0" borderId="38" xfId="0" applyNumberFormat="1" applyFont="1" applyBorder="1" applyAlignment="1">
      <alignment horizontal="center" vertical="center"/>
    </xf>
    <xf numFmtId="0" fontId="1" fillId="0" borderId="38" xfId="0" applyFont="1" applyBorder="1"/>
    <xf numFmtId="0" fontId="1" fillId="0" borderId="56" xfId="0" applyFont="1" applyBorder="1"/>
    <xf numFmtId="0" fontId="46" fillId="14" borderId="208" xfId="0" applyFont="1" applyFill="1" applyBorder="1" applyAlignment="1">
      <alignment horizontal="center" vertical="center"/>
    </xf>
    <xf numFmtId="190" fontId="46" fillId="14" borderId="158" xfId="0" applyNumberFormat="1" applyFont="1" applyFill="1" applyBorder="1" applyAlignment="1">
      <alignment vertical="center"/>
    </xf>
    <xf numFmtId="0" fontId="46" fillId="14" borderId="165" xfId="0" applyFont="1" applyFill="1" applyBorder="1" applyAlignment="1">
      <alignment vertical="center"/>
    </xf>
    <xf numFmtId="0" fontId="47" fillId="14" borderId="165" xfId="0" applyFont="1" applyFill="1" applyBorder="1" applyAlignment="1">
      <alignment vertical="center"/>
    </xf>
    <xf numFmtId="0" fontId="2" fillId="14" borderId="175" xfId="0" applyFont="1" applyFill="1" applyBorder="1" applyAlignment="1">
      <alignment vertical="center"/>
    </xf>
    <xf numFmtId="200" fontId="2" fillId="0" borderId="101" xfId="0" applyNumberFormat="1" applyFont="1" applyBorder="1" applyAlignment="1">
      <alignment horizontal="center" vertical="center"/>
    </xf>
    <xf numFmtId="190" fontId="85" fillId="0" borderId="100" xfId="0" applyNumberFormat="1" applyFont="1" applyBorder="1" applyAlignment="1">
      <alignment horizontal="center" vertical="center"/>
    </xf>
    <xf numFmtId="190" fontId="1" fillId="0" borderId="102" xfId="0" applyNumberFormat="1" applyFont="1" applyBorder="1" applyAlignment="1">
      <alignment horizontal="center" vertical="center"/>
    </xf>
    <xf numFmtId="200" fontId="2" fillId="0" borderId="103" xfId="0" applyNumberFormat="1" applyFont="1" applyBorder="1" applyAlignment="1">
      <alignment horizontal="center" vertical="center"/>
    </xf>
    <xf numFmtId="200" fontId="2" fillId="0" borderId="58" xfId="0" applyNumberFormat="1" applyFont="1" applyBorder="1" applyAlignment="1">
      <alignment horizontal="center" vertical="center"/>
    </xf>
    <xf numFmtId="190" fontId="1" fillId="0" borderId="39" xfId="0" applyNumberFormat="1" applyFont="1" applyBorder="1" applyAlignment="1">
      <alignment horizontal="center" vertical="center"/>
    </xf>
    <xf numFmtId="0" fontId="2" fillId="15" borderId="183" xfId="0" applyFont="1" applyFill="1" applyBorder="1" applyAlignment="1">
      <alignment horizontal="left" vertical="center"/>
    </xf>
    <xf numFmtId="0" fontId="1" fillId="15" borderId="184" xfId="0" applyFont="1" applyFill="1" applyBorder="1" applyAlignment="1">
      <alignment horizontal="left" vertical="center"/>
    </xf>
    <xf numFmtId="0" fontId="2" fillId="15" borderId="184" xfId="0" applyFont="1" applyFill="1" applyBorder="1" applyAlignment="1">
      <alignment horizontal="left" vertical="center"/>
    </xf>
    <xf numFmtId="194" fontId="2" fillId="15" borderId="184" xfId="0" applyNumberFormat="1" applyFont="1" applyFill="1" applyBorder="1" applyAlignment="1">
      <alignment horizontal="center" vertical="center"/>
    </xf>
    <xf numFmtId="0" fontId="1" fillId="15" borderId="184" xfId="0" applyFont="1" applyFill="1" applyBorder="1" applyAlignment="1">
      <alignment vertical="center"/>
    </xf>
    <xf numFmtId="0" fontId="1" fillId="15" borderId="209" xfId="0" applyFont="1" applyFill="1" applyBorder="1" applyAlignment="1">
      <alignment vertical="center"/>
    </xf>
    <xf numFmtId="190" fontId="85" fillId="0" borderId="52" xfId="0" applyNumberFormat="1" applyFont="1" applyBorder="1" applyAlignment="1">
      <alignment horizontal="center" vertical="center"/>
    </xf>
    <xf numFmtId="190" fontId="1" fillId="0" borderId="66" xfId="0" applyNumberFormat="1" applyFont="1" applyBorder="1" applyAlignment="1">
      <alignment horizontal="center" vertical="center"/>
    </xf>
    <xf numFmtId="200" fontId="86" fillId="0" borderId="70" xfId="0" applyNumberFormat="1" applyFont="1" applyBorder="1" applyAlignment="1">
      <alignment horizontal="center" vertical="center"/>
    </xf>
    <xf numFmtId="190" fontId="1" fillId="0" borderId="70" xfId="0" applyNumberFormat="1" applyFont="1" applyBorder="1" applyAlignment="1">
      <alignment horizontal="center" vertical="center"/>
    </xf>
    <xf numFmtId="194" fontId="1" fillId="0" borderId="70" xfId="0" applyNumberFormat="1" applyFont="1" applyBorder="1" applyAlignment="1">
      <alignment horizontal="center" vertical="center"/>
    </xf>
    <xf numFmtId="200" fontId="1" fillId="0" borderId="70" xfId="0" applyNumberFormat="1" applyFont="1" applyBorder="1" applyAlignment="1">
      <alignment horizontal="center" vertical="center"/>
    </xf>
    <xf numFmtId="200" fontId="2" fillId="0" borderId="71" xfId="0" applyNumberFormat="1" applyFont="1" applyBorder="1" applyAlignment="1">
      <alignment horizontal="center" vertical="center"/>
    </xf>
    <xf numFmtId="194" fontId="2" fillId="0" borderId="0" xfId="0" applyNumberFormat="1" applyFont="1" applyAlignment="1">
      <alignment horizontal="center" vertical="center"/>
    </xf>
    <xf numFmtId="0" fontId="1" fillId="0" borderId="38" xfId="0" applyFont="1" applyBorder="1" applyAlignment="1">
      <alignment horizontal="center" vertical="center"/>
    </xf>
    <xf numFmtId="180" fontId="1" fillId="2" borderId="38" xfId="218" applyFont="1" applyFill="1" applyBorder="1" applyAlignment="1">
      <alignment horizontal="center" vertical="center"/>
    </xf>
    <xf numFmtId="2" fontId="1" fillId="0" borderId="38" xfId="218" applyNumberFormat="1" applyFont="1" applyFill="1" applyBorder="1" applyAlignment="1">
      <alignment horizontal="center" vertical="center"/>
    </xf>
    <xf numFmtId="2" fontId="1" fillId="0" borderId="38" xfId="0" applyNumberFormat="1" applyFont="1" applyBorder="1" applyAlignment="1">
      <alignment horizontal="center" vertical="center"/>
    </xf>
    <xf numFmtId="2" fontId="48" fillId="0" borderId="38" xfId="0" applyNumberFormat="1" applyFont="1" applyBorder="1" applyAlignment="1">
      <alignment horizontal="center" vertical="center"/>
    </xf>
    <xf numFmtId="2" fontId="1" fillId="0" borderId="38" xfId="337" applyNumberFormat="1" applyFont="1" applyBorder="1" applyAlignment="1">
      <alignment horizontal="center" vertical="center"/>
    </xf>
    <xf numFmtId="0" fontId="2" fillId="0" borderId="38" xfId="0" applyFont="1" applyBorder="1" applyAlignment="1">
      <alignment horizontal="center" vertical="center"/>
    </xf>
    <xf numFmtId="0" fontId="2" fillId="0" borderId="38" xfId="0" applyFont="1" applyBorder="1" applyAlignment="1">
      <alignment horizontal="center" vertical="center" wrapText="1"/>
    </xf>
    <xf numFmtId="0" fontId="0" fillId="0" borderId="38" xfId="0" applyBorder="1" applyAlignment="1">
      <alignment horizontal="center" vertical="center" wrapText="1"/>
    </xf>
    <xf numFmtId="0" fontId="46" fillId="16" borderId="124" xfId="0" applyFont="1" applyFill="1" applyBorder="1" applyAlignment="1">
      <alignment horizontal="right" vertical="center"/>
    </xf>
    <xf numFmtId="0" fontId="46" fillId="16" borderId="36" xfId="0" applyFont="1" applyFill="1" applyBorder="1" applyAlignment="1">
      <alignment horizontal="left" vertical="center"/>
    </xf>
    <xf numFmtId="0" fontId="46" fillId="16" borderId="36" xfId="0" applyFont="1" applyFill="1" applyBorder="1" applyAlignment="1">
      <alignment horizontal="center" vertical="center"/>
    </xf>
    <xf numFmtId="0" fontId="46" fillId="16" borderId="57" xfId="0" applyFont="1" applyFill="1" applyBorder="1" applyAlignment="1">
      <alignment horizontal="center" vertical="center"/>
    </xf>
    <xf numFmtId="0" fontId="2" fillId="0" borderId="58" xfId="0" applyFont="1" applyBorder="1" applyAlignment="1">
      <alignment horizontal="center" vertical="center"/>
    </xf>
    <xf numFmtId="190" fontId="1" fillId="2" borderId="52" xfId="0" applyNumberFormat="1" applyFont="1" applyFill="1" applyBorder="1" applyAlignment="1">
      <alignment horizontal="center" vertical="center"/>
    </xf>
    <xf numFmtId="190" fontId="1" fillId="2" borderId="44" xfId="0" applyNumberFormat="1" applyFont="1" applyFill="1" applyBorder="1" applyAlignment="1">
      <alignment horizontal="center" vertical="center"/>
    </xf>
    <xf numFmtId="2" fontId="1" fillId="0" borderId="39" xfId="218" applyNumberFormat="1" applyFont="1" applyFill="1" applyBorder="1" applyAlignment="1">
      <alignment horizontal="center" vertical="center"/>
    </xf>
    <xf numFmtId="2" fontId="1" fillId="0" borderId="39" xfId="0" applyNumberFormat="1" applyFont="1" applyBorder="1" applyAlignment="1">
      <alignment horizontal="center" vertical="center"/>
    </xf>
    <xf numFmtId="2" fontId="48" fillId="0" borderId="39" xfId="0" applyNumberFormat="1" applyFont="1" applyBorder="1" applyAlignment="1">
      <alignment horizontal="center" vertical="center"/>
    </xf>
    <xf numFmtId="2" fontId="1" fillId="0" borderId="39" xfId="337" applyNumberFormat="1" applyFont="1" applyBorder="1" applyAlignment="1">
      <alignment horizontal="center" vertical="center"/>
    </xf>
    <xf numFmtId="0" fontId="2" fillId="17" borderId="183" xfId="0" applyFont="1" applyFill="1" applyBorder="1" applyAlignment="1">
      <alignment horizontal="center" vertical="center"/>
    </xf>
    <xf numFmtId="0" fontId="2" fillId="17" borderId="184" xfId="0" applyFont="1" applyFill="1" applyBorder="1" applyAlignment="1">
      <alignment horizontal="center" vertical="center"/>
    </xf>
    <xf numFmtId="4" fontId="2" fillId="17" borderId="184" xfId="0" applyNumberFormat="1" applyFont="1" applyFill="1" applyBorder="1" applyAlignment="1">
      <alignment horizontal="center" vertical="center"/>
    </xf>
    <xf numFmtId="175" fontId="49" fillId="17" borderId="209" xfId="328" applyFont="1" applyFill="1" applyBorder="1" applyAlignment="1">
      <alignment vertical="center"/>
    </xf>
    <xf numFmtId="0" fontId="85" fillId="0" borderId="52" xfId="0" applyFont="1" applyBorder="1" applyAlignment="1">
      <alignment horizontal="center" vertical="center"/>
    </xf>
    <xf numFmtId="175" fontId="86" fillId="0" borderId="58" xfId="328" applyFont="1" applyBorder="1" applyAlignment="1">
      <alignment horizontal="center" vertical="center"/>
    </xf>
    <xf numFmtId="0" fontId="86" fillId="0" borderId="38" xfId="0" applyFont="1" applyBorder="1" applyAlignment="1">
      <alignment horizontal="center" vertical="center"/>
    </xf>
    <xf numFmtId="0" fontId="86" fillId="0" borderId="39" xfId="0" applyFont="1" applyBorder="1" applyAlignment="1">
      <alignment horizontal="center" vertical="center"/>
    </xf>
    <xf numFmtId="175" fontId="86" fillId="0" borderId="59" xfId="328" applyFont="1" applyBorder="1" applyAlignment="1">
      <alignment horizontal="center" vertical="center"/>
    </xf>
    <xf numFmtId="190" fontId="1" fillId="2" borderId="124" xfId="0" applyNumberFormat="1" applyFont="1" applyFill="1" applyBorder="1" applyAlignment="1">
      <alignment horizontal="center" vertical="center"/>
    </xf>
    <xf numFmtId="0" fontId="86" fillId="0" borderId="36" xfId="0" applyFont="1" applyBorder="1" applyAlignment="1">
      <alignment horizontal="center" vertical="center"/>
    </xf>
    <xf numFmtId="190" fontId="1" fillId="0" borderId="36" xfId="0" applyNumberFormat="1" applyFont="1" applyBorder="1" applyAlignment="1">
      <alignment horizontal="center" vertical="center"/>
    </xf>
    <xf numFmtId="180" fontId="1" fillId="2" borderId="36" xfId="218" applyFont="1" applyFill="1" applyBorder="1" applyAlignment="1">
      <alignment horizontal="center" vertical="center"/>
    </xf>
    <xf numFmtId="2" fontId="1" fillId="0" borderId="36" xfId="218" applyNumberFormat="1" applyFont="1" applyFill="1" applyBorder="1" applyAlignment="1">
      <alignment horizontal="center" vertical="center"/>
    </xf>
    <xf numFmtId="2" fontId="1" fillId="0" borderId="36" xfId="0" applyNumberFormat="1" applyFont="1" applyBorder="1" applyAlignment="1">
      <alignment horizontal="center" vertical="center"/>
    </xf>
    <xf numFmtId="2" fontId="48" fillId="0" borderId="36" xfId="0" applyNumberFormat="1" applyFont="1" applyBorder="1" applyAlignment="1">
      <alignment horizontal="center" vertical="center"/>
    </xf>
    <xf numFmtId="2" fontId="1" fillId="0" borderId="36" xfId="337" applyNumberFormat="1" applyFont="1" applyBorder="1" applyAlignment="1">
      <alignment horizontal="center" vertical="center"/>
    </xf>
    <xf numFmtId="175" fontId="86" fillId="0" borderId="57" xfId="328" applyFont="1" applyBorder="1" applyAlignment="1">
      <alignment horizontal="center" vertical="center"/>
    </xf>
    <xf numFmtId="190" fontId="1" fillId="2" borderId="66" xfId="0" applyNumberFormat="1" applyFont="1" applyFill="1" applyBorder="1" applyAlignment="1">
      <alignment horizontal="center" vertical="center"/>
    </xf>
    <xf numFmtId="0" fontId="86" fillId="0" borderId="70" xfId="0" applyFont="1" applyBorder="1" applyAlignment="1">
      <alignment horizontal="center" vertical="center"/>
    </xf>
    <xf numFmtId="2" fontId="1" fillId="0" borderId="70" xfId="218" applyNumberFormat="1" applyFont="1" applyFill="1" applyBorder="1" applyAlignment="1">
      <alignment horizontal="center" vertical="center"/>
    </xf>
    <xf numFmtId="2" fontId="1" fillId="0" borderId="70" xfId="0" applyNumberFormat="1" applyFont="1" applyBorder="1" applyAlignment="1">
      <alignment horizontal="center" vertical="center"/>
    </xf>
    <xf numFmtId="2" fontId="48" fillId="0" borderId="70" xfId="0" applyNumberFormat="1" applyFont="1" applyBorder="1" applyAlignment="1">
      <alignment horizontal="center" vertical="center"/>
    </xf>
    <xf numFmtId="2" fontId="1" fillId="0" borderId="70" xfId="337" applyNumberFormat="1" applyFont="1" applyBorder="1" applyAlignment="1">
      <alignment horizontal="center" vertical="center"/>
    </xf>
    <xf numFmtId="175" fontId="86" fillId="0" borderId="71" xfId="328" applyFont="1" applyBorder="1" applyAlignment="1">
      <alignment horizontal="center" vertical="center"/>
    </xf>
    <xf numFmtId="190" fontId="84" fillId="0" borderId="0" xfId="0" applyNumberFormat="1" applyFont="1" applyAlignment="1">
      <alignment horizontal="center"/>
    </xf>
    <xf numFmtId="0" fontId="3" fillId="0" borderId="212" xfId="0" applyFont="1" applyBorder="1" applyAlignment="1">
      <alignment horizontal="center" vertical="center"/>
    </xf>
    <xf numFmtId="186" fontId="3" fillId="0" borderId="173" xfId="249" applyFont="1" applyBorder="1" applyAlignment="1">
      <alignment horizontal="right" vertical="center" wrapText="1"/>
    </xf>
    <xf numFmtId="186" fontId="0" fillId="2" borderId="173" xfId="249" applyFont="1" applyFill="1" applyBorder="1" applyAlignment="1">
      <alignment horizontal="center" vertical="center" wrapText="1"/>
    </xf>
    <xf numFmtId="164" fontId="3" fillId="0" borderId="173" xfId="1" applyNumberFormat="1" applyFont="1" applyFill="1" applyBorder="1" applyAlignment="1">
      <alignment horizontal="right" vertical="center" wrapText="1"/>
    </xf>
    <xf numFmtId="9" fontId="3" fillId="0" borderId="173" xfId="7" applyFont="1" applyFill="1" applyBorder="1" applyAlignment="1">
      <alignment horizontal="right" vertical="center" wrapText="1"/>
    </xf>
    <xf numFmtId="164" fontId="3" fillId="0" borderId="213" xfId="1" applyNumberFormat="1" applyFont="1" applyFill="1" applyBorder="1" applyAlignment="1">
      <alignment horizontal="right" vertical="center" wrapText="1"/>
    </xf>
    <xf numFmtId="186" fontId="47" fillId="2" borderId="210" xfId="249" applyFont="1" applyFill="1" applyBorder="1" applyAlignment="1">
      <alignment horizontal="center" vertical="center"/>
    </xf>
    <xf numFmtId="203" fontId="47" fillId="2" borderId="130" xfId="379" applyNumberFormat="1" applyFont="1" applyFill="1" applyBorder="1" applyAlignment="1">
      <alignment horizontal="center" vertical="center"/>
    </xf>
    <xf numFmtId="186" fontId="46" fillId="2" borderId="137" xfId="249" applyFont="1" applyFill="1" applyBorder="1" applyAlignment="1">
      <alignment horizontal="center" vertical="center"/>
    </xf>
    <xf numFmtId="0" fontId="26" fillId="0" borderId="215" xfId="0" applyFont="1" applyBorder="1" applyAlignment="1">
      <alignment horizontal="center" vertical="center"/>
    </xf>
    <xf numFmtId="186" fontId="26" fillId="0" borderId="130" xfId="0" applyNumberFormat="1" applyFont="1" applyBorder="1" applyAlignment="1">
      <alignment horizontal="center" vertical="center"/>
    </xf>
    <xf numFmtId="186" fontId="42" fillId="0" borderId="130" xfId="0" applyNumberFormat="1" applyFont="1" applyBorder="1" applyAlignment="1">
      <alignment vertical="center"/>
    </xf>
    <xf numFmtId="0" fontId="26" fillId="0" borderId="137" xfId="0" applyFont="1" applyBorder="1" applyAlignment="1">
      <alignment horizontal="center" vertical="center" wrapText="1"/>
    </xf>
    <xf numFmtId="186" fontId="0" fillId="44" borderId="0" xfId="249" applyFont="1" applyFill="1" applyAlignment="1">
      <alignment horizontal="center"/>
    </xf>
    <xf numFmtId="186" fontId="0" fillId="45" borderId="0" xfId="249" applyFont="1" applyFill="1" applyAlignment="1">
      <alignment horizontal="center"/>
    </xf>
    <xf numFmtId="0" fontId="47" fillId="2" borderId="216" xfId="0" applyFont="1" applyFill="1" applyBorder="1" applyAlignment="1">
      <alignment horizontal="left" vertical="center"/>
    </xf>
    <xf numFmtId="0" fontId="47" fillId="2" borderId="217" xfId="0" applyFont="1" applyFill="1" applyBorder="1" applyAlignment="1">
      <alignment horizontal="left" vertical="center"/>
    </xf>
    <xf numFmtId="0" fontId="47" fillId="2" borderId="54" xfId="0" applyFont="1" applyFill="1" applyBorder="1" applyAlignment="1">
      <alignment vertical="center" wrapText="1"/>
    </xf>
    <xf numFmtId="0" fontId="47" fillId="2" borderId="55" xfId="0" applyFont="1" applyFill="1" applyBorder="1" applyAlignment="1">
      <alignment vertical="center" wrapText="1"/>
    </xf>
    <xf numFmtId="172" fontId="47" fillId="2" borderId="217" xfId="249" applyNumberFormat="1" applyFont="1" applyFill="1" applyBorder="1" applyAlignment="1">
      <alignment horizontal="right"/>
    </xf>
    <xf numFmtId="172" fontId="47" fillId="2" borderId="212" xfId="249" applyNumberFormat="1" applyFont="1" applyFill="1" applyBorder="1" applyAlignment="1">
      <alignment horizontal="right"/>
    </xf>
    <xf numFmtId="186" fontId="47" fillId="2" borderId="216" xfId="249" applyFont="1" applyFill="1" applyBorder="1" applyAlignment="1">
      <alignment horizontal="center"/>
    </xf>
    <xf numFmtId="186" fontId="47" fillId="2" borderId="217" xfId="249" applyFont="1" applyFill="1" applyBorder="1" applyAlignment="1">
      <alignment horizontal="center"/>
    </xf>
    <xf numFmtId="186" fontId="47" fillId="2" borderId="212" xfId="249" applyFont="1" applyFill="1" applyBorder="1" applyAlignment="1">
      <alignment horizontal="center"/>
    </xf>
    <xf numFmtId="200" fontId="47" fillId="2" borderId="216" xfId="0" applyNumberFormat="1" applyFont="1" applyFill="1" applyBorder="1"/>
    <xf numFmtId="200" fontId="47" fillId="2" borderId="217" xfId="0" applyNumberFormat="1" applyFont="1" applyFill="1" applyBorder="1"/>
    <xf numFmtId="200" fontId="47" fillId="2" borderId="212" xfId="0" applyNumberFormat="1" applyFont="1" applyFill="1" applyBorder="1"/>
    <xf numFmtId="200" fontId="47" fillId="2" borderId="218" xfId="0" applyNumberFormat="1" applyFont="1" applyFill="1" applyBorder="1"/>
    <xf numFmtId="0" fontId="47" fillId="2" borderId="219" xfId="0" applyFont="1" applyFill="1" applyBorder="1" applyAlignment="1">
      <alignment vertical="center"/>
    </xf>
    <xf numFmtId="0" fontId="47" fillId="2" borderId="220" xfId="0" applyFont="1" applyFill="1" applyBorder="1" applyAlignment="1">
      <alignment vertical="center"/>
    </xf>
    <xf numFmtId="172" fontId="47" fillId="2" borderId="221" xfId="249" applyNumberFormat="1" applyFont="1" applyFill="1" applyBorder="1" applyAlignment="1">
      <alignment horizontal="right"/>
    </xf>
    <xf numFmtId="0" fontId="0" fillId="0" borderId="42" xfId="0" applyBorder="1" applyAlignment="1">
      <alignment horizontal="center"/>
    </xf>
    <xf numFmtId="0" fontId="0" fillId="0" borderId="43" xfId="0" applyBorder="1"/>
    <xf numFmtId="0" fontId="0" fillId="0" borderId="43" xfId="0" applyBorder="1" applyAlignment="1">
      <alignment horizontal="center"/>
    </xf>
    <xf numFmtId="0" fontId="0" fillId="0" borderId="61" xfId="0" applyBorder="1" applyAlignment="1">
      <alignment horizontal="center"/>
    </xf>
    <xf numFmtId="190" fontId="2" fillId="2" borderId="5" xfId="0" applyNumberFormat="1" applyFont="1" applyFill="1" applyBorder="1"/>
    <xf numFmtId="206" fontId="3" fillId="0" borderId="0" xfId="249" applyNumberFormat="1" applyFont="1" applyAlignment="1">
      <alignment horizontal="right"/>
    </xf>
    <xf numFmtId="168" fontId="3" fillId="0" borderId="0" xfId="0" applyNumberFormat="1" applyFont="1" applyAlignment="1">
      <alignment horizontal="right"/>
    </xf>
    <xf numFmtId="0" fontId="83" fillId="0" borderId="0" xfId="0" applyFont="1" applyAlignment="1">
      <alignment horizontal="center"/>
    </xf>
    <xf numFmtId="186" fontId="47" fillId="2" borderId="43" xfId="0" applyNumberFormat="1" applyFont="1" applyFill="1" applyBorder="1" applyAlignment="1">
      <alignment horizontal="center" vertical="center"/>
    </xf>
    <xf numFmtId="0" fontId="47" fillId="2" borderId="43" xfId="0" applyFont="1" applyFill="1" applyBorder="1" applyAlignment="1">
      <alignment horizontal="center" vertical="center"/>
    </xf>
    <xf numFmtId="170" fontId="47" fillId="2" borderId="43" xfId="379" applyFont="1" applyFill="1" applyBorder="1" applyAlignment="1">
      <alignment horizontal="center" vertical="center"/>
    </xf>
    <xf numFmtId="186" fontId="47" fillId="2" borderId="61" xfId="249" applyFont="1" applyFill="1" applyBorder="1" applyAlignment="1">
      <alignment horizontal="center" vertical="center"/>
    </xf>
    <xf numFmtId="0" fontId="46" fillId="2" borderId="183" xfId="0" applyFont="1" applyFill="1" applyBorder="1" applyAlignment="1">
      <alignment horizontal="center" vertical="center" wrapText="1"/>
    </xf>
    <xf numFmtId="186" fontId="0" fillId="44" borderId="0" xfId="249" applyFont="1" applyFill="1" applyAlignment="1">
      <alignment horizontal="center" vertical="center" wrapText="1"/>
    </xf>
    <xf numFmtId="0" fontId="0" fillId="44" borderId="0" xfId="0" applyFill="1" applyAlignment="1">
      <alignment vertical="center"/>
    </xf>
    <xf numFmtId="186" fontId="0" fillId="44" borderId="0" xfId="0" applyNumberFormat="1" applyFill="1" applyAlignment="1">
      <alignment vertical="center"/>
    </xf>
    <xf numFmtId="0" fontId="0" fillId="44" borderId="0" xfId="0" applyFill="1"/>
    <xf numFmtId="202" fontId="0" fillId="6" borderId="0" xfId="1" applyNumberFormat="1" applyFont="1" applyFill="1" applyAlignment="1">
      <alignment vertical="center"/>
    </xf>
    <xf numFmtId="202" fontId="25" fillId="6" borderId="82" xfId="1" applyNumberFormat="1" applyFont="1" applyFill="1" applyBorder="1" applyAlignment="1">
      <alignment horizontal="center" vertical="center"/>
    </xf>
    <xf numFmtId="202" fontId="47" fillId="3" borderId="73" xfId="1" applyNumberFormat="1" applyFont="1" applyFill="1" applyBorder="1" applyAlignment="1">
      <alignment horizontal="center" vertical="center"/>
    </xf>
    <xf numFmtId="202" fontId="0" fillId="6" borderId="1" xfId="1" applyNumberFormat="1" applyFont="1" applyFill="1" applyBorder="1" applyAlignment="1">
      <alignment horizontal="center" vertical="center" wrapText="1"/>
    </xf>
    <xf numFmtId="202" fontId="3" fillId="6" borderId="1" xfId="1" applyNumberFormat="1" applyFont="1" applyFill="1" applyBorder="1" applyAlignment="1">
      <alignment horizontal="center" vertical="center" wrapText="1"/>
    </xf>
    <xf numFmtId="202" fontId="3" fillId="6" borderId="82" xfId="1" applyNumberFormat="1" applyFont="1" applyFill="1" applyBorder="1" applyAlignment="1">
      <alignment horizontal="center" vertical="center" wrapText="1"/>
    </xf>
    <xf numFmtId="202" fontId="47" fillId="3" borderId="15" xfId="1" applyNumberFormat="1" applyFont="1" applyFill="1" applyBorder="1" applyAlignment="1">
      <alignment horizontal="center" vertical="center"/>
    </xf>
    <xf numFmtId="164" fontId="3" fillId="0" borderId="0" xfId="0" applyNumberFormat="1" applyFont="1" applyAlignment="1">
      <alignment vertical="center"/>
    </xf>
    <xf numFmtId="202" fontId="47" fillId="6" borderId="0" xfId="1" applyNumberFormat="1" applyFont="1" applyFill="1" applyAlignment="1">
      <alignment horizontal="center" vertical="center"/>
    </xf>
    <xf numFmtId="202" fontId="47" fillId="6" borderId="0" xfId="1" applyNumberFormat="1" applyFont="1" applyFill="1" applyBorder="1" applyAlignment="1">
      <alignment horizontal="center" vertical="center"/>
    </xf>
    <xf numFmtId="202" fontId="0" fillId="6" borderId="2" xfId="1" applyNumberFormat="1" applyFont="1" applyFill="1" applyBorder="1" applyAlignment="1">
      <alignment horizontal="center" vertical="center" wrapText="1"/>
    </xf>
    <xf numFmtId="202" fontId="0" fillId="19" borderId="2" xfId="1" applyNumberFormat="1" applyFont="1" applyFill="1" applyBorder="1" applyAlignment="1">
      <alignment horizontal="center" vertical="center" wrapText="1"/>
    </xf>
    <xf numFmtId="202" fontId="47" fillId="6" borderId="15" xfId="1" applyNumberFormat="1" applyFont="1" applyFill="1" applyBorder="1" applyAlignment="1">
      <alignment horizontal="center" vertical="center"/>
    </xf>
    <xf numFmtId="202" fontId="0" fillId="6" borderId="28" xfId="1" applyNumberFormat="1" applyFont="1" applyFill="1" applyBorder="1" applyAlignment="1">
      <alignment horizontal="center" vertical="center" wrapText="1"/>
    </xf>
    <xf numFmtId="202" fontId="0" fillId="6" borderId="82" xfId="1" applyNumberFormat="1" applyFont="1" applyFill="1" applyBorder="1" applyAlignment="1">
      <alignment horizontal="center" vertical="center" wrapText="1"/>
    </xf>
    <xf numFmtId="202" fontId="0" fillId="6" borderId="173" xfId="1" applyNumberFormat="1" applyFont="1" applyFill="1" applyBorder="1" applyAlignment="1">
      <alignment horizontal="center" vertical="center" wrapText="1"/>
    </xf>
    <xf numFmtId="202" fontId="0" fillId="20" borderId="28" xfId="1" applyNumberFormat="1" applyFont="1" applyFill="1" applyBorder="1" applyAlignment="1">
      <alignment horizontal="center" vertical="center" wrapText="1"/>
    </xf>
    <xf numFmtId="202" fontId="0" fillId="20" borderId="130" xfId="1" applyNumberFormat="1" applyFont="1" applyFill="1" applyBorder="1" applyAlignment="1">
      <alignment horizontal="center" vertical="center" wrapText="1"/>
    </xf>
    <xf numFmtId="207" fontId="0" fillId="6" borderId="0" xfId="1" applyNumberFormat="1" applyFont="1" applyFill="1" applyAlignment="1">
      <alignment vertical="center"/>
    </xf>
    <xf numFmtId="207" fontId="46" fillId="6" borderId="0" xfId="1" applyNumberFormat="1" applyFont="1" applyFill="1" applyAlignment="1">
      <alignment horizontal="center" vertical="center"/>
    </xf>
    <xf numFmtId="207" fontId="46" fillId="6" borderId="0" xfId="1" applyNumberFormat="1" applyFont="1" applyFill="1" applyBorder="1" applyAlignment="1">
      <alignment horizontal="center" vertical="center"/>
    </xf>
    <xf numFmtId="207" fontId="25" fillId="6" borderId="82" xfId="1" applyNumberFormat="1" applyFont="1" applyFill="1" applyBorder="1" applyAlignment="1">
      <alignment horizontal="center" vertical="center"/>
    </xf>
    <xf numFmtId="207" fontId="47" fillId="3" borderId="73" xfId="1" applyNumberFormat="1" applyFont="1" applyFill="1" applyBorder="1" applyAlignment="1">
      <alignment horizontal="center" vertical="center"/>
    </xf>
    <xf numFmtId="207" fontId="0" fillId="6" borderId="1" xfId="1" applyNumberFormat="1" applyFont="1" applyFill="1" applyBorder="1" applyAlignment="1">
      <alignment horizontal="center" vertical="center" wrapText="1"/>
    </xf>
    <xf numFmtId="207" fontId="3" fillId="6" borderId="1" xfId="1" applyNumberFormat="1" applyFont="1" applyFill="1" applyBorder="1" applyAlignment="1">
      <alignment horizontal="center" vertical="center" wrapText="1"/>
    </xf>
    <xf numFmtId="207" fontId="3" fillId="6" borderId="82" xfId="1" applyNumberFormat="1" applyFont="1" applyFill="1" applyBorder="1" applyAlignment="1">
      <alignment horizontal="center" vertical="center" wrapText="1"/>
    </xf>
    <xf numFmtId="207" fontId="47" fillId="3" borderId="15" xfId="1" applyNumberFormat="1" applyFont="1" applyFill="1" applyBorder="1" applyAlignment="1">
      <alignment horizontal="center" vertical="center"/>
    </xf>
    <xf numFmtId="207" fontId="0" fillId="19" borderId="1" xfId="1" applyNumberFormat="1" applyFont="1" applyFill="1" applyBorder="1" applyAlignment="1">
      <alignment horizontal="center" vertical="center" wrapText="1"/>
    </xf>
    <xf numFmtId="207" fontId="47" fillId="6" borderId="15" xfId="1" applyNumberFormat="1" applyFont="1" applyFill="1" applyBorder="1" applyAlignment="1">
      <alignment vertical="center"/>
    </xf>
    <xf numFmtId="207" fontId="0" fillId="6" borderId="15" xfId="1" applyNumberFormat="1" applyFont="1" applyFill="1" applyBorder="1" applyAlignment="1">
      <alignment horizontal="center" vertical="center" wrapText="1"/>
    </xf>
    <xf numFmtId="207" fontId="3" fillId="6" borderId="173" xfId="1" applyNumberFormat="1" applyFont="1" applyFill="1" applyBorder="1" applyAlignment="1">
      <alignment horizontal="center" vertical="center" wrapText="1"/>
    </xf>
    <xf numFmtId="207" fontId="0" fillId="20" borderId="15" xfId="1" applyNumberFormat="1" applyFont="1" applyFill="1" applyBorder="1" applyAlignment="1">
      <alignment horizontal="center" vertical="center" wrapText="1"/>
    </xf>
    <xf numFmtId="207" fontId="3" fillId="20" borderId="130" xfId="1" applyNumberFormat="1" applyFont="1" applyFill="1" applyBorder="1" applyAlignment="1">
      <alignment horizontal="center" vertical="center" wrapText="1"/>
    </xf>
    <xf numFmtId="208" fontId="0" fillId="6" borderId="0" xfId="1" applyNumberFormat="1" applyFont="1" applyFill="1" applyAlignment="1">
      <alignment vertical="center"/>
    </xf>
    <xf numFmtId="208" fontId="46" fillId="6" borderId="0" xfId="1" applyNumberFormat="1" applyFont="1" applyFill="1" applyAlignment="1">
      <alignment horizontal="center" vertical="center"/>
    </xf>
    <xf numFmtId="208" fontId="46" fillId="6" borderId="0" xfId="1" applyNumberFormat="1" applyFont="1" applyFill="1" applyBorder="1" applyAlignment="1">
      <alignment horizontal="center" vertical="center"/>
    </xf>
    <xf numFmtId="208" fontId="25" fillId="6" borderId="82" xfId="1" applyNumberFormat="1" applyFont="1" applyFill="1" applyBorder="1" applyAlignment="1">
      <alignment horizontal="center" vertical="center"/>
    </xf>
    <xf numFmtId="208" fontId="47" fillId="3" borderId="73" xfId="1" applyNumberFormat="1" applyFont="1" applyFill="1" applyBorder="1" applyAlignment="1">
      <alignment horizontal="center" vertical="center"/>
    </xf>
    <xf numFmtId="208" fontId="0" fillId="6" borderId="1" xfId="1" applyNumberFormat="1" applyFont="1" applyFill="1" applyBorder="1" applyAlignment="1">
      <alignment horizontal="center" vertical="center" wrapText="1"/>
    </xf>
    <xf numFmtId="208" fontId="3" fillId="6" borderId="1" xfId="1" applyNumberFormat="1" applyFont="1" applyFill="1" applyBorder="1" applyAlignment="1">
      <alignment horizontal="center" vertical="center" wrapText="1"/>
    </xf>
    <xf numFmtId="208" fontId="3" fillId="6" borderId="82" xfId="1" applyNumberFormat="1" applyFont="1" applyFill="1" applyBorder="1" applyAlignment="1">
      <alignment horizontal="center" vertical="center" wrapText="1"/>
    </xf>
    <xf numFmtId="208" fontId="47" fillId="3" borderId="15" xfId="1" applyNumberFormat="1" applyFont="1" applyFill="1" applyBorder="1" applyAlignment="1">
      <alignment horizontal="center" vertical="center"/>
    </xf>
    <xf numFmtId="208" fontId="0" fillId="19" borderId="1" xfId="1" applyNumberFormat="1" applyFont="1" applyFill="1" applyBorder="1" applyAlignment="1">
      <alignment horizontal="center" vertical="center" wrapText="1"/>
    </xf>
    <xf numFmtId="208" fontId="47" fillId="6" borderId="15" xfId="1" applyNumberFormat="1" applyFont="1" applyFill="1" applyBorder="1" applyAlignment="1">
      <alignment vertical="center"/>
    </xf>
    <xf numFmtId="208" fontId="3" fillId="6" borderId="82" xfId="1" applyNumberFormat="1" applyFont="1" applyFill="1" applyBorder="1" applyAlignment="1">
      <alignment horizontal="right" vertical="center" wrapText="1"/>
    </xf>
    <xf numFmtId="208" fontId="0" fillId="6" borderId="15" xfId="1" applyNumberFormat="1" applyFont="1" applyFill="1" applyBorder="1" applyAlignment="1">
      <alignment horizontal="center" vertical="center" wrapText="1"/>
    </xf>
    <xf numFmtId="208" fontId="3" fillId="19" borderId="82" xfId="1" applyNumberFormat="1" applyFont="1" applyFill="1" applyBorder="1" applyAlignment="1">
      <alignment horizontal="right" vertical="center" wrapText="1"/>
    </xf>
    <xf numFmtId="208" fontId="3" fillId="19" borderId="173" xfId="1" applyNumberFormat="1" applyFont="1" applyFill="1" applyBorder="1" applyAlignment="1">
      <alignment horizontal="right" vertical="center" wrapText="1"/>
    </xf>
    <xf numFmtId="208" fontId="0" fillId="20" borderId="15" xfId="1" applyNumberFormat="1" applyFont="1" applyFill="1" applyBorder="1" applyAlignment="1">
      <alignment horizontal="center" vertical="center" wrapText="1"/>
    </xf>
    <xf numFmtId="208" fontId="3" fillId="21" borderId="130" xfId="1" applyNumberFormat="1" applyFont="1" applyFill="1" applyBorder="1" applyAlignment="1">
      <alignment horizontal="center" vertical="center" wrapText="1"/>
    </xf>
    <xf numFmtId="180" fontId="50" fillId="2" borderId="0" xfId="249" applyNumberFormat="1" applyFont="1" applyFill="1" applyAlignment="1">
      <alignment vertical="center"/>
    </xf>
    <xf numFmtId="180" fontId="3" fillId="2" borderId="1" xfId="1" applyFont="1" applyFill="1" applyBorder="1" applyAlignment="1">
      <alignment horizontal="center" vertical="center" wrapText="1"/>
    </xf>
    <xf numFmtId="180" fontId="3" fillId="0" borderId="82" xfId="1" applyFont="1" applyFill="1" applyBorder="1" applyAlignment="1">
      <alignment horizontal="right" vertical="center" wrapText="1"/>
    </xf>
    <xf numFmtId="180" fontId="47" fillId="3" borderId="15" xfId="1" applyFont="1" applyFill="1" applyBorder="1" applyAlignment="1">
      <alignment vertical="center"/>
    </xf>
    <xf numFmtId="180" fontId="0" fillId="0" borderId="1" xfId="1" applyFont="1" applyFill="1" applyBorder="1" applyAlignment="1">
      <alignment horizontal="center" vertical="center" wrapText="1"/>
    </xf>
    <xf numFmtId="180" fontId="0" fillId="2" borderId="15" xfId="1" applyFont="1" applyFill="1" applyBorder="1" applyAlignment="1">
      <alignment horizontal="center" vertical="center" wrapText="1"/>
    </xf>
    <xf numFmtId="180" fontId="3" fillId="0" borderId="173" xfId="1" applyFont="1" applyFill="1" applyBorder="1" applyAlignment="1">
      <alignment horizontal="right" vertical="center" wrapText="1"/>
    </xf>
    <xf numFmtId="164" fontId="0" fillId="2" borderId="0" xfId="1" applyNumberFormat="1" applyFont="1" applyFill="1" applyAlignment="1">
      <alignment vertical="center"/>
    </xf>
    <xf numFmtId="164" fontId="46" fillId="2" borderId="0" xfId="1" applyNumberFormat="1" applyFont="1" applyFill="1" applyAlignment="1">
      <alignment horizontal="center" vertical="center"/>
    </xf>
    <xf numFmtId="164" fontId="46" fillId="2" borderId="0" xfId="1" applyNumberFormat="1" applyFont="1" applyFill="1" applyBorder="1" applyAlignment="1">
      <alignment horizontal="center" vertical="center"/>
    </xf>
    <xf numFmtId="164" fontId="46" fillId="2" borderId="82" xfId="1" applyNumberFormat="1" applyFont="1" applyFill="1" applyBorder="1" applyAlignment="1">
      <alignment horizontal="center" vertical="center"/>
    </xf>
    <xf numFmtId="164" fontId="47" fillId="3" borderId="73" xfId="1" applyNumberFormat="1" applyFont="1" applyFill="1" applyBorder="1" applyAlignment="1">
      <alignment horizontal="center" vertical="center"/>
    </xf>
    <xf numFmtId="164" fontId="47" fillId="3" borderId="15" xfId="1" applyNumberFormat="1" applyFont="1" applyFill="1" applyBorder="1" applyAlignment="1">
      <alignment horizontal="center" vertical="center"/>
    </xf>
    <xf numFmtId="164" fontId="3" fillId="2" borderId="130" xfId="1" applyNumberFormat="1" applyFont="1" applyFill="1" applyBorder="1" applyAlignment="1">
      <alignment horizontal="center" vertical="center" wrapText="1"/>
    </xf>
    <xf numFmtId="164" fontId="0" fillId="2" borderId="0" xfId="1" applyNumberFormat="1" applyFont="1" applyFill="1" applyAlignment="1">
      <alignment horizontal="left" vertical="center"/>
    </xf>
    <xf numFmtId="164" fontId="46" fillId="2" borderId="0" xfId="1" applyNumberFormat="1" applyFont="1" applyFill="1" applyAlignment="1">
      <alignment horizontal="left" vertical="center"/>
    </xf>
    <xf numFmtId="164" fontId="46" fillId="2" borderId="0" xfId="1" applyNumberFormat="1" applyFont="1" applyFill="1" applyBorder="1" applyAlignment="1">
      <alignment horizontal="left" vertical="center"/>
    </xf>
    <xf numFmtId="164" fontId="47" fillId="3" borderId="73" xfId="1" applyNumberFormat="1" applyFont="1" applyFill="1" applyBorder="1" applyAlignment="1">
      <alignment horizontal="left" vertical="center"/>
    </xf>
    <xf numFmtId="164" fontId="0" fillId="2" borderId="1" xfId="1" applyNumberFormat="1" applyFont="1" applyFill="1" applyBorder="1" applyAlignment="1">
      <alignment horizontal="left" vertical="center" wrapText="1"/>
    </xf>
    <xf numFmtId="164" fontId="3" fillId="2" borderId="1" xfId="1" applyNumberFormat="1" applyFont="1" applyFill="1" applyBorder="1" applyAlignment="1">
      <alignment horizontal="left" vertical="center" wrapText="1"/>
    </xf>
    <xf numFmtId="164" fontId="47" fillId="3" borderId="15" xfId="1" applyNumberFormat="1" applyFont="1" applyFill="1" applyBorder="1" applyAlignment="1">
      <alignment horizontal="left" vertical="center"/>
    </xf>
    <xf numFmtId="164" fontId="3" fillId="0" borderId="131" xfId="1" applyNumberFormat="1" applyFont="1" applyFill="1" applyBorder="1" applyAlignment="1">
      <alignment horizontal="right" vertical="center" wrapText="1"/>
    </xf>
    <xf numFmtId="164" fontId="0" fillId="0" borderId="1" xfId="1" applyNumberFormat="1" applyFont="1" applyFill="1" applyBorder="1" applyAlignment="1">
      <alignment horizontal="left" vertical="center" wrapText="1"/>
    </xf>
    <xf numFmtId="164" fontId="0" fillId="2" borderId="15" xfId="1" applyNumberFormat="1" applyFont="1" applyFill="1" applyBorder="1" applyAlignment="1">
      <alignment horizontal="left" vertical="center" wrapText="1"/>
    </xf>
    <xf numFmtId="0" fontId="0" fillId="2" borderId="0" xfId="0" applyFill="1"/>
    <xf numFmtId="0" fontId="2" fillId="2" borderId="0" xfId="0" applyFont="1" applyFill="1" applyAlignment="1">
      <alignment horizontal="center" vertical="center"/>
    </xf>
    <xf numFmtId="0" fontId="2" fillId="2" borderId="0" xfId="0" applyFont="1" applyFill="1" applyAlignment="1">
      <alignment horizontal="right" vertical="center"/>
    </xf>
    <xf numFmtId="0" fontId="46" fillId="2" borderId="0" xfId="0" applyFont="1" applyFill="1" applyAlignment="1">
      <alignment horizontal="center" vertical="center"/>
    </xf>
    <xf numFmtId="0" fontId="47" fillId="2" borderId="0" xfId="0" applyFont="1" applyFill="1" applyAlignment="1">
      <alignment horizontal="center" vertical="center"/>
    </xf>
    <xf numFmtId="0" fontId="0" fillId="2" borderId="6" xfId="0" applyFill="1" applyBorder="1"/>
    <xf numFmtId="0" fontId="50" fillId="2" borderId="0" xfId="0" applyFont="1" applyFill="1" applyAlignment="1">
      <alignment horizontal="center" vertical="center"/>
    </xf>
    <xf numFmtId="0" fontId="47" fillId="2" borderId="111" xfId="0" applyFont="1" applyFill="1" applyBorder="1" applyAlignment="1">
      <alignment horizontal="right" vertical="center"/>
    </xf>
    <xf numFmtId="203" fontId="46" fillId="2" borderId="73" xfId="379" applyNumberFormat="1" applyFont="1" applyFill="1" applyBorder="1" applyAlignment="1">
      <alignment horizontal="center" vertical="center"/>
    </xf>
    <xf numFmtId="0" fontId="46" fillId="2" borderId="2" xfId="0" applyFont="1" applyFill="1" applyBorder="1" applyAlignment="1">
      <alignment horizontal="center" vertical="center"/>
    </xf>
    <xf numFmtId="0" fontId="0" fillId="2" borderId="98" xfId="0" applyFill="1" applyBorder="1" applyAlignment="1">
      <alignment horizontal="center" vertical="center"/>
    </xf>
    <xf numFmtId="0" fontId="0" fillId="2" borderId="98" xfId="0" applyFill="1" applyBorder="1"/>
    <xf numFmtId="0" fontId="46" fillId="2" borderId="106" xfId="0" applyFont="1" applyFill="1" applyBorder="1" applyAlignment="1">
      <alignment horizontal="center" vertical="center" wrapText="1"/>
    </xf>
    <xf numFmtId="0" fontId="46" fillId="2" borderId="107" xfId="0" applyFont="1" applyFill="1" applyBorder="1" applyAlignment="1">
      <alignment horizontal="center" vertical="center" wrapText="1"/>
    </xf>
    <xf numFmtId="0" fontId="46" fillId="2" borderId="97" xfId="0" applyFont="1" applyFill="1" applyBorder="1" applyAlignment="1">
      <alignment horizontal="center" vertical="center" wrapText="1"/>
    </xf>
    <xf numFmtId="0" fontId="46" fillId="2" borderId="120" xfId="0" applyFont="1" applyFill="1" applyBorder="1" applyAlignment="1">
      <alignment horizontal="center" vertical="center" wrapText="1"/>
    </xf>
    <xf numFmtId="0" fontId="0" fillId="2" borderId="1" xfId="0" applyFill="1" applyBorder="1" applyAlignment="1">
      <alignment horizontal="center" vertical="center"/>
    </xf>
    <xf numFmtId="186" fontId="47" fillId="2" borderId="1" xfId="249" applyFont="1" applyFill="1" applyBorder="1" applyAlignment="1">
      <alignment horizontal="center" vertical="center"/>
    </xf>
    <xf numFmtId="166" fontId="47" fillId="2" borderId="1" xfId="249" applyNumberFormat="1" applyFont="1" applyFill="1" applyBorder="1" applyAlignment="1">
      <alignment horizontal="center" vertical="center"/>
    </xf>
    <xf numFmtId="0" fontId="0" fillId="2" borderId="1" xfId="0" applyFill="1" applyBorder="1"/>
    <xf numFmtId="166" fontId="0" fillId="2" borderId="1" xfId="0" applyNumberFormat="1" applyFill="1" applyBorder="1"/>
    <xf numFmtId="186" fontId="47" fillId="2" borderId="2" xfId="249" applyFont="1" applyFill="1" applyBorder="1" applyAlignment="1">
      <alignment horizontal="center" vertical="center"/>
    </xf>
    <xf numFmtId="166" fontId="47" fillId="2" borderId="2" xfId="249" applyNumberFormat="1" applyFont="1" applyFill="1" applyBorder="1" applyAlignment="1">
      <alignment horizontal="center" vertical="center"/>
    </xf>
    <xf numFmtId="0" fontId="47" fillId="2" borderId="0" xfId="0" applyFont="1" applyFill="1" applyAlignment="1">
      <alignment horizontal="left" vertical="center" wrapText="1"/>
    </xf>
    <xf numFmtId="0" fontId="46" fillId="2" borderId="0" xfId="0" applyFont="1" applyFill="1" applyAlignment="1">
      <alignment horizontal="left" vertical="center" wrapText="1"/>
    </xf>
    <xf numFmtId="0" fontId="3" fillId="2" borderId="98" xfId="0" applyFont="1" applyFill="1" applyBorder="1" applyAlignment="1">
      <alignment horizontal="center" vertical="center"/>
    </xf>
    <xf numFmtId="0" fontId="46" fillId="2" borderId="6" xfId="0" applyFont="1" applyFill="1" applyBorder="1" applyAlignment="1">
      <alignment horizontal="center" vertical="center"/>
    </xf>
    <xf numFmtId="0" fontId="46" fillId="2" borderId="50" xfId="0" applyFont="1" applyFill="1" applyBorder="1" applyAlignment="1">
      <alignment horizontal="center"/>
    </xf>
    <xf numFmtId="0" fontId="46" fillId="2" borderId="7" xfId="0" applyFont="1" applyFill="1" applyBorder="1" applyAlignment="1">
      <alignment horizontal="center"/>
    </xf>
    <xf numFmtId="0" fontId="46" fillId="2" borderId="7" xfId="0" applyFont="1" applyFill="1" applyBorder="1" applyAlignment="1">
      <alignment horizontal="center" vertical="center"/>
    </xf>
    <xf numFmtId="0" fontId="46" fillId="2" borderId="0" xfId="0" applyFont="1" applyFill="1" applyAlignment="1">
      <alignment horizontal="center"/>
    </xf>
    <xf numFmtId="0" fontId="47" fillId="2" borderId="0" xfId="0" applyFont="1" applyFill="1" applyAlignment="1">
      <alignment horizontal="center"/>
    </xf>
    <xf numFmtId="0" fontId="46" fillId="2" borderId="100" xfId="0" applyFont="1" applyFill="1" applyBorder="1" applyAlignment="1">
      <alignment horizontal="center" vertical="center" wrapText="1"/>
    </xf>
    <xf numFmtId="0" fontId="46" fillId="2" borderId="102" xfId="0" applyFont="1" applyFill="1" applyBorder="1" applyAlignment="1">
      <alignment horizontal="center" vertical="center" wrapText="1"/>
    </xf>
    <xf numFmtId="0" fontId="46" fillId="2" borderId="112" xfId="0" applyFont="1" applyFill="1" applyBorder="1" applyAlignment="1">
      <alignment horizontal="center" vertical="center" wrapText="1"/>
    </xf>
    <xf numFmtId="0" fontId="46" fillId="2" borderId="113" xfId="0" applyFont="1" applyFill="1" applyBorder="1" applyAlignment="1">
      <alignment horizontal="center" vertical="center" wrapText="1"/>
    </xf>
    <xf numFmtId="0" fontId="46" fillId="2" borderId="145" xfId="0" applyFont="1" applyFill="1" applyBorder="1" applyAlignment="1">
      <alignment horizontal="center" vertical="center" wrapText="1"/>
    </xf>
    <xf numFmtId="0" fontId="46" fillId="2" borderId="146" xfId="0" applyFont="1" applyFill="1" applyBorder="1" applyAlignment="1">
      <alignment horizontal="center" vertical="center" wrapText="1"/>
    </xf>
    <xf numFmtId="0" fontId="46" fillId="2" borderId="127" xfId="0" applyFont="1" applyFill="1" applyBorder="1" applyAlignment="1">
      <alignment horizontal="center" vertical="center" wrapText="1"/>
    </xf>
    <xf numFmtId="0" fontId="46" fillId="2" borderId="214" xfId="0" applyFont="1" applyFill="1" applyBorder="1" applyAlignment="1">
      <alignment horizontal="center" vertical="center" wrapText="1"/>
    </xf>
    <xf numFmtId="0" fontId="46" fillId="2" borderId="119" xfId="0" applyFont="1" applyFill="1" applyBorder="1" applyAlignment="1">
      <alignment horizontal="center" vertical="center" wrapText="1"/>
    </xf>
    <xf numFmtId="0" fontId="46" fillId="2" borderId="140" xfId="0" applyFont="1" applyFill="1" applyBorder="1" applyAlignment="1">
      <alignment horizontal="center" vertical="center" wrapText="1"/>
    </xf>
    <xf numFmtId="0" fontId="46" fillId="2" borderId="1" xfId="0" applyFont="1" applyFill="1" applyBorder="1" applyAlignment="1">
      <alignment horizontal="left" vertical="center" wrapText="1"/>
    </xf>
    <xf numFmtId="0" fontId="46" fillId="2" borderId="98" xfId="0" applyFont="1" applyFill="1" applyBorder="1" applyAlignment="1">
      <alignment horizontal="left" vertical="center" wrapText="1"/>
    </xf>
    <xf numFmtId="0" fontId="46" fillId="2" borderId="73" xfId="0" applyFont="1" applyFill="1" applyBorder="1" applyAlignment="1">
      <alignment horizontal="left" vertical="center" wrapText="1"/>
    </xf>
    <xf numFmtId="0" fontId="46" fillId="2" borderId="2" xfId="0" applyFont="1" applyFill="1" applyBorder="1" applyAlignment="1">
      <alignment horizontal="left" vertical="center" wrapText="1"/>
    </xf>
    <xf numFmtId="0" fontId="3" fillId="2" borderId="130" xfId="0" applyFont="1" applyFill="1" applyBorder="1" applyAlignment="1">
      <alignment horizontal="center" vertical="center"/>
    </xf>
    <xf numFmtId="186" fontId="46" fillId="2" borderId="130" xfId="249" applyFont="1" applyFill="1" applyBorder="1" applyAlignment="1">
      <alignment horizontal="center" vertical="center"/>
    </xf>
    <xf numFmtId="0" fontId="0" fillId="2" borderId="2" xfId="0" applyFill="1" applyBorder="1" applyAlignment="1">
      <alignment horizontal="center" vertical="center"/>
    </xf>
    <xf numFmtId="0" fontId="0" fillId="2" borderId="7" xfId="0" applyFill="1" applyBorder="1"/>
    <xf numFmtId="0" fontId="0" fillId="2" borderId="119" xfId="0" applyFill="1" applyBorder="1"/>
    <xf numFmtId="0" fontId="47" fillId="2" borderId="106" xfId="0" applyFont="1" applyFill="1" applyBorder="1" applyAlignment="1">
      <alignment horizontal="left" vertical="center" wrapText="1"/>
    </xf>
    <xf numFmtId="186" fontId="47" fillId="2" borderId="119" xfId="0" applyNumberFormat="1" applyFont="1" applyFill="1" applyBorder="1" applyAlignment="1">
      <alignment horizontal="center" vertical="center"/>
    </xf>
    <xf numFmtId="0" fontId="46" fillId="2" borderId="106" xfId="0" applyFont="1" applyFill="1" applyBorder="1" applyAlignment="1">
      <alignment horizontal="center" vertical="center"/>
    </xf>
    <xf numFmtId="186" fontId="46" fillId="2" borderId="119" xfId="284" applyFont="1" applyFill="1" applyBorder="1" applyAlignment="1">
      <alignment horizontal="center" vertical="center"/>
    </xf>
    <xf numFmtId="186" fontId="46" fillId="2" borderId="119" xfId="0" applyNumberFormat="1" applyFont="1" applyFill="1" applyBorder="1" applyAlignment="1">
      <alignment horizontal="center" vertical="center"/>
    </xf>
    <xf numFmtId="0" fontId="47" fillId="2" borderId="72" xfId="0" applyFont="1" applyFill="1" applyBorder="1" applyAlignment="1">
      <alignment horizontal="left" vertical="center" wrapText="1"/>
    </xf>
    <xf numFmtId="186" fontId="47" fillId="2" borderId="73" xfId="0" applyNumberFormat="1" applyFont="1" applyFill="1" applyBorder="1" applyAlignment="1">
      <alignment horizontal="center" vertical="center"/>
    </xf>
    <xf numFmtId="0" fontId="47" fillId="2" borderId="74" xfId="0" applyFont="1" applyFill="1" applyBorder="1" applyAlignment="1">
      <alignment horizontal="left" vertical="center" wrapText="1"/>
    </xf>
    <xf numFmtId="186" fontId="47" fillId="2" borderId="1" xfId="0" applyNumberFormat="1" applyFont="1" applyFill="1" applyBorder="1" applyAlignment="1">
      <alignment horizontal="center" vertical="center"/>
    </xf>
    <xf numFmtId="0" fontId="47" fillId="2" borderId="81" xfId="0" applyFont="1" applyFill="1" applyBorder="1" applyAlignment="1">
      <alignment horizontal="left" vertical="center" wrapText="1"/>
    </xf>
    <xf numFmtId="186" fontId="47" fillId="2" borderId="82" xfId="0" applyNumberFormat="1" applyFont="1" applyFill="1" applyBorder="1" applyAlignment="1">
      <alignment horizontal="center" vertical="center"/>
    </xf>
    <xf numFmtId="0" fontId="46" fillId="2" borderId="107" xfId="0" applyFont="1" applyFill="1" applyBorder="1" applyAlignment="1">
      <alignment horizontal="center" vertical="center"/>
    </xf>
    <xf numFmtId="186" fontId="46" fillId="2" borderId="140" xfId="284" applyFont="1" applyFill="1" applyBorder="1" applyAlignment="1">
      <alignment horizontal="center" vertical="center"/>
    </xf>
    <xf numFmtId="186" fontId="46" fillId="2" borderId="140" xfId="0" applyNumberFormat="1" applyFont="1" applyFill="1" applyBorder="1" applyAlignment="1">
      <alignment horizontal="center" vertical="center"/>
    </xf>
    <xf numFmtId="0" fontId="46" fillId="2" borderId="186" xfId="0" applyFont="1" applyFill="1" applyBorder="1" applyAlignment="1">
      <alignment horizontal="center" vertical="center" wrapText="1"/>
    </xf>
    <xf numFmtId="0" fontId="0" fillId="2" borderId="186" xfId="0" applyFill="1" applyBorder="1"/>
    <xf numFmtId="0" fontId="47" fillId="2" borderId="124" xfId="0" applyFont="1" applyFill="1" applyBorder="1" applyAlignment="1">
      <alignment horizontal="left" vertical="center" wrapText="1"/>
    </xf>
    <xf numFmtId="0" fontId="47" fillId="2" borderId="36" xfId="0" applyFont="1" applyFill="1" applyBorder="1" applyAlignment="1">
      <alignment horizontal="left" vertical="center" wrapText="1"/>
    </xf>
    <xf numFmtId="186" fontId="47" fillId="2" borderId="36" xfId="0" applyNumberFormat="1" applyFont="1" applyFill="1" applyBorder="1" applyAlignment="1">
      <alignment horizontal="center" vertical="center"/>
    </xf>
    <xf numFmtId="0" fontId="47" fillId="2" borderId="52" xfId="0" applyFont="1" applyFill="1" applyBorder="1" applyAlignment="1">
      <alignment horizontal="left" vertical="center" wrapText="1"/>
    </xf>
    <xf numFmtId="0" fontId="47" fillId="2" borderId="38" xfId="0" applyFont="1" applyFill="1" applyBorder="1" applyAlignment="1">
      <alignment horizontal="left" vertical="center" wrapText="1"/>
    </xf>
    <xf numFmtId="186" fontId="47" fillId="2" borderId="38" xfId="0" applyNumberFormat="1" applyFont="1" applyFill="1" applyBorder="1" applyAlignment="1">
      <alignment horizontal="center" vertical="center"/>
    </xf>
    <xf numFmtId="0" fontId="47" fillId="2" borderId="66" xfId="0" applyFont="1" applyFill="1" applyBorder="1" applyAlignment="1">
      <alignment horizontal="left" vertical="center" wrapText="1"/>
    </xf>
    <xf numFmtId="0" fontId="47" fillId="2" borderId="70" xfId="0" applyFont="1" applyFill="1" applyBorder="1" applyAlignment="1">
      <alignment horizontal="left" vertical="center" wrapText="1"/>
    </xf>
    <xf numFmtId="186" fontId="47" fillId="2" borderId="70" xfId="0" applyNumberFormat="1" applyFont="1" applyFill="1" applyBorder="1" applyAlignment="1">
      <alignment horizontal="center" vertical="center"/>
    </xf>
    <xf numFmtId="0" fontId="46" fillId="2" borderId="108" xfId="0" applyFont="1" applyFill="1" applyBorder="1" applyAlignment="1">
      <alignment horizontal="center" vertical="center"/>
    </xf>
    <xf numFmtId="0" fontId="46" fillId="2" borderId="180" xfId="0" applyFont="1" applyFill="1" applyBorder="1" applyAlignment="1">
      <alignment horizontal="center" vertical="center"/>
    </xf>
    <xf numFmtId="186" fontId="46" fillId="2" borderId="109" xfId="284" applyFont="1" applyFill="1" applyBorder="1" applyAlignment="1">
      <alignment horizontal="center" vertical="center"/>
    </xf>
    <xf numFmtId="186" fontId="46" fillId="2" borderId="109" xfId="0" applyNumberFormat="1" applyFont="1" applyFill="1" applyBorder="1" applyAlignment="1">
      <alignment horizontal="center" vertical="center"/>
    </xf>
    <xf numFmtId="0" fontId="46" fillId="2" borderId="86" xfId="0" applyFont="1" applyFill="1" applyBorder="1" applyAlignment="1">
      <alignment horizontal="center" vertical="center" wrapText="1"/>
    </xf>
    <xf numFmtId="0" fontId="0" fillId="2" borderId="126" xfId="0" applyFill="1" applyBorder="1"/>
    <xf numFmtId="186" fontId="46" fillId="2" borderId="190" xfId="0" applyNumberFormat="1" applyFont="1" applyFill="1" applyBorder="1" applyAlignment="1">
      <alignment horizontal="center" vertical="center"/>
    </xf>
    <xf numFmtId="186" fontId="46" fillId="2" borderId="189" xfId="0" applyNumberFormat="1" applyFont="1" applyFill="1" applyBorder="1" applyAlignment="1">
      <alignment horizontal="center" vertical="center"/>
    </xf>
    <xf numFmtId="0" fontId="47" fillId="2" borderId="107" xfId="0" applyFont="1" applyFill="1" applyBorder="1" applyAlignment="1">
      <alignment horizontal="left" vertical="center" wrapText="1"/>
    </xf>
    <xf numFmtId="186" fontId="47" fillId="2" borderId="140" xfId="0" applyNumberFormat="1" applyFont="1" applyFill="1" applyBorder="1" applyAlignment="1">
      <alignment horizontal="center" vertical="center"/>
    </xf>
    <xf numFmtId="186" fontId="46" fillId="2" borderId="190" xfId="284" applyFont="1" applyFill="1" applyBorder="1" applyAlignment="1">
      <alignment horizontal="center" vertical="center"/>
    </xf>
    <xf numFmtId="191" fontId="46" fillId="2" borderId="181" xfId="0" applyNumberFormat="1" applyFont="1" applyFill="1" applyBorder="1" applyAlignment="1">
      <alignment horizontal="center" vertical="center" wrapText="1"/>
    </xf>
    <xf numFmtId="191" fontId="46" fillId="2" borderId="88" xfId="0" applyNumberFormat="1" applyFont="1" applyFill="1" applyBorder="1" applyAlignment="1">
      <alignment horizontal="center" vertical="center" wrapText="1"/>
    </xf>
    <xf numFmtId="0" fontId="46" fillId="2" borderId="157" xfId="0" applyFont="1" applyFill="1" applyBorder="1" applyAlignment="1">
      <alignment horizontal="center" vertical="center" wrapText="1"/>
    </xf>
    <xf numFmtId="0" fontId="46" fillId="2" borderId="128" xfId="0" applyFont="1" applyFill="1" applyBorder="1" applyAlignment="1">
      <alignment horizontal="center" vertical="center" wrapText="1"/>
    </xf>
    <xf numFmtId="191" fontId="46" fillId="2" borderId="181" xfId="379" applyNumberFormat="1" applyFont="1" applyFill="1" applyBorder="1" applyAlignment="1">
      <alignment horizontal="center" vertical="center"/>
    </xf>
    <xf numFmtId="191" fontId="46" fillId="2" borderId="88" xfId="379" applyNumberFormat="1" applyFont="1" applyFill="1" applyBorder="1" applyAlignment="1">
      <alignment horizontal="center" vertical="center"/>
    </xf>
    <xf numFmtId="0" fontId="46" fillId="2" borderId="183" xfId="0" applyFont="1" applyFill="1" applyBorder="1" applyAlignment="1">
      <alignment horizontal="center" vertical="center"/>
    </xf>
    <xf numFmtId="0" fontId="46" fillId="2" borderId="184" xfId="0" applyFont="1" applyFill="1" applyBorder="1" applyAlignment="1">
      <alignment horizontal="center" vertical="center"/>
    </xf>
    <xf numFmtId="0" fontId="46" fillId="2" borderId="189" xfId="0" applyFont="1" applyFill="1" applyBorder="1" applyAlignment="1">
      <alignment horizontal="center" vertical="center"/>
    </xf>
    <xf numFmtId="186" fontId="46" fillId="2" borderId="184" xfId="284" applyFont="1" applyFill="1" applyBorder="1" applyAlignment="1">
      <alignment horizontal="center" vertical="center"/>
    </xf>
    <xf numFmtId="186" fontId="46" fillId="2" borderId="189" xfId="284" applyFont="1" applyFill="1" applyBorder="1" applyAlignment="1">
      <alignment horizontal="center" vertical="center"/>
    </xf>
    <xf numFmtId="0" fontId="46" fillId="2" borderId="196" xfId="0" applyFont="1" applyFill="1" applyBorder="1" applyAlignment="1">
      <alignment horizontal="center" vertical="center" wrapText="1"/>
    </xf>
    <xf numFmtId="0" fontId="46" fillId="2" borderId="197" xfId="0" applyFont="1" applyFill="1" applyBorder="1" applyAlignment="1">
      <alignment horizontal="center" vertical="center" wrapText="1"/>
    </xf>
    <xf numFmtId="178" fontId="46" fillId="2" borderId="0" xfId="249" applyNumberFormat="1" applyFont="1" applyFill="1" applyBorder="1" applyAlignment="1">
      <alignment horizontal="center" wrapText="1"/>
    </xf>
    <xf numFmtId="170" fontId="46" fillId="2" borderId="98" xfId="379" applyFont="1" applyFill="1" applyBorder="1" applyAlignment="1">
      <alignment horizontal="center" vertical="center"/>
    </xf>
    <xf numFmtId="0" fontId="46" fillId="2" borderId="130" xfId="0" applyFont="1" applyFill="1" applyBorder="1" applyAlignment="1">
      <alignment horizontal="center" vertical="center"/>
    </xf>
    <xf numFmtId="191" fontId="46" fillId="2" borderId="182" xfId="0" applyNumberFormat="1" applyFont="1" applyFill="1" applyBorder="1" applyAlignment="1">
      <alignment horizontal="center" vertical="center"/>
    </xf>
    <xf numFmtId="191" fontId="46" fillId="2" borderId="182" xfId="0" applyNumberFormat="1" applyFont="1" applyFill="1" applyBorder="1" applyAlignment="1">
      <alignment horizontal="center" vertical="center" wrapText="1"/>
    </xf>
    <xf numFmtId="191" fontId="46" fillId="2" borderId="181" xfId="0" applyNumberFormat="1" applyFont="1" applyFill="1" applyBorder="1" applyAlignment="1">
      <alignment horizontal="center" vertical="center"/>
    </xf>
    <xf numFmtId="210" fontId="47" fillId="2" borderId="119" xfId="0" applyNumberFormat="1" applyFont="1" applyFill="1" applyBorder="1" applyAlignment="1">
      <alignment horizontal="center" vertical="center"/>
    </xf>
    <xf numFmtId="212" fontId="47" fillId="2" borderId="73" xfId="0" applyNumberFormat="1" applyFont="1" applyFill="1" applyBorder="1" applyAlignment="1">
      <alignment horizontal="center" vertical="center"/>
    </xf>
    <xf numFmtId="212" fontId="47" fillId="2" borderId="1" xfId="0" applyNumberFormat="1" applyFont="1" applyFill="1" applyBorder="1" applyAlignment="1">
      <alignment horizontal="center" vertical="center"/>
    </xf>
    <xf numFmtId="0" fontId="46" fillId="2" borderId="185" xfId="0" applyFont="1" applyFill="1" applyBorder="1" applyAlignment="1">
      <alignment horizontal="center" vertical="center" wrapText="1"/>
    </xf>
    <xf numFmtId="0" fontId="47" fillId="2" borderId="42" xfId="0" applyFont="1" applyFill="1" applyBorder="1" applyAlignment="1">
      <alignment horizontal="left" vertical="center" wrapText="1"/>
    </xf>
    <xf numFmtId="0" fontId="47" fillId="2" borderId="43" xfId="0" applyFont="1" applyFill="1" applyBorder="1" applyAlignment="1">
      <alignment horizontal="left" vertical="center" wrapText="1"/>
    </xf>
    <xf numFmtId="186" fontId="47" fillId="2" borderId="43" xfId="0" applyNumberFormat="1" applyFont="1" applyFill="1" applyBorder="1" applyAlignment="1">
      <alignment horizontal="center" vertical="center"/>
    </xf>
    <xf numFmtId="211" fontId="47" fillId="2" borderId="38" xfId="0" applyNumberFormat="1" applyFont="1" applyFill="1" applyBorder="1" applyAlignment="1">
      <alignment horizontal="center" vertical="center"/>
    </xf>
    <xf numFmtId="211" fontId="47" fillId="2" borderId="70" xfId="0" applyNumberFormat="1" applyFont="1" applyFill="1" applyBorder="1" applyAlignment="1">
      <alignment horizontal="center" vertical="center"/>
    </xf>
    <xf numFmtId="211" fontId="47" fillId="2" borderId="119" xfId="0" applyNumberFormat="1" applyFont="1" applyFill="1" applyBorder="1" applyAlignment="1">
      <alignment horizontal="center" vertical="center"/>
    </xf>
    <xf numFmtId="211" fontId="47" fillId="2" borderId="140" xfId="0" applyNumberFormat="1" applyFont="1" applyFill="1" applyBorder="1" applyAlignment="1">
      <alignment horizontal="center" vertical="center"/>
    </xf>
    <xf numFmtId="0" fontId="3" fillId="2" borderId="0" xfId="0" applyFont="1" applyFill="1" applyAlignment="1">
      <alignment horizontal="center" vertical="center"/>
    </xf>
    <xf numFmtId="0" fontId="0" fillId="2" borderId="0" xfId="0" applyFill="1" applyAlignment="1">
      <alignment horizontal="center"/>
    </xf>
    <xf numFmtId="0" fontId="46" fillId="2" borderId="50" xfId="0" applyFont="1" applyFill="1" applyBorder="1" applyAlignment="1">
      <alignment horizontal="center" vertical="center"/>
    </xf>
    <xf numFmtId="178" fontId="46" fillId="2" borderId="85" xfId="249" applyNumberFormat="1" applyFont="1" applyFill="1" applyBorder="1" applyAlignment="1">
      <alignment horizontal="center" wrapText="1"/>
    </xf>
    <xf numFmtId="170" fontId="46" fillId="2" borderId="73" xfId="379" applyFont="1" applyFill="1" applyBorder="1" applyAlignment="1">
      <alignment horizontal="center" vertical="center"/>
    </xf>
    <xf numFmtId="0" fontId="46" fillId="2" borderId="82" xfId="0" applyFont="1" applyFill="1" applyBorder="1" applyAlignment="1">
      <alignment horizontal="center" vertical="center"/>
    </xf>
    <xf numFmtId="191" fontId="46" fillId="2" borderId="95" xfId="0" applyNumberFormat="1" applyFont="1" applyFill="1" applyBorder="1" applyAlignment="1">
      <alignment horizontal="center" vertical="center"/>
    </xf>
    <xf numFmtId="191" fontId="46" fillId="2" borderId="95" xfId="0" applyNumberFormat="1" applyFont="1" applyFill="1" applyBorder="1" applyAlignment="1">
      <alignment horizontal="center" vertical="center" wrapText="1"/>
    </xf>
    <xf numFmtId="0" fontId="2" fillId="2" borderId="0" xfId="0" applyFont="1" applyFill="1" applyAlignment="1">
      <alignment horizontal="right"/>
    </xf>
    <xf numFmtId="0" fontId="47" fillId="2" borderId="0" xfId="0" applyFont="1" applyFill="1"/>
    <xf numFmtId="0" fontId="2" fillId="2" borderId="6" xfId="0" applyFont="1" applyFill="1" applyBorder="1" applyAlignment="1">
      <alignment horizontal="left" wrapText="1"/>
    </xf>
    <xf numFmtId="168" fontId="2" fillId="2" borderId="6" xfId="0" applyNumberFormat="1" applyFont="1" applyFill="1" applyBorder="1" applyAlignment="1">
      <alignment horizontal="right"/>
    </xf>
    <xf numFmtId="185" fontId="2" fillId="2" borderId="6" xfId="0" applyNumberFormat="1" applyFont="1" applyFill="1" applyBorder="1" applyAlignment="1">
      <alignment horizontal="right"/>
    </xf>
    <xf numFmtId="190" fontId="2" fillId="2" borderId="5" xfId="0" applyNumberFormat="1" applyFont="1" applyFill="1" applyBorder="1" applyAlignment="1">
      <alignment horizontal="center"/>
    </xf>
    <xf numFmtId="187" fontId="2" fillId="2" borderId="5" xfId="0" applyNumberFormat="1" applyFont="1" applyFill="1" applyBorder="1" applyAlignment="1">
      <alignment horizontal="left"/>
    </xf>
    <xf numFmtId="0" fontId="0" fillId="2" borderId="5" xfId="0" applyFill="1" applyBorder="1"/>
    <xf numFmtId="0" fontId="2" fillId="2" borderId="5" xfId="0" applyFont="1" applyFill="1" applyBorder="1" applyAlignment="1">
      <alignment horizontal="left" wrapText="1"/>
    </xf>
    <xf numFmtId="0" fontId="46" fillId="2" borderId="98" xfId="0" applyFont="1" applyFill="1" applyBorder="1" applyAlignment="1">
      <alignment horizontal="center" vertical="center" wrapText="1"/>
    </xf>
    <xf numFmtId="0" fontId="46" fillId="2" borderId="164" xfId="0" applyFont="1" applyFill="1" applyBorder="1" applyAlignment="1">
      <alignment horizontal="center" vertical="center"/>
    </xf>
    <xf numFmtId="0" fontId="46" fillId="2" borderId="99" xfId="0" applyFont="1" applyFill="1" applyBorder="1" applyAlignment="1">
      <alignment horizontal="center" vertical="center"/>
    </xf>
    <xf numFmtId="0" fontId="46" fillId="2" borderId="2" xfId="0" applyFont="1" applyFill="1" applyBorder="1" applyAlignment="1">
      <alignment horizontal="center" vertical="center" wrapText="1"/>
    </xf>
    <xf numFmtId="0" fontId="46" fillId="2" borderId="76" xfId="0" applyFont="1" applyFill="1" applyBorder="1" applyAlignment="1">
      <alignment horizontal="center" vertical="center"/>
    </xf>
    <xf numFmtId="0" fontId="46" fillId="2" borderId="103" xfId="0" applyFont="1" applyFill="1" applyBorder="1" applyAlignment="1">
      <alignment horizontal="center" vertical="center"/>
    </xf>
    <xf numFmtId="0" fontId="47" fillId="2" borderId="98" xfId="0" applyFont="1" applyFill="1" applyBorder="1" applyAlignment="1">
      <alignment horizontal="left" vertical="center"/>
    </xf>
    <xf numFmtId="0" fontId="47" fillId="2" borderId="100" xfId="0" applyFont="1" applyFill="1" applyBorder="1" applyAlignment="1">
      <alignment horizontal="right" vertical="center"/>
    </xf>
    <xf numFmtId="0" fontId="47" fillId="2" borderId="74" xfId="0" applyFont="1" applyFill="1" applyBorder="1" applyAlignment="1">
      <alignment horizontal="right" vertical="center"/>
    </xf>
    <xf numFmtId="0" fontId="47" fillId="2" borderId="1" xfId="0" applyFont="1" applyFill="1" applyBorder="1" applyAlignment="1">
      <alignment horizontal="left" vertical="center"/>
    </xf>
    <xf numFmtId="0" fontId="47" fillId="2" borderId="3" xfId="0" applyFont="1" applyFill="1" applyBorder="1" applyAlignment="1">
      <alignment horizontal="left" vertical="center"/>
    </xf>
    <xf numFmtId="0" fontId="47" fillId="2" borderId="40" xfId="0" applyFont="1" applyFill="1" applyBorder="1" applyAlignment="1">
      <alignment horizontal="center" vertical="center" wrapText="1"/>
    </xf>
    <xf numFmtId="0" fontId="47" fillId="2" borderId="0" xfId="0" applyFont="1" applyFill="1" applyAlignment="1">
      <alignment horizontal="center" vertical="center" wrapText="1"/>
    </xf>
    <xf numFmtId="0" fontId="47" fillId="2" borderId="49" xfId="0" applyFont="1" applyFill="1" applyBorder="1" applyAlignment="1">
      <alignment horizontal="center" vertical="center" wrapText="1"/>
    </xf>
    <xf numFmtId="0" fontId="47" fillId="2" borderId="50" xfId="0" applyFont="1" applyFill="1" applyBorder="1" applyAlignment="1">
      <alignment horizontal="center" vertical="center" wrapText="1"/>
    </xf>
    <xf numFmtId="0" fontId="0" fillId="2" borderId="153" xfId="0" applyFill="1" applyBorder="1"/>
    <xf numFmtId="0" fontId="0" fillId="2" borderId="154" xfId="0" applyFill="1" applyBorder="1"/>
    <xf numFmtId="0" fontId="46" fillId="2" borderId="155" xfId="0" applyFont="1" applyFill="1" applyBorder="1" applyAlignment="1">
      <alignment horizontal="right"/>
    </xf>
    <xf numFmtId="0" fontId="0" fillId="2" borderId="155" xfId="0" applyFill="1" applyBorder="1"/>
    <xf numFmtId="0" fontId="46" fillId="2" borderId="111" xfId="0" applyFont="1" applyFill="1" applyBorder="1" applyAlignment="1">
      <alignment horizontal="left" vertical="center"/>
    </xf>
    <xf numFmtId="0" fontId="0" fillId="2" borderId="111" xfId="0" applyFill="1" applyBorder="1"/>
    <xf numFmtId="0" fontId="46" fillId="2" borderId="112" xfId="0" applyFont="1" applyFill="1" applyBorder="1" applyAlignment="1">
      <alignment horizontal="center" vertical="center"/>
    </xf>
    <xf numFmtId="0" fontId="0" fillId="2" borderId="106" xfId="0" applyFill="1" applyBorder="1"/>
    <xf numFmtId="0" fontId="46" fillId="2" borderId="119" xfId="0" applyFont="1" applyFill="1" applyBorder="1" applyAlignment="1">
      <alignment horizontal="center" vertical="center"/>
    </xf>
    <xf numFmtId="0" fontId="46" fillId="2" borderId="140" xfId="0" applyFont="1" applyFill="1" applyBorder="1" applyAlignment="1">
      <alignment horizontal="center" vertical="center"/>
    </xf>
    <xf numFmtId="0" fontId="0" fillId="2" borderId="72" xfId="0" applyFill="1" applyBorder="1"/>
    <xf numFmtId="0" fontId="0" fillId="2" borderId="75" xfId="0" applyFill="1" applyBorder="1"/>
    <xf numFmtId="0" fontId="26" fillId="2" borderId="72" xfId="0" applyFont="1" applyFill="1" applyBorder="1" applyAlignment="1">
      <alignment horizontal="left"/>
    </xf>
    <xf numFmtId="164" fontId="26" fillId="2" borderId="73" xfId="0" applyNumberFormat="1" applyFont="1" applyFill="1" applyBorder="1" applyAlignment="1">
      <alignment horizontal="center"/>
    </xf>
    <xf numFmtId="0" fontId="26" fillId="2" borderId="72" xfId="0" applyFont="1" applyFill="1" applyBorder="1" applyAlignment="1">
      <alignment horizontal="left" vertical="center"/>
    </xf>
    <xf numFmtId="0" fontId="26" fillId="2" borderId="166" xfId="0" applyFont="1" applyFill="1" applyBorder="1" applyAlignment="1">
      <alignment horizontal="left" vertical="center"/>
    </xf>
    <xf numFmtId="164" fontId="26" fillId="2" borderId="167" xfId="0" applyNumberFormat="1" applyFont="1" applyFill="1" applyBorder="1" applyAlignment="1">
      <alignment horizontal="center" vertical="center"/>
    </xf>
    <xf numFmtId="164" fontId="26" fillId="2" borderId="168" xfId="0" applyNumberFormat="1" applyFont="1" applyFill="1" applyBorder="1" applyAlignment="1">
      <alignment horizontal="center" vertical="center"/>
    </xf>
    <xf numFmtId="164" fontId="26" fillId="2" borderId="169" xfId="0" applyNumberFormat="1" applyFont="1" applyFill="1" applyBorder="1" applyAlignment="1">
      <alignment horizontal="center" vertical="center"/>
    </xf>
    <xf numFmtId="0" fontId="0" fillId="2" borderId="104" xfId="0" applyFill="1" applyBorder="1"/>
    <xf numFmtId="0" fontId="0" fillId="2" borderId="74" xfId="0" applyFill="1" applyBorder="1"/>
    <xf numFmtId="0" fontId="0" fillId="2" borderId="80" xfId="0" applyFill="1" applyBorder="1"/>
    <xf numFmtId="0" fontId="26" fillId="2" borderId="74" xfId="0" applyFont="1" applyFill="1" applyBorder="1" applyAlignment="1">
      <alignment horizontal="left"/>
    </xf>
    <xf numFmtId="164" fontId="26" fillId="2" borderId="1" xfId="0" applyNumberFormat="1" applyFont="1" applyFill="1" applyBorder="1" applyAlignment="1">
      <alignment horizontal="center"/>
    </xf>
    <xf numFmtId="0" fontId="26" fillId="2" borderId="74" xfId="0" applyFont="1" applyFill="1" applyBorder="1" applyAlignment="1">
      <alignment horizontal="left" vertical="center"/>
    </xf>
    <xf numFmtId="0" fontId="26" fillId="2" borderId="141" xfId="0" applyFont="1" applyFill="1" applyBorder="1" applyAlignment="1">
      <alignment horizontal="left" vertical="center"/>
    </xf>
    <xf numFmtId="164" fontId="26" fillId="2" borderId="170" xfId="0" applyNumberFormat="1" applyFont="1" applyFill="1" applyBorder="1" applyAlignment="1">
      <alignment horizontal="center" vertical="center"/>
    </xf>
    <xf numFmtId="164" fontId="26" fillId="2" borderId="1" xfId="0" applyNumberFormat="1" applyFont="1" applyFill="1" applyBorder="1" applyAlignment="1">
      <alignment horizontal="center" vertical="center"/>
    </xf>
    <xf numFmtId="164" fontId="26" fillId="2" borderId="171" xfId="0" applyNumberFormat="1" applyFont="1" applyFill="1" applyBorder="1" applyAlignment="1">
      <alignment horizontal="center" vertical="center"/>
    </xf>
    <xf numFmtId="0" fontId="0" fillId="2" borderId="161" xfId="0" applyFill="1" applyBorder="1"/>
    <xf numFmtId="164" fontId="0" fillId="2" borderId="1" xfId="0" applyNumberFormat="1" applyFill="1" applyBorder="1"/>
    <xf numFmtId="200" fontId="47" fillId="2" borderId="156" xfId="0" applyNumberFormat="1" applyFont="1" applyFill="1" applyBorder="1" applyAlignment="1">
      <alignment horizontal="center"/>
    </xf>
    <xf numFmtId="164" fontId="26" fillId="2" borderId="172" xfId="0" applyNumberFormat="1" applyFont="1" applyFill="1" applyBorder="1" applyAlignment="1">
      <alignment horizontal="center" vertical="center"/>
    </xf>
    <xf numFmtId="164" fontId="26" fillId="2" borderId="173" xfId="0" applyNumberFormat="1" applyFont="1" applyFill="1" applyBorder="1" applyAlignment="1">
      <alignment horizontal="center" vertical="center"/>
    </xf>
    <xf numFmtId="164" fontId="26" fillId="2" borderId="174" xfId="0" applyNumberFormat="1" applyFont="1" applyFill="1" applyBorder="1" applyAlignment="1">
      <alignment horizontal="center" vertical="center"/>
    </xf>
    <xf numFmtId="0" fontId="0" fillId="2" borderId="15" xfId="0" applyFill="1" applyBorder="1"/>
    <xf numFmtId="0" fontId="26" fillId="2" borderId="81" xfId="0" applyFont="1" applyFill="1" applyBorder="1" applyAlignment="1">
      <alignment horizontal="left"/>
    </xf>
    <xf numFmtId="0" fontId="0" fillId="2" borderId="81" xfId="0" applyFill="1" applyBorder="1"/>
    <xf numFmtId="0" fontId="0" fillId="2" borderId="82" xfId="0" applyFill="1" applyBorder="1"/>
    <xf numFmtId="0" fontId="0" fillId="2" borderId="84" xfId="0" applyFill="1" applyBorder="1"/>
    <xf numFmtId="166" fontId="42" fillId="2" borderId="119" xfId="0" applyNumberFormat="1" applyFont="1" applyFill="1" applyBorder="1" applyAlignment="1">
      <alignment horizontal="center" vertical="center"/>
    </xf>
    <xf numFmtId="0" fontId="0" fillId="2" borderId="112" xfId="0" applyFill="1" applyBorder="1"/>
    <xf numFmtId="0" fontId="42" fillId="2" borderId="106" xfId="0" applyFont="1" applyFill="1" applyBorder="1" applyAlignment="1">
      <alignment horizontal="left" vertical="center"/>
    </xf>
    <xf numFmtId="0" fontId="46" fillId="2" borderId="147" xfId="0" applyFont="1" applyFill="1" applyBorder="1" applyAlignment="1">
      <alignment horizontal="center" vertical="center" wrapText="1"/>
    </xf>
    <xf numFmtId="0" fontId="46" fillId="2" borderId="6" xfId="0" applyFont="1" applyFill="1" applyBorder="1" applyAlignment="1">
      <alignment horizontal="center" vertical="top" wrapText="1"/>
    </xf>
    <xf numFmtId="186" fontId="0" fillId="2" borderId="0" xfId="0" applyNumberFormat="1" applyFill="1" applyAlignment="1">
      <alignment horizontal="center"/>
    </xf>
    <xf numFmtId="0" fontId="46" fillId="0" borderId="88" xfId="0" applyFont="1" applyBorder="1" applyAlignment="1">
      <alignment horizontal="center" vertical="center"/>
    </xf>
    <xf numFmtId="0" fontId="46" fillId="0" borderId="73" xfId="0" applyFont="1" applyBorder="1" applyAlignment="1">
      <alignment horizontal="center" vertical="center"/>
    </xf>
    <xf numFmtId="0" fontId="46" fillId="0" borderId="1" xfId="0" applyFont="1" applyBorder="1" applyAlignment="1">
      <alignment horizontal="center" vertical="center"/>
    </xf>
    <xf numFmtId="0" fontId="46" fillId="0" borderId="119" xfId="0" applyFont="1" applyBorder="1" applyAlignment="1">
      <alignment horizontal="center" vertical="center"/>
    </xf>
    <xf numFmtId="0" fontId="46" fillId="0" borderId="75" xfId="0" applyFont="1" applyBorder="1" applyAlignment="1">
      <alignment horizontal="center" vertical="center" wrapText="1"/>
    </xf>
    <xf numFmtId="0" fontId="46" fillId="0" borderId="106" xfId="0" applyFont="1" applyBorder="1" applyAlignment="1">
      <alignment horizontal="center" vertical="center" wrapText="1"/>
    </xf>
    <xf numFmtId="0" fontId="3" fillId="0" borderId="126" xfId="0" applyFont="1" applyBorder="1" applyAlignment="1">
      <alignment horizontal="center" vertical="center" wrapText="1"/>
    </xf>
    <xf numFmtId="0" fontId="2" fillId="3" borderId="140" xfId="0" applyFont="1" applyFill="1" applyBorder="1" applyAlignment="1">
      <alignment horizontal="center" vertical="center"/>
    </xf>
    <xf numFmtId="194" fontId="46" fillId="0" borderId="95" xfId="0" applyNumberFormat="1" applyFont="1" applyBorder="1" applyAlignment="1">
      <alignment horizontal="center" vertical="center" wrapText="1"/>
    </xf>
    <xf numFmtId="0" fontId="46" fillId="0" borderId="119" xfId="0" applyFont="1" applyBorder="1" applyAlignment="1">
      <alignment horizontal="center" vertical="center" wrapText="1"/>
    </xf>
    <xf numFmtId="175" fontId="46" fillId="0" borderId="73" xfId="249" applyNumberFormat="1" applyFont="1" applyBorder="1" applyAlignment="1">
      <alignment horizontal="center" vertical="center"/>
    </xf>
    <xf numFmtId="0" fontId="46" fillId="0" borderId="73" xfId="0" applyFont="1" applyBorder="1" applyAlignment="1">
      <alignment horizontal="center" vertical="center" wrapText="1"/>
    </xf>
    <xf numFmtId="0" fontId="2" fillId="3" borderId="73" xfId="0" applyFont="1" applyFill="1" applyBorder="1" applyAlignment="1">
      <alignment horizontal="center" vertical="center"/>
    </xf>
    <xf numFmtId="0" fontId="26" fillId="0" borderId="1" xfId="0" applyFont="1" applyBorder="1" applyAlignment="1">
      <alignment horizontal="left" vertical="center"/>
    </xf>
    <xf numFmtId="0" fontId="3" fillId="0" borderId="82" xfId="0" applyFont="1" applyBorder="1" applyAlignment="1">
      <alignment horizontal="center" vertical="center" wrapText="1"/>
    </xf>
    <xf numFmtId="186" fontId="26" fillId="0" borderId="1" xfId="284" applyFont="1" applyBorder="1" applyAlignment="1">
      <alignment horizontal="left" vertical="center"/>
    </xf>
    <xf numFmtId="0" fontId="26" fillId="0" borderId="142" xfId="0" applyFont="1" applyBorder="1" applyAlignment="1">
      <alignment horizontal="left" vertical="center"/>
    </xf>
    <xf numFmtId="0" fontId="26" fillId="0" borderId="143" xfId="0" applyFont="1" applyBorder="1" applyAlignment="1">
      <alignment horizontal="left" vertical="center"/>
    </xf>
    <xf numFmtId="0" fontId="3" fillId="0" borderId="28" xfId="0" applyFont="1" applyBorder="1" applyAlignment="1">
      <alignment horizontal="center" vertical="center" wrapText="1"/>
    </xf>
    <xf numFmtId="0" fontId="2" fillId="2" borderId="0" xfId="0" applyFont="1" applyFill="1" applyAlignment="1">
      <alignment horizontal="center"/>
    </xf>
    <xf numFmtId="0" fontId="1" fillId="2" borderId="0" xfId="0" applyFont="1" applyFill="1" applyAlignment="1">
      <alignment horizontal="center"/>
    </xf>
    <xf numFmtId="0" fontId="2" fillId="0" borderId="95" xfId="0" applyFont="1" applyBorder="1" applyAlignment="1">
      <alignment horizontal="center" vertical="center"/>
    </xf>
    <xf numFmtId="0" fontId="2" fillId="0" borderId="88" xfId="0" applyFont="1" applyBorder="1" applyAlignment="1">
      <alignment horizontal="center" vertical="center"/>
    </xf>
    <xf numFmtId="186" fontId="46" fillId="2" borderId="0" xfId="249" applyFont="1" applyFill="1" applyBorder="1" applyAlignment="1">
      <alignment horizontal="right" vertical="center"/>
    </xf>
    <xf numFmtId="186" fontId="46" fillId="2" borderId="116" xfId="249" applyFont="1" applyFill="1" applyBorder="1" applyAlignment="1">
      <alignment horizontal="center" vertical="center"/>
    </xf>
    <xf numFmtId="186" fontId="46" fillId="2" borderId="117" xfId="249" applyFont="1" applyFill="1" applyBorder="1" applyAlignment="1">
      <alignment horizontal="center" vertical="center"/>
    </xf>
    <xf numFmtId="186" fontId="46" fillId="2" borderId="132" xfId="249" applyFont="1" applyFill="1" applyBorder="1" applyAlignment="1">
      <alignment horizontal="center" vertical="center"/>
    </xf>
    <xf numFmtId="168" fontId="46" fillId="18" borderId="73" xfId="0" applyNumberFormat="1" applyFont="1" applyFill="1" applyBorder="1" applyAlignment="1">
      <alignment horizontal="center" vertical="center"/>
    </xf>
    <xf numFmtId="170" fontId="46" fillId="0" borderId="73" xfId="379" applyFont="1" applyBorder="1" applyAlignment="1">
      <alignment horizontal="center" vertical="center" wrapText="1"/>
    </xf>
    <xf numFmtId="186" fontId="46" fillId="2" borderId="119" xfId="249" applyFont="1" applyFill="1" applyBorder="1" applyAlignment="1">
      <alignment horizontal="center" vertical="center" wrapText="1"/>
    </xf>
    <xf numFmtId="0" fontId="46" fillId="3" borderId="73" xfId="0" applyFont="1" applyFill="1" applyBorder="1" applyAlignment="1">
      <alignment horizontal="center" vertical="center"/>
    </xf>
    <xf numFmtId="0" fontId="46" fillId="0" borderId="82" xfId="0" applyFont="1" applyBorder="1" applyAlignment="1">
      <alignment horizontal="center" vertical="center" wrapText="1"/>
    </xf>
    <xf numFmtId="0" fontId="47" fillId="0" borderId="1" xfId="0" applyFont="1" applyBorder="1" applyAlignment="1">
      <alignment horizontal="left" vertical="center"/>
    </xf>
    <xf numFmtId="0" fontId="47" fillId="0" borderId="100" xfId="0" applyFont="1" applyBorder="1" applyAlignment="1">
      <alignment horizontal="center" vertical="center"/>
    </xf>
    <xf numFmtId="0" fontId="46" fillId="0" borderId="118" xfId="0" applyFont="1" applyBorder="1" applyAlignment="1">
      <alignment horizontal="center" vertical="center" wrapText="1"/>
    </xf>
    <xf numFmtId="0" fontId="0" fillId="0" borderId="122" xfId="0" applyBorder="1"/>
    <xf numFmtId="0" fontId="0" fillId="0" borderId="211" xfId="0" applyBorder="1"/>
    <xf numFmtId="0" fontId="0" fillId="0" borderId="125" xfId="0" applyBorder="1"/>
    <xf numFmtId="0" fontId="0" fillId="0" borderId="127" xfId="0" applyBorder="1"/>
    <xf numFmtId="186" fontId="46" fillId="0" borderId="119" xfId="249" applyFont="1" applyBorder="1" applyAlignment="1">
      <alignment horizontal="center" vertical="center" wrapText="1"/>
    </xf>
    <xf numFmtId="0" fontId="46" fillId="0" borderId="126" xfId="0" applyFont="1" applyBorder="1" applyAlignment="1">
      <alignment horizontal="center" vertical="center"/>
    </xf>
    <xf numFmtId="0" fontId="46" fillId="0" borderId="128" xfId="0" applyFont="1" applyBorder="1" applyAlignment="1">
      <alignment horizontal="center" vertical="center"/>
    </xf>
    <xf numFmtId="0" fontId="47" fillId="0" borderId="1" xfId="0" applyFont="1" applyBorder="1" applyAlignment="1">
      <alignment horizontal="left" vertical="center" wrapText="1"/>
    </xf>
    <xf numFmtId="0" fontId="0" fillId="0" borderId="1" xfId="0" applyBorder="1" applyAlignment="1">
      <alignment horizontal="center" vertical="center" wrapText="1"/>
    </xf>
    <xf numFmtId="0" fontId="0" fillId="0" borderId="82" xfId="0" applyBorder="1"/>
    <xf numFmtId="0" fontId="0" fillId="0" borderId="126" xfId="0" applyBorder="1"/>
    <xf numFmtId="0" fontId="0" fillId="0" borderId="128" xfId="0" applyBorder="1"/>
    <xf numFmtId="180" fontId="46" fillId="2" borderId="119" xfId="249" applyNumberFormat="1" applyFont="1" applyFill="1" applyBorder="1" applyAlignment="1">
      <alignment horizontal="center" vertical="center"/>
    </xf>
    <xf numFmtId="192" fontId="46" fillId="0" borderId="133" xfId="249" applyNumberFormat="1" applyFont="1" applyBorder="1" applyAlignment="1">
      <alignment horizontal="center" vertical="center"/>
    </xf>
    <xf numFmtId="0" fontId="46" fillId="0" borderId="0" xfId="0" applyFont="1" applyAlignment="1">
      <alignment horizontal="center" vertical="center"/>
    </xf>
    <xf numFmtId="0" fontId="46" fillId="0" borderId="85" xfId="0" applyFont="1" applyBorder="1" applyAlignment="1">
      <alignment horizontal="center" vertical="center"/>
    </xf>
    <xf numFmtId="0" fontId="0" fillId="0" borderId="173" xfId="0" applyBorder="1"/>
    <xf numFmtId="0" fontId="46" fillId="0" borderId="82" xfId="0" applyFont="1" applyBorder="1" applyAlignment="1">
      <alignment horizontal="center" vertical="center"/>
    </xf>
    <xf numFmtId="0" fontId="46" fillId="0" borderId="173" xfId="0" applyFont="1" applyBorder="1" applyAlignment="1">
      <alignment horizontal="center" vertical="center"/>
    </xf>
    <xf numFmtId="0" fontId="0" fillId="0" borderId="7" xfId="0" applyBorder="1" applyAlignment="1">
      <alignment horizontal="center" vertical="center"/>
    </xf>
    <xf numFmtId="190" fontId="0" fillId="0" borderId="7" xfId="0" applyNumberFormat="1" applyBorder="1" applyAlignment="1">
      <alignment horizontal="center" vertical="center"/>
    </xf>
    <xf numFmtId="0" fontId="0" fillId="0" borderId="0" xfId="0"/>
    <xf numFmtId="0" fontId="3" fillId="0" borderId="6" xfId="0" applyFont="1" applyBorder="1" applyAlignment="1">
      <alignment horizontal="center"/>
    </xf>
    <xf numFmtId="186" fontId="3" fillId="0" borderId="6" xfId="0" applyNumberFormat="1" applyFont="1" applyBorder="1" applyAlignment="1">
      <alignment horizontal="center"/>
    </xf>
    <xf numFmtId="186" fontId="0" fillId="0" borderId="7" xfId="0" applyNumberFormat="1" applyBorder="1" applyAlignment="1">
      <alignment horizontal="center"/>
    </xf>
    <xf numFmtId="0" fontId="3" fillId="9" borderId="1" xfId="0" applyFont="1" applyFill="1" applyBorder="1" applyAlignment="1">
      <alignment horizontal="center" vertical="center" wrapText="1"/>
    </xf>
    <xf numFmtId="0" fontId="3" fillId="9" borderId="1" xfId="0" applyFont="1" applyFill="1" applyBorder="1" applyAlignment="1">
      <alignment horizontal="center" vertical="center"/>
    </xf>
    <xf numFmtId="0" fontId="0" fillId="0" borderId="0" xfId="0" applyAlignment="1">
      <alignment horizontal="center" vertical="center"/>
    </xf>
    <xf numFmtId="186" fontId="0" fillId="0" borderId="0" xfId="0" applyNumberFormat="1" applyAlignment="1">
      <alignment horizontal="center"/>
    </xf>
    <xf numFmtId="0" fontId="3" fillId="0" borderId="6" xfId="0" applyFont="1" applyBorder="1" applyAlignment="1">
      <alignment horizontal="center" vertical="center"/>
    </xf>
    <xf numFmtId="190" fontId="3" fillId="0" borderId="6" xfId="0" applyNumberFormat="1" applyFont="1" applyBorder="1" applyAlignment="1">
      <alignment horizontal="center" vertical="center"/>
    </xf>
    <xf numFmtId="0" fontId="2" fillId="0" borderId="58" xfId="0" applyFont="1" applyBorder="1" applyAlignment="1">
      <alignment horizontal="center" vertical="center"/>
    </xf>
    <xf numFmtId="0" fontId="2" fillId="0" borderId="52" xfId="0" applyFont="1" applyBorder="1" applyAlignment="1">
      <alignment horizontal="center" vertical="center"/>
    </xf>
    <xf numFmtId="0" fontId="2" fillId="0" borderId="38" xfId="0" applyFont="1" applyBorder="1" applyAlignment="1">
      <alignment horizontal="center" vertical="center"/>
    </xf>
    <xf numFmtId="190" fontId="0" fillId="0" borderId="0" xfId="0" applyNumberFormat="1" applyAlignment="1">
      <alignment horizontal="center" vertical="center"/>
    </xf>
    <xf numFmtId="190" fontId="2" fillId="0" borderId="100" xfId="0" applyNumberFormat="1" applyFont="1" applyBorder="1" applyAlignment="1">
      <alignment horizontal="center" vertical="center"/>
    </xf>
    <xf numFmtId="190" fontId="2" fillId="0" borderId="74" xfId="0" applyNumberFormat="1" applyFont="1" applyBorder="1" applyAlignment="1">
      <alignment horizontal="center" vertical="center"/>
    </xf>
    <xf numFmtId="0" fontId="42" fillId="0" borderId="98" xfId="0" applyFont="1" applyBorder="1" applyAlignment="1">
      <alignment horizontal="center" vertical="center"/>
    </xf>
    <xf numFmtId="0" fontId="0" fillId="0" borderId="1" xfId="0" applyBorder="1"/>
    <xf numFmtId="0" fontId="42" fillId="0" borderId="1" xfId="0" applyFont="1" applyBorder="1" applyAlignment="1">
      <alignment horizontal="left" vertical="center"/>
    </xf>
    <xf numFmtId="186" fontId="26" fillId="0" borderId="1" xfId="0" applyNumberFormat="1" applyFont="1" applyBorder="1" applyAlignment="1">
      <alignment horizontal="left" vertical="center"/>
    </xf>
    <xf numFmtId="0" fontId="0" fillId="0" borderId="0" xfId="0" applyAlignment="1">
      <alignment horizontal="center"/>
    </xf>
    <xf numFmtId="0" fontId="41" fillId="0" borderId="91" xfId="0" applyFont="1" applyBorder="1" applyAlignment="1">
      <alignment horizontal="center" vertical="center"/>
    </xf>
    <xf numFmtId="0" fontId="41" fillId="0" borderId="92" xfId="0" applyFont="1" applyBorder="1" applyAlignment="1">
      <alignment horizontal="center" vertical="center"/>
    </xf>
    <xf numFmtId="0" fontId="41" fillId="0" borderId="93" xfId="0" applyFont="1" applyBorder="1" applyAlignment="1">
      <alignment horizontal="center" vertical="center"/>
    </xf>
    <xf numFmtId="0" fontId="41" fillId="0" borderId="94" xfId="0" applyFont="1" applyBorder="1" applyAlignment="1">
      <alignment horizontal="center" vertical="center"/>
    </xf>
    <xf numFmtId="0" fontId="41" fillId="0" borderId="95" xfId="0" applyFont="1" applyBorder="1" applyAlignment="1">
      <alignment horizontal="center" vertical="center"/>
    </xf>
    <xf numFmtId="0" fontId="41" fillId="0" borderId="96" xfId="0" applyFont="1" applyBorder="1" applyAlignment="1">
      <alignment horizontal="center" vertical="center"/>
    </xf>
    <xf numFmtId="0" fontId="26" fillId="0" borderId="130" xfId="0" applyFont="1" applyBorder="1" applyAlignment="1">
      <alignment horizontal="left" vertical="center" wrapText="1"/>
    </xf>
    <xf numFmtId="0" fontId="3" fillId="0" borderId="0" xfId="0" applyFont="1" applyAlignment="1">
      <alignment horizontal="center"/>
    </xf>
    <xf numFmtId="0" fontId="26" fillId="0" borderId="1" xfId="0" applyFont="1" applyBorder="1" applyAlignment="1">
      <alignment horizontal="left" vertical="center" wrapText="1"/>
    </xf>
    <xf numFmtId="0" fontId="35" fillId="0" borderId="0" xfId="0" applyFont="1" applyAlignment="1">
      <alignment horizontal="center" wrapText="1"/>
    </xf>
    <xf numFmtId="181" fontId="35" fillId="0" borderId="0" xfId="0" applyNumberFormat="1" applyFont="1" applyAlignment="1">
      <alignment horizontal="center"/>
    </xf>
    <xf numFmtId="0" fontId="25" fillId="0" borderId="0" xfId="0" applyFont="1" applyAlignment="1">
      <alignment horizontal="left"/>
    </xf>
    <xf numFmtId="0" fontId="3" fillId="0" borderId="6" xfId="0" applyFont="1" applyBorder="1"/>
    <xf numFmtId="0" fontId="0" fillId="0" borderId="0" xfId="0" applyAlignment="1">
      <alignment horizontal="center" wrapText="1"/>
    </xf>
    <xf numFmtId="181" fontId="0" fillId="0" borderId="0" xfId="0" applyNumberFormat="1" applyAlignment="1">
      <alignment horizontal="center"/>
    </xf>
    <xf numFmtId="0" fontId="0" fillId="0" borderId="7" xfId="0" applyBorder="1" applyAlignment="1">
      <alignment horizontal="center"/>
    </xf>
    <xf numFmtId="0" fontId="23" fillId="0" borderId="0" xfId="0" applyFont="1" applyAlignment="1">
      <alignment horizontal="right"/>
    </xf>
    <xf numFmtId="0" fontId="0" fillId="0" borderId="0" xfId="0" applyAlignment="1">
      <alignment horizontal="left"/>
    </xf>
    <xf numFmtId="0" fontId="0" fillId="0" borderId="2" xfId="0" applyBorder="1" applyAlignment="1">
      <alignment horizontal="left"/>
    </xf>
    <xf numFmtId="0" fontId="0" fillId="0" borderId="76" xfId="0" applyBorder="1"/>
    <xf numFmtId="0" fontId="0" fillId="0" borderId="28" xfId="0" applyBorder="1"/>
    <xf numFmtId="0" fontId="0" fillId="0" borderId="78" xfId="0" applyBorder="1"/>
    <xf numFmtId="180" fontId="0" fillId="0" borderId="78" xfId="249" applyNumberFormat="1" applyFont="1" applyBorder="1" applyAlignment="1">
      <alignment horizontal="left"/>
    </xf>
    <xf numFmtId="0" fontId="3" fillId="0" borderId="75" xfId="0" applyFont="1" applyBorder="1" applyAlignment="1">
      <alignment horizontal="center" vertical="center"/>
    </xf>
    <xf numFmtId="0" fontId="3" fillId="0" borderId="73" xfId="0" applyFont="1" applyBorder="1" applyAlignment="1">
      <alignment horizontal="center" vertical="center"/>
    </xf>
    <xf numFmtId="0" fontId="3" fillId="0" borderId="72" xfId="0" applyFont="1" applyBorder="1" applyAlignment="1">
      <alignment horizontal="center" vertical="center"/>
    </xf>
    <xf numFmtId="180" fontId="0" fillId="0" borderId="79" xfId="249" applyNumberFormat="1" applyFont="1" applyBorder="1" applyAlignment="1">
      <alignment horizontal="center"/>
    </xf>
    <xf numFmtId="0" fontId="0" fillId="0" borderId="15" xfId="0" applyBorder="1" applyAlignment="1">
      <alignment horizontal="left"/>
    </xf>
    <xf numFmtId="0" fontId="3" fillId="0" borderId="1" xfId="0" applyFont="1" applyBorder="1" applyAlignment="1">
      <alignment horizontal="center" vertical="center"/>
    </xf>
    <xf numFmtId="0" fontId="3" fillId="0" borderId="80" xfId="0" applyFont="1" applyBorder="1" applyAlignment="1">
      <alignment horizontal="center" vertical="center"/>
    </xf>
    <xf numFmtId="180" fontId="0" fillId="0" borderId="79" xfId="0" applyNumberFormat="1" applyBorder="1" applyAlignment="1">
      <alignment horizontal="center"/>
    </xf>
    <xf numFmtId="180" fontId="3" fillId="0" borderId="79" xfId="249" applyNumberFormat="1" applyFont="1" applyBorder="1" applyAlignment="1">
      <alignment horizontal="center"/>
    </xf>
    <xf numFmtId="0" fontId="0" fillId="0" borderId="1" xfId="0" applyBorder="1" applyAlignment="1">
      <alignment horizontal="left"/>
    </xf>
    <xf numFmtId="180" fontId="0" fillId="0" borderId="80" xfId="0" applyNumberFormat="1" applyBorder="1" applyAlignment="1">
      <alignment horizontal="center"/>
    </xf>
    <xf numFmtId="180" fontId="0" fillId="0" borderId="78" xfId="0" applyNumberFormat="1" applyBorder="1" applyAlignment="1">
      <alignment horizontal="center"/>
    </xf>
    <xf numFmtId="0" fontId="0" fillId="0" borderId="80" xfId="0" applyBorder="1"/>
    <xf numFmtId="180" fontId="0" fillId="0" borderId="80" xfId="249" applyNumberFormat="1" applyFont="1" applyBorder="1" applyAlignment="1">
      <alignment horizontal="right"/>
    </xf>
    <xf numFmtId="180" fontId="0" fillId="0" borderId="80" xfId="0" applyNumberFormat="1" applyBorder="1"/>
    <xf numFmtId="0" fontId="3" fillId="0" borderId="74" xfId="0" applyFont="1" applyBorder="1" applyAlignment="1">
      <alignment horizontal="center" vertical="top"/>
    </xf>
    <xf numFmtId="0" fontId="3" fillId="0" borderId="74" xfId="0" applyFont="1" applyBorder="1" applyAlignment="1">
      <alignment horizontal="center" vertical="top" wrapText="1"/>
    </xf>
    <xf numFmtId="0" fontId="3" fillId="0" borderId="74" xfId="0" applyFont="1" applyBorder="1" applyAlignment="1">
      <alignment horizontal="center" vertical="center"/>
    </xf>
    <xf numFmtId="0" fontId="25" fillId="0" borderId="10" xfId="0" applyFont="1" applyBorder="1" applyAlignment="1">
      <alignment horizontal="left" vertical="top" wrapText="1"/>
    </xf>
    <xf numFmtId="0" fontId="3" fillId="0" borderId="0" xfId="0" applyFont="1" applyAlignment="1">
      <alignment horizontal="left"/>
    </xf>
    <xf numFmtId="0" fontId="3" fillId="0" borderId="7" xfId="0" applyFont="1" applyBorder="1" applyAlignment="1">
      <alignment horizontal="center"/>
    </xf>
    <xf numFmtId="0" fontId="0" fillId="0" borderId="82" xfId="0" applyBorder="1" applyAlignment="1">
      <alignment horizontal="left"/>
    </xf>
    <xf numFmtId="180" fontId="0" fillId="0" borderId="84" xfId="0" applyNumberFormat="1" applyBorder="1"/>
    <xf numFmtId="0" fontId="0" fillId="0" borderId="28" xfId="0" applyBorder="1" applyAlignment="1">
      <alignment horizontal="left"/>
    </xf>
    <xf numFmtId="180" fontId="0" fillId="0" borderId="78" xfId="0" applyNumberFormat="1" applyBorder="1" applyAlignment="1">
      <alignment horizontal="center" vertical="center"/>
    </xf>
    <xf numFmtId="186" fontId="0" fillId="0" borderId="80" xfId="249" applyFont="1" applyBorder="1" applyAlignment="1">
      <alignment horizontal="right"/>
    </xf>
    <xf numFmtId="0" fontId="82" fillId="0" borderId="28" xfId="0" applyFont="1" applyBorder="1" applyAlignment="1">
      <alignment horizontal="left"/>
    </xf>
    <xf numFmtId="0" fontId="0" fillId="0" borderId="84" xfId="0" applyBorder="1"/>
    <xf numFmtId="0" fontId="3" fillId="0" borderId="72" xfId="0" applyFont="1" applyBorder="1" applyAlignment="1">
      <alignment horizontal="center" vertical="top" wrapText="1"/>
    </xf>
    <xf numFmtId="186" fontId="0" fillId="0" borderId="79" xfId="0" applyNumberFormat="1" applyBorder="1" applyAlignment="1">
      <alignment horizontal="center"/>
    </xf>
    <xf numFmtId="186" fontId="0" fillId="0" borderId="79" xfId="249" applyFont="1" applyBorder="1" applyAlignment="1">
      <alignment horizontal="center"/>
    </xf>
    <xf numFmtId="0" fontId="33" fillId="0" borderId="0" xfId="0" applyFont="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0" fontId="33" fillId="0" borderId="1" xfId="0" applyFont="1" applyBorder="1" applyAlignment="1">
      <alignment horizontal="center" vertical="center" wrapText="1"/>
    </xf>
    <xf numFmtId="194" fontId="33" fillId="0" borderId="1" xfId="0" applyNumberFormat="1" applyFont="1" applyBorder="1" applyAlignment="1">
      <alignment horizontal="center" vertical="center" wrapText="1"/>
    </xf>
    <xf numFmtId="200" fontId="33" fillId="0" borderId="1" xfId="0" applyNumberFormat="1" applyFont="1" applyBorder="1" applyAlignment="1">
      <alignment horizontal="center" vertical="center" wrapText="1"/>
    </xf>
    <xf numFmtId="0" fontId="32" fillId="0" borderId="1" xfId="0" applyFont="1" applyBorder="1" applyAlignment="1">
      <alignment horizontal="center" vertical="center" wrapText="1"/>
    </xf>
    <xf numFmtId="180" fontId="0" fillId="0" borderId="78" xfId="286" applyNumberFormat="1" applyFont="1" applyBorder="1" applyAlignment="1">
      <alignment horizontal="left"/>
    </xf>
    <xf numFmtId="180" fontId="0" fillId="0" borderId="79" xfId="286" applyNumberFormat="1" applyFont="1" applyBorder="1" applyAlignment="1">
      <alignment horizontal="center"/>
    </xf>
    <xf numFmtId="180" fontId="0" fillId="0" borderId="78" xfId="249" applyNumberFormat="1" applyFont="1" applyBorder="1" applyAlignment="1">
      <alignment horizontal="center"/>
    </xf>
    <xf numFmtId="186" fontId="0" fillId="0" borderId="80" xfId="286" applyFont="1" applyBorder="1" applyAlignment="1">
      <alignment horizontal="right"/>
    </xf>
    <xf numFmtId="0" fontId="24" fillId="0" borderId="28" xfId="0" applyFont="1" applyBorder="1" applyAlignment="1">
      <alignment horizontal="left" vertical="center" wrapText="1"/>
    </xf>
    <xf numFmtId="0" fontId="0" fillId="0" borderId="79" xfId="0" applyBorder="1"/>
    <xf numFmtId="0" fontId="0" fillId="0" borderId="1" xfId="0" applyBorder="1" applyAlignment="1">
      <alignment horizontal="center"/>
    </xf>
    <xf numFmtId="0" fontId="25" fillId="0" borderId="0" xfId="0" applyFont="1" applyAlignment="1">
      <alignment horizontal="left" vertical="top" wrapText="1" indent="2"/>
    </xf>
    <xf numFmtId="0" fontId="30" fillId="3" borderId="1" xfId="0" applyFont="1" applyFill="1" applyBorder="1" applyAlignment="1">
      <alignment horizont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186" fontId="0" fillId="0" borderId="78" xfId="249" applyFont="1" applyBorder="1" applyAlignment="1">
      <alignment horizontal="left"/>
    </xf>
    <xf numFmtId="186" fontId="0" fillId="0" borderId="78" xfId="0" applyNumberFormat="1" applyBorder="1" applyAlignment="1">
      <alignment horizontal="center" vertical="center"/>
    </xf>
    <xf numFmtId="186" fontId="0" fillId="0" borderId="80" xfId="0" applyNumberFormat="1" applyBorder="1" applyAlignment="1">
      <alignment horizontal="center"/>
    </xf>
    <xf numFmtId="186" fontId="0" fillId="0" borderId="78" xfId="0" applyNumberFormat="1" applyBorder="1" applyAlignment="1">
      <alignment horizontal="center"/>
    </xf>
    <xf numFmtId="0" fontId="0" fillId="0" borderId="0" xfId="0" applyAlignment="1">
      <alignment horizontal="left" wrapText="1"/>
    </xf>
    <xf numFmtId="180" fontId="0" fillId="0" borderId="33" xfId="0" applyNumberFormat="1" applyBorder="1" applyAlignment="1">
      <alignment horizontal="center" vertical="center"/>
    </xf>
    <xf numFmtId="180" fontId="0" fillId="0" borderId="77" xfId="0" applyNumberFormat="1" applyBorder="1" applyAlignment="1">
      <alignment horizontal="center" vertical="center"/>
    </xf>
    <xf numFmtId="0" fontId="0" fillId="0" borderId="33" xfId="0" applyBorder="1" applyAlignment="1">
      <alignment horizontal="left"/>
    </xf>
    <xf numFmtId="0" fontId="0" fillId="0" borderId="34" xfId="0" applyBorder="1" applyAlignment="1">
      <alignment horizontal="left"/>
    </xf>
    <xf numFmtId="209" fontId="0" fillId="0" borderId="80" xfId="0" applyNumberFormat="1" applyBorder="1" applyAlignment="1">
      <alignment horizontal="center"/>
    </xf>
    <xf numFmtId="186" fontId="0" fillId="0" borderId="78" xfId="249" applyFont="1" applyBorder="1" applyAlignment="1">
      <alignment horizontal="center"/>
    </xf>
    <xf numFmtId="0" fontId="23" fillId="0" borderId="0" xfId="452" applyFont="1" applyAlignment="1">
      <alignment horizontal="right"/>
    </xf>
    <xf numFmtId="0" fontId="0" fillId="0" borderId="0" xfId="452" applyFont="1" applyAlignment="1">
      <alignment horizontal="left"/>
    </xf>
    <xf numFmtId="0" fontId="0" fillId="0" borderId="2" xfId="452" applyFont="1" applyBorder="1" applyAlignment="1">
      <alignment horizontal="left"/>
    </xf>
    <xf numFmtId="180" fontId="0" fillId="0" borderId="78" xfId="218" applyFont="1" applyFill="1" applyBorder="1" applyAlignment="1">
      <alignment horizontal="left"/>
    </xf>
    <xf numFmtId="0" fontId="0" fillId="0" borderId="15" xfId="452" applyFont="1" applyBorder="1" applyAlignment="1">
      <alignment horizontal="left"/>
    </xf>
    <xf numFmtId="180" fontId="0" fillId="0" borderId="79" xfId="218" applyFont="1" applyFill="1" applyBorder="1" applyAlignment="1">
      <alignment horizontal="center"/>
    </xf>
    <xf numFmtId="0" fontId="3" fillId="0" borderId="72" xfId="452" applyFont="1" applyBorder="1" applyAlignment="1">
      <alignment horizontal="center" vertical="top" wrapText="1"/>
    </xf>
    <xf numFmtId="0" fontId="3" fillId="0" borderId="73" xfId="452" applyFont="1" applyBorder="1" applyAlignment="1">
      <alignment horizontal="center" vertical="center"/>
    </xf>
    <xf numFmtId="0" fontId="3" fillId="0" borderId="75" xfId="452" applyFont="1" applyBorder="1" applyAlignment="1">
      <alignment horizontal="center" vertical="center"/>
    </xf>
    <xf numFmtId="180" fontId="0" fillId="0" borderId="78" xfId="452" applyNumberFormat="1" applyFont="1" applyBorder="1" applyAlignment="1">
      <alignment horizontal="center" vertical="center"/>
    </xf>
    <xf numFmtId="0" fontId="3" fillId="0" borderId="1" xfId="452" applyFont="1" applyBorder="1" applyAlignment="1">
      <alignment horizontal="center" vertical="center"/>
    </xf>
    <xf numFmtId="0" fontId="3" fillId="0" borderId="80" xfId="452" applyFont="1" applyBorder="1" applyAlignment="1">
      <alignment horizontal="center" vertical="center"/>
    </xf>
    <xf numFmtId="0" fontId="0" fillId="0" borderId="28" xfId="452" applyFont="1" applyBorder="1" applyAlignment="1">
      <alignment horizontal="left"/>
    </xf>
    <xf numFmtId="180" fontId="0" fillId="0" borderId="79" xfId="452" applyNumberFormat="1" applyFont="1" applyBorder="1" applyAlignment="1">
      <alignment horizontal="center"/>
    </xf>
    <xf numFmtId="0" fontId="0" fillId="0" borderId="1" xfId="452" applyFont="1" applyBorder="1" applyAlignment="1">
      <alignment horizontal="left"/>
    </xf>
    <xf numFmtId="180" fontId="0" fillId="0" borderId="80" xfId="452" applyNumberFormat="1" applyFont="1" applyBorder="1" applyAlignment="1">
      <alignment horizontal="center"/>
    </xf>
    <xf numFmtId="180" fontId="0" fillId="0" borderId="80" xfId="218" applyFont="1" applyFill="1" applyBorder="1" applyAlignment="1">
      <alignment horizontal="right"/>
    </xf>
    <xf numFmtId="180" fontId="0" fillId="0" borderId="78" xfId="218" applyFont="1" applyFill="1" applyBorder="1" applyAlignment="1">
      <alignment horizontal="center"/>
    </xf>
    <xf numFmtId="0" fontId="0" fillId="0" borderId="82" xfId="452" applyFont="1" applyBorder="1" applyAlignment="1">
      <alignment horizontal="left"/>
    </xf>
    <xf numFmtId="0" fontId="25" fillId="0" borderId="10" xfId="452" applyFont="1" applyBorder="1" applyAlignment="1">
      <alignment horizontal="left" vertical="top" wrapText="1"/>
    </xf>
    <xf numFmtId="0" fontId="3" fillId="0" borderId="0" xfId="452" applyFont="1" applyAlignment="1">
      <alignment horizontal="left"/>
    </xf>
    <xf numFmtId="0" fontId="3" fillId="0" borderId="6" xfId="452" applyFont="1" applyBorder="1" applyAlignment="1">
      <alignment horizontal="center"/>
    </xf>
    <xf numFmtId="0" fontId="3" fillId="0" borderId="7" xfId="452" applyFont="1" applyBorder="1" applyAlignment="1">
      <alignment horizontal="center"/>
    </xf>
    <xf numFmtId="0" fontId="0" fillId="0" borderId="0" xfId="452" applyFont="1" applyAlignment="1">
      <alignment horizontal="center"/>
    </xf>
    <xf numFmtId="0" fontId="3" fillId="0" borderId="74" xfId="452" applyFont="1" applyBorder="1" applyAlignment="1">
      <alignment horizontal="center" vertical="top"/>
    </xf>
    <xf numFmtId="0" fontId="3" fillId="0" borderId="74" xfId="452" applyFont="1" applyBorder="1" applyAlignment="1">
      <alignment horizontal="center" vertical="center"/>
    </xf>
    <xf numFmtId="0" fontId="18" fillId="0" borderId="49" xfId="0" applyFont="1" applyBorder="1" applyAlignment="1">
      <alignment horizontal="left"/>
    </xf>
    <xf numFmtId="0" fontId="18" fillId="0" borderId="50" xfId="0" applyFont="1" applyBorder="1" applyAlignment="1">
      <alignment horizontal="left"/>
    </xf>
    <xf numFmtId="0" fontId="18" fillId="0" borderId="51" xfId="0" applyFont="1" applyBorder="1" applyAlignment="1">
      <alignment horizontal="left"/>
    </xf>
    <xf numFmtId="164" fontId="18" fillId="0" borderId="49" xfId="1" applyNumberFormat="1" applyFont="1" applyBorder="1" applyAlignment="1">
      <alignment horizontal="center"/>
    </xf>
    <xf numFmtId="164" fontId="18" fillId="0" borderId="63" xfId="1" applyNumberFormat="1" applyFont="1" applyBorder="1" applyAlignment="1">
      <alignment horizontal="center"/>
    </xf>
    <xf numFmtId="0" fontId="18" fillId="0" borderId="39" xfId="0" applyFont="1" applyBorder="1" applyAlignment="1">
      <alignment horizontal="left"/>
    </xf>
    <xf numFmtId="0" fontId="20" fillId="0" borderId="39" xfId="0" applyFont="1" applyBorder="1" applyAlignment="1">
      <alignment horizontal="center"/>
    </xf>
    <xf numFmtId="0" fontId="20" fillId="0" borderId="59" xfId="0" applyFont="1" applyBorder="1" applyAlignment="1">
      <alignment horizontal="center"/>
    </xf>
    <xf numFmtId="0" fontId="18" fillId="0" borderId="40" xfId="0" applyFont="1" applyBorder="1" applyAlignment="1">
      <alignment horizontal="left"/>
    </xf>
    <xf numFmtId="0" fontId="18" fillId="0" borderId="0" xfId="0" applyFont="1" applyAlignment="1">
      <alignment horizontal="left"/>
    </xf>
    <xf numFmtId="164" fontId="18" fillId="0" borderId="0" xfId="0" applyNumberFormat="1" applyFont="1" applyAlignment="1">
      <alignment horizontal="center" vertical="center"/>
    </xf>
    <xf numFmtId="0" fontId="18" fillId="0" borderId="60" xfId="0" applyFont="1" applyBorder="1" applyAlignment="1">
      <alignment horizontal="center" vertical="center"/>
    </xf>
    <xf numFmtId="0" fontId="20" fillId="0" borderId="38" xfId="0" applyFont="1" applyBorder="1" applyAlignment="1">
      <alignment horizontal="center" vertical="center"/>
    </xf>
    <xf numFmtId="0" fontId="19" fillId="0" borderId="0" xfId="0" applyFont="1" applyAlignment="1">
      <alignment horizontal="right"/>
    </xf>
    <xf numFmtId="164" fontId="18" fillId="0" borderId="40" xfId="1" applyNumberFormat="1" applyFont="1" applyBorder="1" applyAlignment="1">
      <alignment horizontal="left"/>
    </xf>
    <xf numFmtId="164" fontId="18" fillId="0" borderId="60" xfId="1" applyNumberFormat="1" applyFont="1" applyBorder="1" applyAlignment="1">
      <alignment horizontal="left"/>
    </xf>
    <xf numFmtId="0" fontId="18" fillId="0" borderId="43" xfId="0" applyFont="1" applyBorder="1" applyAlignment="1">
      <alignment horizontal="left"/>
    </xf>
    <xf numFmtId="164" fontId="18" fillId="0" borderId="43" xfId="1" applyNumberFormat="1" applyFont="1" applyBorder="1" applyAlignment="1">
      <alignment horizontal="center"/>
    </xf>
    <xf numFmtId="164" fontId="18" fillId="0" borderId="61" xfId="1" applyNumberFormat="1" applyFont="1" applyBorder="1" applyAlignment="1">
      <alignment horizontal="center"/>
    </xf>
    <xf numFmtId="0" fontId="20" fillId="0" borderId="35" xfId="0" applyFont="1" applyBorder="1" applyAlignment="1">
      <alignment horizontal="center" vertical="top" wrapText="1"/>
    </xf>
    <xf numFmtId="0" fontId="20" fillId="0" borderId="37" xfId="0" applyFont="1" applyBorder="1" applyAlignment="1">
      <alignment horizontal="center" vertical="top" wrapText="1"/>
    </xf>
    <xf numFmtId="0" fontId="20" fillId="0" borderId="42" xfId="0" applyFont="1" applyBorder="1" applyAlignment="1">
      <alignment horizontal="center" vertical="top" wrapText="1"/>
    </xf>
    <xf numFmtId="0" fontId="20" fillId="0" borderId="36" xfId="0" applyFont="1" applyBorder="1" applyAlignment="1">
      <alignment horizontal="center" vertical="center"/>
    </xf>
    <xf numFmtId="0" fontId="18" fillId="0" borderId="39" xfId="0" applyFont="1" applyBorder="1" applyAlignment="1">
      <alignment horizontal="center"/>
    </xf>
    <xf numFmtId="0" fontId="18" fillId="0" borderId="59" xfId="0" applyFont="1" applyBorder="1" applyAlignment="1">
      <alignment horizontal="center"/>
    </xf>
    <xf numFmtId="0" fontId="20" fillId="0" borderId="41" xfId="0" applyFont="1" applyBorder="1" applyAlignment="1">
      <alignment horizontal="left"/>
    </xf>
    <xf numFmtId="0" fontId="18" fillId="0" borderId="41" xfId="0" applyFont="1" applyBorder="1" applyAlignment="1">
      <alignment horizontal="center"/>
    </xf>
    <xf numFmtId="0" fontId="18" fillId="0" borderId="64" xfId="0" applyFont="1" applyBorder="1" applyAlignment="1">
      <alignment horizontal="center"/>
    </xf>
    <xf numFmtId="0" fontId="18" fillId="0" borderId="43" xfId="0" applyFont="1" applyBorder="1" applyAlignment="1">
      <alignment horizontal="center"/>
    </xf>
    <xf numFmtId="0" fontId="18" fillId="0" borderId="61" xfId="0" applyFont="1" applyBorder="1" applyAlignment="1">
      <alignment horizontal="center"/>
    </xf>
    <xf numFmtId="0" fontId="18" fillId="0" borderId="54" xfId="0" applyFont="1" applyBorder="1" applyAlignment="1">
      <alignment horizontal="left"/>
    </xf>
    <xf numFmtId="0" fontId="18" fillId="0" borderId="55" xfId="0" applyFont="1" applyBorder="1" applyAlignment="1">
      <alignment horizontal="left"/>
    </xf>
    <xf numFmtId="0" fontId="18" fillId="0" borderId="56" xfId="0" applyFont="1" applyBorder="1" applyAlignment="1">
      <alignment horizontal="left"/>
    </xf>
    <xf numFmtId="164" fontId="18" fillId="0" borderId="38" xfId="0" applyNumberFormat="1" applyFont="1" applyBorder="1" applyAlignment="1">
      <alignment horizontal="center"/>
    </xf>
    <xf numFmtId="0" fontId="18" fillId="0" borderId="58" xfId="0" applyFont="1" applyBorder="1" applyAlignment="1">
      <alignment horizontal="center"/>
    </xf>
    <xf numFmtId="164" fontId="18" fillId="0" borderId="0" xfId="1" applyNumberFormat="1" applyFont="1" applyBorder="1" applyAlignment="1">
      <alignment horizontal="center"/>
    </xf>
    <xf numFmtId="164" fontId="18" fillId="0" borderId="60" xfId="1" applyNumberFormat="1" applyFont="1" applyBorder="1" applyAlignment="1">
      <alignment horizontal="center"/>
    </xf>
    <xf numFmtId="0" fontId="18" fillId="0" borderId="38" xfId="0" applyFont="1" applyBorder="1" applyAlignment="1">
      <alignment horizontal="center"/>
    </xf>
    <xf numFmtId="0" fontId="20" fillId="0" borderId="50" xfId="0" applyFont="1" applyBorder="1" applyAlignment="1">
      <alignment horizontal="center"/>
    </xf>
    <xf numFmtId="0" fontId="20" fillId="0" borderId="0" xfId="0" applyFont="1" applyAlignment="1">
      <alignment horizontal="center"/>
    </xf>
    <xf numFmtId="0" fontId="20" fillId="0" borderId="46" xfId="0" applyFont="1" applyBorder="1" applyAlignment="1">
      <alignment horizontal="center"/>
    </xf>
    <xf numFmtId="0" fontId="18" fillId="0" borderId="0" xfId="0" applyFont="1" applyAlignment="1">
      <alignment horizontal="center"/>
    </xf>
    <xf numFmtId="164" fontId="18" fillId="0" borderId="58" xfId="0" applyNumberFormat="1" applyFont="1" applyBorder="1" applyAlignment="1">
      <alignment horizontal="center"/>
    </xf>
    <xf numFmtId="0" fontId="18" fillId="0" borderId="67" xfId="0" applyFont="1" applyBorder="1" applyAlignment="1">
      <alignment horizontal="left"/>
    </xf>
    <xf numFmtId="0" fontId="18" fillId="0" borderId="68" xfId="0" applyFont="1" applyBorder="1" applyAlignment="1">
      <alignment horizontal="left"/>
    </xf>
    <xf numFmtId="0" fontId="18" fillId="0" borderId="69" xfId="0" applyFont="1" applyBorder="1" applyAlignment="1">
      <alignment horizontal="left"/>
    </xf>
    <xf numFmtId="0" fontId="18" fillId="0" borderId="70" xfId="0" applyFont="1" applyBorder="1" applyAlignment="1">
      <alignment horizontal="center"/>
    </xf>
    <xf numFmtId="0" fontId="18" fillId="0" borderId="71" xfId="0" applyFont="1" applyBorder="1" applyAlignment="1">
      <alignment horizontal="center"/>
    </xf>
    <xf numFmtId="0" fontId="22" fillId="0" borderId="0" xfId="0" applyFont="1" applyAlignment="1">
      <alignment horizontal="left" vertical="top" wrapText="1"/>
    </xf>
    <xf numFmtId="0" fontId="20" fillId="0" borderId="52" xfId="0" applyFont="1" applyBorder="1" applyAlignment="1">
      <alignment horizontal="center" vertical="top"/>
    </xf>
    <xf numFmtId="0" fontId="20" fillId="0" borderId="0" xfId="0" applyFont="1" applyAlignment="1">
      <alignment horizontal="left"/>
    </xf>
    <xf numFmtId="0" fontId="18" fillId="0" borderId="45" xfId="0" applyFont="1" applyBorder="1" applyAlignment="1">
      <alignment horizontal="left"/>
    </xf>
    <xf numFmtId="0" fontId="18" fillId="0" borderId="46" xfId="0" applyFont="1" applyBorder="1" applyAlignment="1">
      <alignment horizontal="left"/>
    </xf>
    <xf numFmtId="0" fontId="18" fillId="0" borderId="47" xfId="0" applyFont="1" applyBorder="1" applyAlignment="1">
      <alignment horizontal="left"/>
    </xf>
    <xf numFmtId="0" fontId="18" fillId="0" borderId="40" xfId="0" applyFont="1" applyBorder="1" applyAlignment="1">
      <alignment horizontal="center"/>
    </xf>
    <xf numFmtId="0" fontId="18" fillId="0" borderId="48" xfId="0" applyFont="1" applyBorder="1" applyAlignment="1">
      <alignment horizontal="center"/>
    </xf>
    <xf numFmtId="0" fontId="20" fillId="0" borderId="57" xfId="0" applyFont="1" applyBorder="1" applyAlignment="1">
      <alignment horizontal="center" vertical="center"/>
    </xf>
    <xf numFmtId="0" fontId="20" fillId="0" borderId="58" xfId="0" applyFont="1" applyBorder="1" applyAlignment="1">
      <alignment horizontal="center" vertical="center"/>
    </xf>
    <xf numFmtId="0" fontId="20" fillId="0" borderId="44" xfId="0" applyFont="1" applyBorder="1" applyAlignment="1">
      <alignment horizontal="center" vertical="top"/>
    </xf>
    <xf numFmtId="0" fontId="20" fillId="0" borderId="37" xfId="0" applyFont="1" applyBorder="1" applyAlignment="1">
      <alignment horizontal="center" vertical="top"/>
    </xf>
    <xf numFmtId="0" fontId="20" fillId="0" borderId="42" xfId="0" applyFont="1" applyBorder="1" applyAlignment="1">
      <alignment horizontal="center" vertical="top"/>
    </xf>
    <xf numFmtId="0" fontId="20" fillId="0" borderId="52" xfId="0" applyFont="1" applyBorder="1" applyAlignment="1">
      <alignment horizontal="center" vertical="center"/>
    </xf>
    <xf numFmtId="0" fontId="20" fillId="0" borderId="53" xfId="0" applyFont="1" applyBorder="1" applyAlignment="1">
      <alignment horizontal="center" vertical="center"/>
    </xf>
    <xf numFmtId="0" fontId="20" fillId="0" borderId="44" xfId="0" applyFont="1" applyBorder="1" applyAlignment="1">
      <alignment horizontal="center" vertical="center"/>
    </xf>
    <xf numFmtId="0" fontId="20" fillId="0" borderId="37" xfId="0" applyFont="1" applyBorder="1" applyAlignment="1">
      <alignment horizontal="center" vertical="center"/>
    </xf>
    <xf numFmtId="0" fontId="20" fillId="0" borderId="42" xfId="0" applyFont="1" applyBorder="1" applyAlignment="1">
      <alignment horizontal="center" vertical="center"/>
    </xf>
    <xf numFmtId="164" fontId="18" fillId="0" borderId="43" xfId="0" applyNumberFormat="1" applyFont="1" applyBorder="1" applyAlignment="1">
      <alignment horizontal="center"/>
    </xf>
    <xf numFmtId="164" fontId="18" fillId="0" borderId="54" xfId="1" applyNumberFormat="1" applyFont="1" applyBorder="1" applyAlignment="1">
      <alignment horizontal="right"/>
    </xf>
    <xf numFmtId="164" fontId="18" fillId="0" borderId="65" xfId="1" applyNumberFormat="1" applyFont="1" applyBorder="1" applyAlignment="1">
      <alignment horizontal="right"/>
    </xf>
    <xf numFmtId="0" fontId="20" fillId="0" borderId="41" xfId="0" applyFont="1" applyBorder="1" applyAlignment="1">
      <alignment horizontal="center"/>
    </xf>
    <xf numFmtId="0" fontId="20" fillId="0" borderId="64" xfId="0" applyFont="1" applyBorder="1" applyAlignment="1">
      <alignment horizontal="center"/>
    </xf>
    <xf numFmtId="0" fontId="20" fillId="0" borderId="45" xfId="0" applyFont="1" applyBorder="1" applyAlignment="1">
      <alignment horizontal="center"/>
    </xf>
    <xf numFmtId="0" fontId="20" fillId="0" borderId="62" xfId="0" applyFont="1" applyBorder="1" applyAlignment="1">
      <alignment horizontal="center"/>
    </xf>
    <xf numFmtId="0" fontId="18" fillId="0" borderId="60" xfId="0" applyFont="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12" borderId="1" xfId="0" applyFont="1" applyFill="1" applyBorder="1" applyAlignment="1">
      <alignment horizontal="center"/>
    </xf>
    <xf numFmtId="0" fontId="12" fillId="0" borderId="11" xfId="0" applyFont="1" applyBorder="1" applyAlignment="1">
      <alignment horizontal="center" vertical="center" wrapText="1"/>
    </xf>
    <xf numFmtId="0" fontId="12" fillId="0" borderId="12" xfId="0" applyFont="1" applyBorder="1" applyAlignment="1">
      <alignment vertical="center"/>
    </xf>
    <xf numFmtId="0" fontId="0" fillId="0" borderId="12" xfId="0" applyBorder="1"/>
    <xf numFmtId="0" fontId="12" fillId="0" borderId="12" xfId="0" applyFont="1" applyBorder="1" applyAlignment="1">
      <alignment horizontal="center" vertical="center"/>
    </xf>
    <xf numFmtId="0" fontId="12" fillId="0" borderId="12" xfId="0" applyFont="1" applyBorder="1" applyAlignment="1">
      <alignment horizontal="center" vertical="center" wrapText="1"/>
    </xf>
    <xf numFmtId="0" fontId="13" fillId="0" borderId="12" xfId="0" applyFont="1" applyBorder="1" applyAlignment="1">
      <alignment horizontal="center" vertical="center" wrapText="1"/>
    </xf>
    <xf numFmtId="0" fontId="11" fillId="0" borderId="25" xfId="0" applyFont="1" applyBorder="1" applyAlignment="1">
      <alignment horizontal="center" vertical="center"/>
    </xf>
    <xf numFmtId="0" fontId="11" fillId="0" borderId="27" xfId="0" applyFont="1" applyBorder="1" applyAlignment="1">
      <alignment horizontal="center" vertical="center"/>
    </xf>
    <xf numFmtId="0" fontId="11" fillId="0" borderId="1" xfId="0" applyFont="1" applyBorder="1" applyAlignment="1">
      <alignment horizontal="center" vertical="center"/>
    </xf>
    <xf numFmtId="0" fontId="11" fillId="0" borderId="25" xfId="0" applyFont="1" applyBorder="1" applyAlignment="1">
      <alignment horizontal="center" vertical="center" wrapText="1"/>
    </xf>
    <xf numFmtId="0" fontId="11" fillId="0" borderId="27" xfId="0" applyFont="1" applyBorder="1" applyAlignment="1">
      <alignment horizontal="left" vertical="center" wrapText="1"/>
    </xf>
    <xf numFmtId="0" fontId="11" fillId="0" borderId="25" xfId="0" applyFont="1" applyBorder="1" applyAlignment="1">
      <alignment horizontal="left" vertical="center" wrapText="1"/>
    </xf>
    <xf numFmtId="0" fontId="0" fillId="0" borderId="25" xfId="0" applyBorder="1"/>
    <xf numFmtId="0" fontId="12" fillId="0" borderId="6" xfId="0" applyFont="1" applyBorder="1" applyAlignment="1">
      <alignment horizontal="center"/>
    </xf>
    <xf numFmtId="0" fontId="11" fillId="0" borderId="7" xfId="0" applyFont="1" applyBorder="1" applyAlignment="1">
      <alignment horizontal="center"/>
    </xf>
    <xf numFmtId="0" fontId="11" fillId="0" borderId="0" xfId="0" applyFont="1" applyAlignment="1">
      <alignment horizontal="center"/>
    </xf>
    <xf numFmtId="0" fontId="5" fillId="3" borderId="1" xfId="0" applyFont="1" applyFill="1" applyBorder="1" applyAlignment="1">
      <alignment horizontal="center" vertical="center"/>
    </xf>
    <xf numFmtId="0" fontId="4" fillId="0" borderId="1" xfId="0" applyFont="1" applyBorder="1" applyAlignment="1">
      <alignment horizontal="center"/>
    </xf>
    <xf numFmtId="0" fontId="0" fillId="3" borderId="1" xfId="0" applyFill="1" applyBorder="1"/>
    <xf numFmtId="0" fontId="5" fillId="3" borderId="1" xfId="0" applyFont="1" applyFill="1" applyBorder="1" applyAlignment="1">
      <alignment horizontal="center"/>
    </xf>
    <xf numFmtId="200" fontId="4" fillId="0" borderId="1" xfId="0" applyNumberFormat="1" applyFont="1" applyBorder="1" applyAlignment="1">
      <alignment horizontal="center"/>
    </xf>
    <xf numFmtId="186" fontId="4" fillId="0" borderId="1" xfId="249" applyFont="1" applyBorder="1" applyAlignment="1">
      <alignment horizontal="center" vertical="center"/>
    </xf>
    <xf numFmtId="186" fontId="4" fillId="0" borderId="1" xfId="0" applyNumberFormat="1" applyFont="1" applyBorder="1" applyAlignment="1">
      <alignment horizontal="center"/>
    </xf>
    <xf numFmtId="186" fontId="10" fillId="0" borderId="1" xfId="249" applyFont="1" applyBorder="1" applyAlignment="1">
      <alignment horizontal="center" vertical="center"/>
    </xf>
    <xf numFmtId="0" fontId="5" fillId="0" borderId="6" xfId="0" applyFont="1" applyBorder="1" applyAlignment="1">
      <alignment horizontal="center"/>
    </xf>
    <xf numFmtId="0" fontId="5" fillId="3" borderId="3" xfId="0" applyFont="1" applyFill="1" applyBorder="1" applyAlignment="1">
      <alignment horizontal="left"/>
    </xf>
    <xf numFmtId="186" fontId="5" fillId="3" borderId="4" xfId="0" applyNumberFormat="1" applyFont="1" applyFill="1" applyBorder="1" applyAlignment="1">
      <alignment horizontal="center"/>
    </xf>
    <xf numFmtId="0" fontId="5" fillId="0" borderId="7" xfId="0" applyFont="1" applyBorder="1" applyAlignment="1">
      <alignment horizontal="center"/>
    </xf>
    <xf numFmtId="0" fontId="4" fillId="2" borderId="0" xfId="0" applyFont="1" applyFill="1" applyAlignment="1">
      <alignment horizontal="center"/>
    </xf>
    <xf numFmtId="0" fontId="8" fillId="2" borderId="10" xfId="0" applyFont="1" applyFill="1" applyBorder="1" applyAlignment="1">
      <alignment horizontal="right"/>
    </xf>
    <xf numFmtId="0" fontId="4" fillId="0" borderId="0" xfId="0" applyFont="1" applyAlignment="1">
      <alignment horizontal="center"/>
    </xf>
    <xf numFmtId="200" fontId="5" fillId="4" borderId="4" xfId="0" applyNumberFormat="1" applyFont="1" applyFill="1" applyBorder="1" applyAlignment="1">
      <alignment horizontal="center" vertical="center"/>
    </xf>
    <xf numFmtId="200" fontId="7" fillId="3" borderId="9" xfId="0" applyNumberFormat="1" applyFont="1" applyFill="1" applyBorder="1" applyAlignment="1">
      <alignment horizontal="center" vertical="center"/>
    </xf>
    <xf numFmtId="0" fontId="5" fillId="4" borderId="3" xfId="0" applyFont="1" applyFill="1" applyBorder="1" applyAlignment="1">
      <alignment horizontal="center" vertical="center"/>
    </xf>
    <xf numFmtId="0" fontId="4" fillId="4" borderId="5" xfId="0" applyFont="1" applyFill="1" applyBorder="1" applyAlignment="1">
      <alignment horizontal="center" vertical="center"/>
    </xf>
    <xf numFmtId="0" fontId="7" fillId="3" borderId="8" xfId="0" applyFont="1" applyFill="1" applyBorder="1" applyAlignment="1">
      <alignment horizontal="center" vertical="center"/>
    </xf>
    <xf numFmtId="0" fontId="6" fillId="3" borderId="1" xfId="0" applyFont="1" applyFill="1" applyBorder="1" applyAlignment="1">
      <alignment horizontal="left"/>
    </xf>
  </cellXfs>
  <cellStyles count="512">
    <cellStyle name="20% - Accent1 2" xfId="62" xr:uid="{00000000-0005-0000-0000-00006C000000}"/>
    <cellStyle name="20% - Accent1 2 2" xfId="19" xr:uid="{00000000-0005-0000-0000-00001E000000}"/>
    <cellStyle name="20% - Accent1 2 3" xfId="58" xr:uid="{00000000-0005-0000-0000-000068000000}"/>
    <cellStyle name="20% - Accent2 2" xfId="64" xr:uid="{00000000-0005-0000-0000-00006E000000}"/>
    <cellStyle name="20% - Accent2 2 2" xfId="65" xr:uid="{00000000-0005-0000-0000-00006F000000}"/>
    <cellStyle name="20% - Accent2 2 3" xfId="67" xr:uid="{00000000-0005-0000-0000-000071000000}"/>
    <cellStyle name="20% - Accent3 2" xfId="30" xr:uid="{00000000-0005-0000-0000-00002E000000}"/>
    <cellStyle name="20% - Accent3 2 2" xfId="50" xr:uid="{00000000-0005-0000-0000-000060000000}"/>
    <cellStyle name="20% - Accent3 2 3" xfId="15" xr:uid="{00000000-0005-0000-0000-000019000000}"/>
    <cellStyle name="20% - Accent4 2" xfId="57" xr:uid="{00000000-0005-0000-0000-000067000000}"/>
    <cellStyle name="20% - Accent4 2 2" xfId="54" xr:uid="{00000000-0005-0000-0000-000064000000}"/>
    <cellStyle name="20% - Accent4 2 3" xfId="60" xr:uid="{00000000-0005-0000-0000-00006A000000}"/>
    <cellStyle name="20% - Accent5 2" xfId="68" xr:uid="{00000000-0005-0000-0000-000072000000}"/>
    <cellStyle name="20% - Accent5 2 2" xfId="53" xr:uid="{00000000-0005-0000-0000-000063000000}"/>
    <cellStyle name="20% - Accent5 2 3" xfId="69" xr:uid="{00000000-0005-0000-0000-000073000000}"/>
    <cellStyle name="20% - Accent6 2" xfId="70" xr:uid="{00000000-0005-0000-0000-000074000000}"/>
    <cellStyle name="20% - Accent6 2 2" xfId="71" xr:uid="{00000000-0005-0000-0000-000075000000}"/>
    <cellStyle name="20% - Accent6 2 3" xfId="73" xr:uid="{00000000-0005-0000-0000-000077000000}"/>
    <cellStyle name="40% - Accent1 2" xfId="75" xr:uid="{00000000-0005-0000-0000-000079000000}"/>
    <cellStyle name="40% - Accent1 2 2" xfId="78" xr:uid="{00000000-0005-0000-0000-00007C000000}"/>
    <cellStyle name="40% - Accent1 2 3" xfId="80" xr:uid="{00000000-0005-0000-0000-00007E000000}"/>
    <cellStyle name="40% - Accent2 2" xfId="81" xr:uid="{00000000-0005-0000-0000-00007F000000}"/>
    <cellStyle name="40% - Accent2 2 2" xfId="84" xr:uid="{00000000-0005-0000-0000-000082000000}"/>
    <cellStyle name="40% - Accent2 2 3" xfId="86" xr:uid="{00000000-0005-0000-0000-000084000000}"/>
    <cellStyle name="40% - Accent3 2" xfId="87" xr:uid="{00000000-0005-0000-0000-000085000000}"/>
    <cellStyle name="40% - Accent3 2 2" xfId="89" xr:uid="{00000000-0005-0000-0000-000087000000}"/>
    <cellStyle name="40% - Accent3 2 3" xfId="93" xr:uid="{00000000-0005-0000-0000-00008B000000}"/>
    <cellStyle name="40% - Accent4 2" xfId="95" xr:uid="{00000000-0005-0000-0000-00008D000000}"/>
    <cellStyle name="40% - Accent4 2 2" xfId="97" xr:uid="{00000000-0005-0000-0000-00008F000000}"/>
    <cellStyle name="40% - Accent4 2 3" xfId="100" xr:uid="{00000000-0005-0000-0000-000092000000}"/>
    <cellStyle name="40% - Accent5 2" xfId="101" xr:uid="{00000000-0005-0000-0000-000093000000}"/>
    <cellStyle name="40% - Accent5 2 2" xfId="103" xr:uid="{00000000-0005-0000-0000-000095000000}"/>
    <cellStyle name="40% - Accent5 2 3" xfId="107" xr:uid="{00000000-0005-0000-0000-000099000000}"/>
    <cellStyle name="40% - Accent6 2" xfId="109" xr:uid="{00000000-0005-0000-0000-00009B000000}"/>
    <cellStyle name="40% - Accent6 2 2" xfId="110" xr:uid="{00000000-0005-0000-0000-00009C000000}"/>
    <cellStyle name="40% - Accent6 2 3" xfId="111" xr:uid="{00000000-0005-0000-0000-00009D000000}"/>
    <cellStyle name="60% - Accent1 2" xfId="112" xr:uid="{00000000-0005-0000-0000-00009E000000}"/>
    <cellStyle name="60% - Accent2 2" xfId="113" xr:uid="{00000000-0005-0000-0000-00009F000000}"/>
    <cellStyle name="60% - Accent3 2" xfId="37" xr:uid="{00000000-0005-0000-0000-00003F000000}"/>
    <cellStyle name="60% - Accent4 2" xfId="114" xr:uid="{00000000-0005-0000-0000-0000A0000000}"/>
    <cellStyle name="60% - Accent5 2" xfId="116" xr:uid="{00000000-0005-0000-0000-0000A2000000}"/>
    <cellStyle name="60% - Accent6 2" xfId="117" xr:uid="{00000000-0005-0000-0000-0000A3000000}"/>
    <cellStyle name="Accent1 2" xfId="118" xr:uid="{00000000-0005-0000-0000-0000A4000000}"/>
    <cellStyle name="Accent2 2" xfId="119" xr:uid="{00000000-0005-0000-0000-0000A5000000}"/>
    <cellStyle name="Accent3 2" xfId="120" xr:uid="{00000000-0005-0000-0000-0000A6000000}"/>
    <cellStyle name="Accent4 2" xfId="48" xr:uid="{00000000-0005-0000-0000-00005B000000}"/>
    <cellStyle name="Accent5 2" xfId="121" xr:uid="{00000000-0005-0000-0000-0000A7000000}"/>
    <cellStyle name="Accent6 2" xfId="122" xr:uid="{00000000-0005-0000-0000-0000A8000000}"/>
    <cellStyle name="Bad 2" xfId="123" xr:uid="{00000000-0005-0000-0000-0000A9000000}"/>
    <cellStyle name="Calculation 2" xfId="72" xr:uid="{00000000-0005-0000-0000-000076000000}"/>
    <cellStyle name="Calculation 2 2" xfId="20" xr:uid="{00000000-0005-0000-0000-00001F000000}"/>
    <cellStyle name="Check Cell 2" xfId="125" xr:uid="{00000000-0005-0000-0000-0000AB000000}"/>
    <cellStyle name="Check Cell 2 2" xfId="127" xr:uid="{00000000-0005-0000-0000-0000AD000000}"/>
    <cellStyle name="Check Cell 2 2 10" xfId="130" xr:uid="{00000000-0005-0000-0000-0000B0000000}"/>
    <cellStyle name="Check Cell 2 2 2" xfId="131" xr:uid="{00000000-0005-0000-0000-0000B1000000}"/>
    <cellStyle name="Check Cell 2 2 2 2" xfId="132" xr:uid="{00000000-0005-0000-0000-0000B2000000}"/>
    <cellStyle name="Check Cell 2 2 2 3" xfId="134" xr:uid="{00000000-0005-0000-0000-0000B4000000}"/>
    <cellStyle name="Check Cell 2 2 3" xfId="135" xr:uid="{00000000-0005-0000-0000-0000B5000000}"/>
    <cellStyle name="Check Cell 2 2 3 2" xfId="136" xr:uid="{00000000-0005-0000-0000-0000B6000000}"/>
    <cellStyle name="Check Cell 2 2 3 3" xfId="138" xr:uid="{00000000-0005-0000-0000-0000B8000000}"/>
    <cellStyle name="Check Cell 2 2 4" xfId="139" xr:uid="{00000000-0005-0000-0000-0000B9000000}"/>
    <cellStyle name="Check Cell 2 2 4 2" xfId="140" xr:uid="{00000000-0005-0000-0000-0000BA000000}"/>
    <cellStyle name="Check Cell 2 2 4 3" xfId="142" xr:uid="{00000000-0005-0000-0000-0000BC000000}"/>
    <cellStyle name="Check Cell 2 2 5" xfId="143" xr:uid="{00000000-0005-0000-0000-0000BD000000}"/>
    <cellStyle name="Check Cell 2 2 5 2" xfId="144" xr:uid="{00000000-0005-0000-0000-0000BE000000}"/>
    <cellStyle name="Check Cell 2 2 5 3" xfId="128" xr:uid="{00000000-0005-0000-0000-0000AE000000}"/>
    <cellStyle name="Check Cell 2 2 6" xfId="147" xr:uid="{00000000-0005-0000-0000-0000C1000000}"/>
    <cellStyle name="Check Cell 2 2 6 2" xfId="148" xr:uid="{00000000-0005-0000-0000-0000C2000000}"/>
    <cellStyle name="Check Cell 2 2 6 3" xfId="149" xr:uid="{00000000-0005-0000-0000-0000C3000000}"/>
    <cellStyle name="Check Cell 2 2 7" xfId="150" xr:uid="{00000000-0005-0000-0000-0000C4000000}"/>
    <cellStyle name="Check Cell 2 2 7 2" xfId="151" xr:uid="{00000000-0005-0000-0000-0000C5000000}"/>
    <cellStyle name="Check Cell 2 2 7 3" xfId="152" xr:uid="{00000000-0005-0000-0000-0000C6000000}"/>
    <cellStyle name="Check Cell 2 2 8" xfId="154" xr:uid="{00000000-0005-0000-0000-0000C8000000}"/>
    <cellStyle name="Check Cell 2 2 8 2" xfId="157" xr:uid="{00000000-0005-0000-0000-0000CB000000}"/>
    <cellStyle name="Check Cell 2 2 8 3" xfId="158" xr:uid="{00000000-0005-0000-0000-0000CC000000}"/>
    <cellStyle name="Check Cell 2 2 9" xfId="160" xr:uid="{00000000-0005-0000-0000-0000CE000000}"/>
    <cellStyle name="Check Cell 2 2 9 2" xfId="2" xr:uid="{00000000-0005-0000-0000-000002000000}"/>
    <cellStyle name="Check Cell 2 3" xfId="35" xr:uid="{00000000-0005-0000-0000-00003A000000}"/>
    <cellStyle name="Check Cell 2 3 10" xfId="162" xr:uid="{00000000-0005-0000-0000-0000D0000000}"/>
    <cellStyle name="Check Cell 2 3 2" xfId="74" xr:uid="{00000000-0005-0000-0000-000078000000}"/>
    <cellStyle name="Check Cell 2 3 2 2" xfId="21" xr:uid="{00000000-0005-0000-0000-000020000000}"/>
    <cellStyle name="Check Cell 2 3 2 3" xfId="163" xr:uid="{00000000-0005-0000-0000-0000D1000000}"/>
    <cellStyle name="Check Cell 2 3 3" xfId="164" xr:uid="{00000000-0005-0000-0000-0000D2000000}"/>
    <cellStyle name="Check Cell 2 3 3 2" xfId="165" xr:uid="{00000000-0005-0000-0000-0000D3000000}"/>
    <cellStyle name="Check Cell 2 3 3 3" xfId="166" xr:uid="{00000000-0005-0000-0000-0000D4000000}"/>
    <cellStyle name="Check Cell 2 3 4" xfId="167" xr:uid="{00000000-0005-0000-0000-0000D5000000}"/>
    <cellStyle name="Check Cell 2 3 4 2" xfId="168" xr:uid="{00000000-0005-0000-0000-0000D6000000}"/>
    <cellStyle name="Check Cell 2 3 4 3" xfId="169" xr:uid="{00000000-0005-0000-0000-0000D7000000}"/>
    <cellStyle name="Check Cell 2 3 5" xfId="170" xr:uid="{00000000-0005-0000-0000-0000D8000000}"/>
    <cellStyle name="Check Cell 2 3 5 2" xfId="171" xr:uid="{00000000-0005-0000-0000-0000D9000000}"/>
    <cellStyle name="Check Cell 2 3 5 3" xfId="173" xr:uid="{00000000-0005-0000-0000-0000DB000000}"/>
    <cellStyle name="Check Cell 2 3 6" xfId="178" xr:uid="{00000000-0005-0000-0000-0000E0000000}"/>
    <cellStyle name="Check Cell 2 3 6 2" xfId="179" xr:uid="{00000000-0005-0000-0000-0000E1000000}"/>
    <cellStyle name="Check Cell 2 3 6 3" xfId="180" xr:uid="{00000000-0005-0000-0000-0000E2000000}"/>
    <cellStyle name="Check Cell 2 3 7" xfId="182" xr:uid="{00000000-0005-0000-0000-0000E4000000}"/>
    <cellStyle name="Check Cell 2 3 7 2" xfId="183" xr:uid="{00000000-0005-0000-0000-0000E5000000}"/>
    <cellStyle name="Check Cell 2 3 7 3" xfId="184" xr:uid="{00000000-0005-0000-0000-0000E6000000}"/>
    <cellStyle name="Check Cell 2 3 8" xfId="186" xr:uid="{00000000-0005-0000-0000-0000E8000000}"/>
    <cellStyle name="Check Cell 2 3 8 2" xfId="188" xr:uid="{00000000-0005-0000-0000-0000EA000000}"/>
    <cellStyle name="Check Cell 2 3 8 3" xfId="189" xr:uid="{00000000-0005-0000-0000-0000EB000000}"/>
    <cellStyle name="Check Cell 2 3 9" xfId="191" xr:uid="{00000000-0005-0000-0000-0000ED000000}"/>
    <cellStyle name="Check Cell 2 3 9 2" xfId="195" xr:uid="{00000000-0005-0000-0000-0000F1000000}"/>
    <cellStyle name="Check Cell 2 4" xfId="197" xr:uid="{00000000-0005-0000-0000-0000F3000000}"/>
    <cellStyle name="Check Cell 2 4 10" xfId="200" xr:uid="{00000000-0005-0000-0000-0000F6000000}"/>
    <cellStyle name="Check Cell 2 4 2" xfId="201" xr:uid="{00000000-0005-0000-0000-0000F7000000}"/>
    <cellStyle name="Check Cell 2 4 2 2" xfId="204" xr:uid="{00000000-0005-0000-0000-0000FA000000}"/>
    <cellStyle name="Check Cell 2 4 2 3" xfId="206" xr:uid="{00000000-0005-0000-0000-0000FC000000}"/>
    <cellStyle name="Check Cell 2 4 3" xfId="207" xr:uid="{00000000-0005-0000-0000-0000FD000000}"/>
    <cellStyle name="Check Cell 2 4 3 2" xfId="210" xr:uid="{00000000-0005-0000-0000-000000010000}"/>
    <cellStyle name="Check Cell 2 4 3 3" xfId="212" xr:uid="{00000000-0005-0000-0000-000002010000}"/>
    <cellStyle name="Check Cell 2 4 4" xfId="213" xr:uid="{00000000-0005-0000-0000-000003010000}"/>
    <cellStyle name="Check Cell 2 4 4 2" xfId="155" xr:uid="{00000000-0005-0000-0000-0000C9000000}"/>
    <cellStyle name="Check Cell 2 4 4 3" xfId="161" xr:uid="{00000000-0005-0000-0000-0000CF000000}"/>
    <cellStyle name="Check Cell 2 4 5" xfId="215" xr:uid="{00000000-0005-0000-0000-000005010000}"/>
    <cellStyle name="Check Cell 2 4 5 2" xfId="187" xr:uid="{00000000-0005-0000-0000-0000E9000000}"/>
    <cellStyle name="Check Cell 2 4 5 3" xfId="193" xr:uid="{00000000-0005-0000-0000-0000EF000000}"/>
    <cellStyle name="Check Cell 2 4 6" xfId="217" xr:uid="{00000000-0005-0000-0000-000007010000}"/>
    <cellStyle name="Check Cell 2 4 6 2" xfId="219" xr:uid="{00000000-0005-0000-0000-000009010000}"/>
    <cellStyle name="Check Cell 2 4 6 3" xfId="222" xr:uid="{00000000-0005-0000-0000-00000C010000}"/>
    <cellStyle name="Check Cell 2 4 7" xfId="224" xr:uid="{00000000-0005-0000-0000-00000E010000}"/>
    <cellStyle name="Check Cell 2 4 7 2" xfId="226" xr:uid="{00000000-0005-0000-0000-000010010000}"/>
    <cellStyle name="Check Cell 2 4 7 3" xfId="230" xr:uid="{00000000-0005-0000-0000-000014010000}"/>
    <cellStyle name="Check Cell 2 4 8" xfId="220" xr:uid="{00000000-0005-0000-0000-00000A010000}"/>
    <cellStyle name="Check Cell 2 4 8 2" xfId="232" xr:uid="{00000000-0005-0000-0000-000016010000}"/>
    <cellStyle name="Check Cell 2 4 8 3" xfId="76" xr:uid="{00000000-0005-0000-0000-00007A000000}"/>
    <cellStyle name="Check Cell 2 4 9" xfId="221" xr:uid="{00000000-0005-0000-0000-00000B010000}"/>
    <cellStyle name="Check Cell 2 4 9 2" xfId="233" xr:uid="{00000000-0005-0000-0000-000017010000}"/>
    <cellStyle name="Check Cell 2 5" xfId="235" xr:uid="{00000000-0005-0000-0000-000019010000}"/>
    <cellStyle name="Check Cell 2 5 10" xfId="239" xr:uid="{00000000-0005-0000-0000-00001D010000}"/>
    <cellStyle name="Check Cell 2 5 2" xfId="240" xr:uid="{00000000-0005-0000-0000-00001E010000}"/>
    <cellStyle name="Check Cell 2 5 2 2" xfId="32" xr:uid="{00000000-0005-0000-0000-000034000000}"/>
    <cellStyle name="Check Cell 2 5 2 3" xfId="13" xr:uid="{00000000-0005-0000-0000-000016000000}"/>
    <cellStyle name="Check Cell 2 5 3" xfId="244" xr:uid="{00000000-0005-0000-0000-000022010000}"/>
    <cellStyle name="Check Cell 2 5 3 2" xfId="248" xr:uid="{00000000-0005-0000-0000-000026010000}"/>
    <cellStyle name="Check Cell 2 5 3 3" xfId="26" xr:uid="{00000000-0005-0000-0000-000028000000}"/>
    <cellStyle name="Check Cell 2 5 4" xfId="252" xr:uid="{00000000-0005-0000-0000-00002A010000}"/>
    <cellStyle name="Check Cell 2 5 4 2" xfId="254" xr:uid="{00000000-0005-0000-0000-00002C010000}"/>
    <cellStyle name="Check Cell 2 5 4 3" xfId="256" xr:uid="{00000000-0005-0000-0000-00002E010000}"/>
    <cellStyle name="Check Cell 2 5 5" xfId="258" xr:uid="{00000000-0005-0000-0000-000030010000}"/>
    <cellStyle name="Check Cell 2 5 5 2" xfId="260" xr:uid="{00000000-0005-0000-0000-000032010000}"/>
    <cellStyle name="Check Cell 2 5 5 3" xfId="262" xr:uid="{00000000-0005-0000-0000-000034010000}"/>
    <cellStyle name="Check Cell 2 5 6" xfId="265" xr:uid="{00000000-0005-0000-0000-000037010000}"/>
    <cellStyle name="Check Cell 2 5 6 2" xfId="266" xr:uid="{00000000-0005-0000-0000-000038010000}"/>
    <cellStyle name="Check Cell 2 5 6 3" xfId="269" xr:uid="{00000000-0005-0000-0000-00003B010000}"/>
    <cellStyle name="Check Cell 2 5 7" xfId="31" xr:uid="{00000000-0005-0000-0000-000031000000}"/>
    <cellStyle name="Check Cell 2 5 7 2" xfId="271" xr:uid="{00000000-0005-0000-0000-00003D010000}"/>
    <cellStyle name="Check Cell 2 5 7 3" xfId="274" xr:uid="{00000000-0005-0000-0000-000040010000}"/>
    <cellStyle name="Check Cell 2 5 8" xfId="227" xr:uid="{00000000-0005-0000-0000-000011010000}"/>
    <cellStyle name="Check Cell 2 5 8 2" xfId="276" xr:uid="{00000000-0005-0000-0000-000042010000}"/>
    <cellStyle name="Check Cell 2 5 8 3" xfId="277" xr:uid="{00000000-0005-0000-0000-000043010000}"/>
    <cellStyle name="Check Cell 2 5 9" xfId="229" xr:uid="{00000000-0005-0000-0000-000013010000}"/>
    <cellStyle name="Check Cell 2 5 9 2" xfId="279" xr:uid="{00000000-0005-0000-0000-000045010000}"/>
    <cellStyle name="Check Cell 2 6" xfId="281" xr:uid="{00000000-0005-0000-0000-000047010000}"/>
    <cellStyle name="Check Cell 2 6 2" xfId="43" xr:uid="{00000000-0005-0000-0000-000052000000}"/>
    <cellStyle name="Check Cell 2 6 3" xfId="45" xr:uid="{00000000-0005-0000-0000-000056000000}"/>
    <cellStyle name="Comma" xfId="1" builtinId="3"/>
    <cellStyle name="Comma 10" xfId="202" xr:uid="{00000000-0005-0000-0000-0000F8000000}"/>
    <cellStyle name="Comma 10 2" xfId="205" xr:uid="{00000000-0005-0000-0000-0000FB000000}"/>
    <cellStyle name="Comma 11" xfId="208" xr:uid="{00000000-0005-0000-0000-0000FE000000}"/>
    <cellStyle name="Comma 11 2" xfId="211" xr:uid="{00000000-0005-0000-0000-000001010000}"/>
    <cellStyle name="Comma 12" xfId="214" xr:uid="{00000000-0005-0000-0000-000004010000}"/>
    <cellStyle name="Comma 12 2" xfId="156" xr:uid="{00000000-0005-0000-0000-0000CA000000}"/>
    <cellStyle name="Comma 13" xfId="216" xr:uid="{00000000-0005-0000-0000-000006010000}"/>
    <cellStyle name="Comma 14" xfId="218" xr:uid="{00000000-0005-0000-0000-000008010000}"/>
    <cellStyle name="Comma 15" xfId="225" xr:uid="{00000000-0005-0000-0000-00000F010000}"/>
    <cellStyle name="Comma 15 2" xfId="228" xr:uid="{00000000-0005-0000-0000-000012010000}"/>
    <cellStyle name="Comma 2" xfId="284" xr:uid="{00000000-0005-0000-0000-00004A010000}"/>
    <cellStyle name="Comma 2 2" xfId="285" xr:uid="{00000000-0005-0000-0000-00004B010000}"/>
    <cellStyle name="Comma 2 2 2" xfId="286" xr:uid="{00000000-0005-0000-0000-00004C010000}"/>
    <cellStyle name="Comma 2 2 2 2" xfId="288" xr:uid="{00000000-0005-0000-0000-00004E010000}"/>
    <cellStyle name="Comma 2 2 2 2 2" xfId="209" xr:uid="{00000000-0005-0000-0000-0000FF000000}"/>
    <cellStyle name="Comma 2 2 2 3" xfId="289" xr:uid="{00000000-0005-0000-0000-00004F010000}"/>
    <cellStyle name="Comma 2 2 2 3 2" xfId="245" xr:uid="{00000000-0005-0000-0000-000023010000}"/>
    <cellStyle name="Comma 2 2 2 4" xfId="290" xr:uid="{00000000-0005-0000-0000-000050010000}"/>
    <cellStyle name="Comma 2 2 3" xfId="291" xr:uid="{00000000-0005-0000-0000-000051010000}"/>
    <cellStyle name="Comma 2 2 3 2" xfId="293" xr:uid="{00000000-0005-0000-0000-000053010000}"/>
    <cellStyle name="Comma 2 2 4" xfId="295" xr:uid="{00000000-0005-0000-0000-000055010000}"/>
    <cellStyle name="Comma 2 3" xfId="296" xr:uid="{00000000-0005-0000-0000-000056010000}"/>
    <cellStyle name="Comma 2 3 2" xfId="297" xr:uid="{00000000-0005-0000-0000-000057010000}"/>
    <cellStyle name="Comma 2 3 2 2" xfId="299" xr:uid="{00000000-0005-0000-0000-000059010000}"/>
    <cellStyle name="Comma 2 3 3" xfId="104" xr:uid="{00000000-0005-0000-0000-000096000000}"/>
    <cellStyle name="Comma 2 3 3 2" xfId="300" xr:uid="{00000000-0005-0000-0000-00005A010000}"/>
    <cellStyle name="Comma 2 3 3 2 2" xfId="301" xr:uid="{00000000-0005-0000-0000-00005B010000}"/>
    <cellStyle name="Comma 2 3 3 3" xfId="303" xr:uid="{00000000-0005-0000-0000-00005D010000}"/>
    <cellStyle name="Comma 2 3 4" xfId="108" xr:uid="{00000000-0005-0000-0000-00009A000000}"/>
    <cellStyle name="Comma 2 4" xfId="36" xr:uid="{00000000-0005-0000-0000-00003C000000}"/>
    <cellStyle name="Comma 2 4 2" xfId="236" xr:uid="{00000000-0005-0000-0000-00001A010000}"/>
    <cellStyle name="Comma 2 4 2 2" xfId="241" xr:uid="{00000000-0005-0000-0000-00001F010000}"/>
    <cellStyle name="Comma 2 4 3" xfId="282" xr:uid="{00000000-0005-0000-0000-000048010000}"/>
    <cellStyle name="Comma 2 5" xfId="304" xr:uid="{00000000-0005-0000-0000-00005E010000}"/>
    <cellStyle name="Comma 2 5 2" xfId="305" xr:uid="{00000000-0005-0000-0000-00005F010000}"/>
    <cellStyle name="Comma 2 5 2 2" xfId="306" xr:uid="{00000000-0005-0000-0000-000060010000}"/>
    <cellStyle name="Comma 2 5 3" xfId="4" xr:uid="{00000000-0005-0000-0000-000007000000}"/>
    <cellStyle name="Comma 2 6" xfId="267" xr:uid="{00000000-0005-0000-0000-000039010000}"/>
    <cellStyle name="Comma 2 6 2" xfId="307" xr:uid="{00000000-0005-0000-0000-000061010000}"/>
    <cellStyle name="Comma 2 7" xfId="268" xr:uid="{00000000-0005-0000-0000-00003A010000}"/>
    <cellStyle name="Comma 2 7 2" xfId="309" xr:uid="{00000000-0005-0000-0000-000063010000}"/>
    <cellStyle name="Comma 2 7 2 2" xfId="311" xr:uid="{00000000-0005-0000-0000-000065010000}"/>
    <cellStyle name="Comma 2 7 3" xfId="312" xr:uid="{00000000-0005-0000-0000-000066010000}"/>
    <cellStyle name="Comma 2 8" xfId="314" xr:uid="{00000000-0005-0000-0000-000068010000}"/>
    <cellStyle name="Comma 2 8 2" xfId="316" xr:uid="{00000000-0005-0000-0000-00006A010000}"/>
    <cellStyle name="Comma 2 9" xfId="317" xr:uid="{00000000-0005-0000-0000-00006B010000}"/>
    <cellStyle name="Comma 3" xfId="320" xr:uid="{00000000-0005-0000-0000-00006E010000}"/>
    <cellStyle name="Comma 3 2" xfId="321" xr:uid="{00000000-0005-0000-0000-00006F010000}"/>
    <cellStyle name="Comma 3 2 2" xfId="322" xr:uid="{00000000-0005-0000-0000-000070010000}"/>
    <cellStyle name="Comma 3 2 2 2" xfId="323" xr:uid="{00000000-0005-0000-0000-000071010000}"/>
    <cellStyle name="Comma 3 2 3" xfId="324" xr:uid="{00000000-0005-0000-0000-000072010000}"/>
    <cellStyle name="Comma 3 2 3 2" xfId="325" xr:uid="{00000000-0005-0000-0000-000073010000}"/>
    <cellStyle name="Comma 3 2 4" xfId="294" xr:uid="{00000000-0005-0000-0000-000054010000}"/>
    <cellStyle name="Comma 3 3" xfId="326" xr:uid="{00000000-0005-0000-0000-000074010000}"/>
    <cellStyle name="Comma 3 3 2" xfId="327" xr:uid="{00000000-0005-0000-0000-000075010000}"/>
    <cellStyle name="Comma 3 4" xfId="329" xr:uid="{00000000-0005-0000-0000-000077010000}"/>
    <cellStyle name="Comma 3 4 2" xfId="330" xr:uid="{00000000-0005-0000-0000-000078010000}"/>
    <cellStyle name="Comma 3 5" xfId="333" xr:uid="{00000000-0005-0000-0000-00007B010000}"/>
    <cellStyle name="Comma 3 5 2" xfId="334" xr:uid="{00000000-0005-0000-0000-00007C010000}"/>
    <cellStyle name="Comma 3 6" xfId="272" xr:uid="{00000000-0005-0000-0000-00003E010000}"/>
    <cellStyle name="Comma 4" xfId="302" xr:uid="{00000000-0005-0000-0000-00005C010000}"/>
    <cellStyle name="Comma 4 2" xfId="335" xr:uid="{00000000-0005-0000-0000-00007D010000}"/>
    <cellStyle name="Comma 4 2 2" xfId="336" xr:uid="{00000000-0005-0000-0000-00007E010000}"/>
    <cellStyle name="Comma 4 3" xfId="337" xr:uid="{00000000-0005-0000-0000-00007F010000}"/>
    <cellStyle name="Comma 4 3 2" xfId="338" xr:uid="{00000000-0005-0000-0000-000080010000}"/>
    <cellStyle name="Comma 4 4" xfId="339" xr:uid="{00000000-0005-0000-0000-000081010000}"/>
    <cellStyle name="Comma 4 4 2" xfId="340" xr:uid="{00000000-0005-0000-0000-000082010000}"/>
    <cellStyle name="Comma 4 5" xfId="341" xr:uid="{00000000-0005-0000-0000-000083010000}"/>
    <cellStyle name="Comma 5" xfId="172" xr:uid="{00000000-0005-0000-0000-0000DA000000}"/>
    <cellStyle name="Comma 5 2" xfId="342" xr:uid="{00000000-0005-0000-0000-000084010000}"/>
    <cellStyle name="Comma 5 2 2" xfId="22" xr:uid="{00000000-0005-0000-0000-000023000000}"/>
    <cellStyle name="Comma 5 2 2 2" xfId="82" xr:uid="{00000000-0005-0000-0000-000080000000}"/>
    <cellStyle name="Comma 5 2 3" xfId="16" xr:uid="{00000000-0005-0000-0000-00001B000000}"/>
    <cellStyle name="Comma 5 3" xfId="343" xr:uid="{00000000-0005-0000-0000-000085010000}"/>
    <cellStyle name="Comma 5 3 2" xfId="6" xr:uid="{00000000-0005-0000-0000-00000A000000}"/>
    <cellStyle name="Comma 5 4" xfId="133" xr:uid="{00000000-0005-0000-0000-0000B3000000}"/>
    <cellStyle name="Comma 6" xfId="174" xr:uid="{00000000-0005-0000-0000-0000DC000000}"/>
    <cellStyle name="Comma 6 2" xfId="344" xr:uid="{00000000-0005-0000-0000-000086010000}"/>
    <cellStyle name="Comma 6 2 2" xfId="346" xr:uid="{00000000-0005-0000-0000-000088010000}"/>
    <cellStyle name="Comma 6 2 2 2" xfId="313" xr:uid="{00000000-0005-0000-0000-000067010000}"/>
    <cellStyle name="Comma 6 2 3" xfId="347" xr:uid="{00000000-0005-0000-0000-000089010000}"/>
    <cellStyle name="Comma 6 3" xfId="348" xr:uid="{00000000-0005-0000-0000-00008A010000}"/>
    <cellStyle name="Comma 6 3 2" xfId="349" xr:uid="{00000000-0005-0000-0000-00008B010000}"/>
    <cellStyle name="Comma 6 4" xfId="137" xr:uid="{00000000-0005-0000-0000-0000B7000000}"/>
    <cellStyle name="Comma 7" xfId="350" xr:uid="{00000000-0005-0000-0000-00008C010000}"/>
    <cellStyle name="Comma 7 2" xfId="352" xr:uid="{00000000-0005-0000-0000-00008E010000}"/>
    <cellStyle name="Comma 7 2 2" xfId="353" xr:uid="{00000000-0005-0000-0000-00008F010000}"/>
    <cellStyle name="Comma 7 2 2 2" xfId="355" xr:uid="{00000000-0005-0000-0000-000091010000}"/>
    <cellStyle name="Comma 7 2 3" xfId="357" xr:uid="{00000000-0005-0000-0000-000093010000}"/>
    <cellStyle name="Comma 7 3" xfId="359" xr:uid="{00000000-0005-0000-0000-000095010000}"/>
    <cellStyle name="Comma 7 3 2" xfId="360" xr:uid="{00000000-0005-0000-0000-000096010000}"/>
    <cellStyle name="Comma 7 4" xfId="141" xr:uid="{00000000-0005-0000-0000-0000BB000000}"/>
    <cellStyle name="Comma 8" xfId="363" xr:uid="{00000000-0005-0000-0000-000099010000}"/>
    <cellStyle name="Comma 8 2" xfId="366" xr:uid="{00000000-0005-0000-0000-00009C010000}"/>
    <cellStyle name="Comma 8 2 2" xfId="40" xr:uid="{00000000-0005-0000-0000-00004B000000}"/>
    <cellStyle name="Comma 8 3" xfId="368" xr:uid="{00000000-0005-0000-0000-00009E010000}"/>
    <cellStyle name="Comma 8 3 2" xfId="370" xr:uid="{00000000-0005-0000-0000-0000A0010000}"/>
    <cellStyle name="Comma 8 4" xfId="145" xr:uid="{00000000-0005-0000-0000-0000BF000000}"/>
    <cellStyle name="Comma 9" xfId="331" xr:uid="{00000000-0005-0000-0000-000079010000}"/>
    <cellStyle name="Comma 9 2" xfId="371" xr:uid="{00000000-0005-0000-0000-0000A1010000}"/>
    <cellStyle name="Comma 9 2 2" xfId="373" xr:uid="{00000000-0005-0000-0000-0000A3010000}"/>
    <cellStyle name="Comma 9 3" xfId="374" xr:uid="{00000000-0005-0000-0000-0000A4010000}"/>
    <cellStyle name="Currency 2" xfId="375" xr:uid="{00000000-0005-0000-0000-0000A5010000}"/>
    <cellStyle name="Currency 3" xfId="377" xr:uid="{00000000-0005-0000-0000-0000A7010000}"/>
    <cellStyle name="Excel Built-in Comma" xfId="249" xr:uid="{00000000-0005-0000-0000-000027010000}"/>
    <cellStyle name="Excel Built-in Percent" xfId="379" xr:uid="{00000000-0005-0000-0000-0000A9010000}"/>
    <cellStyle name="Explanatory Text 2" xfId="381" xr:uid="{00000000-0005-0000-0000-0000AB010000}"/>
    <cellStyle name="Good 2" xfId="176" xr:uid="{00000000-0005-0000-0000-0000DE000000}"/>
    <cellStyle name="Heading" xfId="382" xr:uid="{00000000-0005-0000-0000-0000AC010000}"/>
    <cellStyle name="Heading 1 2" xfId="384" xr:uid="{00000000-0005-0000-0000-0000AE010000}"/>
    <cellStyle name="Heading 2 2" xfId="318" xr:uid="{00000000-0005-0000-0000-00006C010000}"/>
    <cellStyle name="Heading 3 2" xfId="51" xr:uid="{00000000-0005-0000-0000-000061000000}"/>
    <cellStyle name="Heading 4 2" xfId="386" xr:uid="{00000000-0005-0000-0000-0000B0010000}"/>
    <cellStyle name="Heading1" xfId="388" xr:uid="{00000000-0005-0000-0000-0000B2010000}"/>
    <cellStyle name="Hyperlink 2" xfId="389" xr:uid="{00000000-0005-0000-0000-0000B3010000}"/>
    <cellStyle name="Hyperlink 3" xfId="361" xr:uid="{00000000-0005-0000-0000-000097010000}"/>
    <cellStyle name="Input 2" xfId="273" xr:uid="{00000000-0005-0000-0000-00003F010000}"/>
    <cellStyle name="Input 2 2" xfId="59" xr:uid="{00000000-0005-0000-0000-000069000000}"/>
    <cellStyle name="Linked Cell 2" xfId="237" xr:uid="{00000000-0005-0000-0000-00001B010000}"/>
    <cellStyle name="Linked Cell 2 2" xfId="242" xr:uid="{00000000-0005-0000-0000-000020010000}"/>
    <cellStyle name="Linked Cell 2 2 10" xfId="390" xr:uid="{00000000-0005-0000-0000-0000B4010000}"/>
    <cellStyle name="Linked Cell 2 2 10 2" xfId="14" xr:uid="{00000000-0005-0000-0000-000018000000}"/>
    <cellStyle name="Linked Cell 2 2 10 2 2" xfId="115" xr:uid="{00000000-0005-0000-0000-0000A1000000}"/>
    <cellStyle name="Linked Cell 2 2 10 3" xfId="47" xr:uid="{00000000-0005-0000-0000-000059000000}"/>
    <cellStyle name="Linked Cell 2 2 10 4" xfId="49" xr:uid="{00000000-0005-0000-0000-00005E000000}"/>
    <cellStyle name="Linked Cell 2 2 11" xfId="392" xr:uid="{00000000-0005-0000-0000-0000B6010000}"/>
    <cellStyle name="Linked Cell 2 2 11 2" xfId="393" xr:uid="{00000000-0005-0000-0000-0000B7010000}"/>
    <cellStyle name="Linked Cell 2 2 12" xfId="56" xr:uid="{00000000-0005-0000-0000-000066000000}"/>
    <cellStyle name="Linked Cell 2 2 13" xfId="61" xr:uid="{00000000-0005-0000-0000-00006B000000}"/>
    <cellStyle name="Linked Cell 2 2 2" xfId="33" xr:uid="{00000000-0005-0000-0000-000035000000}"/>
    <cellStyle name="Linked Cell 2 2 2 2" xfId="175" xr:uid="{00000000-0005-0000-0000-0000DD000000}"/>
    <cellStyle name="Linked Cell 2 2 2 2 2" xfId="345" xr:uid="{00000000-0005-0000-0000-000087010000}"/>
    <cellStyle name="Linked Cell 2 2 2 3" xfId="351" xr:uid="{00000000-0005-0000-0000-00008D010000}"/>
    <cellStyle name="Linked Cell 2 2 2 4" xfId="364" xr:uid="{00000000-0005-0000-0000-00009A010000}"/>
    <cellStyle name="Linked Cell 2 2 3" xfId="12" xr:uid="{00000000-0005-0000-0000-000015000000}"/>
    <cellStyle name="Linked Cell 2 2 3 2" xfId="181" xr:uid="{00000000-0005-0000-0000-0000E3000000}"/>
    <cellStyle name="Linked Cell 2 2 3 2 2" xfId="394" xr:uid="{00000000-0005-0000-0000-0000B8010000}"/>
    <cellStyle name="Linked Cell 2 2 3 3" xfId="124" xr:uid="{00000000-0005-0000-0000-0000AA000000}"/>
    <cellStyle name="Linked Cell 2 2 3 4" xfId="8" xr:uid="{00000000-0005-0000-0000-00000D000000}"/>
    <cellStyle name="Linked Cell 2 2 4" xfId="90" xr:uid="{00000000-0005-0000-0000-000088000000}"/>
    <cellStyle name="Linked Cell 2 2 4 2" xfId="185" xr:uid="{00000000-0005-0000-0000-0000E7000000}"/>
    <cellStyle name="Linked Cell 2 2 4 2 2" xfId="395" xr:uid="{00000000-0005-0000-0000-0000B9010000}"/>
    <cellStyle name="Linked Cell 2 2 4 3" xfId="396" xr:uid="{00000000-0005-0000-0000-0000BA010000}"/>
    <cellStyle name="Linked Cell 2 2 4 4" xfId="18" xr:uid="{00000000-0005-0000-0000-00001D000000}"/>
    <cellStyle name="Linked Cell 2 2 5" xfId="94" xr:uid="{00000000-0005-0000-0000-00008C000000}"/>
    <cellStyle name="Linked Cell 2 2 5 2" xfId="190" xr:uid="{00000000-0005-0000-0000-0000EC000000}"/>
    <cellStyle name="Linked Cell 2 2 5 2 2" xfId="397" xr:uid="{00000000-0005-0000-0000-0000BB010000}"/>
    <cellStyle name="Linked Cell 2 2 5 3" xfId="398" xr:uid="{00000000-0005-0000-0000-0000BC010000}"/>
    <cellStyle name="Linked Cell 2 2 5 4" xfId="399" xr:uid="{00000000-0005-0000-0000-0000BD010000}"/>
    <cellStyle name="Linked Cell 2 2 6" xfId="400" xr:uid="{00000000-0005-0000-0000-0000BE010000}"/>
    <cellStyle name="Linked Cell 2 2 6 2" xfId="401" xr:uid="{00000000-0005-0000-0000-0000BF010000}"/>
    <cellStyle name="Linked Cell 2 2 6 2 2" xfId="402" xr:uid="{00000000-0005-0000-0000-0000C0010000}"/>
    <cellStyle name="Linked Cell 2 2 6 3" xfId="403" xr:uid="{00000000-0005-0000-0000-0000C1010000}"/>
    <cellStyle name="Linked Cell 2 2 6 4" xfId="404" xr:uid="{00000000-0005-0000-0000-0000C2010000}"/>
    <cellStyle name="Linked Cell 2 2 7" xfId="9" xr:uid="{00000000-0005-0000-0000-00000F000000}"/>
    <cellStyle name="Linked Cell 2 2 7 2" xfId="126" xr:uid="{00000000-0005-0000-0000-0000AC000000}"/>
    <cellStyle name="Linked Cell 2 2 7 2 2" xfId="129" xr:uid="{00000000-0005-0000-0000-0000AF000000}"/>
    <cellStyle name="Linked Cell 2 2 7 3" xfId="405" xr:uid="{00000000-0005-0000-0000-0000C3010000}"/>
    <cellStyle name="Linked Cell 2 2 7 4" xfId="407" xr:uid="{00000000-0005-0000-0000-0000C5010000}"/>
    <cellStyle name="Linked Cell 2 2 8" xfId="243" xr:uid="{00000000-0005-0000-0000-000021010000}"/>
    <cellStyle name="Linked Cell 2 2 8 2" xfId="34" xr:uid="{00000000-0005-0000-0000-000037000000}"/>
    <cellStyle name="Linked Cell 2 2 8 2 2" xfId="177" xr:uid="{00000000-0005-0000-0000-0000DF000000}"/>
    <cellStyle name="Linked Cell 2 2 8 3" xfId="11" xr:uid="{00000000-0005-0000-0000-000014000000}"/>
    <cellStyle name="Linked Cell 2 2 8 4" xfId="91" xr:uid="{00000000-0005-0000-0000-000089000000}"/>
    <cellStyle name="Linked Cell 2 2 9" xfId="246" xr:uid="{00000000-0005-0000-0000-000024010000}"/>
    <cellStyle name="Linked Cell 2 2 9 2" xfId="250" xr:uid="{00000000-0005-0000-0000-000028010000}"/>
    <cellStyle name="Linked Cell 2 2 9 2 2" xfId="192" xr:uid="{00000000-0005-0000-0000-0000EE000000}"/>
    <cellStyle name="Linked Cell 2 2 9 3" xfId="27" xr:uid="{00000000-0005-0000-0000-000029000000}"/>
    <cellStyle name="Linked Cell 2 2 9 4" xfId="409" xr:uid="{00000000-0005-0000-0000-0000C7010000}"/>
    <cellStyle name="Linked Cell 2 3" xfId="247" xr:uid="{00000000-0005-0000-0000-000025010000}"/>
    <cellStyle name="Linked Cell 2 3 10" xfId="362" xr:uid="{00000000-0005-0000-0000-000098010000}"/>
    <cellStyle name="Linked Cell 2 3 10 2" xfId="367" xr:uid="{00000000-0005-0000-0000-00009D010000}"/>
    <cellStyle name="Linked Cell 2 3 10 2 2" xfId="41" xr:uid="{00000000-0005-0000-0000-00004D000000}"/>
    <cellStyle name="Linked Cell 2 3 10 3" xfId="369" xr:uid="{00000000-0005-0000-0000-00009F010000}"/>
    <cellStyle name="Linked Cell 2 3 10 4" xfId="146" xr:uid="{00000000-0005-0000-0000-0000C0000000}"/>
    <cellStyle name="Linked Cell 2 3 11" xfId="332" xr:uid="{00000000-0005-0000-0000-00007A010000}"/>
    <cellStyle name="Linked Cell 2 3 11 2" xfId="372" xr:uid="{00000000-0005-0000-0000-0000A2010000}"/>
    <cellStyle name="Linked Cell 2 3 12" xfId="38" xr:uid="{00000000-0005-0000-0000-000042000000}"/>
    <cellStyle name="Linked Cell 2 3 13" xfId="39" xr:uid="{00000000-0005-0000-0000-000046000000}"/>
    <cellStyle name="Linked Cell 2 3 2" xfId="251" xr:uid="{00000000-0005-0000-0000-000029010000}"/>
    <cellStyle name="Linked Cell 2 3 2 2" xfId="194" xr:uid="{00000000-0005-0000-0000-0000F0000000}"/>
    <cellStyle name="Linked Cell 2 3 2 2 2" xfId="196" xr:uid="{00000000-0005-0000-0000-0000F2000000}"/>
    <cellStyle name="Linked Cell 2 3 2 3" xfId="411" xr:uid="{00000000-0005-0000-0000-0000C9010000}"/>
    <cellStyle name="Linked Cell 2 3 2 4" xfId="412" xr:uid="{00000000-0005-0000-0000-0000CA010000}"/>
    <cellStyle name="Linked Cell 2 3 3" xfId="28" xr:uid="{00000000-0005-0000-0000-00002A000000}"/>
    <cellStyle name="Linked Cell 2 3 3 2" xfId="223" xr:uid="{00000000-0005-0000-0000-00000D010000}"/>
    <cellStyle name="Linked Cell 2 3 3 2 2" xfId="234" xr:uid="{00000000-0005-0000-0000-000018010000}"/>
    <cellStyle name="Linked Cell 2 3 3 3" xfId="413" xr:uid="{00000000-0005-0000-0000-0000CB010000}"/>
    <cellStyle name="Linked Cell 2 3 3 4" xfId="414" xr:uid="{00000000-0005-0000-0000-0000CC010000}"/>
    <cellStyle name="Linked Cell 2 3 4" xfId="410" xr:uid="{00000000-0005-0000-0000-0000C8010000}"/>
    <cellStyle name="Linked Cell 2 3 4 2" xfId="231" xr:uid="{00000000-0005-0000-0000-000015010000}"/>
    <cellStyle name="Linked Cell 2 3 4 2 2" xfId="280" xr:uid="{00000000-0005-0000-0000-000046010000}"/>
    <cellStyle name="Linked Cell 2 3 4 3" xfId="415" xr:uid="{00000000-0005-0000-0000-0000CD010000}"/>
    <cellStyle name="Linked Cell 2 3 4 4" xfId="66" xr:uid="{00000000-0005-0000-0000-000070000000}"/>
    <cellStyle name="Linked Cell 2 3 5" xfId="3" xr:uid="{00000000-0005-0000-0000-000004000000}"/>
    <cellStyle name="Linked Cell 2 3 5 2" xfId="77" xr:uid="{00000000-0005-0000-0000-00007B000000}"/>
    <cellStyle name="Linked Cell 2 3 5 2 2" xfId="79" xr:uid="{00000000-0005-0000-0000-00007D000000}"/>
    <cellStyle name="Linked Cell 2 3 5 3" xfId="416" xr:uid="{00000000-0005-0000-0000-0000CE010000}"/>
    <cellStyle name="Linked Cell 2 3 5 4" xfId="417" xr:uid="{00000000-0005-0000-0000-0000CF010000}"/>
    <cellStyle name="Linked Cell 2 3 6" xfId="23" xr:uid="{00000000-0005-0000-0000-000024000000}"/>
    <cellStyle name="Linked Cell 2 3 6 2" xfId="83" xr:uid="{00000000-0005-0000-0000-000081000000}"/>
    <cellStyle name="Linked Cell 2 3 6 2 2" xfId="85" xr:uid="{00000000-0005-0000-0000-000083000000}"/>
    <cellStyle name="Linked Cell 2 3 6 3" xfId="418" xr:uid="{00000000-0005-0000-0000-0000D0010000}"/>
    <cellStyle name="Linked Cell 2 3 6 4" xfId="419" xr:uid="{00000000-0005-0000-0000-0000D1010000}"/>
    <cellStyle name="Linked Cell 2 3 7" xfId="17" xr:uid="{00000000-0005-0000-0000-00001C000000}"/>
    <cellStyle name="Linked Cell 2 3 7 2" xfId="88" xr:uid="{00000000-0005-0000-0000-000086000000}"/>
    <cellStyle name="Linked Cell 2 3 7 2 2" xfId="92" xr:uid="{00000000-0005-0000-0000-00008A000000}"/>
    <cellStyle name="Linked Cell 2 3 7 3" xfId="420" xr:uid="{00000000-0005-0000-0000-0000D2010000}"/>
    <cellStyle name="Linked Cell 2 3 7 4" xfId="421" xr:uid="{00000000-0005-0000-0000-0000D3010000}"/>
    <cellStyle name="Linked Cell 2 3 8" xfId="44" xr:uid="{00000000-0005-0000-0000-000053000000}"/>
    <cellStyle name="Linked Cell 2 3 8 2" xfId="96" xr:uid="{00000000-0005-0000-0000-00008E000000}"/>
    <cellStyle name="Linked Cell 2 3 8 2 2" xfId="98" xr:uid="{00000000-0005-0000-0000-000090000000}"/>
    <cellStyle name="Linked Cell 2 3 8 3" xfId="422" xr:uid="{00000000-0005-0000-0000-0000D4010000}"/>
    <cellStyle name="Linked Cell 2 3 8 4" xfId="99" xr:uid="{00000000-0005-0000-0000-000091000000}"/>
    <cellStyle name="Linked Cell 2 3 9" xfId="46" xr:uid="{00000000-0005-0000-0000-000057000000}"/>
    <cellStyle name="Linked Cell 2 3 9 2" xfId="102" xr:uid="{00000000-0005-0000-0000-000094000000}"/>
    <cellStyle name="Linked Cell 2 3 9 2 2" xfId="105" xr:uid="{00000000-0005-0000-0000-000097000000}"/>
    <cellStyle name="Linked Cell 2 3 9 3" xfId="423" xr:uid="{00000000-0005-0000-0000-0000D5010000}"/>
    <cellStyle name="Linked Cell 2 3 9 4" xfId="424" xr:uid="{00000000-0005-0000-0000-0000D6010000}"/>
    <cellStyle name="Linked Cell 2 4" xfId="253" xr:uid="{00000000-0005-0000-0000-00002B010000}"/>
    <cellStyle name="Linked Cell 2 4 10" xfId="406" xr:uid="{00000000-0005-0000-0000-0000C4010000}"/>
    <cellStyle name="Linked Cell 2 4 10 2" xfId="153" xr:uid="{00000000-0005-0000-0000-0000C7000000}"/>
    <cellStyle name="Linked Cell 2 4 10 2 2" xfId="24" xr:uid="{00000000-0005-0000-0000-000025000000}"/>
    <cellStyle name="Linked Cell 2 4 10 3" xfId="425" xr:uid="{00000000-0005-0000-0000-0000D7010000}"/>
    <cellStyle name="Linked Cell 2 4 10 4" xfId="426" xr:uid="{00000000-0005-0000-0000-0000D8010000}"/>
    <cellStyle name="Linked Cell 2 4 11" xfId="427" xr:uid="{00000000-0005-0000-0000-0000D9010000}"/>
    <cellStyle name="Linked Cell 2 4 11 2" xfId="159" xr:uid="{00000000-0005-0000-0000-0000CD000000}"/>
    <cellStyle name="Linked Cell 2 4 12" xfId="428" xr:uid="{00000000-0005-0000-0000-0000DA010000}"/>
    <cellStyle name="Linked Cell 2 4 13" xfId="429" xr:uid="{00000000-0005-0000-0000-0000DB010000}"/>
    <cellStyle name="Linked Cell 2 4 2" xfId="255" xr:uid="{00000000-0005-0000-0000-00002D010000}"/>
    <cellStyle name="Linked Cell 2 4 2 2" xfId="263" xr:uid="{00000000-0005-0000-0000-000035010000}"/>
    <cellStyle name="Linked Cell 2 4 2 2 2" xfId="431" xr:uid="{00000000-0005-0000-0000-0000DD010000}"/>
    <cellStyle name="Linked Cell 2 4 2 3" xfId="432" xr:uid="{00000000-0005-0000-0000-0000DE010000}"/>
    <cellStyle name="Linked Cell 2 4 2 4" xfId="385" xr:uid="{00000000-0005-0000-0000-0000AF010000}"/>
    <cellStyle name="Linked Cell 2 4 3" xfId="257" xr:uid="{00000000-0005-0000-0000-00002F010000}"/>
    <cellStyle name="Linked Cell 2 4 3 2" xfId="270" xr:uid="{00000000-0005-0000-0000-00003C010000}"/>
    <cellStyle name="Linked Cell 2 4 3 2 2" xfId="308" xr:uid="{00000000-0005-0000-0000-000062010000}"/>
    <cellStyle name="Linked Cell 2 4 3 3" xfId="315" xr:uid="{00000000-0005-0000-0000-000069010000}"/>
    <cellStyle name="Linked Cell 2 4 3 4" xfId="319" xr:uid="{00000000-0005-0000-0000-00006D010000}"/>
    <cellStyle name="Linked Cell 2 4 4" xfId="434" xr:uid="{00000000-0005-0000-0000-0000E0010000}"/>
    <cellStyle name="Linked Cell 2 4 4 2" xfId="275" xr:uid="{00000000-0005-0000-0000-000041010000}"/>
    <cellStyle name="Linked Cell 2 4 4 2 2" xfId="435" xr:uid="{00000000-0005-0000-0000-0000E1010000}"/>
    <cellStyle name="Linked Cell 2 4 4 3" xfId="436" xr:uid="{00000000-0005-0000-0000-0000E2010000}"/>
    <cellStyle name="Linked Cell 2 4 4 4" xfId="52" xr:uid="{00000000-0005-0000-0000-000062000000}"/>
    <cellStyle name="Linked Cell 2 4 5" xfId="437" xr:uid="{00000000-0005-0000-0000-0000E3010000}"/>
    <cellStyle name="Linked Cell 2 4 5 2" xfId="278" xr:uid="{00000000-0005-0000-0000-000044010000}"/>
    <cellStyle name="Linked Cell 2 4 5 2 2" xfId="438" xr:uid="{00000000-0005-0000-0000-0000E4010000}"/>
    <cellStyle name="Linked Cell 2 4 5 3" xfId="439" xr:uid="{00000000-0005-0000-0000-0000E5010000}"/>
    <cellStyle name="Linked Cell 2 4 5 4" xfId="387" xr:uid="{00000000-0005-0000-0000-0000B1010000}"/>
    <cellStyle name="Linked Cell 2 4 6" xfId="5" xr:uid="{00000000-0005-0000-0000-000009000000}"/>
    <cellStyle name="Linked Cell 2 4 6 2" xfId="376" xr:uid="{00000000-0005-0000-0000-0000A6010000}"/>
    <cellStyle name="Linked Cell 2 4 6 2 2" xfId="440" xr:uid="{00000000-0005-0000-0000-0000E6010000}"/>
    <cellStyle name="Linked Cell 2 4 6 3" xfId="378" xr:uid="{00000000-0005-0000-0000-0000A8010000}"/>
    <cellStyle name="Linked Cell 2 4 6 4" xfId="441" xr:uid="{00000000-0005-0000-0000-0000E7010000}"/>
    <cellStyle name="Linked Cell 2 4 7" xfId="442" xr:uid="{00000000-0005-0000-0000-0000E8010000}"/>
    <cellStyle name="Linked Cell 2 4 7 2" xfId="443" xr:uid="{00000000-0005-0000-0000-0000E9010000}"/>
    <cellStyle name="Linked Cell 2 4 7 2 2" xfId="444" xr:uid="{00000000-0005-0000-0000-0000EA010000}"/>
    <cellStyle name="Linked Cell 2 4 7 3" xfId="287" xr:uid="{00000000-0005-0000-0000-00004D010000}"/>
    <cellStyle name="Linked Cell 2 4 7 4" xfId="292" xr:uid="{00000000-0005-0000-0000-000052010000}"/>
    <cellStyle name="Linked Cell 2 4 8" xfId="445" xr:uid="{00000000-0005-0000-0000-0000EB010000}"/>
    <cellStyle name="Linked Cell 2 4 8 2" xfId="447" xr:uid="{00000000-0005-0000-0000-0000ED010000}"/>
    <cellStyle name="Linked Cell 2 4 8 2 2" xfId="42" xr:uid="{00000000-0005-0000-0000-00004E000000}"/>
    <cellStyle name="Linked Cell 2 4 8 3" xfId="298" xr:uid="{00000000-0005-0000-0000-000058010000}"/>
    <cellStyle name="Linked Cell 2 4 8 4" xfId="106" xr:uid="{00000000-0005-0000-0000-000098000000}"/>
    <cellStyle name="Linked Cell 2 4 9" xfId="449" xr:uid="{00000000-0005-0000-0000-0000EF010000}"/>
    <cellStyle name="Linked Cell 2 4 9 2" xfId="198" xr:uid="{00000000-0005-0000-0000-0000F4000000}"/>
    <cellStyle name="Linked Cell 2 4 9 2 2" xfId="203" xr:uid="{00000000-0005-0000-0000-0000F9000000}"/>
    <cellStyle name="Linked Cell 2 4 9 3" xfId="238" xr:uid="{00000000-0005-0000-0000-00001C010000}"/>
    <cellStyle name="Linked Cell 2 4 9 4" xfId="283" xr:uid="{00000000-0005-0000-0000-000049010000}"/>
    <cellStyle name="Linked Cell 2 5" xfId="259" xr:uid="{00000000-0005-0000-0000-000031010000}"/>
    <cellStyle name="Linked Cell 2 5 2" xfId="261" xr:uid="{00000000-0005-0000-0000-000033010000}"/>
    <cellStyle name="Linked Cell 2 5 2 2" xfId="380" xr:uid="{00000000-0005-0000-0000-0000AA010000}"/>
    <cellStyle name="Linked Cell 2 5 3" xfId="264" xr:uid="{00000000-0005-0000-0000-000036010000}"/>
    <cellStyle name="Linked Cell 2 5 4" xfId="433" xr:uid="{00000000-0005-0000-0000-0000DF010000}"/>
    <cellStyle name="Neutral 2" xfId="430" xr:uid="{00000000-0005-0000-0000-0000DC010000}"/>
    <cellStyle name="Normal" xfId="0" builtinId="0"/>
    <cellStyle name="Normal 10" xfId="451" xr:uid="{00000000-0005-0000-0000-0000F1010000}"/>
    <cellStyle name="Normal 11" xfId="452" xr:uid="{00000000-0005-0000-0000-0000F2010000}"/>
    <cellStyle name="Normal 14" xfId="408" xr:uid="{00000000-0005-0000-0000-0000C6010000}"/>
    <cellStyle name="Normal 2" xfId="453" xr:uid="{00000000-0005-0000-0000-0000F3010000}"/>
    <cellStyle name="Normal 2 2" xfId="446" xr:uid="{00000000-0005-0000-0000-0000EC010000}"/>
    <cellStyle name="Normal 2 2 2" xfId="448" xr:uid="{00000000-0005-0000-0000-0000EE010000}"/>
    <cellStyle name="Normal 2 3" xfId="450" xr:uid="{00000000-0005-0000-0000-0000F0010000}"/>
    <cellStyle name="Normal 2 3 2" xfId="199" xr:uid="{00000000-0005-0000-0000-0000F5000000}"/>
    <cellStyle name="Normal 2 4" xfId="454" xr:uid="{00000000-0005-0000-0000-0000F4010000}"/>
    <cellStyle name="Normal 2 5" xfId="455" xr:uid="{00000000-0005-0000-0000-0000F5010000}"/>
    <cellStyle name="Normal 2 6" xfId="456" xr:uid="{00000000-0005-0000-0000-0000F6010000}"/>
    <cellStyle name="Normal 2 6 3" xfId="310" xr:uid="{00000000-0005-0000-0000-000064010000}"/>
    <cellStyle name="Normal 2 7" xfId="457" xr:uid="{00000000-0005-0000-0000-0000F7010000}"/>
    <cellStyle name="Normal 2 7 2" xfId="458" xr:uid="{00000000-0005-0000-0000-0000F8010000}"/>
    <cellStyle name="Normal 3" xfId="354" xr:uid="{00000000-0005-0000-0000-000090010000}"/>
    <cellStyle name="Normal 3 2" xfId="356" xr:uid="{00000000-0005-0000-0000-000092010000}"/>
    <cellStyle name="Normal 3 2 2" xfId="383" xr:uid="{00000000-0005-0000-0000-0000AD010000}"/>
    <cellStyle name="Normal 3 2 3" xfId="328" xr:uid="{00000000-0005-0000-0000-000076010000}"/>
    <cellStyle name="Normal 3 3" xfId="459" xr:uid="{00000000-0005-0000-0000-0000F9010000}"/>
    <cellStyle name="Normal 3 3 2" xfId="365" xr:uid="{00000000-0005-0000-0000-00009B010000}"/>
    <cellStyle name="Normal 3 4" xfId="460" xr:uid="{00000000-0005-0000-0000-0000FA010000}"/>
    <cellStyle name="Normal 3 5" xfId="63" xr:uid="{00000000-0005-0000-0000-00006D000000}"/>
    <cellStyle name="Normal 3 8" xfId="461" xr:uid="{00000000-0005-0000-0000-0000FB010000}"/>
    <cellStyle name="Normal 3_qty Eastern Bulacan" xfId="462" xr:uid="{00000000-0005-0000-0000-0000FC010000}"/>
    <cellStyle name="Normal 4" xfId="358" xr:uid="{00000000-0005-0000-0000-000094010000}"/>
    <cellStyle name="Normal 4 2" xfId="463" xr:uid="{00000000-0005-0000-0000-0000FD010000}"/>
    <cellStyle name="Normal 5" xfId="464" xr:uid="{00000000-0005-0000-0000-0000FE010000}"/>
    <cellStyle name="Normal 5 2" xfId="465" xr:uid="{00000000-0005-0000-0000-0000FF010000}"/>
    <cellStyle name="Normal 5 3" xfId="29" xr:uid="{00000000-0005-0000-0000-00002C000000}"/>
    <cellStyle name="Normal 6" xfId="466" xr:uid="{00000000-0005-0000-0000-000000020000}"/>
    <cellStyle name="Normal 6 2" xfId="467" xr:uid="{00000000-0005-0000-0000-000001020000}"/>
    <cellStyle name="Normal 6 3" xfId="25" xr:uid="{00000000-0005-0000-0000-000026000000}"/>
    <cellStyle name="Normal 7" xfId="468" xr:uid="{00000000-0005-0000-0000-000002020000}"/>
    <cellStyle name="Normal 7 2" xfId="10" xr:uid="{00000000-0005-0000-0000-000011000000}"/>
    <cellStyle name="Normal 7 3" xfId="469" xr:uid="{00000000-0005-0000-0000-000003020000}"/>
    <cellStyle name="Normal 8" xfId="470" xr:uid="{00000000-0005-0000-0000-000004020000}"/>
    <cellStyle name="Normal 8 2" xfId="471" xr:uid="{00000000-0005-0000-0000-000005020000}"/>
    <cellStyle name="Normal 9" xfId="472" xr:uid="{00000000-0005-0000-0000-000006020000}"/>
    <cellStyle name="Note 2" xfId="473" xr:uid="{00000000-0005-0000-0000-000007020000}"/>
    <cellStyle name="Note 2 2" xfId="474" xr:uid="{00000000-0005-0000-0000-000008020000}"/>
    <cellStyle name="Note 2 2 2" xfId="475" xr:uid="{00000000-0005-0000-0000-000009020000}"/>
    <cellStyle name="Note 2 3" xfId="476" xr:uid="{00000000-0005-0000-0000-00000A020000}"/>
    <cellStyle name="Note 2 4" xfId="477" xr:uid="{00000000-0005-0000-0000-00000B020000}"/>
    <cellStyle name="Output 2" xfId="478" xr:uid="{00000000-0005-0000-0000-00000C020000}"/>
    <cellStyle name="Output 2 2" xfId="479" xr:uid="{00000000-0005-0000-0000-00000D020000}"/>
    <cellStyle name="Percent" xfId="7" builtinId="5"/>
    <cellStyle name="Percent 2" xfId="480" xr:uid="{00000000-0005-0000-0000-00000E020000}"/>
    <cellStyle name="Percent 2 2" xfId="481" xr:uid="{00000000-0005-0000-0000-00000F020000}"/>
    <cellStyle name="Percent 2 2 2" xfId="482" xr:uid="{00000000-0005-0000-0000-000010020000}"/>
    <cellStyle name="Percent 2 2 2 2" xfId="483" xr:uid="{00000000-0005-0000-0000-000011020000}"/>
    <cellStyle name="Percent 2 2 3" xfId="484" xr:uid="{00000000-0005-0000-0000-000012020000}"/>
    <cellStyle name="Percent 2 2 3 2" xfId="485" xr:uid="{00000000-0005-0000-0000-000013020000}"/>
    <cellStyle name="Percent 2 2 4" xfId="486" xr:uid="{00000000-0005-0000-0000-000014020000}"/>
    <cellStyle name="Percent 2 2 5" xfId="487" xr:uid="{00000000-0005-0000-0000-000015020000}"/>
    <cellStyle name="Percent 2 3" xfId="488" xr:uid="{00000000-0005-0000-0000-000016020000}"/>
    <cellStyle name="Percent 2 3 2" xfId="489" xr:uid="{00000000-0005-0000-0000-000017020000}"/>
    <cellStyle name="Percent 2 3 3" xfId="490" xr:uid="{00000000-0005-0000-0000-000018020000}"/>
    <cellStyle name="Percent 2 3 4" xfId="491" xr:uid="{00000000-0005-0000-0000-000019020000}"/>
    <cellStyle name="Percent 2 4" xfId="492" xr:uid="{00000000-0005-0000-0000-00001A020000}"/>
    <cellStyle name="Percent 3" xfId="493" xr:uid="{00000000-0005-0000-0000-00001B020000}"/>
    <cellStyle name="Percent 3 2" xfId="494" xr:uid="{00000000-0005-0000-0000-00001C020000}"/>
    <cellStyle name="Percent 3 2 2" xfId="495" xr:uid="{00000000-0005-0000-0000-00001D020000}"/>
    <cellStyle name="Percent 4" xfId="496" xr:uid="{00000000-0005-0000-0000-00001E020000}"/>
    <cellStyle name="Percent 4 2" xfId="497" xr:uid="{00000000-0005-0000-0000-00001F020000}"/>
    <cellStyle name="Percent 4 3" xfId="498" xr:uid="{00000000-0005-0000-0000-000020020000}"/>
    <cellStyle name="Percent 5" xfId="499" xr:uid="{00000000-0005-0000-0000-000021020000}"/>
    <cellStyle name="Percent 5 2" xfId="500" xr:uid="{00000000-0005-0000-0000-000022020000}"/>
    <cellStyle name="Percent 5 3" xfId="501" xr:uid="{00000000-0005-0000-0000-000023020000}"/>
    <cellStyle name="Percent 6" xfId="502" xr:uid="{00000000-0005-0000-0000-000024020000}"/>
    <cellStyle name="Percent 6 2" xfId="391" xr:uid="{00000000-0005-0000-0000-0000B5010000}"/>
    <cellStyle name="Percent 6 3" xfId="55" xr:uid="{00000000-0005-0000-0000-000065000000}"/>
    <cellStyle name="Percent 7" xfId="503" xr:uid="{00000000-0005-0000-0000-000025020000}"/>
    <cellStyle name="Percent 8" xfId="504" xr:uid="{00000000-0005-0000-0000-000026020000}"/>
    <cellStyle name="Result" xfId="505" xr:uid="{00000000-0005-0000-0000-000027020000}"/>
    <cellStyle name="Result2" xfId="506" xr:uid="{00000000-0005-0000-0000-000028020000}"/>
    <cellStyle name="Title 2" xfId="507" xr:uid="{00000000-0005-0000-0000-000029020000}"/>
    <cellStyle name="Total 2" xfId="508" xr:uid="{00000000-0005-0000-0000-00002A020000}"/>
    <cellStyle name="Total 2 2" xfId="509" xr:uid="{00000000-0005-0000-0000-00002B020000}"/>
    <cellStyle name="Warning Text 2" xfId="510" xr:uid="{00000000-0005-0000-0000-00002C020000}"/>
    <cellStyle name="표준_CONC부재별물량Hull" xfId="511" xr:uid="{00000000-0005-0000-0000-00002D020000}"/>
  </cellStyles>
  <dxfs count="0"/>
  <tableStyles count="0" defaultTableStyle="TableStyleMedium2" defaultPivotStyle="PivotStyleLight16"/>
  <colors>
    <mruColors>
      <color rgb="FFD99694"/>
      <color rgb="FFDDD9C3"/>
      <color rgb="FFD7E4BD"/>
      <color rgb="FFDDD9CE"/>
      <color rgb="FFD90000"/>
      <color rgb="FFD9BFBF"/>
      <color rgb="FF7F96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2.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26974</xdr:colOff>
      <xdr:row>2</xdr:row>
      <xdr:rowOff>115214</xdr:rowOff>
    </xdr:from>
    <xdr:ext cx="1001542" cy="971504"/>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lum/>
        </a:blip>
        <a:srcRect/>
        <a:stretch>
          <a:fillRect/>
        </a:stretch>
      </xdr:blipFill>
      <xdr:spPr>
        <a:xfrm>
          <a:off x="26670" y="470535"/>
          <a:ext cx="1001395" cy="971550"/>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123144</xdr:colOff>
      <xdr:row>0</xdr:row>
      <xdr:rowOff>121077</xdr:rowOff>
    </xdr:from>
    <xdr:ext cx="1195943" cy="1134450"/>
    <xdr:pic>
      <xdr:nvPicPr>
        <xdr:cNvPr id="3" name="Picture 2">
          <a:extLst>
            <a:ext uri="{FF2B5EF4-FFF2-40B4-BE49-F238E27FC236}">
              <a16:creationId xmlns:a16="http://schemas.microsoft.com/office/drawing/2014/main" id="{116BEC03-0C29-4809-BB1F-0370CD5A202D}"/>
            </a:ext>
          </a:extLst>
        </xdr:cNvPr>
        <xdr:cNvPicPr>
          <a:picLocks noChangeAspect="1"/>
        </xdr:cNvPicPr>
      </xdr:nvPicPr>
      <xdr:blipFill>
        <a:blip xmlns:r="http://schemas.openxmlformats.org/officeDocument/2006/relationships" r:embed="rId1">
          <a:lum/>
        </a:blip>
        <a:srcRect/>
        <a:stretch>
          <a:fillRect/>
        </a:stretch>
      </xdr:blipFill>
      <xdr:spPr>
        <a:xfrm>
          <a:off x="123144" y="121077"/>
          <a:ext cx="1195943" cy="113445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141165</xdr:colOff>
      <xdr:row>0</xdr:row>
      <xdr:rowOff>137840</xdr:rowOff>
    </xdr:from>
    <xdr:ext cx="1195943" cy="1134450"/>
    <xdr:pic>
      <xdr:nvPicPr>
        <xdr:cNvPr id="3" name="Picture 2">
          <a:extLst>
            <a:ext uri="{FF2B5EF4-FFF2-40B4-BE49-F238E27FC236}">
              <a16:creationId xmlns:a16="http://schemas.microsoft.com/office/drawing/2014/main" id="{39E5FF94-6161-499B-9C69-980AE3C0778B}"/>
            </a:ext>
          </a:extLst>
        </xdr:cNvPr>
        <xdr:cNvPicPr>
          <a:picLocks noChangeAspect="1"/>
        </xdr:cNvPicPr>
      </xdr:nvPicPr>
      <xdr:blipFill>
        <a:blip xmlns:r="http://schemas.openxmlformats.org/officeDocument/2006/relationships" r:embed="rId1">
          <a:lum/>
        </a:blip>
        <a:srcRect/>
        <a:stretch>
          <a:fillRect/>
        </a:stretch>
      </xdr:blipFill>
      <xdr:spPr>
        <a:xfrm>
          <a:off x="141165" y="137840"/>
          <a:ext cx="1195943" cy="113445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74523</xdr:colOff>
      <xdr:row>2</xdr:row>
      <xdr:rowOff>78821</xdr:rowOff>
    </xdr:from>
    <xdr:ext cx="1195943" cy="1134450"/>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lum/>
        </a:blip>
        <a:srcRect/>
        <a:stretch>
          <a:fillRect/>
        </a:stretch>
      </xdr:blipFill>
      <xdr:spPr>
        <a:xfrm>
          <a:off x="74295" y="78740"/>
          <a:ext cx="1195705" cy="11341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84582</xdr:colOff>
      <xdr:row>1</xdr:row>
      <xdr:rowOff>10058</xdr:rowOff>
    </xdr:from>
    <xdr:ext cx="940003" cy="928115"/>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lum/>
        </a:blip>
        <a:srcRect/>
        <a:stretch>
          <a:fillRect/>
        </a:stretch>
      </xdr:blipFill>
      <xdr:spPr>
        <a:xfrm>
          <a:off x="84455" y="187325"/>
          <a:ext cx="939800" cy="92837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26974</xdr:colOff>
      <xdr:row>0</xdr:row>
      <xdr:rowOff>365</xdr:rowOff>
    </xdr:from>
    <xdr:ext cx="792327" cy="730178"/>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lum/>
        </a:blip>
        <a:srcRect/>
        <a:stretch>
          <a:fillRect/>
        </a:stretch>
      </xdr:blipFill>
      <xdr:spPr>
        <a:xfrm>
          <a:off x="26670" y="0"/>
          <a:ext cx="792480" cy="73025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55412</xdr:colOff>
      <xdr:row>0</xdr:row>
      <xdr:rowOff>365</xdr:rowOff>
    </xdr:from>
    <xdr:ext cx="1212128" cy="1102690"/>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lum/>
        </a:blip>
        <a:srcRect/>
        <a:stretch>
          <a:fillRect/>
        </a:stretch>
      </xdr:blipFill>
      <xdr:spPr>
        <a:xfrm>
          <a:off x="55245" y="0"/>
          <a:ext cx="1212215" cy="1102995"/>
        </a:xfrm>
        <a:prstGeom prst="rect">
          <a:avLst/>
        </a:prstGeom>
        <a:noFill/>
        <a:ln cap="flat">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DPWH\CANAL\A%20Castaneda-Ma%20Aurora-Sn%20Luis%20Road-%20K0198+623-K0226+000\ACMASAL%20POW%20R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lood%20Control%20Baubo-Bazal/Baubo-Bazal%20Flood%20Control%201s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Lenovo/Desktop/LAU.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C-2015-02-00 "/>
      <sheetName val="ABC-2015-02A-00  (1)"/>
      <sheetName val="ABC-2015-02A-00  (2)"/>
      <sheetName val="POW-2015-01-00 "/>
      <sheetName val="POW-2015-01A-00 "/>
      <sheetName val="POW-2015-01B-00 "/>
      <sheetName val="POW-2015-01C-00 "/>
      <sheetName val="BACKUP"/>
      <sheetName val="SOQ"/>
      <sheetName val="cd"/>
      <sheetName val="FO"/>
      <sheetName val="A.1.1 (3)"/>
      <sheetName val="B.5(dp)"/>
      <sheetName val="B.5 (coa)"/>
      <sheetName val="Man-days"/>
      <sheetName val="B.7(2)"/>
      <sheetName val="B.8(2)"/>
      <sheetName val="B.9"/>
      <sheetName val="100(3)a2"/>
      <sheetName val="101(4)a1"/>
      <sheetName val="101(6)"/>
      <sheetName val="103(1)a"/>
      <sheetName val="103(3)"/>
      <sheetName val="104(2)a"/>
      <sheetName val="105(1)a"/>
      <sheetName val="311(1)c1"/>
      <sheetName val="404(1)a"/>
      <sheetName val="405(1)a3 (RCBC)"/>
      <sheetName val="405(1)a3 (LC)"/>
      <sheetName val="405(2)a (LC)"/>
      <sheetName val="506(1) SP"/>
      <sheetName val="611(1)"/>
      <sheetName val="PRICE LIST"/>
      <sheetName val="Equipments"/>
      <sheetName val="HAULING COST (cement)"/>
      <sheetName val="HAULING COST (RSB)"/>
      <sheetName val="Sheet1"/>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5">
          <cell r="A15" t="str">
            <v>Item</v>
          </cell>
          <cell r="B15" t="str">
            <v>Individual Removal of Trees (301-500 mm dia., Small)</v>
          </cell>
        </row>
        <row r="16">
          <cell r="A16" t="str">
            <v>100(3)a2</v>
          </cell>
          <cell r="B16" t="str">
            <v>Total Quantity</v>
          </cell>
          <cell r="C16" t="str">
            <v>=</v>
          </cell>
          <cell r="D16">
            <v>3</v>
          </cell>
          <cell r="E16" t="str">
            <v>ea</v>
          </cell>
        </row>
        <row r="18">
          <cell r="A18" t="str">
            <v>Item</v>
          </cell>
          <cell r="B18" t="str">
            <v>Removal of Actual Structures/Obstruction (610 mm dia. RCPC)</v>
          </cell>
        </row>
        <row r="19">
          <cell r="A19" t="str">
            <v>101(4)a1</v>
          </cell>
          <cell r="B19" t="str">
            <v>Total Quantity</v>
          </cell>
          <cell r="C19" t="str">
            <v>=</v>
          </cell>
          <cell r="D19">
            <v>20</v>
          </cell>
          <cell r="E19" t="str">
            <v>ea</v>
          </cell>
        </row>
        <row r="21">
          <cell r="A21" t="str">
            <v>Item</v>
          </cell>
          <cell r="B21" t="str">
            <v>Removal of Structures and Obstruction (Concrete)</v>
          </cell>
        </row>
        <row r="22">
          <cell r="A22" t="str">
            <v>101(6)</v>
          </cell>
          <cell r="B22" t="str">
            <v>Total Volume</v>
          </cell>
          <cell r="C22" t="str">
            <v>=</v>
          </cell>
          <cell r="D22">
            <v>22.65</v>
          </cell>
          <cell r="E22" t="str">
            <v>cum</v>
          </cell>
        </row>
        <row r="24">
          <cell r="A24" t="str">
            <v>Item</v>
          </cell>
          <cell r="B24" t="str">
            <v>Structure Excavation (Common Soil)</v>
          </cell>
        </row>
        <row r="25">
          <cell r="A25" t="str">
            <v>103(1)a</v>
          </cell>
          <cell r="B25" t="str">
            <v>Total Volume</v>
          </cell>
          <cell r="C25" t="str">
            <v>=</v>
          </cell>
          <cell r="D25">
            <v>2849.19</v>
          </cell>
          <cell r="E25" t="str">
            <v>cum</v>
          </cell>
        </row>
        <row r="27">
          <cell r="A27" t="str">
            <v>Item</v>
          </cell>
          <cell r="B27" t="str">
            <v>Foundation Fill</v>
          </cell>
        </row>
        <row r="28">
          <cell r="A28" t="str">
            <v>103(3)</v>
          </cell>
          <cell r="B28" t="str">
            <v>Total Volume</v>
          </cell>
          <cell r="C28" t="str">
            <v>=</v>
          </cell>
          <cell r="D28">
            <v>234.16</v>
          </cell>
          <cell r="E28" t="str">
            <v>cum</v>
          </cell>
        </row>
        <row r="30">
          <cell r="A30" t="str">
            <v>Item</v>
          </cell>
          <cell r="B30" t="str">
            <v>Embankment from Borrow (Common Soil)</v>
          </cell>
        </row>
        <row r="31">
          <cell r="A31" t="str">
            <v>104(2)a</v>
          </cell>
          <cell r="B31" t="str">
            <v>Total Volume</v>
          </cell>
          <cell r="C31" t="str">
            <v>=</v>
          </cell>
          <cell r="D31">
            <v>142.74</v>
          </cell>
          <cell r="E31" t="str">
            <v>cum</v>
          </cell>
        </row>
        <row r="33">
          <cell r="A33" t="str">
            <v>Item</v>
          </cell>
          <cell r="B33" t="str">
            <v>Subgrade Preparation (Common Material)</v>
          </cell>
        </row>
        <row r="34">
          <cell r="A34" t="str">
            <v>105(1)a</v>
          </cell>
          <cell r="B34" t="str">
            <v>Total Area</v>
          </cell>
          <cell r="C34" t="str">
            <v>=</v>
          </cell>
          <cell r="D34">
            <v>918.9</v>
          </cell>
          <cell r="E34" t="str">
            <v>sqm</v>
          </cell>
        </row>
        <row r="36">
          <cell r="A36" t="str">
            <v>Item</v>
          </cell>
          <cell r="B36" t="str">
            <v>Portland Cement Concrete Pavement  (Unreinforced, 0.23m thick, 14 days)</v>
          </cell>
        </row>
        <row r="37">
          <cell r="A37" t="str">
            <v>311(1)c1</v>
          </cell>
          <cell r="B37" t="str">
            <v>Total Area</v>
          </cell>
          <cell r="C37" t="str">
            <v>=</v>
          </cell>
          <cell r="D37">
            <v>918.9</v>
          </cell>
          <cell r="E37" t="str">
            <v>sqm</v>
          </cell>
        </row>
        <row r="38">
          <cell r="B38" t="str">
            <v>Area 1</v>
          </cell>
          <cell r="C38" t="str">
            <v>=</v>
          </cell>
          <cell r="D38">
            <v>864</v>
          </cell>
          <cell r="E38" t="str">
            <v>sqm</v>
          </cell>
          <cell r="F38" t="str">
            <v>*for Paved Shoulder</v>
          </cell>
        </row>
        <row r="39">
          <cell r="B39" t="str">
            <v>Area 2</v>
          </cell>
          <cell r="C39" t="str">
            <v>=</v>
          </cell>
          <cell r="D39">
            <v>54.9</v>
          </cell>
          <cell r="E39" t="str">
            <v>sqm</v>
          </cell>
          <cell r="F39" t="str">
            <v>*for Roadway</v>
          </cell>
        </row>
        <row r="41">
          <cell r="A41" t="str">
            <v>Item</v>
          </cell>
          <cell r="B41" t="str">
            <v>Reinforcing Steel (Grade 40)</v>
          </cell>
        </row>
        <row r="42">
          <cell r="A42" t="str">
            <v>404(1)a</v>
          </cell>
          <cell r="B42" t="str">
            <v>Total Weight</v>
          </cell>
          <cell r="C42" t="str">
            <v>=</v>
          </cell>
          <cell r="D42">
            <v>130839.61</v>
          </cell>
          <cell r="E42" t="str">
            <v>kg</v>
          </cell>
        </row>
        <row r="43">
          <cell r="B43" t="str">
            <v>Wt. 1</v>
          </cell>
          <cell r="C43" t="str">
            <v>=</v>
          </cell>
          <cell r="D43">
            <v>1135</v>
          </cell>
          <cell r="E43" t="str">
            <v>kg</v>
          </cell>
          <cell r="F43" t="str">
            <v>*for Box culvert</v>
          </cell>
        </row>
        <row r="44">
          <cell r="B44" t="str">
            <v>Wt. 2</v>
          </cell>
          <cell r="C44" t="str">
            <v>=</v>
          </cell>
          <cell r="D44">
            <v>127409.49</v>
          </cell>
          <cell r="E44" t="str">
            <v>kg</v>
          </cell>
          <cell r="F44" t="str">
            <v>*for Lined Canal w/ cover or bond beam</v>
          </cell>
        </row>
        <row r="45">
          <cell r="B45" t="str">
            <v>Wt. 3</v>
          </cell>
          <cell r="C45" t="str">
            <v>=</v>
          </cell>
          <cell r="D45">
            <v>2295.12</v>
          </cell>
          <cell r="E45" t="str">
            <v>kg</v>
          </cell>
          <cell r="F45" t="str">
            <v>*for Trapezoidal Lined Canal</v>
          </cell>
        </row>
        <row r="47">
          <cell r="A47" t="str">
            <v>Item</v>
          </cell>
          <cell r="B47" t="str">
            <v>Structural Concrete, 20.68 Mpa, Class A, 28 days (RC Box Culvert)</v>
          </cell>
        </row>
        <row r="48">
          <cell r="A48" t="str">
            <v>405(1)a3</v>
          </cell>
          <cell r="B48" t="str">
            <v>Total Volume</v>
          </cell>
          <cell r="C48" t="str">
            <v>=</v>
          </cell>
          <cell r="D48">
            <v>11.2</v>
          </cell>
          <cell r="E48" t="str">
            <v>cum</v>
          </cell>
        </row>
        <row r="50">
          <cell r="A50" t="str">
            <v>Item</v>
          </cell>
          <cell r="B50" t="str">
            <v>Structural Concrete, 20.68 Mpa, Class A, 28 days (Lined Canal)</v>
          </cell>
        </row>
        <row r="51">
          <cell r="A51" t="str">
            <v>405(1)a3</v>
          </cell>
          <cell r="B51" t="str">
            <v>Total Volume</v>
          </cell>
          <cell r="C51" t="str">
            <v>=</v>
          </cell>
          <cell r="D51">
            <v>1218.8800000000001</v>
          </cell>
          <cell r="E51" t="str">
            <v>cum</v>
          </cell>
        </row>
        <row r="53">
          <cell r="A53" t="str">
            <v>Item</v>
          </cell>
          <cell r="B53" t="str">
            <v>Structural Concrete, 20.68 Mpa, Class B (Lined Canal)</v>
          </cell>
        </row>
        <row r="54">
          <cell r="A54" t="str">
            <v>405(2)a</v>
          </cell>
          <cell r="B54" t="str">
            <v>Total Volume</v>
          </cell>
          <cell r="C54" t="str">
            <v>=</v>
          </cell>
          <cell r="D54">
            <v>87.6</v>
          </cell>
          <cell r="E54" t="str">
            <v>cum</v>
          </cell>
        </row>
        <row r="56">
          <cell r="A56" t="str">
            <v>Item</v>
          </cell>
          <cell r="B56" t="str">
            <v>Stone Masonry</v>
          </cell>
        </row>
        <row r="57">
          <cell r="A57" t="str">
            <v>506(1)</v>
          </cell>
          <cell r="B57" t="str">
            <v>Total Volume</v>
          </cell>
          <cell r="C57" t="str">
            <v>=</v>
          </cell>
          <cell r="D57">
            <v>94.75</v>
          </cell>
          <cell r="E57" t="str">
            <v>cum</v>
          </cell>
        </row>
        <row r="58">
          <cell r="B58" t="str">
            <v>Vol. 1</v>
          </cell>
          <cell r="C58" t="str">
            <v>=</v>
          </cell>
          <cell r="D58">
            <v>84</v>
          </cell>
          <cell r="E58" t="str">
            <v>cum</v>
          </cell>
          <cell r="F58" t="str">
            <v>*for Slope Protection</v>
          </cell>
        </row>
        <row r="59">
          <cell r="B59" t="str">
            <v>Vol. 2</v>
          </cell>
          <cell r="C59" t="str">
            <v>=</v>
          </cell>
          <cell r="D59">
            <v>10.75</v>
          </cell>
          <cell r="E59" t="str">
            <v>cum</v>
          </cell>
          <cell r="F59" t="str">
            <v>*for Parapet wall</v>
          </cell>
        </row>
        <row r="61">
          <cell r="A61" t="str">
            <v>Item</v>
          </cell>
          <cell r="B61" t="str">
            <v>Trees Furnishing and Transplanting (Seedling Only)</v>
          </cell>
        </row>
        <row r="62">
          <cell r="A62" t="str">
            <v>611(1)</v>
          </cell>
          <cell r="B62" t="str">
            <v>Total Quantity</v>
          </cell>
          <cell r="C62" t="str">
            <v>=</v>
          </cell>
          <cell r="D62">
            <v>150</v>
          </cell>
          <cell r="E62" t="str">
            <v>ea</v>
          </cell>
        </row>
        <row r="66">
          <cell r="A66" t="str">
            <v>Prepared by:</v>
          </cell>
          <cell r="D66" t="str">
            <v>Checked/Submitted by:</v>
          </cell>
        </row>
        <row r="68">
          <cell r="A68" t="str">
            <v>RACHELE R. AQUIL</v>
          </cell>
          <cell r="D68" t="str">
            <v>MARK ANGELO E. SURIL</v>
          </cell>
        </row>
        <row r="69">
          <cell r="A69" t="str">
            <v>Engineer II</v>
          </cell>
          <cell r="D69" t="str">
            <v>Engineer II</v>
          </cell>
        </row>
        <row r="70">
          <cell r="A70" t="str">
            <v>Planning and Design Section</v>
          </cell>
          <cell r="D70" t="str">
            <v>Planning and Design Section</v>
          </cell>
        </row>
      </sheetData>
      <sheetData sheetId="8" refreshError="1">
        <row r="14">
          <cell r="A14" t="str">
            <v>ITEM NO.</v>
          </cell>
          <cell r="B14" t="str">
            <v>DESCRIPTION</v>
          </cell>
          <cell r="F14" t="str">
            <v>UNIT</v>
          </cell>
          <cell r="G14" t="str">
            <v>QUANTITY</v>
          </cell>
          <cell r="H14" t="str">
            <v>REMARKS</v>
          </cell>
        </row>
        <row r="16">
          <cell r="A16" t="str">
            <v>PART A</v>
          </cell>
          <cell r="B16" t="str">
            <v>FACILITIES FOR THE ENGINEER</v>
          </cell>
        </row>
        <row r="17">
          <cell r="A17" t="str">
            <v>A.1.1 (3)</v>
          </cell>
          <cell r="B17" t="str">
            <v>Construction of Field Office for the Engineer</v>
          </cell>
          <cell r="F17" t="str">
            <v>ls</v>
          </cell>
          <cell r="G17">
            <v>1</v>
          </cell>
          <cell r="H17" t="str">
            <v>Construction of 3.0x3.0m Field Office with CR</v>
          </cell>
        </row>
        <row r="18">
          <cell r="A18" t="str">
            <v>PART B</v>
          </cell>
          <cell r="B18" t="str">
            <v>OTHER GENERAL REQUIREMENTS</v>
          </cell>
        </row>
        <row r="19">
          <cell r="A19" t="str">
            <v>B.5</v>
          </cell>
          <cell r="B19" t="str">
            <v>Project Billboard/ Signboard (DPWH)</v>
          </cell>
          <cell r="F19" t="str">
            <v>ea</v>
          </cell>
          <cell r="G19">
            <v>2</v>
          </cell>
          <cell r="H19" t="str">
            <v>To be installed and maintained</v>
          </cell>
        </row>
        <row r="20">
          <cell r="A20" t="str">
            <v>B.5</v>
          </cell>
          <cell r="B20" t="str">
            <v>Project Billboard/ Signboard (COA)</v>
          </cell>
          <cell r="F20" t="str">
            <v>ea</v>
          </cell>
          <cell r="G20">
            <v>1</v>
          </cell>
          <cell r="H20" t="str">
            <v>To be installed and maintained</v>
          </cell>
        </row>
        <row r="21">
          <cell r="A21" t="str">
            <v>B.7 (2)</v>
          </cell>
          <cell r="B21" t="str">
            <v>Occupational Safety and Health Program</v>
          </cell>
          <cell r="F21" t="str">
            <v>ls</v>
          </cell>
          <cell r="G21">
            <v>1</v>
          </cell>
          <cell r="H21" t="str">
            <v>To be provided and maintained
(Considering Safety Measures for COVID-19)</v>
          </cell>
        </row>
        <row r="22">
          <cell r="A22" t="str">
            <v>B.8(2)</v>
          </cell>
          <cell r="B22" t="str">
            <v>Road Works Safety and Traffic Management</v>
          </cell>
          <cell r="F22" t="str">
            <v>ls</v>
          </cell>
          <cell r="G22">
            <v>1</v>
          </cell>
          <cell r="H22" t="str">
            <v>To be provided and maintained</v>
          </cell>
        </row>
        <row r="23">
          <cell r="A23" t="str">
            <v>B.9</v>
          </cell>
          <cell r="B23" t="str">
            <v>Mobilization/ Demobilization</v>
          </cell>
          <cell r="F23" t="str">
            <v>ls</v>
          </cell>
          <cell r="G23">
            <v>1</v>
          </cell>
          <cell r="H23" t="str">
            <v>For Equipments</v>
          </cell>
        </row>
        <row r="24">
          <cell r="A24" t="str">
            <v>PART C</v>
          </cell>
          <cell r="B24" t="str">
            <v>EARTHWORK</v>
          </cell>
        </row>
        <row r="25">
          <cell r="A25" t="str">
            <v>100(3)a2</v>
          </cell>
          <cell r="B25" t="str">
            <v>Individual Removal of Trees (301-500 mm dia., Small)</v>
          </cell>
          <cell r="F25" t="str">
            <v>ea</v>
          </cell>
          <cell r="G25">
            <v>3</v>
          </cell>
          <cell r="H25" t="str">
            <v>Removal of Trees</v>
          </cell>
        </row>
        <row r="26">
          <cell r="A26" t="str">
            <v>101(4)a1</v>
          </cell>
          <cell r="B26" t="str">
            <v>Removal of Actual Structures/Obstruction (610 mm dia. RCPC)</v>
          </cell>
          <cell r="F26" t="str">
            <v>ea</v>
          </cell>
          <cell r="G26">
            <v>20</v>
          </cell>
          <cell r="H26" t="str">
            <v>To be disposed</v>
          </cell>
        </row>
        <row r="27">
          <cell r="A27" t="str">
            <v>101(6)</v>
          </cell>
          <cell r="B27" t="str">
            <v>Removal of Structures and Obstruction (Concrete)</v>
          </cell>
          <cell r="F27" t="str">
            <v>cum</v>
          </cell>
          <cell r="G27">
            <v>22.65</v>
          </cell>
          <cell r="H27" t="str">
            <v>Removal of Concrete structures</v>
          </cell>
        </row>
        <row r="28">
          <cell r="A28" t="str">
            <v>103(1)a</v>
          </cell>
          <cell r="B28" t="str">
            <v>Structure Excavation (Common Soil)</v>
          </cell>
          <cell r="F28" t="str">
            <v>cum</v>
          </cell>
          <cell r="G28">
            <v>2849.19</v>
          </cell>
          <cell r="H28" t="str">
            <v>To be disposed</v>
          </cell>
        </row>
        <row r="29">
          <cell r="A29" t="str">
            <v>103(3)</v>
          </cell>
          <cell r="B29" t="str">
            <v>Foundation Fill</v>
          </cell>
          <cell r="F29" t="str">
            <v>cum</v>
          </cell>
          <cell r="G29">
            <v>234.16</v>
          </cell>
          <cell r="H29" t="str">
            <v>Granular bedding for Lined Canal</v>
          </cell>
        </row>
        <row r="30">
          <cell r="A30" t="str">
            <v>104(2)a</v>
          </cell>
          <cell r="B30" t="str">
            <v>Embankment from Borrow (Common Soil)</v>
          </cell>
          <cell r="F30" t="str">
            <v>cum</v>
          </cell>
          <cell r="G30">
            <v>142.74</v>
          </cell>
          <cell r="H30" t="str">
            <v>Embankment for Lined canal</v>
          </cell>
        </row>
        <row r="31">
          <cell r="A31" t="str">
            <v>105(1)a</v>
          </cell>
          <cell r="B31" t="str">
            <v>Subgrade Preparation (Common Material)</v>
          </cell>
          <cell r="F31" t="str">
            <v>sqm</v>
          </cell>
          <cell r="G31">
            <v>918.9</v>
          </cell>
          <cell r="H31" t="str">
            <v>For Concrete Shoulder</v>
          </cell>
        </row>
        <row r="32">
          <cell r="A32" t="str">
            <v>PART E</v>
          </cell>
          <cell r="B32" t="str">
            <v>SURFACE COURSES</v>
          </cell>
        </row>
        <row r="33">
          <cell r="A33" t="str">
            <v>311(1)c1</v>
          </cell>
          <cell r="B33" t="str">
            <v>Portland Cement Concrete Pavement  (Unreinforced, 0.23m thick, 14 days)</v>
          </cell>
          <cell r="F33" t="str">
            <v>sqm</v>
          </cell>
          <cell r="G33">
            <v>918.9</v>
          </cell>
          <cell r="H33" t="str">
            <v>For Concrete Shoulder (w = 2.0m)  
&amp; Roadway (w = 6.10m), 230mm thk</v>
          </cell>
        </row>
        <row r="34">
          <cell r="A34" t="str">
            <v>PART F</v>
          </cell>
          <cell r="B34" t="str">
            <v>BRIDGE CONSTRUCTION (LINED CANAL &amp; BOX CULVERT)</v>
          </cell>
        </row>
        <row r="35">
          <cell r="A35" t="str">
            <v>404(1)a</v>
          </cell>
          <cell r="B35" t="str">
            <v>Reinforcing Steel (Grade 40)</v>
          </cell>
          <cell r="F35" t="str">
            <v>kg</v>
          </cell>
          <cell r="G35">
            <v>130839.61</v>
          </cell>
          <cell r="H35" t="str">
            <v>For Lined Canal and
Reinforced Concrete Box Culvert</v>
          </cell>
        </row>
        <row r="36">
          <cell r="A36" t="str">
            <v>405(1)a3</v>
          </cell>
          <cell r="B36" t="str">
            <v>Structural Concrete, 20.68 Mpa, Class A, 28 days (RC Box Culvert)</v>
          </cell>
          <cell r="F36" t="str">
            <v>cum</v>
          </cell>
          <cell r="G36">
            <v>11.2</v>
          </cell>
          <cell r="H36" t="str">
            <v>For Reinforced Concrete Box Culvert</v>
          </cell>
        </row>
        <row r="37">
          <cell r="A37" t="str">
            <v>405(1)a3</v>
          </cell>
          <cell r="B37" t="str">
            <v>Structural Concrete, 20.68 Mpa, Class A, 28 days (Lined Canal)</v>
          </cell>
          <cell r="F37" t="str">
            <v>cum</v>
          </cell>
          <cell r="G37">
            <v>1218.8800000000001</v>
          </cell>
          <cell r="H37" t="str">
            <v>For Lined Canal w/ Cover or Bond Beam</v>
          </cell>
        </row>
        <row r="38">
          <cell r="A38" t="str">
            <v>405(2)a</v>
          </cell>
          <cell r="B38" t="str">
            <v>Structural Concrete, 20.68 Mpa, Class B (Lined Canal)</v>
          </cell>
          <cell r="F38" t="str">
            <v>cum</v>
          </cell>
          <cell r="G38">
            <v>87.6</v>
          </cell>
          <cell r="H38" t="str">
            <v>For Trapezoidal Lined Canal</v>
          </cell>
        </row>
        <row r="39">
          <cell r="A39" t="str">
            <v>PART G</v>
          </cell>
          <cell r="B39" t="str">
            <v>DRAINAGE AND SLOPE PROTECTION STRUCTURES</v>
          </cell>
        </row>
        <row r="40">
          <cell r="A40" t="str">
            <v>506(1)</v>
          </cell>
          <cell r="B40" t="str">
            <v>Stone Masonry</v>
          </cell>
          <cell r="F40" t="str">
            <v>cum</v>
          </cell>
          <cell r="G40">
            <v>94.75</v>
          </cell>
          <cell r="H40" t="str">
            <v>For Roadway Slope Protection 
and Parapet wall</v>
          </cell>
        </row>
        <row r="41">
          <cell r="A41" t="str">
            <v>PART H</v>
          </cell>
          <cell r="B41" t="str">
            <v>MISCELLANEOUS STRUCTURES</v>
          </cell>
        </row>
        <row r="42">
          <cell r="A42" t="str">
            <v>611(1)</v>
          </cell>
          <cell r="B42" t="str">
            <v>Trees Furnishing and Transplanting (Seedling Only)</v>
          </cell>
          <cell r="F42" t="str">
            <v>ea</v>
          </cell>
          <cell r="G42">
            <v>150</v>
          </cell>
          <cell r="H42" t="str">
            <v>To be provided and maintained</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row r="1">
          <cell r="F1" t="str">
            <v>EQUIPMENTS</v>
          </cell>
          <cell r="J1" t="str">
            <v>LABOR</v>
          </cell>
        </row>
        <row r="2">
          <cell r="F2" t="str">
            <v>DESCRIPTION</v>
          </cell>
          <cell r="G2" t="str">
            <v>UNIT</v>
          </cell>
          <cell r="H2" t="str">
            <v>RENTAL RATE</v>
          </cell>
          <cell r="I2" t="str">
            <v>REMARKS</v>
          </cell>
          <cell r="J2" t="str">
            <v>DESCRIPTION</v>
          </cell>
          <cell r="K2" t="str">
            <v>RATE</v>
          </cell>
          <cell r="L2" t="str">
            <v>UNIT</v>
          </cell>
        </row>
        <row r="3">
          <cell r="F3" t="str">
            <v>Rental of Field Office w/ complete facilities</v>
          </cell>
          <cell r="G3" t="str">
            <v>monthly</v>
          </cell>
          <cell r="H3">
            <v>5000</v>
          </cell>
          <cell r="J3" t="str">
            <v>Construction Foreman</v>
          </cell>
          <cell r="K3">
            <v>110.65</v>
          </cell>
          <cell r="L3" t="str">
            <v>hourly</v>
          </cell>
        </row>
        <row r="4">
          <cell r="F4" t="str">
            <v>Low Bed Trailer</v>
          </cell>
          <cell r="H4">
            <v>10815</v>
          </cell>
          <cell r="J4" t="str">
            <v>Skilled Laborer</v>
          </cell>
          <cell r="K4">
            <v>80.05</v>
          </cell>
          <cell r="L4" t="str">
            <v>hourly</v>
          </cell>
        </row>
        <row r="5">
          <cell r="F5" t="str">
            <v>Backhoe, Wheel Mounted (0.28 m³, 50 hp)</v>
          </cell>
          <cell r="H5">
            <v>1083.08</v>
          </cell>
          <cell r="J5" t="str">
            <v>Unskilled Laborer</v>
          </cell>
          <cell r="K5">
            <v>61.75</v>
          </cell>
          <cell r="L5" t="str">
            <v>hourly</v>
          </cell>
        </row>
        <row r="6">
          <cell r="F6" t="str">
            <v>Backhoe, SOLAR 220 LC-3 (0.80 m³,138 hp)</v>
          </cell>
          <cell r="H6">
            <v>2614.06</v>
          </cell>
        </row>
        <row r="7">
          <cell r="F7" t="str">
            <v>Backhoe with Breaker, SOLAR 220 LC-3 (0.80 m³, 138 hp)</v>
          </cell>
          <cell r="H7">
            <v>3142.36</v>
          </cell>
          <cell r="J7" t="str">
            <v>Safety Officer (Part Time)</v>
          </cell>
          <cell r="K7">
            <v>885.2</v>
          </cell>
          <cell r="L7" t="str">
            <v>daily</v>
          </cell>
        </row>
        <row r="8">
          <cell r="F8" t="str">
            <v>Boom Truck, NXG1160D3ZAL1X (197 hp)</v>
          </cell>
          <cell r="H8">
            <v>2895.78</v>
          </cell>
          <cell r="J8" t="str">
            <v>Health Personnel (Full Time First Aider)</v>
          </cell>
          <cell r="K8">
            <v>640.4</v>
          </cell>
          <cell r="L8" t="str">
            <v>daily</v>
          </cell>
        </row>
        <row r="9">
          <cell r="F9" t="str">
            <v>Bulldozer, DX175 (167 hp)</v>
          </cell>
          <cell r="H9">
            <v>4091.32</v>
          </cell>
          <cell r="J9" t="str">
            <v>Sanitation Aide (Part Time)</v>
          </cell>
          <cell r="K9">
            <v>494</v>
          </cell>
          <cell r="L9" t="str">
            <v>daily</v>
          </cell>
        </row>
        <row r="10">
          <cell r="F10" t="str">
            <v>Bulldozer with Ripper, DX175 (167 hp)</v>
          </cell>
          <cell r="H10">
            <v>4550.17</v>
          </cell>
          <cell r="J10" t="str">
            <v>Traffic Officer/ Flag Man</v>
          </cell>
          <cell r="K10">
            <v>494</v>
          </cell>
          <cell r="L10" t="str">
            <v>daily</v>
          </cell>
        </row>
        <row r="11">
          <cell r="F11" t="str">
            <v>Payloader, LX80-2C (1.50m³, 110 hp)</v>
          </cell>
          <cell r="H11">
            <v>2134.9699999999998</v>
          </cell>
        </row>
        <row r="12">
          <cell r="F12" t="str">
            <v>Payloader, LX80-2C (1.50m³, 110 hp) - at disposal area</v>
          </cell>
          <cell r="H12">
            <v>2134.9699999999998</v>
          </cell>
        </row>
        <row r="13">
          <cell r="F13" t="str">
            <v>Dump Truck (12 yd³, 290 hp)</v>
          </cell>
          <cell r="H13">
            <v>2985.64</v>
          </cell>
        </row>
        <row r="14">
          <cell r="F14" t="str">
            <v>Motorized Road Grader, G710A (140 hp)</v>
          </cell>
          <cell r="H14">
            <v>2690.43</v>
          </cell>
        </row>
        <row r="16">
          <cell r="F16" t="str">
            <v>Vibratory Roller, SD100DC (10mt, 125 hp)</v>
          </cell>
          <cell r="H16">
            <v>2419.6999999999998</v>
          </cell>
        </row>
        <row r="17">
          <cell r="F17" t="str">
            <v>Water Truck/Pump (16000 L, 360 hp)</v>
          </cell>
          <cell r="H17">
            <v>4283.3500000000004</v>
          </cell>
        </row>
        <row r="18">
          <cell r="F18" t="str">
            <v>Transit Mixer (175 hp)</v>
          </cell>
          <cell r="H18">
            <v>2308.7800000000002</v>
          </cell>
        </row>
        <row r="19">
          <cell r="F19" t="str">
            <v>Concrete Vibrator</v>
          </cell>
          <cell r="H19">
            <v>57.17</v>
          </cell>
        </row>
        <row r="20">
          <cell r="F20" t="str">
            <v>Concrete Batch Plant</v>
          </cell>
          <cell r="H20">
            <v>1759.5</v>
          </cell>
        </row>
        <row r="21">
          <cell r="F21" t="str">
            <v>Concrete Screeder (5.50 hp)</v>
          </cell>
          <cell r="H21">
            <v>491.02</v>
          </cell>
        </row>
        <row r="22">
          <cell r="F22" t="str">
            <v>Concrete Saw, 14" Blade ø (7.5 hp)</v>
          </cell>
          <cell r="H22">
            <v>79.010000000000005</v>
          </cell>
        </row>
        <row r="23">
          <cell r="F23" t="str">
            <v>Bar Cutter, Single Phase</v>
          </cell>
          <cell r="H23">
            <v>105.47</v>
          </cell>
        </row>
        <row r="24">
          <cell r="F24" t="str">
            <v>Bar Bender, Three Phase</v>
          </cell>
          <cell r="H24">
            <v>168.75</v>
          </cell>
        </row>
        <row r="25">
          <cell r="F25" t="str">
            <v>Cargo/Service Truck (2-5mt, 160 hp)</v>
          </cell>
          <cell r="H25">
            <v>1587.05</v>
          </cell>
        </row>
        <row r="26">
          <cell r="F26" t="str">
            <v>Cargo/Service Truck (9-10mt, 270 hp)</v>
          </cell>
          <cell r="H26">
            <v>2594</v>
          </cell>
        </row>
        <row r="27">
          <cell r="F27" t="str">
            <v>One Bagger Mixer (4-6 ft³/min)</v>
          </cell>
          <cell r="H27">
            <v>172</v>
          </cell>
        </row>
        <row r="28">
          <cell r="F28" t="str">
            <v>Plate Compactor (5 hp)</v>
          </cell>
          <cell r="H28">
            <v>153.91999999999999</v>
          </cell>
        </row>
        <row r="29">
          <cell r="F29" t="str">
            <v>Vibro Hammer, Hydraulic Pile Driver (60 ton, 201 hp)</v>
          </cell>
          <cell r="H29">
            <v>3026.5</v>
          </cell>
        </row>
        <row r="30">
          <cell r="F30" t="str">
            <v>Cutting Outfit</v>
          </cell>
          <cell r="H30">
            <v>45.45</v>
          </cell>
        </row>
        <row r="31">
          <cell r="F31" t="str">
            <v>Chain Saw</v>
          </cell>
          <cell r="H31">
            <v>75.36</v>
          </cell>
        </row>
        <row r="32">
          <cell r="F32" t="str">
            <v>Drilling Rig (300 hp)</v>
          </cell>
          <cell r="H32">
            <v>12469.46</v>
          </cell>
        </row>
        <row r="33">
          <cell r="F33" t="str">
            <v>Crawler Crane (36-40 mt, 190 hp)</v>
          </cell>
          <cell r="H33">
            <v>2872.49</v>
          </cell>
        </row>
        <row r="34">
          <cell r="F34" t="str">
            <v>Crawler Crane with Bucket (36-40 mt, 190 hp)</v>
          </cell>
          <cell r="H34">
            <v>3212.09</v>
          </cell>
        </row>
        <row r="36">
          <cell r="F36" t="str">
            <v>Crawler Crane (41-45 mt, 190 hp)</v>
          </cell>
          <cell r="H36">
            <v>3094.49</v>
          </cell>
        </row>
        <row r="37">
          <cell r="F37" t="str">
            <v>Crawler Crane (21-25 mt, 145 hp)</v>
          </cell>
          <cell r="H37">
            <v>2255.3200000000002</v>
          </cell>
        </row>
        <row r="38">
          <cell r="F38" t="str">
            <v>Generator Set (300 kW)</v>
          </cell>
          <cell r="H38">
            <v>3358.75</v>
          </cell>
        </row>
        <row r="39">
          <cell r="F39" t="str">
            <v>Generator Set (900 kW)</v>
          </cell>
          <cell r="H39">
            <v>10117.049999999999</v>
          </cell>
        </row>
        <row r="40">
          <cell r="F40" t="str">
            <v>Bentonite Bin</v>
          </cell>
          <cell r="H40">
            <v>280</v>
          </cell>
        </row>
        <row r="41">
          <cell r="F41" t="str">
            <v>Bentonite Mixer</v>
          </cell>
          <cell r="H41">
            <v>173</v>
          </cell>
        </row>
        <row r="42">
          <cell r="F42" t="str">
            <v>Water Pump, 100mm suction Ø (7.5 hp)</v>
          </cell>
          <cell r="H42">
            <v>169.75</v>
          </cell>
        </row>
        <row r="43">
          <cell r="F43" t="str">
            <v>Welding Machine, Gas/Diesel Driven (300A, 48 hp)</v>
          </cell>
          <cell r="H43">
            <v>607.74</v>
          </cell>
        </row>
        <row r="44">
          <cell r="F44" t="str">
            <v>Welding Machine, Gas/Diesel Driven (500A, 70 hp)</v>
          </cell>
          <cell r="H44">
            <v>885.7</v>
          </cell>
        </row>
        <row r="45">
          <cell r="F45" t="str">
            <v>Welding Machine, Electric Driven (500A)</v>
          </cell>
          <cell r="H45">
            <v>391</v>
          </cell>
        </row>
        <row r="46">
          <cell r="F46" t="str">
            <v>Tremie Pipe Set</v>
          </cell>
          <cell r="H46">
            <v>320</v>
          </cell>
        </row>
        <row r="47">
          <cell r="F47" t="str">
            <v>SPT &amp; Desanding Machine</v>
          </cell>
          <cell r="H47">
            <v>559</v>
          </cell>
        </row>
        <row r="48">
          <cell r="F48" t="str">
            <v>Portable Breaker, BHF30s (4 hp)</v>
          </cell>
          <cell r="H48">
            <v>147.91999999999999</v>
          </cell>
        </row>
        <row r="49">
          <cell r="F49" t="str">
            <v>Air Compressor (126-160 cfm, 51 hp)</v>
          </cell>
          <cell r="H49">
            <v>676.29</v>
          </cell>
        </row>
        <row r="50">
          <cell r="F50" t="str">
            <v>Tower Lights</v>
          </cell>
          <cell r="H50">
            <v>260.86</v>
          </cell>
        </row>
        <row r="51">
          <cell r="F51" t="str">
            <v>Pile Integrity Testing (Sonic) and Accessories</v>
          </cell>
          <cell r="H51">
            <v>37000</v>
          </cell>
        </row>
        <row r="52">
          <cell r="F52" t="str">
            <v>Dynamic Pile Testing</v>
          </cell>
          <cell r="H52">
            <v>103000</v>
          </cell>
        </row>
        <row r="53">
          <cell r="F53" t="str">
            <v>Truck Mounted Crane (31-35 mt, 238 hp)</v>
          </cell>
          <cell r="H53">
            <v>3012.22</v>
          </cell>
        </row>
        <row r="54">
          <cell r="F54" t="str">
            <v>Truck Mounted Crane (41-45 mt, 246 hp)</v>
          </cell>
          <cell r="H54">
            <v>3278.66</v>
          </cell>
        </row>
        <row r="55">
          <cell r="F55" t="str">
            <v>Truck Mounted Crane with Bucket (41-45 mt, 246 hp)</v>
          </cell>
          <cell r="H55">
            <v>3630.26</v>
          </cell>
        </row>
        <row r="56">
          <cell r="F56" t="str">
            <v>Truck Mounted Crane (51-60 mt, 280 hp)</v>
          </cell>
          <cell r="H56">
            <v>4192.83</v>
          </cell>
        </row>
        <row r="57">
          <cell r="F57" t="str">
            <v>Drop Hammer w/ accessories</v>
          </cell>
          <cell r="H57">
            <v>5000</v>
          </cell>
        </row>
        <row r="58">
          <cell r="F58" t="str">
            <v>1 Air Compressor w/ 2 Jack Hammer</v>
          </cell>
          <cell r="H58">
            <v>1265</v>
          </cell>
        </row>
        <row r="59">
          <cell r="F59" t="str">
            <v>Stressing (Jack) Machine</v>
          </cell>
          <cell r="H59">
            <v>2500</v>
          </cell>
        </row>
        <row r="60">
          <cell r="F60" t="str">
            <v>Grouting Machine, Air Driven</v>
          </cell>
          <cell r="H60">
            <v>866.25</v>
          </cell>
        </row>
        <row r="61">
          <cell r="F61" t="str">
            <v>Wood/Steel Ladder</v>
          </cell>
          <cell r="H61">
            <v>100</v>
          </cell>
        </row>
        <row r="62">
          <cell r="F62" t="str">
            <v>Applicator Machine</v>
          </cell>
          <cell r="H62">
            <v>93.75</v>
          </cell>
        </row>
        <row r="63">
          <cell r="F63" t="str">
            <v>Kneading Machine</v>
          </cell>
          <cell r="H63">
            <v>187.5</v>
          </cell>
        </row>
        <row r="64">
          <cell r="F64" t="str">
            <v>Dolly</v>
          </cell>
          <cell r="H64">
            <v>1249</v>
          </cell>
        </row>
        <row r="65">
          <cell r="F65" t="str">
            <v>Crawler Crane (51-60 mt, 275 hp)</v>
          </cell>
          <cell r="H65">
            <v>4179.91</v>
          </cell>
        </row>
        <row r="66">
          <cell r="F66" t="str">
            <v>Vibro Hammer w/ Hydraulic Power Pack</v>
          </cell>
          <cell r="H66">
            <v>4831.32</v>
          </cell>
        </row>
        <row r="67">
          <cell r="F67" t="str">
            <v>Vibro Hammer (272.22 hp)</v>
          </cell>
          <cell r="H67">
            <v>4260.75</v>
          </cell>
        </row>
        <row r="70">
          <cell r="F70" t="str">
            <v>Asphalt Distributor, ROSCO/5 ton (3000 USG, 100 hp)</v>
          </cell>
          <cell r="H70">
            <v>1404.16</v>
          </cell>
        </row>
        <row r="71">
          <cell r="F71" t="str">
            <v>Power Broom (2.0m wide)</v>
          </cell>
          <cell r="H71">
            <v>130.54</v>
          </cell>
        </row>
        <row r="72">
          <cell r="F72" t="str">
            <v>Asphalt Paver (80 hp)</v>
          </cell>
          <cell r="H72">
            <v>2033.54</v>
          </cell>
        </row>
        <row r="73">
          <cell r="F73" t="str">
            <v>Pneumatic Tire Roller ( 10 mt, 107 hp)</v>
          </cell>
          <cell r="H73">
            <v>1191.43</v>
          </cell>
        </row>
        <row r="74">
          <cell r="F74" t="str">
            <v>Tandem Steel Roller, HD110 (11 mt, 134 hp)</v>
          </cell>
          <cell r="H74">
            <v>2667.34</v>
          </cell>
        </row>
        <row r="75">
          <cell r="F75" t="str">
            <v>Jackhammer</v>
          </cell>
          <cell r="H75">
            <v>150</v>
          </cell>
        </row>
        <row r="76">
          <cell r="F76" t="str">
            <v>Air Compressor, (356-450 cfm, 130 hp)</v>
          </cell>
          <cell r="H76">
            <v>1575.62</v>
          </cell>
        </row>
        <row r="77">
          <cell r="F77" t="str">
            <v>Joint Sealer</v>
          </cell>
          <cell r="H77">
            <v>84.55</v>
          </cell>
        </row>
        <row r="78">
          <cell r="F78" t="str">
            <v>Hand drill and accessories</v>
          </cell>
          <cell r="H78">
            <v>653.27</v>
          </cell>
        </row>
      </sheetData>
      <sheetData sheetId="33" refreshError="1"/>
      <sheetData sheetId="34" refreshError="1"/>
      <sheetData sheetId="35" refreshError="1"/>
      <sheetData sheetId="36" refreshError="1"/>
      <sheetData sheetId="3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01(2)a"/>
      <sheetName val="101(2)b"/>
      <sheetName val="101(3)a"/>
      <sheetName val="101(3)b"/>
      <sheetName val="101 Removal of Existing RCPC"/>
      <sheetName val="801 removal structures"/>
      <sheetName val="1701Channel Exc."/>
      <sheetName val="Item 102(3)a Surplus Ex. (comm)"/>
      <sheetName val="1702 Struc. Excav. "/>
      <sheetName val="1704(a)Embankment borrow"/>
      <sheetName val="1704(b)Embankment from St.Excav"/>
      <sheetName val="Item105(1) Subgrade Preparation"/>
      <sheetName val="Item 200 Aggregate Subbase Cour"/>
      <sheetName val="Item 201 Aggregate Base Course"/>
      <sheetName val="Item 200b Agg Subbase Course"/>
      <sheetName val="Item 311(a)  PCC Pavement 280"/>
      <sheetName val="Item 311(150)"/>
      <sheetName val="Item 311(200)"/>
      <sheetName val="Item 311 (a)1 280"/>
      <sheetName val="Item 311(b)  PCC Pavement 230"/>
      <sheetName val="Item 3111 (b)1 230"/>
      <sheetName val="Item 404  Reinf. Steel Bar # 40"/>
      <sheetName val="Item 405a Structurl Conc.ClassA"/>
      <sheetName val="Item 405 b"/>
      <sheetName val="Item 511 Mattresses"/>
      <sheetName val="Item 500 RCPC610"/>
      <sheetName val="Item 500 RCPC 610"/>
      <sheetName val="Item 500 RCPC910(a)"/>
      <sheetName val="Item 500"/>
      <sheetName val="Sheet2"/>
      <sheetName val="Item 500 Grouted Riprap Class a"/>
      <sheetName val="Item 506bb Stone Masonry"/>
      <sheetName val="Item 506a Stone Masonry "/>
      <sheetName val="1714(b)Mattresses"/>
      <sheetName val="Item 506b Stone Masonry"/>
      <sheetName val="Item 603(3)a Metal Guardrail me"/>
      <sheetName val="Item605 Warning Signs"/>
      <sheetName val="Item 603(3)b"/>
      <sheetName val="Item 612(1) Reflectorized therm"/>
      <sheetName val="Item 612(2) Reflectorized therm"/>
      <sheetName val="Item 507 Rubble Concrete"/>
      <sheetName val="B.5(a)dpwh signboard"/>
      <sheetName val="B.5(b)coa signboard"/>
      <sheetName val="A.1.1(8)Facilities"/>
      <sheetName val="B.7 Occupational"/>
      <sheetName val="Item spl-4 traff contrl &amp; mngmt"/>
      <sheetName val="B.9MobDemob"/>
      <sheetName val="Back-up Comp."/>
      <sheetName val="Item 500(a)"/>
      <sheetName val="Back-up Comp 2"/>
      <sheetName val="Backup fc (2)"/>
      <sheetName val="Backup fc"/>
      <sheetName val="DS Summary of Quantities"/>
      <sheetName val="POW"/>
      <sheetName val="ABC"/>
      <sheetName val="Item 500(c)"/>
      <sheetName val="Item 500(b)"/>
      <sheetName val="cement"/>
      <sheetName val="steel"/>
      <sheetName val="cement 2"/>
      <sheetName val="Steel 2"/>
      <sheetName val="102(3)a R0adway Excavation Soft"/>
      <sheetName val="Item 506(a)"/>
      <sheetName val="Cement h"/>
      <sheetName val="cd"/>
      <sheetName val="Materials Cost 4th Quarter"/>
      <sheetName val="Labor"/>
      <sheetName val="Equipment"/>
      <sheetName val="Hauling Cost Materials"/>
      <sheetName val="Sheet1"/>
      <sheetName val="cement hauling"/>
      <sheetName val="Common Borrow"/>
      <sheetName val="agg.base course"/>
      <sheetName val="agg.subbase course"/>
      <sheetName val="sand"/>
      <sheetName val="gravel"/>
      <sheetName val="boulders"/>
      <sheetName val="Duration"/>
      <sheetName val="101_Removal_of_Existing_RCPC"/>
      <sheetName val="801_removal_structures"/>
      <sheetName val="1701Channel_Exc_"/>
      <sheetName val="Item_102(3)a_Surplus_Ex__(comm)"/>
      <sheetName val="1702_Struc__Excav__"/>
      <sheetName val="1704(a)Embankment_borrow"/>
      <sheetName val="1704(b)Embankment_from_St_Excav"/>
      <sheetName val="Item105(1)_Subgrade_Preparation"/>
      <sheetName val="Item_200_Aggregate_Subbase_Cour"/>
      <sheetName val="Item_201_Aggregate_Base_Course"/>
      <sheetName val="Item_200b_Agg_Subbase_Course"/>
      <sheetName val="Item_311(a)__PCC_Pavement_280"/>
      <sheetName val="Item_311(150)"/>
      <sheetName val="Item_311(200)"/>
      <sheetName val="Item_311_(a)1_280"/>
      <sheetName val="Item_311(b)__PCC_Pavement_230"/>
      <sheetName val="Item_3111_(b)1_230"/>
      <sheetName val="Item_404__Reinf__Steel_Bar_#_40"/>
      <sheetName val="Item_405a_Structurl_Conc_ClassA"/>
      <sheetName val="Item_405_b"/>
      <sheetName val="Item_511_Mattresses"/>
      <sheetName val="Item_500_RCPC610"/>
      <sheetName val="Item_500_RCPC_610"/>
      <sheetName val="Item_500_RCPC910(a)"/>
      <sheetName val="Item_500"/>
      <sheetName val="Item_500_Grouted_Riprap_Class_a"/>
      <sheetName val="Item_506bb_Stone_Masonry"/>
      <sheetName val="Item_506a_Stone_Masonry_"/>
      <sheetName val="Item_506b_Stone_Masonry"/>
      <sheetName val="Item_603(3)a_Metal_Guardrail_me"/>
      <sheetName val="Item605_Warning_Signs"/>
      <sheetName val="Item_603(3)b"/>
      <sheetName val="Item_612(1)_Reflectorized_therm"/>
      <sheetName val="Item_612(2)_Reflectorized_therm"/>
      <sheetName val="Item_507_Rubble_Concrete"/>
      <sheetName val="B_5(a)dpwh_signboard"/>
      <sheetName val="B_5(b)coa_signboard"/>
      <sheetName val="A_1_1(8)Facilities"/>
      <sheetName val="B_7_Occupational"/>
      <sheetName val="Item_spl-4_traff_contrl_&amp;_mngmt"/>
      <sheetName val="B_9MobDemob"/>
      <sheetName val="Back-up_Comp_"/>
      <sheetName val="Item_500(a)"/>
      <sheetName val="Back-up_Comp_2"/>
      <sheetName val="Backup_fc_(2)"/>
      <sheetName val="Backup_fc"/>
      <sheetName val="DS_Summary_of_Quantities"/>
      <sheetName val="Item_500(c)"/>
      <sheetName val="Item_500(b)"/>
      <sheetName val="cement_2"/>
      <sheetName val="Steel_2"/>
      <sheetName val="102(3)a_R0adway_Excavation_Soft"/>
      <sheetName val="Item_506(a)"/>
      <sheetName val="Cement_h"/>
      <sheetName val="Materials_Cost_4th_Quarter"/>
      <sheetName val="Hauling_Cost_Materials"/>
      <sheetName val="cement_hauling"/>
      <sheetName val="Common_Borrow"/>
      <sheetName val="agg_base_course"/>
      <sheetName val="agg_subbase_course"/>
      <sheetName val="101_Removal_of_Existing_RCPC2"/>
      <sheetName val="801_removal_structures2"/>
      <sheetName val="1701Channel_Exc_2"/>
      <sheetName val="Item_102(3)a_Surplus_Ex__(comm2"/>
      <sheetName val="1702_Struc__Excav__2"/>
      <sheetName val="1704(a)Embankment_borrow2"/>
      <sheetName val="1704(b)Embankment_from_St_Exca2"/>
      <sheetName val="Item105(1)_Subgrade_Preparatio2"/>
      <sheetName val="Item_200_Aggregate_Subbase_Cou2"/>
      <sheetName val="Item_201_Aggregate_Base_Course2"/>
      <sheetName val="Item_200b_Agg_Subbase_Course2"/>
      <sheetName val="Item_311(a)__PCC_Pavement_2802"/>
      <sheetName val="Item_311(150)2"/>
      <sheetName val="Item_311(200)2"/>
      <sheetName val="Item_311_(a)1_2802"/>
      <sheetName val="Item_311(b)__PCC_Pavement_2302"/>
      <sheetName val="Item_3111_(b)1_2302"/>
      <sheetName val="Item_404__Reinf__Steel_Bar_#_42"/>
      <sheetName val="Item_405a_Structurl_Conc_Class2"/>
      <sheetName val="Item_405_b2"/>
      <sheetName val="Item_511_Mattresses2"/>
      <sheetName val="Item_500_RCPC6102"/>
      <sheetName val="Item_500_RCPC_6102"/>
      <sheetName val="Item_500_RCPC910(a)2"/>
      <sheetName val="Item_5002"/>
      <sheetName val="Item_500_Grouted_Riprap_Class_2"/>
      <sheetName val="Item_506bb_Stone_Masonry2"/>
      <sheetName val="Item_506a_Stone_Masonry_2"/>
      <sheetName val="Item_506b_Stone_Masonry2"/>
      <sheetName val="Item_603(3)a_Metal_Guardrail_m2"/>
      <sheetName val="Item605_Warning_Signs2"/>
      <sheetName val="Item_603(3)b2"/>
      <sheetName val="Item_612(1)_Reflectorized_ther2"/>
      <sheetName val="Item_612(2)_Reflectorized_ther2"/>
      <sheetName val="Item_507_Rubble_Concrete2"/>
      <sheetName val="B_5(a)dpwh_signboard2"/>
      <sheetName val="B_5(b)coa_signboard2"/>
      <sheetName val="A_1_1(8)Facilities2"/>
      <sheetName val="B_7_Occupational2"/>
      <sheetName val="Item_spl-4_traff_contrl_&amp;_mngm2"/>
      <sheetName val="B_9MobDemob2"/>
      <sheetName val="Back-up_Comp_3"/>
      <sheetName val="Item_500(a)2"/>
      <sheetName val="Back-up_Comp_22"/>
      <sheetName val="Backup_fc_(2)2"/>
      <sheetName val="Backup_fc2"/>
      <sheetName val="DS_Summary_of_Quantities2"/>
      <sheetName val="Item_500(c)2"/>
      <sheetName val="Item_500(b)2"/>
      <sheetName val="cement_22"/>
      <sheetName val="Steel_22"/>
      <sheetName val="102(3)a_R0adway_Excavation_Sof2"/>
      <sheetName val="Item_506(a)2"/>
      <sheetName val="Cement_h2"/>
      <sheetName val="Materials_Cost_4th_Quarter2"/>
      <sheetName val="Hauling_Cost_Materials2"/>
      <sheetName val="cement_hauling2"/>
      <sheetName val="Common_Borrow2"/>
      <sheetName val="agg_base_course2"/>
      <sheetName val="agg_subbase_course2"/>
      <sheetName val="101_Removal_of_Existing_RCPC1"/>
      <sheetName val="801_removal_structures1"/>
      <sheetName val="1701Channel_Exc_1"/>
      <sheetName val="Item_102(3)a_Surplus_Ex__(comm1"/>
      <sheetName val="1702_Struc__Excav__1"/>
      <sheetName val="1704(a)Embankment_borrow1"/>
      <sheetName val="1704(b)Embankment_from_St_Exca1"/>
      <sheetName val="Item105(1)_Subgrade_Preparatio1"/>
      <sheetName val="Item_200_Aggregate_Subbase_Cou1"/>
      <sheetName val="Item_201_Aggregate_Base_Course1"/>
      <sheetName val="Item_200b_Agg_Subbase_Course1"/>
      <sheetName val="Item_311(a)__PCC_Pavement_2801"/>
      <sheetName val="Item_311(150)1"/>
      <sheetName val="Item_311(200)1"/>
      <sheetName val="Item_311_(a)1_2801"/>
      <sheetName val="Item_311(b)__PCC_Pavement_2301"/>
      <sheetName val="Item_3111_(b)1_2301"/>
      <sheetName val="Item_404__Reinf__Steel_Bar_#_41"/>
      <sheetName val="Item_405a_Structurl_Conc_Class1"/>
      <sheetName val="Item_405_b1"/>
      <sheetName val="Item_511_Mattresses1"/>
      <sheetName val="Item_500_RCPC6101"/>
      <sheetName val="Item_500_RCPC_6101"/>
      <sheetName val="Item_500_RCPC910(a)1"/>
      <sheetName val="Item_5001"/>
      <sheetName val="Item_500_Grouted_Riprap_Class_1"/>
      <sheetName val="Item_506bb_Stone_Masonry1"/>
      <sheetName val="Item_506a_Stone_Masonry_1"/>
      <sheetName val="Item_506b_Stone_Masonry1"/>
      <sheetName val="Item_603(3)a_Metal_Guardrail_m1"/>
      <sheetName val="Item605_Warning_Signs1"/>
      <sheetName val="Item_603(3)b1"/>
      <sheetName val="Item_612(1)_Reflectorized_ther1"/>
      <sheetName val="Item_612(2)_Reflectorized_ther1"/>
      <sheetName val="Item_507_Rubble_Concrete1"/>
      <sheetName val="B_5(a)dpwh_signboard1"/>
      <sheetName val="B_5(b)coa_signboard1"/>
      <sheetName val="A_1_1(8)Facilities1"/>
      <sheetName val="B_7_Occupational1"/>
      <sheetName val="Item_spl-4_traff_contrl_&amp;_mngm1"/>
      <sheetName val="B_9MobDemob1"/>
      <sheetName val="Back-up_Comp_1"/>
      <sheetName val="Item_500(a)1"/>
      <sheetName val="Back-up_Comp_21"/>
      <sheetName val="Backup_fc_(2)1"/>
      <sheetName val="Backup_fc1"/>
      <sheetName val="DS_Summary_of_Quantities1"/>
      <sheetName val="Item_500(c)1"/>
      <sheetName val="Item_500(b)1"/>
      <sheetName val="cement_21"/>
      <sheetName val="Steel_21"/>
      <sheetName val="102(3)a_R0adway_Excavation_Sof1"/>
      <sheetName val="Item_506(a)1"/>
      <sheetName val="Cement_h1"/>
      <sheetName val="Materials_Cost_4th_Quarter1"/>
      <sheetName val="Hauling_Cost_Materials1"/>
      <sheetName val="cement_hauling1"/>
      <sheetName val="Common_Borrow1"/>
      <sheetName val="agg_base_course1"/>
      <sheetName val="agg_subbase_course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row r="10">
          <cell r="M10" t="str">
            <v>:</v>
          </cell>
        </row>
        <row r="13">
          <cell r="M13" t="str">
            <v>:</v>
          </cell>
        </row>
        <row r="83">
          <cell r="K83">
            <v>0</v>
          </cell>
        </row>
      </sheetData>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S Summary of Quantities"/>
      <sheetName val="CONST. LIMIT"/>
      <sheetName val="cd"/>
      <sheetName val="POW"/>
      <sheetName val="ABC"/>
      <sheetName val="Back-up"/>
      <sheetName val="Back-up Comp."/>
      <sheetName val="Back-up Comp"/>
      <sheetName val="101(2)a 610"/>
      <sheetName val="Item 101(2)c remov.of RCPC-910m"/>
      <sheetName val="101(2)b"/>
      <sheetName val="101(3)a"/>
      <sheetName val="100(3)a1"/>
      <sheetName val="101(3)b"/>
      <sheetName val="Item 100(2)b"/>
      <sheetName val="Item 100(2)b (2)"/>
      <sheetName val="611(1) Trees"/>
      <sheetName val="101(3)b1"/>
      <sheetName val="Item 102(2)b Surplus Common"/>
      <sheetName val="Item 102(3)a Surplus Ex. (comm)"/>
      <sheetName val="Item103(1)a Struc. Excav. Soil"/>
      <sheetName val="Item 104(b)"/>
      <sheetName val="Item103(1)a Struc. Excav. S (2"/>
      <sheetName val="Item104(a) Embankment borrow"/>
      <sheetName val="Item105(1) Subgrade Preparation"/>
      <sheetName val="Item 200 Aggregate Subbase Cour"/>
      <sheetName val="Item 201 Aggregate Base Course"/>
      <sheetName val="Item 200b Agg Subbase Course"/>
      <sheetName val="Item 311(a)  PCC Pavement 280"/>
      <sheetName val="Item 311(200)"/>
      <sheetName val="Item 311 (a)1 280"/>
      <sheetName val="Item 311(b)  PCC Pavement 230"/>
      <sheetName val="Item 3111 (b)1 230"/>
      <sheetName val="Item 404  Reinf. Steel Bar # 40"/>
      <sheetName val="Item 405a Structurl Conc.ClassA"/>
      <sheetName val="Item 405 b"/>
      <sheetName val="Item 511 Mattresses"/>
      <sheetName val="Item 500 RCPC610"/>
      <sheetName val="Item 500 RCPC 610"/>
      <sheetName val="Item 500 RCPC 610 (2)"/>
      <sheetName val="Item 500 RCPC910(a)"/>
      <sheetName val="Item 500 RCPC910"/>
      <sheetName val="Sheet2"/>
      <sheetName val="Item 500 Grouted Riprap Class a"/>
      <sheetName val="Item 506a Stone Masonry"/>
      <sheetName val="Item 500(1)a Pipe Culvert,610mm"/>
      <sheetName val="Item 506(1)a Stone Masonry "/>
      <sheetName val="Item 511(1) Gabions"/>
      <sheetName val="Item 506b Stone Masonry"/>
      <sheetName val="Item 603(3)a Metal Guardrail me"/>
      <sheetName val="Item605 Warning Signs"/>
      <sheetName val="Item 603(3)b"/>
      <sheetName val="Item 612(1) Reflectorized therm"/>
      <sheetName val="Item 612(2) Reflectorized therm"/>
      <sheetName val="Item 507 Rubble Concrete"/>
      <sheetName val="Item 506(1)a.1"/>
      <sheetName val="B.7(2)"/>
      <sheetName val="Item 311(150)"/>
      <sheetName val="Item 404  Reinf. Steel Bar  (2)"/>
      <sheetName val="Item 405a Structurl Conc.Cl (2)"/>
      <sheetName val="A.1.1(8)Prov. of Field Off."/>
      <sheetName val="dpwh signboard"/>
      <sheetName val="coa signboard"/>
      <sheetName val="B.7 Occptl. safety &amp; health"/>
      <sheetName val="B.8 traff.mngmt"/>
      <sheetName val="B.9 mob.demod"/>
      <sheetName val="Item 500(a)"/>
      <sheetName val="Item 500(c)"/>
      <sheetName val="Item 500(b)"/>
      <sheetName val="cement"/>
      <sheetName val="steel"/>
      <sheetName val="cement 2"/>
      <sheetName val="Steel 2"/>
      <sheetName val="102(3)a R0adway Excavation Soft"/>
      <sheetName val="Item 506(a)"/>
      <sheetName val="Cement h"/>
      <sheetName val="PRICE LIST"/>
      <sheetName val="Materials Cost 4th Quarter"/>
      <sheetName val="Labor"/>
      <sheetName val="Equipment"/>
      <sheetName val="Hauling Cost Materials"/>
      <sheetName val="cement hauling"/>
      <sheetName val="new steel hauling"/>
      <sheetName val="cement hauling cost"/>
      <sheetName val="Sheet1"/>
      <sheetName val="cement hauling (2)"/>
      <sheetName val="Sheet3"/>
      <sheetName val="DS_Summary_of_Quantities"/>
      <sheetName val="CONST__LIMIT"/>
      <sheetName val="Back-up_Comp_"/>
      <sheetName val="Back-up_Comp"/>
      <sheetName val="101(2)a_610"/>
      <sheetName val="Item_101(2)c_remov_of_RCPC-910m"/>
      <sheetName val="Item_100(2)b"/>
      <sheetName val="Item_100(2)b_(2)"/>
      <sheetName val="611(1)_Trees"/>
      <sheetName val="Item_102(2)b_Surplus_Common"/>
      <sheetName val="Item_102(3)a_Surplus_Ex__(comm)"/>
      <sheetName val="Item103(1)a_Struc__Excav__Soil"/>
      <sheetName val="Item_104(b)"/>
      <sheetName val="Item103(1)a_Struc__Excav__S_(2"/>
      <sheetName val="Item104(a)_Embankment_borrow"/>
      <sheetName val="Item105(1)_Subgrade_Preparation"/>
      <sheetName val="Item_200_Aggregate_Subbase_Cour"/>
      <sheetName val="Item_201_Aggregate_Base_Course"/>
      <sheetName val="Item_200b_Agg_Subbase_Course"/>
      <sheetName val="Item_311(a)__PCC_Pavement_280"/>
      <sheetName val="Item_311(200)"/>
      <sheetName val="Item_311_(a)1_280"/>
      <sheetName val="Item_311(b)__PCC_Pavement_230"/>
      <sheetName val="Item_3111_(b)1_230"/>
      <sheetName val="Item_404__Reinf__Steel_Bar_#_40"/>
      <sheetName val="Item_405a_Structurl_Conc_ClassA"/>
      <sheetName val="Item_405_b"/>
      <sheetName val="Item_511_Mattresses"/>
      <sheetName val="Item_500_RCPC610"/>
      <sheetName val="Item_500_RCPC_610"/>
      <sheetName val="Item_500_RCPC_610_(2)"/>
      <sheetName val="Item_500_RCPC910(a)"/>
      <sheetName val="Item_500_RCPC910"/>
      <sheetName val="Item_500_Grouted_Riprap_Class_a"/>
      <sheetName val="Item_506a_Stone_Masonry"/>
      <sheetName val="Item_500(1)a_Pipe_Culvert,610mm"/>
      <sheetName val="Item_506(1)a_Stone_Masonry_"/>
      <sheetName val="Item_511(1)_Gabions"/>
      <sheetName val="Item_506b_Stone_Masonry"/>
      <sheetName val="Item_603(3)a_Metal_Guardrail_me"/>
      <sheetName val="Item605_Warning_Signs"/>
      <sheetName val="Item_603(3)b"/>
      <sheetName val="Item_612(1)_Reflectorized_therm"/>
      <sheetName val="Item_612(2)_Reflectorized_therm"/>
      <sheetName val="Item_507_Rubble_Concrete"/>
      <sheetName val="Item_506(1)a_1"/>
      <sheetName val="B_7(2)"/>
      <sheetName val="Item_311(150)"/>
      <sheetName val="Item_404__Reinf__Steel_Bar__(2)"/>
      <sheetName val="Item_405a_Structurl_Conc_Cl_(2)"/>
      <sheetName val="A_1_1(8)Prov__of_Field_Off_"/>
      <sheetName val="dpwh_signboard"/>
      <sheetName val="coa_signboard"/>
      <sheetName val="B_7_Occptl__safety_&amp;_health"/>
      <sheetName val="B_8_traff_mngmt"/>
      <sheetName val="B_9_mob_demod"/>
      <sheetName val="Item_500(a)"/>
      <sheetName val="Item_500(c)"/>
      <sheetName val="Item_500(b)"/>
      <sheetName val="cement_2"/>
      <sheetName val="Steel_2"/>
      <sheetName val="102(3)a_R0adway_Excavation_Soft"/>
      <sheetName val="Item_506(a)"/>
      <sheetName val="Cement_h"/>
      <sheetName val="PRICE_LIST"/>
      <sheetName val="Materials_Cost_4th_Quarter"/>
      <sheetName val="Hauling_Cost_Materials"/>
      <sheetName val="cement_hauling"/>
      <sheetName val="new_steel_hauling"/>
      <sheetName val="cement_hauling_cost"/>
      <sheetName val="cement_hauling_(2)"/>
      <sheetName val="DS_Summary_of_Quantities2"/>
      <sheetName val="CONST__LIMIT2"/>
      <sheetName val="Back-up_Comp_2"/>
      <sheetName val="Back-up_Comp2"/>
      <sheetName val="101(2)a_6102"/>
      <sheetName val="Item_101(2)c_remov_of_RCPC-9102"/>
      <sheetName val="Item_100(2)b2"/>
      <sheetName val="Item_100(2)b_(2)2"/>
      <sheetName val="611(1)_Trees2"/>
      <sheetName val="Item_102(2)b_Surplus_Common2"/>
      <sheetName val="Item_102(3)a_Surplus_Ex__(comm2"/>
      <sheetName val="Item103(1)a_Struc__Excav__Soil2"/>
      <sheetName val="Item_104(b)2"/>
      <sheetName val="Item103(1)a_Struc__Excav__S_(22"/>
      <sheetName val="Item104(a)_Embankment_borrow2"/>
      <sheetName val="Item105(1)_Subgrade_Preparatio2"/>
      <sheetName val="Item_200_Aggregate_Subbase_Cou2"/>
      <sheetName val="Item_201_Aggregate_Base_Course2"/>
      <sheetName val="Item_200b_Agg_Subbase_Course2"/>
      <sheetName val="Item_311(a)__PCC_Pavement_2802"/>
      <sheetName val="Item_311(200)2"/>
      <sheetName val="Item_311_(a)1_2802"/>
      <sheetName val="Item_311(b)__PCC_Pavement_2302"/>
      <sheetName val="Item_3111_(b)1_2302"/>
      <sheetName val="Item_404__Reinf__Steel_Bar_#_42"/>
      <sheetName val="Item_405a_Structurl_Conc_Class2"/>
      <sheetName val="Item_405_b2"/>
      <sheetName val="Item_511_Mattresses2"/>
      <sheetName val="Item_500_RCPC6102"/>
      <sheetName val="Item_500_RCPC_6102"/>
      <sheetName val="Item_500_RCPC_610_(2)2"/>
      <sheetName val="Item_500_RCPC910(a)2"/>
      <sheetName val="Item_500_RCPC9102"/>
      <sheetName val="Item_500_Grouted_Riprap_Class_2"/>
      <sheetName val="Item_506a_Stone_Masonry2"/>
      <sheetName val="Item_500(1)a_Pipe_Culvert,610m2"/>
      <sheetName val="Item_506(1)a_Stone_Masonry_2"/>
      <sheetName val="Item_511(1)_Gabions2"/>
      <sheetName val="Item_506b_Stone_Masonry2"/>
      <sheetName val="Item_603(3)a_Metal_Guardrail_m2"/>
      <sheetName val="Item605_Warning_Signs2"/>
      <sheetName val="Item_603(3)b2"/>
      <sheetName val="Item_612(1)_Reflectorized_ther2"/>
      <sheetName val="Item_612(2)_Reflectorized_ther2"/>
      <sheetName val="Item_507_Rubble_Concrete2"/>
      <sheetName val="Item_506(1)a_12"/>
      <sheetName val="B_7(2)2"/>
      <sheetName val="Item_311(150)2"/>
      <sheetName val="Item_404__Reinf__Steel_Bar__(22"/>
      <sheetName val="Item_405a_Structurl_Conc_Cl_(22"/>
      <sheetName val="A_1_1(8)Prov__of_Field_Off_2"/>
      <sheetName val="dpwh_signboard2"/>
      <sheetName val="coa_signboard2"/>
      <sheetName val="B_7_Occptl__safety_&amp;_health2"/>
      <sheetName val="B_8_traff_mngmt2"/>
      <sheetName val="B_9_mob_demod2"/>
      <sheetName val="Item_500(a)2"/>
      <sheetName val="Item_500(c)2"/>
      <sheetName val="Item_500(b)2"/>
      <sheetName val="cement_22"/>
      <sheetName val="Steel_22"/>
      <sheetName val="102(3)a_R0adway_Excavation_Sof2"/>
      <sheetName val="Item_506(a)2"/>
      <sheetName val="Cement_h2"/>
      <sheetName val="PRICE_LIST2"/>
      <sheetName val="Materials_Cost_4th_Quarter2"/>
      <sheetName val="Hauling_Cost_Materials2"/>
      <sheetName val="cement_hauling2"/>
      <sheetName val="new_steel_hauling2"/>
      <sheetName val="cement_hauling_cost2"/>
      <sheetName val="cement_hauling_(2)2"/>
      <sheetName val="DS_Summary_of_Quantities1"/>
      <sheetName val="CONST__LIMIT1"/>
      <sheetName val="Back-up_Comp_1"/>
      <sheetName val="Back-up_Comp1"/>
      <sheetName val="101(2)a_6101"/>
      <sheetName val="Item_101(2)c_remov_of_RCPC-9101"/>
      <sheetName val="Item_100(2)b1"/>
      <sheetName val="Item_100(2)b_(2)1"/>
      <sheetName val="611(1)_Trees1"/>
      <sheetName val="Item_102(2)b_Surplus_Common1"/>
      <sheetName val="Item_102(3)a_Surplus_Ex__(comm1"/>
      <sheetName val="Item103(1)a_Struc__Excav__Soil1"/>
      <sheetName val="Item_104(b)1"/>
      <sheetName val="Item103(1)a_Struc__Excav__S_(21"/>
      <sheetName val="Item104(a)_Embankment_borrow1"/>
      <sheetName val="Item105(1)_Subgrade_Preparatio1"/>
      <sheetName val="Item_200_Aggregate_Subbase_Cou1"/>
      <sheetName val="Item_201_Aggregate_Base_Course1"/>
      <sheetName val="Item_200b_Agg_Subbase_Course1"/>
      <sheetName val="Item_311(a)__PCC_Pavement_2801"/>
      <sheetName val="Item_311(200)1"/>
      <sheetName val="Item_311_(a)1_2801"/>
      <sheetName val="Item_311(b)__PCC_Pavement_2301"/>
      <sheetName val="Item_3111_(b)1_2301"/>
      <sheetName val="Item_404__Reinf__Steel_Bar_#_41"/>
      <sheetName val="Item_405a_Structurl_Conc_Class1"/>
      <sheetName val="Item_405_b1"/>
      <sheetName val="Item_511_Mattresses1"/>
      <sheetName val="Item_500_RCPC6101"/>
      <sheetName val="Item_500_RCPC_6101"/>
      <sheetName val="Item_500_RCPC_610_(2)1"/>
      <sheetName val="Item_500_RCPC910(a)1"/>
      <sheetName val="Item_500_RCPC9101"/>
      <sheetName val="Item_500_Grouted_Riprap_Class_1"/>
      <sheetName val="Item_506a_Stone_Masonry1"/>
      <sheetName val="Item_500(1)a_Pipe_Culvert,610m1"/>
      <sheetName val="Item_506(1)a_Stone_Masonry_1"/>
      <sheetName val="Item_511(1)_Gabions1"/>
      <sheetName val="Item_506b_Stone_Masonry1"/>
      <sheetName val="Item_603(3)a_Metal_Guardrail_m1"/>
      <sheetName val="Item605_Warning_Signs1"/>
      <sheetName val="Item_603(3)b1"/>
      <sheetName val="Item_612(1)_Reflectorized_ther1"/>
      <sheetName val="Item_612(2)_Reflectorized_ther1"/>
      <sheetName val="Item_507_Rubble_Concrete1"/>
      <sheetName val="Item_506(1)a_11"/>
      <sheetName val="B_7(2)1"/>
      <sheetName val="Item_311(150)1"/>
      <sheetName val="Item_404__Reinf__Steel_Bar__(21"/>
      <sheetName val="Item_405a_Structurl_Conc_Cl_(21"/>
      <sheetName val="A_1_1(8)Prov__of_Field_Off_1"/>
      <sheetName val="dpwh_signboard1"/>
      <sheetName val="coa_signboard1"/>
      <sheetName val="B_7_Occptl__safety_&amp;_health1"/>
      <sheetName val="B_8_traff_mngmt1"/>
      <sheetName val="B_9_mob_demod1"/>
      <sheetName val="Item_500(a)1"/>
      <sheetName val="Item_500(c)1"/>
      <sheetName val="Item_500(b)1"/>
      <sheetName val="cement_21"/>
      <sheetName val="Steel_21"/>
      <sheetName val="102(3)a_R0adway_Excavation_Sof1"/>
      <sheetName val="Item_506(a)1"/>
      <sheetName val="Cement_h1"/>
      <sheetName val="PRICE_LIST1"/>
      <sheetName val="Materials_Cost_4th_Quarter1"/>
      <sheetName val="Hauling_Cost_Materials1"/>
      <sheetName val="cement_hauling1"/>
      <sheetName val="new_steel_hauling1"/>
      <sheetName val="cement_hauling_cost1"/>
      <sheetName val="cement_hauling_(2)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xlnm._FilterDatabase" displayName="__xlnm._FilterDatabase" ref="J1:K113" totalsRowShown="0">
  <autoFilter ref="J1:K113" xr:uid="{00000000-0009-0000-0100-000001000000}"/>
  <tableColumns count="2">
    <tableColumn id="1" xr3:uid="{00000000-0010-0000-0000-000001000000}" name="Column1"/>
    <tableColumn id="2" xr3:uid="{00000000-0010-0000-0000-000002000000}" name="Column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__xlnm._FilterDatabase_1" displayName="__xlnm._FilterDatabase_1" ref="L44:L55" totalsRowShown="0">
  <tableColumns count="1">
    <tableColumn id="1" xr3:uid="{00000000-0010-0000-0100-000001000000}" name="Column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MJ52"/>
  <sheetViews>
    <sheetView view="pageBreakPreview" topLeftCell="A8" zoomScale="65" zoomScaleNormal="70" zoomScaleSheetLayoutView="65" workbookViewId="0">
      <selection activeCell="Z22" sqref="Z22"/>
    </sheetView>
  </sheetViews>
  <sheetFormatPr defaultColWidth="9" defaultRowHeight="14.25"/>
  <cols>
    <col min="1" max="1" width="15.25" style="703" customWidth="1"/>
    <col min="2" max="2" width="6.75" style="703" customWidth="1"/>
    <col min="3" max="4" width="5.875" style="703" customWidth="1"/>
    <col min="5" max="5" width="9.875" style="703" customWidth="1"/>
    <col min="6" max="6" width="5" style="703" customWidth="1"/>
    <col min="7" max="7" width="12.125" style="703" customWidth="1"/>
    <col min="8" max="8" width="13" style="703" customWidth="1"/>
    <col min="9" max="9" width="6" style="703" customWidth="1"/>
    <col min="10" max="10" width="5.75" style="703" customWidth="1"/>
    <col min="11" max="11" width="5.875" style="703" customWidth="1"/>
    <col min="12" max="12" width="5" style="703" customWidth="1"/>
    <col min="13" max="13" width="9.625" style="703" customWidth="1"/>
    <col min="14" max="14" width="11" style="703" customWidth="1"/>
    <col min="15" max="15" width="12.375" style="1026" customWidth="1"/>
    <col min="16" max="18" width="2.75" style="703" customWidth="1"/>
    <col min="19" max="19" width="5.375" style="703" customWidth="1"/>
    <col min="20" max="20" width="13.875" style="703" customWidth="1"/>
    <col min="21" max="21" width="4" style="703" customWidth="1"/>
    <col min="22" max="22" width="24.625" style="703" customWidth="1"/>
    <col min="23" max="23" width="4.125" style="703" customWidth="1"/>
    <col min="24" max="24" width="5" style="703" customWidth="1"/>
    <col min="25" max="25" width="17" style="703" customWidth="1"/>
    <col min="26" max="26" width="27.375" style="703" customWidth="1"/>
    <col min="27" max="28" width="8.5" style="703" customWidth="1"/>
    <col min="29" max="29" width="12.625" style="703" customWidth="1"/>
    <col min="30" max="30" width="17.625" style="703" customWidth="1"/>
    <col min="31" max="256" width="8.5" style="703" customWidth="1"/>
    <col min="257" max="257" width="13.375" style="703" customWidth="1"/>
    <col min="258" max="258" width="6.75" style="703" customWidth="1"/>
    <col min="259" max="260" width="5.875" style="703" customWidth="1"/>
    <col min="261" max="261" width="9.875" style="703" customWidth="1"/>
    <col min="262" max="262" width="5" style="703" customWidth="1"/>
    <col min="263" max="263" width="12.125" style="703" customWidth="1"/>
    <col min="264" max="264" width="13" style="703" customWidth="1"/>
    <col min="265" max="265" width="6" style="703" customWidth="1"/>
    <col min="266" max="266" width="5.75" style="703" customWidth="1"/>
    <col min="267" max="267" width="5.125" style="703" customWidth="1"/>
    <col min="268" max="268" width="5" style="703" customWidth="1"/>
    <col min="269" max="269" width="9.625" style="703" customWidth="1"/>
    <col min="270" max="270" width="11" style="703" customWidth="1"/>
    <col min="271" max="271" width="12.375" style="703" customWidth="1"/>
    <col min="272" max="274" width="2.75" style="703" customWidth="1"/>
    <col min="275" max="275" width="5.375" style="703" customWidth="1"/>
    <col min="276" max="276" width="11.875" style="703" customWidth="1"/>
    <col min="277" max="277" width="4" style="703" customWidth="1"/>
    <col min="278" max="278" width="21.375" style="703" customWidth="1"/>
    <col min="279" max="279" width="4.125" style="703" customWidth="1"/>
    <col min="280" max="280" width="5" style="703" customWidth="1"/>
    <col min="281" max="281" width="17" style="703" customWidth="1"/>
    <col min="282" max="282" width="27.375" style="703" customWidth="1"/>
    <col min="283" max="512" width="8.5" style="703" customWidth="1"/>
    <col min="513" max="513" width="13.375" style="703" customWidth="1"/>
    <col min="514" max="514" width="6.75" style="703" customWidth="1"/>
    <col min="515" max="516" width="5.875" style="703" customWidth="1"/>
    <col min="517" max="517" width="9.875" style="703" customWidth="1"/>
    <col min="518" max="518" width="5" style="703" customWidth="1"/>
    <col min="519" max="519" width="12.125" style="703" customWidth="1"/>
    <col min="520" max="520" width="13" style="703" customWidth="1"/>
    <col min="521" max="521" width="6" style="703" customWidth="1"/>
    <col min="522" max="522" width="5.75" style="703" customWidth="1"/>
    <col min="523" max="523" width="5.125" style="703" customWidth="1"/>
    <col min="524" max="524" width="5" style="703" customWidth="1"/>
    <col min="525" max="525" width="9.625" style="703" customWidth="1"/>
    <col min="526" max="526" width="11" style="703" customWidth="1"/>
    <col min="527" max="527" width="12.375" style="703" customWidth="1"/>
    <col min="528" max="530" width="2.75" style="703" customWidth="1"/>
    <col min="531" max="531" width="5.375" style="703" customWidth="1"/>
    <col min="532" max="532" width="11.875" style="703" customWidth="1"/>
    <col min="533" max="533" width="4" style="703" customWidth="1"/>
    <col min="534" max="534" width="21.375" style="703" customWidth="1"/>
    <col min="535" max="535" width="4.125" style="703" customWidth="1"/>
    <col min="536" max="536" width="5" style="703" customWidth="1"/>
    <col min="537" max="537" width="17" style="703" customWidth="1"/>
    <col min="538" max="538" width="27.375" style="703" customWidth="1"/>
    <col min="539" max="768" width="8.5" style="703" customWidth="1"/>
    <col min="769" max="769" width="13.375" style="703" customWidth="1"/>
    <col min="770" max="770" width="6.75" style="703" customWidth="1"/>
    <col min="771" max="772" width="5.875" style="703" customWidth="1"/>
    <col min="773" max="773" width="9.875" style="703" customWidth="1"/>
    <col min="774" max="774" width="5" style="703" customWidth="1"/>
    <col min="775" max="775" width="12.125" style="703" customWidth="1"/>
    <col min="776" max="776" width="13" style="703" customWidth="1"/>
    <col min="777" max="777" width="6" style="703" customWidth="1"/>
    <col min="778" max="778" width="5.75" style="703" customWidth="1"/>
    <col min="779" max="779" width="5.125" style="703" customWidth="1"/>
    <col min="780" max="780" width="5" style="703" customWidth="1"/>
    <col min="781" max="781" width="9.625" style="703" customWidth="1"/>
    <col min="782" max="782" width="11" style="703" customWidth="1"/>
    <col min="783" max="783" width="12.375" style="703" customWidth="1"/>
    <col min="784" max="786" width="2.75" style="703" customWidth="1"/>
    <col min="787" max="787" width="5.375" style="703" customWidth="1"/>
    <col min="788" max="788" width="11.875" style="703" customWidth="1"/>
    <col min="789" max="789" width="4" style="703" customWidth="1"/>
    <col min="790" max="790" width="21.375" style="703" customWidth="1"/>
    <col min="791" max="791" width="4.125" style="703" customWidth="1"/>
    <col min="792" max="792" width="5" style="703" customWidth="1"/>
    <col min="793" max="793" width="17" style="703" customWidth="1"/>
    <col min="794" max="794" width="27.375" style="703" customWidth="1"/>
    <col min="795" max="1024" width="8.5" style="703" customWidth="1"/>
    <col min="1025" max="1025" width="9" customWidth="1"/>
  </cols>
  <sheetData>
    <row r="1" spans="1:26">
      <c r="A1" s="1250"/>
      <c r="B1" s="1250"/>
      <c r="C1" s="1250"/>
      <c r="D1" s="1250"/>
      <c r="E1" s="1250"/>
      <c r="F1" s="1250"/>
      <c r="G1" s="1250"/>
      <c r="H1" s="1250"/>
      <c r="I1" s="1250"/>
      <c r="J1" s="1250"/>
      <c r="K1" s="1250"/>
      <c r="L1" s="1250"/>
      <c r="M1" s="1250"/>
      <c r="N1" s="1250"/>
      <c r="O1" s="1250"/>
      <c r="P1" s="1250"/>
      <c r="Q1" s="1250"/>
      <c r="R1" s="1250"/>
      <c r="S1" s="1250"/>
      <c r="T1" s="1250"/>
      <c r="U1" s="1250"/>
      <c r="V1" s="1250"/>
      <c r="W1" s="1250"/>
      <c r="X1" s="1250"/>
      <c r="Y1" s="1250"/>
      <c r="Z1" s="1250"/>
    </row>
    <row r="2" spans="1:26">
      <c r="A2" s="1250"/>
      <c r="B2" s="1250"/>
      <c r="C2" s="1250"/>
      <c r="D2" s="1250"/>
      <c r="E2" s="1250"/>
      <c r="F2" s="1250"/>
      <c r="G2" s="1250"/>
      <c r="H2" s="1250"/>
      <c r="I2" s="1250"/>
      <c r="J2" s="1250"/>
      <c r="K2" s="1250"/>
      <c r="L2" s="1250"/>
      <c r="M2" s="1250"/>
      <c r="N2" s="1250"/>
      <c r="O2" s="1250"/>
      <c r="P2" s="1250"/>
      <c r="Q2" s="1250"/>
      <c r="R2" s="1250"/>
      <c r="S2" s="1250"/>
      <c r="T2" s="1250"/>
      <c r="U2" s="1250"/>
      <c r="V2" s="1250"/>
      <c r="W2" s="1250"/>
      <c r="X2" s="1250"/>
      <c r="Y2" s="1250"/>
      <c r="Z2" s="1250"/>
    </row>
    <row r="3" spans="1:26">
      <c r="A3" s="1250"/>
      <c r="B3" s="1250"/>
      <c r="C3" s="1250"/>
      <c r="D3" s="1250"/>
      <c r="E3" s="1250"/>
      <c r="F3" s="1250"/>
      <c r="G3" s="1250"/>
      <c r="H3" s="1250"/>
      <c r="I3" s="1250"/>
      <c r="J3" s="1250"/>
      <c r="K3" s="1250"/>
      <c r="L3" s="1250"/>
      <c r="M3" s="1250"/>
      <c r="N3" s="1250"/>
      <c r="O3" s="1250"/>
      <c r="P3" s="1250"/>
      <c r="Q3" s="1250"/>
      <c r="R3" s="1250"/>
      <c r="S3" s="1250"/>
      <c r="T3" s="1250"/>
      <c r="U3" s="1250"/>
      <c r="V3" s="1250"/>
      <c r="W3" s="1250"/>
      <c r="X3" s="1250"/>
      <c r="Y3" s="1250"/>
      <c r="Z3" s="1250"/>
    </row>
    <row r="4" spans="1:26" ht="15.75">
      <c r="A4" s="1251" t="s">
        <v>0</v>
      </c>
      <c r="B4" s="1251"/>
      <c r="C4" s="1251"/>
      <c r="D4" s="1251"/>
      <c r="E4" s="1251"/>
      <c r="F4" s="1251"/>
      <c r="G4" s="1251"/>
      <c r="H4" s="1251"/>
      <c r="I4" s="1251"/>
      <c r="J4" s="1251"/>
      <c r="K4" s="1251"/>
      <c r="L4" s="1251"/>
      <c r="M4" s="1251"/>
      <c r="N4" s="1251"/>
      <c r="O4" s="1251"/>
      <c r="P4" s="1251"/>
      <c r="Q4" s="1251"/>
      <c r="R4" s="1251"/>
      <c r="S4" s="1251"/>
      <c r="T4" s="1251"/>
      <c r="U4" s="1251"/>
      <c r="V4" s="1251"/>
      <c r="W4" s="1251"/>
      <c r="X4" s="1251"/>
      <c r="Y4" s="1251"/>
      <c r="Z4" s="1251"/>
    </row>
    <row r="5" spans="1:26" ht="20.25">
      <c r="A5" s="1250"/>
      <c r="B5" s="1250"/>
      <c r="C5" s="1250"/>
      <c r="D5" s="1250"/>
      <c r="E5" s="678"/>
      <c r="F5" s="678"/>
      <c r="G5" s="678"/>
      <c r="H5" s="678"/>
      <c r="I5" s="678"/>
      <c r="J5" s="678"/>
      <c r="K5" s="678"/>
      <c r="L5" s="938"/>
      <c r="M5" s="938"/>
      <c r="N5" s="938"/>
      <c r="O5" s="939"/>
      <c r="P5" s="938"/>
      <c r="Q5" s="938"/>
      <c r="R5" s="938"/>
      <c r="S5" s="938"/>
      <c r="T5" s="938"/>
      <c r="U5" s="938"/>
      <c r="V5" s="938"/>
      <c r="W5" s="938"/>
      <c r="X5" s="938"/>
      <c r="Y5" s="1252" t="s">
        <v>1</v>
      </c>
      <c r="Z5" s="1252"/>
    </row>
    <row r="6" spans="1:26" ht="18">
      <c r="A6" s="1253" t="str">
        <f>'POW-2015-01B-00_'!A2:I2</f>
        <v>CONSTRUCTION OF ROAD</v>
      </c>
      <c r="B6" s="1253"/>
      <c r="C6" s="1253"/>
      <c r="D6" s="1253"/>
      <c r="E6" s="1253"/>
      <c r="F6" s="1253"/>
      <c r="G6" s="1253"/>
      <c r="H6" s="1253"/>
      <c r="I6" s="1253"/>
      <c r="J6" s="1253"/>
      <c r="K6" s="1253"/>
      <c r="L6" s="1253"/>
      <c r="M6" s="1253"/>
      <c r="N6" s="1253"/>
      <c r="O6" s="1253"/>
      <c r="P6" s="1253"/>
      <c r="Q6" s="1253"/>
      <c r="R6" s="1253"/>
      <c r="S6" s="1253"/>
      <c r="T6" s="1253"/>
      <c r="U6" s="1253"/>
      <c r="V6" s="1253"/>
      <c r="W6" s="1253"/>
      <c r="X6" s="1253"/>
      <c r="Y6" s="1253"/>
      <c r="Z6" s="1253"/>
    </row>
    <row r="7" spans="1:26" ht="18">
      <c r="A7" s="1254" t="str">
        <f>'POW-2015-01B-00_'!A3:I3</f>
        <v>BRGY. L. PIMENTEL, SAN LUIS, AURORA</v>
      </c>
      <c r="B7" s="1254"/>
      <c r="C7" s="1254"/>
      <c r="D7" s="1254"/>
      <c r="E7" s="1254"/>
      <c r="F7" s="1254"/>
      <c r="G7" s="1254"/>
      <c r="H7" s="1254"/>
      <c r="I7" s="1254"/>
      <c r="J7" s="1254"/>
      <c r="K7" s="1254"/>
      <c r="L7" s="1254"/>
      <c r="M7" s="1254"/>
      <c r="N7" s="1254"/>
      <c r="O7" s="1254"/>
      <c r="P7" s="1254"/>
      <c r="Q7" s="1254"/>
      <c r="R7" s="1254"/>
      <c r="S7" s="1254"/>
      <c r="T7" s="1254"/>
      <c r="U7" s="1254"/>
      <c r="V7" s="1254"/>
      <c r="W7" s="1254"/>
      <c r="X7" s="1254"/>
      <c r="Y7" s="1254"/>
      <c r="Z7" s="1254"/>
    </row>
    <row r="8" spans="1:26">
      <c r="A8" s="1255"/>
      <c r="B8" s="1255"/>
      <c r="C8" s="1255"/>
      <c r="D8" s="1255"/>
      <c r="E8" s="1255"/>
      <c r="F8" s="1255"/>
      <c r="G8" s="1255"/>
      <c r="H8" s="1255"/>
      <c r="I8" s="1255"/>
      <c r="J8" s="1255"/>
      <c r="K8" s="1255"/>
      <c r="L8" s="1255"/>
      <c r="M8" s="1255"/>
      <c r="N8" s="1255"/>
      <c r="O8" s="1255"/>
      <c r="P8" s="1255"/>
      <c r="Q8" s="1255"/>
      <c r="R8" s="1255"/>
      <c r="S8" s="1255"/>
      <c r="T8" s="1255"/>
      <c r="U8" s="1255"/>
      <c r="V8" s="1255"/>
      <c r="W8" s="1255"/>
      <c r="X8" s="1255"/>
      <c r="Y8" s="1255"/>
      <c r="Z8" s="1255"/>
    </row>
    <row r="9" spans="1:26" ht="15">
      <c r="Z9" s="1038"/>
    </row>
    <row r="10" spans="1:26" ht="20.25" customHeight="1">
      <c r="A10" s="1256" t="s">
        <v>2</v>
      </c>
      <c r="B10" s="1256"/>
      <c r="C10" s="1256"/>
      <c r="D10" s="1256"/>
      <c r="E10" s="1256"/>
      <c r="F10" s="1256"/>
      <c r="G10" s="1256"/>
      <c r="H10" s="1256"/>
      <c r="I10" s="1256"/>
      <c r="J10" s="1256"/>
      <c r="K10" s="1256"/>
      <c r="L10" s="1256"/>
      <c r="M10" s="1256"/>
      <c r="N10" s="1256"/>
      <c r="O10" s="1256"/>
      <c r="P10" s="1256"/>
      <c r="Q10" s="1256"/>
      <c r="R10" s="1256"/>
      <c r="S10" s="1256"/>
      <c r="T10" s="1256"/>
      <c r="U10" s="1256"/>
      <c r="V10" s="1256"/>
      <c r="W10" s="1256"/>
      <c r="X10" s="1256"/>
      <c r="Y10" s="1256"/>
      <c r="Z10" s="1256"/>
    </row>
    <row r="11" spans="1:26" ht="18">
      <c r="A11" s="872"/>
      <c r="B11" s="872"/>
      <c r="C11" s="872"/>
      <c r="D11" s="872"/>
      <c r="E11" s="872"/>
      <c r="F11" s="872"/>
      <c r="G11" s="872"/>
      <c r="H11" s="872"/>
      <c r="I11" s="872"/>
      <c r="J11" s="872"/>
      <c r="K11" s="872"/>
      <c r="L11" s="678"/>
      <c r="M11" s="678"/>
      <c r="N11" s="1028"/>
      <c r="O11" s="1029"/>
      <c r="P11" s="678"/>
      <c r="Q11" s="678"/>
      <c r="R11" s="678"/>
      <c r="S11" s="678"/>
      <c r="T11" s="678"/>
      <c r="U11" s="678"/>
      <c r="W11" s="1257" t="s">
        <v>3</v>
      </c>
      <c r="X11" s="1257"/>
      <c r="Y11" s="1257"/>
      <c r="Z11" s="1000">
        <f>'POW-2015-01-00_'!AC15</f>
        <v>65</v>
      </c>
    </row>
    <row r="12" spans="1:26" ht="22.5" customHeight="1">
      <c r="A12" s="1262" t="s">
        <v>4</v>
      </c>
      <c r="B12" s="1290" t="s">
        <v>5</v>
      </c>
      <c r="C12" s="1290"/>
      <c r="D12" s="1290"/>
      <c r="E12" s="1290"/>
      <c r="F12" s="1290"/>
      <c r="G12" s="1290"/>
      <c r="H12" s="1290"/>
      <c r="I12" s="1290"/>
      <c r="J12" s="1290"/>
      <c r="K12" s="1290"/>
      <c r="L12" s="1290" t="s">
        <v>6</v>
      </c>
      <c r="M12" s="1290"/>
      <c r="N12" s="1290"/>
      <c r="O12" s="1258" t="s">
        <v>7</v>
      </c>
      <c r="P12" s="1258"/>
      <c r="Q12" s="1258"/>
      <c r="R12" s="1258"/>
      <c r="S12" s="1258"/>
      <c r="T12" s="1258"/>
      <c r="U12" s="1290" t="s">
        <v>8</v>
      </c>
      <c r="V12" s="1290"/>
      <c r="W12" s="1290" t="s">
        <v>9</v>
      </c>
      <c r="X12" s="1290"/>
      <c r="Y12" s="1290"/>
      <c r="Z12" s="1284" t="s">
        <v>10</v>
      </c>
    </row>
    <row r="13" spans="1:26" ht="22.5" customHeight="1">
      <c r="A13" s="1263"/>
      <c r="B13" s="1291"/>
      <c r="C13" s="1291"/>
      <c r="D13" s="1291"/>
      <c r="E13" s="1291"/>
      <c r="F13" s="1291"/>
      <c r="G13" s="1291"/>
      <c r="H13" s="1291"/>
      <c r="I13" s="1291"/>
      <c r="J13" s="1291"/>
      <c r="K13" s="1291"/>
      <c r="L13" s="1291"/>
      <c r="M13" s="1291"/>
      <c r="N13" s="1291"/>
      <c r="O13" s="1030" t="s">
        <v>11</v>
      </c>
      <c r="P13" s="1259" t="s">
        <v>12</v>
      </c>
      <c r="Q13" s="1259"/>
      <c r="R13" s="1259"/>
      <c r="S13" s="1259"/>
      <c r="T13" s="1259"/>
      <c r="U13" s="1291"/>
      <c r="V13" s="1291"/>
      <c r="W13" s="1291"/>
      <c r="X13" s="1291"/>
      <c r="Y13" s="1291"/>
      <c r="Z13" s="1285"/>
    </row>
    <row r="14" spans="1:26" s="854" customFormat="1" ht="22.5" customHeight="1">
      <c r="A14" s="1264" t="str">
        <f>+'POW-2015-01C-00_'!A11</f>
        <v>PART A</v>
      </c>
      <c r="B14" s="1293" t="str">
        <f>+'POW-2015-01C-00_'!B11</f>
        <v>FACILITIES FOR THE ENGINEER</v>
      </c>
      <c r="C14" s="1293"/>
      <c r="D14" s="1293"/>
      <c r="E14" s="1293"/>
      <c r="F14" s="1293"/>
      <c r="G14" s="1293"/>
      <c r="H14" s="1293"/>
      <c r="I14" s="1260" t="s">
        <v>13</v>
      </c>
      <c r="J14" s="1260"/>
      <c r="K14" s="1260"/>
      <c r="L14" s="1261"/>
      <c r="M14" s="1261"/>
      <c r="N14" s="1261"/>
      <c r="O14" s="1031"/>
      <c r="P14" s="1261"/>
      <c r="Q14" s="1261"/>
      <c r="R14" s="1261"/>
      <c r="S14" s="1261"/>
      <c r="T14" s="1261"/>
      <c r="U14" s="1261"/>
      <c r="V14" s="1261"/>
      <c r="W14" s="1261"/>
      <c r="X14" s="1261"/>
      <c r="Y14" s="1261"/>
      <c r="Z14" s="1039"/>
    </row>
    <row r="15" spans="1:26" s="854" customFormat="1" ht="22.5" customHeight="1">
      <c r="A15" s="1265"/>
      <c r="B15" s="1294"/>
      <c r="C15" s="1294"/>
      <c r="D15" s="1294"/>
      <c r="E15" s="1294"/>
      <c r="F15" s="1294"/>
      <c r="G15" s="1294"/>
      <c r="H15" s="1294"/>
      <c r="I15" s="1266" t="s">
        <v>14</v>
      </c>
      <c r="J15" s="1266"/>
      <c r="K15" s="1266"/>
      <c r="L15" s="1267">
        <f>+'POW-2015-01C-00_'!N15</f>
        <v>48948.07</v>
      </c>
      <c r="M15" s="1267"/>
      <c r="N15" s="1267"/>
      <c r="O15" s="1032">
        <f>P15/L15</f>
        <v>0.19999991828074121</v>
      </c>
      <c r="P15" s="1267">
        <f>+'POW-2015-01C-00_'!P15</f>
        <v>9789.61</v>
      </c>
      <c r="Q15" s="1267"/>
      <c r="R15" s="1267"/>
      <c r="S15" s="1267"/>
      <c r="T15" s="1267"/>
      <c r="U15" s="1268">
        <f>+ROUND((L15+P15)*0.05,2)</f>
        <v>2936.88</v>
      </c>
      <c r="V15" s="1268"/>
      <c r="W15" s="1267">
        <f>U15+P15</f>
        <v>12726.490000000002</v>
      </c>
      <c r="X15" s="1267"/>
      <c r="Y15" s="1267"/>
      <c r="Z15" s="1040">
        <f>W15+L15</f>
        <v>61674.559999999998</v>
      </c>
    </row>
    <row r="16" spans="1:26" s="854" customFormat="1" ht="22.5" customHeight="1">
      <c r="A16" s="1282" t="str">
        <f>+'POW-2015-01C-00_'!A16</f>
        <v>PART B</v>
      </c>
      <c r="B16" s="1292" t="str">
        <f>+'POW-2015-01C-00_'!B16</f>
        <v>OTHER GENERAL REQUIREMENTS</v>
      </c>
      <c r="C16" s="1292"/>
      <c r="D16" s="1292"/>
      <c r="E16" s="1292"/>
      <c r="F16" s="1292"/>
      <c r="G16" s="1292"/>
      <c r="H16" s="1292"/>
      <c r="I16" s="1266" t="s">
        <v>13</v>
      </c>
      <c r="J16" s="1266"/>
      <c r="K16" s="1266"/>
      <c r="L16" s="1269"/>
      <c r="M16" s="1269"/>
      <c r="N16" s="1269"/>
      <c r="O16" s="1032"/>
      <c r="P16" s="1269"/>
      <c r="Q16" s="1269"/>
      <c r="R16" s="1269"/>
      <c r="S16" s="1269"/>
      <c r="T16" s="1269"/>
      <c r="U16" s="1269"/>
      <c r="V16" s="1269"/>
      <c r="W16" s="1269"/>
      <c r="X16" s="1269"/>
      <c r="Y16" s="1269"/>
      <c r="Z16" s="1041"/>
    </row>
    <row r="17" spans="1:36" s="854" customFormat="1" ht="22.5" customHeight="1">
      <c r="A17" s="1282"/>
      <c r="B17" s="1292"/>
      <c r="C17" s="1292"/>
      <c r="D17" s="1292"/>
      <c r="E17" s="1292"/>
      <c r="F17" s="1292"/>
      <c r="G17" s="1292"/>
      <c r="H17" s="1292"/>
      <c r="I17" s="1266" t="s">
        <v>14</v>
      </c>
      <c r="J17" s="1266"/>
      <c r="K17" s="1266"/>
      <c r="L17" s="1267">
        <f>+'POW-2015-01C-00_'!N28</f>
        <v>201538.18</v>
      </c>
      <c r="M17" s="1267"/>
      <c r="N17" s="1267"/>
      <c r="O17" s="1032">
        <f>P17/L17</f>
        <v>6.1540448564138074E-2</v>
      </c>
      <c r="P17" s="1267">
        <f>+'POW-2015-01C-00_'!P28</f>
        <v>12402.75</v>
      </c>
      <c r="Q17" s="1267"/>
      <c r="R17" s="1267"/>
      <c r="S17" s="1267"/>
      <c r="T17" s="1267"/>
      <c r="U17" s="1268">
        <f>+ROUNDDOWN(((L17+P17)*0.05),2)</f>
        <v>10697.04</v>
      </c>
      <c r="V17" s="1268"/>
      <c r="W17" s="1267">
        <f>U17+P17</f>
        <v>23099.79</v>
      </c>
      <c r="X17" s="1267"/>
      <c r="Y17" s="1267"/>
      <c r="Z17" s="1041">
        <f>W17+L17</f>
        <v>224637.97</v>
      </c>
      <c r="AC17" s="1042"/>
    </row>
    <row r="18" spans="1:36" s="854" customFormat="1" ht="22.5" customHeight="1">
      <c r="A18" s="1282" t="str">
        <f>+'POW-2015-01C-00_'!A29</f>
        <v>PART C</v>
      </c>
      <c r="B18" s="1292" t="str">
        <f>+'POW-2015-01C-00_'!B29</f>
        <v>EARTHWORK</v>
      </c>
      <c r="C18" s="1292"/>
      <c r="D18" s="1292"/>
      <c r="E18" s="1292"/>
      <c r="F18" s="1292"/>
      <c r="G18" s="1292"/>
      <c r="H18" s="1292"/>
      <c r="I18" s="1266" t="s">
        <v>13</v>
      </c>
      <c r="J18" s="1266"/>
      <c r="K18" s="1266"/>
      <c r="L18" s="1269"/>
      <c r="M18" s="1269"/>
      <c r="N18" s="1269"/>
      <c r="O18" s="1032"/>
      <c r="P18" s="1269"/>
      <c r="Q18" s="1269"/>
      <c r="R18" s="1269"/>
      <c r="S18" s="1269"/>
      <c r="T18" s="1269"/>
      <c r="U18" s="1269"/>
      <c r="V18" s="1269"/>
      <c r="W18" s="1269"/>
      <c r="X18" s="1269"/>
      <c r="Y18" s="1269"/>
      <c r="Z18" s="1041"/>
    </row>
    <row r="19" spans="1:36" s="854" customFormat="1" ht="22.5" customHeight="1">
      <c r="A19" s="1282"/>
      <c r="B19" s="1292"/>
      <c r="C19" s="1292"/>
      <c r="D19" s="1292"/>
      <c r="E19" s="1292"/>
      <c r="F19" s="1292"/>
      <c r="G19" s="1292"/>
      <c r="H19" s="1292"/>
      <c r="I19" s="1266" t="s">
        <v>14</v>
      </c>
      <c r="J19" s="1266"/>
      <c r="K19" s="1266"/>
      <c r="L19" s="1267">
        <f>+'POW-2015-01C-00_'!N39</f>
        <v>775217.54</v>
      </c>
      <c r="M19" s="1267"/>
      <c r="N19" s="1267"/>
      <c r="O19" s="1032">
        <f>P19/L19</f>
        <v>0.19999998968031604</v>
      </c>
      <c r="P19" s="1267">
        <f>+'POW-2015-01C-00_'!P39</f>
        <v>155043.5</v>
      </c>
      <c r="Q19" s="1267"/>
      <c r="R19" s="1267"/>
      <c r="S19" s="1267"/>
      <c r="T19" s="1267"/>
      <c r="U19" s="1268">
        <f>+ROUNDUP((L19+P19)*0.05,2)</f>
        <v>46513.060000000005</v>
      </c>
      <c r="V19" s="1268"/>
      <c r="W19" s="1267">
        <f>U19+P19</f>
        <v>201556.56</v>
      </c>
      <c r="X19" s="1267"/>
      <c r="Y19" s="1267"/>
      <c r="Z19" s="1041">
        <f>W19+L19</f>
        <v>976774.10000000009</v>
      </c>
      <c r="AC19" s="1042"/>
    </row>
    <row r="20" spans="1:36" s="854" customFormat="1" ht="22.5" customHeight="1">
      <c r="A20" s="1282" t="str">
        <f>+'POW-2015-01C-00_'!A40</f>
        <v>PART D</v>
      </c>
      <c r="B20" s="1292" t="str">
        <f>+'POW-2015-01C-00_'!B40</f>
        <v>SUBBASE AND BASE COURSE</v>
      </c>
      <c r="C20" s="1292"/>
      <c r="D20" s="1292"/>
      <c r="E20" s="1292"/>
      <c r="F20" s="1292"/>
      <c r="G20" s="1292"/>
      <c r="H20" s="1292"/>
      <c r="I20" s="1266" t="s">
        <v>13</v>
      </c>
      <c r="J20" s="1266"/>
      <c r="K20" s="1266"/>
      <c r="L20" s="1269"/>
      <c r="M20" s="1269"/>
      <c r="N20" s="1269"/>
      <c r="O20" s="1032"/>
      <c r="P20" s="1269"/>
      <c r="Q20" s="1269"/>
      <c r="R20" s="1269"/>
      <c r="S20" s="1269"/>
      <c r="T20" s="1269"/>
      <c r="U20" s="1269"/>
      <c r="V20" s="1269"/>
      <c r="W20" s="1269"/>
      <c r="X20" s="1269"/>
      <c r="Y20" s="1269"/>
      <c r="Z20" s="1041"/>
    </row>
    <row r="21" spans="1:36" s="854" customFormat="1" ht="22.5" customHeight="1">
      <c r="A21" s="1282"/>
      <c r="B21" s="1292"/>
      <c r="C21" s="1292"/>
      <c r="D21" s="1292"/>
      <c r="E21" s="1292"/>
      <c r="F21" s="1292"/>
      <c r="G21" s="1292"/>
      <c r="H21" s="1292"/>
      <c r="I21" s="1266" t="s">
        <v>14</v>
      </c>
      <c r="J21" s="1266"/>
      <c r="K21" s="1266"/>
      <c r="L21" s="1267">
        <f>+'POW-2015-01C-00_'!N44</f>
        <v>1035926.63</v>
      </c>
      <c r="M21" s="1267"/>
      <c r="N21" s="1267"/>
      <c r="O21" s="1032">
        <f>P21/L21</f>
        <v>0.20000000386127731</v>
      </c>
      <c r="P21" s="1267">
        <f>+'POW-2015-01C-00_'!P44</f>
        <v>207185.33</v>
      </c>
      <c r="Q21" s="1267"/>
      <c r="R21" s="1267"/>
      <c r="S21" s="1267"/>
      <c r="T21" s="1267"/>
      <c r="U21" s="1268">
        <f>+ROUND((L21+P21)*0.05,2)</f>
        <v>62155.6</v>
      </c>
      <c r="V21" s="1268"/>
      <c r="W21" s="1267">
        <f>U21+P21</f>
        <v>269340.93</v>
      </c>
      <c r="X21" s="1267"/>
      <c r="Y21" s="1267"/>
      <c r="Z21" s="1041">
        <f>W21+L21</f>
        <v>1305267.56</v>
      </c>
      <c r="AC21" s="1042"/>
    </row>
    <row r="22" spans="1:36" s="854" customFormat="1" ht="22.5" customHeight="1">
      <c r="A22" s="1282" t="str">
        <f>+'POW-2015-01C-00_'!A45</f>
        <v>PART E</v>
      </c>
      <c r="B22" s="1292" t="str">
        <f>+'POW-2015-01C-00_'!B45</f>
        <v>SURFACE COURSES</v>
      </c>
      <c r="C22" s="1292"/>
      <c r="D22" s="1292"/>
      <c r="E22" s="1292"/>
      <c r="F22" s="1292"/>
      <c r="G22" s="1292"/>
      <c r="H22" s="1292"/>
      <c r="I22" s="1266" t="s">
        <v>13</v>
      </c>
      <c r="J22" s="1266"/>
      <c r="K22" s="1266"/>
      <c r="L22" s="1269"/>
      <c r="M22" s="1269"/>
      <c r="N22" s="1269"/>
      <c r="O22" s="1032"/>
      <c r="P22" s="1269"/>
      <c r="Q22" s="1269"/>
      <c r="R22" s="1269"/>
      <c r="S22" s="1269"/>
      <c r="T22" s="1269"/>
      <c r="U22" s="1270"/>
      <c r="V22" s="1270"/>
      <c r="W22" s="1269"/>
      <c r="X22" s="1269"/>
      <c r="Y22" s="1269"/>
      <c r="Z22" s="1041"/>
    </row>
    <row r="23" spans="1:36" s="854" customFormat="1" ht="22.5" customHeight="1">
      <c r="A23" s="1282"/>
      <c r="B23" s="1292"/>
      <c r="C23" s="1292"/>
      <c r="D23" s="1292"/>
      <c r="E23" s="1292"/>
      <c r="F23" s="1292"/>
      <c r="G23" s="1292"/>
      <c r="H23" s="1292"/>
      <c r="I23" s="1266" t="s">
        <v>14</v>
      </c>
      <c r="J23" s="1266"/>
      <c r="K23" s="1266"/>
      <c r="L23" s="1267">
        <f>+'POW-2015-01C-00_'!N47</f>
        <v>4672524.1500000004</v>
      </c>
      <c r="M23" s="1267"/>
      <c r="N23" s="1267"/>
      <c r="O23" s="1032">
        <f>P23/L23</f>
        <v>0.19999999999999998</v>
      </c>
      <c r="P23" s="1267">
        <f>+'POW-2015-01C-00_'!P47</f>
        <v>934504.83</v>
      </c>
      <c r="Q23" s="1267"/>
      <c r="R23" s="1267"/>
      <c r="S23" s="1267"/>
      <c r="T23" s="1267"/>
      <c r="U23" s="1268">
        <f>+ROUND((L23+P23)*0.05,2)</f>
        <v>280351.45</v>
      </c>
      <c r="V23" s="1268"/>
      <c r="W23" s="1267">
        <f>U23+P23</f>
        <v>1214856.28</v>
      </c>
      <c r="X23" s="1267"/>
      <c r="Y23" s="1267"/>
      <c r="Z23" s="1041">
        <f>W23+L23</f>
        <v>5887380.4300000006</v>
      </c>
      <c r="AC23" s="1042"/>
    </row>
    <row r="24" spans="1:36" s="854" customFormat="1" ht="22.5" customHeight="1">
      <c r="A24" s="1282" t="str">
        <f>+'POW-2015-01C-00_'!A50</f>
        <v>PART F</v>
      </c>
      <c r="B24" s="1292" t="str">
        <f>+'POW-2015-01C-00_'!B50</f>
        <v>DRAINAGE AND SLOPE PROTECTION STRUCTURES</v>
      </c>
      <c r="C24" s="1292"/>
      <c r="D24" s="1292"/>
      <c r="E24" s="1292"/>
      <c r="F24" s="1292"/>
      <c r="G24" s="1292"/>
      <c r="H24" s="1292"/>
      <c r="I24" s="1266" t="s">
        <v>13</v>
      </c>
      <c r="J24" s="1266"/>
      <c r="K24" s="1266"/>
      <c r="L24" s="1269"/>
      <c r="M24" s="1269"/>
      <c r="N24" s="1269"/>
      <c r="O24" s="1032"/>
      <c r="P24" s="1269"/>
      <c r="Q24" s="1269"/>
      <c r="R24" s="1269"/>
      <c r="S24" s="1269"/>
      <c r="T24" s="1269"/>
      <c r="U24" s="1270"/>
      <c r="V24" s="1270"/>
      <c r="W24" s="1269"/>
      <c r="X24" s="1269"/>
      <c r="Y24" s="1269"/>
      <c r="Z24" s="1041"/>
    </row>
    <row r="25" spans="1:36" s="854" customFormat="1" ht="22.5" customHeight="1" thickBot="1">
      <c r="A25" s="1283"/>
      <c r="B25" s="1295"/>
      <c r="C25" s="1295"/>
      <c r="D25" s="1295"/>
      <c r="E25" s="1295"/>
      <c r="F25" s="1295"/>
      <c r="G25" s="1295"/>
      <c r="H25" s="1295"/>
      <c r="I25" s="1298" t="s">
        <v>14</v>
      </c>
      <c r="J25" s="1298"/>
      <c r="K25" s="1298"/>
      <c r="L25" s="1271">
        <f>+'POW-2015-01C-00_'!N52</f>
        <v>1066877.28</v>
      </c>
      <c r="M25" s="1271"/>
      <c r="N25" s="1271"/>
      <c r="O25" s="1033">
        <f>P25/L25</f>
        <v>0.20000000374925969</v>
      </c>
      <c r="P25" s="1271">
        <f>+'POW-2015-01C-00_'!P52</f>
        <v>213375.46</v>
      </c>
      <c r="Q25" s="1271"/>
      <c r="R25" s="1271"/>
      <c r="S25" s="1271"/>
      <c r="T25" s="1271"/>
      <c r="U25" s="1272">
        <f>+ROUND((L25+P25)*0.05,2)</f>
        <v>64012.639999999999</v>
      </c>
      <c r="V25" s="1272"/>
      <c r="W25" s="1271">
        <f>U25+P25</f>
        <v>277388.09999999998</v>
      </c>
      <c r="X25" s="1271"/>
      <c r="Y25" s="1271"/>
      <c r="Z25" s="1043">
        <f>W25+L25</f>
        <v>1344265.38</v>
      </c>
      <c r="AC25" s="1042"/>
    </row>
    <row r="26" spans="1:36" s="854" customFormat="1" ht="22.5" customHeight="1" thickBot="1">
      <c r="A26" s="1286" t="s">
        <v>15</v>
      </c>
      <c r="B26" s="1287"/>
      <c r="C26" s="1287"/>
      <c r="D26" s="1287"/>
      <c r="E26" s="1287"/>
      <c r="F26" s="1287"/>
      <c r="G26" s="1287"/>
      <c r="H26" s="1287"/>
      <c r="I26" s="1275" t="s">
        <v>13</v>
      </c>
      <c r="J26" s="1275"/>
      <c r="K26" s="1275"/>
      <c r="L26" s="1261"/>
      <c r="M26" s="1261"/>
      <c r="N26" s="1261"/>
      <c r="O26" s="1031"/>
      <c r="P26" s="1261"/>
      <c r="Q26" s="1261"/>
      <c r="R26" s="1261"/>
      <c r="S26" s="1261"/>
      <c r="T26" s="1261"/>
      <c r="U26" s="1261"/>
      <c r="V26" s="1261"/>
      <c r="W26" s="1261"/>
      <c r="X26" s="1261"/>
      <c r="Y26" s="1261"/>
      <c r="Z26" s="1134"/>
    </row>
    <row r="27" spans="1:36" s="854" customFormat="1" ht="22.5" customHeight="1" thickBot="1">
      <c r="A27" s="1288"/>
      <c r="B27" s="1289"/>
      <c r="C27" s="1289"/>
      <c r="D27" s="1289"/>
      <c r="E27" s="1289"/>
      <c r="F27" s="1289"/>
      <c r="G27" s="1289"/>
      <c r="H27" s="1289"/>
      <c r="I27" s="1296" t="s">
        <v>14</v>
      </c>
      <c r="J27" s="1296"/>
      <c r="K27" s="1296"/>
      <c r="L27" s="1297">
        <f>+SUM(L14:N25)</f>
        <v>7801031.8500000006</v>
      </c>
      <c r="M27" s="1297"/>
      <c r="N27" s="1297"/>
      <c r="O27" s="1135"/>
      <c r="P27" s="1297">
        <f>+SUM(P14:T25)</f>
        <v>1532301.48</v>
      </c>
      <c r="Q27" s="1297"/>
      <c r="R27" s="1297"/>
      <c r="S27" s="1297"/>
      <c r="T27" s="1297"/>
      <c r="U27" s="1297">
        <f>+SUM(U14:V25)</f>
        <v>466666.67000000004</v>
      </c>
      <c r="V27" s="1297"/>
      <c r="W27" s="1297">
        <f>+SUM(W15:Y25)</f>
        <v>1998968.15</v>
      </c>
      <c r="X27" s="1297"/>
      <c r="Y27" s="1297"/>
      <c r="Z27" s="1136">
        <f>+SUM(Z14:Z25)</f>
        <v>9800000</v>
      </c>
      <c r="AA27" s="1044"/>
      <c r="AB27" s="1044"/>
      <c r="AC27" s="854" t="b">
        <f>Z27='POW-2015-01C-00_'!R56</f>
        <v>1</v>
      </c>
    </row>
    <row r="28" spans="1:36" s="854" customFormat="1" ht="35.1" customHeight="1">
      <c r="A28" s="1273" t="str">
        <f>'POW-2015-01-00_'!A42</f>
        <v>Note: Prices/Rates were based on CMPD 4TH Quarter CY 2022 for Materials, Memorandum dated December 29, 2022 for Labor cost and Memorandum dated May 18, 2022 for Equipment rental including Fuel &amp; Oil/Lubricant cost as of January 4, 2023 for DPWH Regional/District Engineering Offices</v>
      </c>
      <c r="B28" s="1273"/>
      <c r="C28" s="1273"/>
      <c r="D28" s="1273"/>
      <c r="E28" s="1273"/>
      <c r="F28" s="1273"/>
      <c r="G28" s="1273"/>
      <c r="H28" s="1273"/>
      <c r="I28" s="1273"/>
      <c r="J28" s="1273"/>
      <c r="K28" s="1273"/>
      <c r="L28" s="1273"/>
      <c r="M28" s="1273"/>
      <c r="N28" s="1273"/>
      <c r="O28" s="1273"/>
      <c r="P28" s="1273"/>
      <c r="Q28" s="1273"/>
      <c r="R28" s="1273"/>
      <c r="S28" s="1273"/>
      <c r="T28" s="1273"/>
      <c r="U28" s="1273"/>
      <c r="V28" s="1273"/>
      <c r="W28" s="1273"/>
      <c r="X28" s="1273"/>
      <c r="Y28" s="1273"/>
      <c r="Z28" s="1273"/>
      <c r="AC28" s="854" t="b">
        <f>W27='POW-2015-01C-00_'!P56+'POW-2015-01C-00_'!Q56</f>
        <v>1</v>
      </c>
    </row>
    <row r="29" spans="1:36" s="854" customFormat="1" ht="15" customHeight="1">
      <c r="A29" s="936"/>
      <c r="B29" s="936"/>
      <c r="C29" s="936"/>
      <c r="D29" s="936"/>
      <c r="E29" s="936"/>
      <c r="F29" s="936"/>
      <c r="G29" s="936"/>
      <c r="H29" s="936"/>
      <c r="I29" s="936"/>
      <c r="J29" s="936"/>
      <c r="K29" s="936"/>
      <c r="L29" s="936"/>
      <c r="M29" s="936"/>
      <c r="N29" s="936"/>
      <c r="O29" s="936"/>
      <c r="P29" s="936"/>
      <c r="Q29" s="936"/>
      <c r="R29" s="936"/>
      <c r="S29" s="936"/>
      <c r="T29" s="936"/>
      <c r="U29" s="936"/>
      <c r="V29" s="936"/>
      <c r="W29" s="936"/>
      <c r="X29" s="936"/>
      <c r="Y29" s="936"/>
      <c r="Z29" s="936"/>
    </row>
    <row r="30" spans="1:36" s="854" customFormat="1" ht="37.5" customHeight="1">
      <c r="A30" s="1274" t="s">
        <v>16</v>
      </c>
      <c r="B30" s="1274"/>
      <c r="C30" s="1274"/>
      <c r="D30" s="1274"/>
      <c r="E30" s="1274"/>
      <c r="F30" s="936"/>
      <c r="G30" s="936"/>
      <c r="H30" s="936"/>
      <c r="I30" s="936"/>
      <c r="J30" s="936"/>
      <c r="K30" s="936"/>
      <c r="L30" s="936"/>
      <c r="M30" s="1274" t="s">
        <v>17</v>
      </c>
      <c r="N30" s="1274"/>
      <c r="O30" s="936" t="s">
        <v>18</v>
      </c>
      <c r="P30" s="936"/>
      <c r="Q30" s="936"/>
      <c r="R30" s="936"/>
      <c r="S30" s="936"/>
      <c r="T30" s="1027" t="s">
        <v>19</v>
      </c>
      <c r="U30" s="936"/>
      <c r="V30" s="936"/>
      <c r="W30" s="936"/>
      <c r="X30" s="936"/>
      <c r="Y30" s="936"/>
      <c r="Z30" s="936"/>
    </row>
    <row r="31" spans="1:36" ht="20.100000000000001" customHeight="1">
      <c r="A31" s="825"/>
      <c r="B31" s="811"/>
      <c r="C31" s="785"/>
      <c r="D31" s="811"/>
      <c r="E31" s="811"/>
      <c r="F31" s="811"/>
      <c r="G31" s="811"/>
      <c r="H31" s="811"/>
      <c r="I31" s="811"/>
      <c r="J31" s="811"/>
      <c r="M31" s="811"/>
      <c r="O31" s="985"/>
      <c r="P31" s="811"/>
      <c r="Q31" s="825"/>
      <c r="R31" s="825"/>
      <c r="S31" s="825"/>
      <c r="T31" s="825"/>
      <c r="X31" s="995"/>
      <c r="Y31" s="811"/>
      <c r="AA31" s="825"/>
      <c r="AB31" s="811"/>
      <c r="AC31" s="703" t="b">
        <f>U27='POW-2015-01C-00_'!Q56</f>
        <v>1</v>
      </c>
    </row>
    <row r="32" spans="1:36" ht="20.100000000000001" customHeight="1">
      <c r="A32" s="827" t="s">
        <v>20</v>
      </c>
      <c r="C32" s="828"/>
      <c r="D32" s="808"/>
      <c r="E32" s="828"/>
      <c r="G32" s="827" t="s">
        <v>21</v>
      </c>
      <c r="H32" s="808"/>
      <c r="I32" s="808"/>
      <c r="J32" s="808"/>
      <c r="M32" s="827" t="s">
        <v>22</v>
      </c>
      <c r="O32" s="853"/>
      <c r="P32" s="808"/>
      <c r="Q32" s="808"/>
      <c r="R32" s="808"/>
      <c r="S32" s="825"/>
      <c r="T32" s="827" t="s">
        <v>23</v>
      </c>
      <c r="Y32" s="827" t="s">
        <v>24</v>
      </c>
      <c r="AA32" s="808"/>
      <c r="AC32" s="703" t="b">
        <f>P27='POW-2015-01C-00_'!P56</f>
        <v>1</v>
      </c>
      <c r="AD32" s="827"/>
      <c r="AJ32" s="808"/>
    </row>
    <row r="33" spans="1:36" ht="20.100000000000001" customHeight="1">
      <c r="A33" s="827"/>
      <c r="C33" s="828"/>
      <c r="D33" s="808"/>
      <c r="E33" s="828"/>
      <c r="G33" s="827"/>
      <c r="H33" s="808"/>
      <c r="I33" s="808"/>
      <c r="J33" s="808"/>
      <c r="M33" s="827"/>
      <c r="O33" s="853"/>
      <c r="P33" s="808"/>
      <c r="Q33" s="808"/>
      <c r="R33" s="808"/>
      <c r="S33" s="825"/>
      <c r="T33" s="827"/>
      <c r="Y33" s="827"/>
      <c r="AA33" s="808"/>
      <c r="AC33" s="703" t="b">
        <f>L27='POW-2015-01C-00_'!N56</f>
        <v>1</v>
      </c>
      <c r="AD33" s="827"/>
      <c r="AJ33" s="808"/>
    </row>
    <row r="34" spans="1:36" ht="20.100000000000001" customHeight="1">
      <c r="A34" s="1250"/>
      <c r="B34" s="1250"/>
      <c r="C34" s="1250"/>
      <c r="D34" s="1250"/>
      <c r="E34" s="1250"/>
      <c r="G34" s="1250"/>
      <c r="H34" s="1250"/>
      <c r="I34" s="1250"/>
      <c r="J34" s="1250"/>
      <c r="K34" s="1250"/>
      <c r="M34" s="1250"/>
      <c r="N34" s="1250"/>
      <c r="O34" s="1250"/>
      <c r="P34" s="1250"/>
      <c r="Q34" s="1250"/>
      <c r="R34" s="1250"/>
      <c r="S34" s="825"/>
      <c r="T34" s="1250"/>
      <c r="U34" s="1250"/>
      <c r="V34" s="1250"/>
      <c r="W34" s="1250"/>
      <c r="X34" s="809"/>
      <c r="Y34" s="1250"/>
      <c r="Z34" s="1250"/>
      <c r="AD34" s="811"/>
      <c r="AE34" s="811"/>
      <c r="AF34" s="811"/>
      <c r="AG34" s="811"/>
      <c r="AH34" s="811"/>
      <c r="AI34" s="811"/>
      <c r="AJ34" s="708"/>
    </row>
    <row r="35" spans="1:36" ht="20.100000000000001" customHeight="1">
      <c r="A35" s="1276" t="str">
        <f>+'POW-2015-01-00_'!A48:E48</f>
        <v xml:space="preserve">WINLOVE A. ESTEVES
</v>
      </c>
      <c r="B35" s="1276"/>
      <c r="C35" s="1276"/>
      <c r="D35" s="1276"/>
      <c r="E35" s="1276"/>
      <c r="G35" s="1276" t="str">
        <f>+'POW-2015-01-00_'!H48</f>
        <v>MARK ANGELO E. SURIL</v>
      </c>
      <c r="H35" s="1276"/>
      <c r="I35" s="1276"/>
      <c r="J35" s="1276"/>
      <c r="K35" s="1276"/>
      <c r="L35" s="605"/>
      <c r="M35" s="1276" t="str">
        <f>+'POW-2015-01-00_'!N48</f>
        <v>NICOMEDES G. NOHAY</v>
      </c>
      <c r="N35" s="1276"/>
      <c r="O35" s="1276"/>
      <c r="P35" s="1276"/>
      <c r="Q35" s="1276"/>
      <c r="R35" s="1276"/>
      <c r="S35" s="825"/>
      <c r="T35" s="1277" t="str">
        <f>'POW-2015-01-00_'!T48</f>
        <v>BENELITO D. PASCUA</v>
      </c>
      <c r="U35" s="1277"/>
      <c r="V35" s="1277"/>
      <c r="W35" s="1277"/>
      <c r="X35" s="785"/>
      <c r="Y35" s="1277" t="str">
        <f>'POW-2015-01-00_'!AA48</f>
        <v>RODERICK  A. ANDAL</v>
      </c>
      <c r="Z35" s="1277"/>
      <c r="AD35" s="825"/>
      <c r="AE35" s="825"/>
      <c r="AF35" s="825"/>
      <c r="AG35" s="825"/>
      <c r="AH35" s="825"/>
      <c r="AI35" s="825"/>
      <c r="AJ35" s="707"/>
    </row>
    <row r="36" spans="1:36" s="811" customFormat="1" ht="20.100000000000001" customHeight="1">
      <c r="A36" s="1278" t="str">
        <f>+'POW-2015-01-00_'!A49:E49</f>
        <v>Engineer II</v>
      </c>
      <c r="B36" s="1278"/>
      <c r="C36" s="1278"/>
      <c r="D36" s="1278"/>
      <c r="E36" s="1278"/>
      <c r="G36" s="1279" t="str">
        <f>+'POW-2015-01-00_'!H49</f>
        <v>Engineer II</v>
      </c>
      <c r="H36" s="1279"/>
      <c r="I36" s="1279"/>
      <c r="J36" s="1279"/>
      <c r="K36" s="1279"/>
      <c r="L36" s="605"/>
      <c r="M36" s="1279" t="str">
        <f>+'POW-2015-01-00_'!N49</f>
        <v>Engineer III</v>
      </c>
      <c r="N36" s="1279"/>
      <c r="O36" s="1279"/>
      <c r="P36" s="1279"/>
      <c r="Q36" s="1279"/>
      <c r="R36" s="1279"/>
      <c r="S36" s="825"/>
      <c r="T36" s="1280" t="str">
        <f>'POW-2015-01-00_'!T49</f>
        <v>Engineer III</v>
      </c>
      <c r="U36" s="1280"/>
      <c r="V36" s="1280"/>
      <c r="W36" s="1280"/>
      <c r="X36" s="825"/>
      <c r="Y36" s="1280" t="str">
        <f>'POW-2015-01-00_'!AA49</f>
        <v>District Engineer</v>
      </c>
      <c r="Z36" s="1280"/>
      <c r="AA36" s="825"/>
    </row>
    <row r="37" spans="1:36" s="811" customFormat="1" ht="20.100000000000001" customHeight="1">
      <c r="A37" s="1281" t="str">
        <f>+'POW-2015-01-00_'!A50:E50</f>
        <v>Planning and Design Section</v>
      </c>
      <c r="B37" s="1281"/>
      <c r="C37" s="1281"/>
      <c r="D37" s="1281"/>
      <c r="E37" s="1281"/>
      <c r="G37" s="1254" t="str">
        <f>+'POW-2015-01-00_'!H50</f>
        <v>Planning and Design Section</v>
      </c>
      <c r="H37" s="1254"/>
      <c r="I37" s="1254"/>
      <c r="J37" s="1254"/>
      <c r="K37" s="1254"/>
      <c r="L37" s="606"/>
      <c r="M37" s="1254" t="str">
        <f>+'POW-2015-01-00_'!N50</f>
        <v>Planning and Design Section</v>
      </c>
      <c r="N37" s="1254"/>
      <c r="O37" s="1254"/>
      <c r="P37" s="1254"/>
      <c r="Q37" s="1254"/>
      <c r="R37" s="1254"/>
      <c r="S37" s="825"/>
      <c r="T37" s="1281" t="str">
        <f>'POW-2015-01-00_'!T50</f>
        <v>Concurrent OIC Assistant District Engineer</v>
      </c>
      <c r="U37" s="1281"/>
      <c r="V37" s="1281"/>
      <c r="W37" s="1281"/>
      <c r="X37" s="830"/>
      <c r="Y37" s="1250"/>
      <c r="Z37" s="1250"/>
      <c r="AA37" s="825"/>
    </row>
    <row r="38" spans="1:36" ht="20.100000000000001" customHeight="1">
      <c r="B38" s="827"/>
      <c r="D38" s="831"/>
      <c r="E38" s="832"/>
      <c r="F38" s="831"/>
      <c r="G38" s="831"/>
      <c r="S38" s="825"/>
    </row>
    <row r="39" spans="1:36" ht="20.100000000000001" customHeight="1">
      <c r="A39" s="827"/>
      <c r="E39" s="706"/>
      <c r="H39" s="855"/>
      <c r="I39" s="855"/>
      <c r="J39" s="855"/>
      <c r="M39" s="827"/>
      <c r="S39" s="825"/>
      <c r="Y39" s="827"/>
    </row>
    <row r="40" spans="1:36" ht="20.100000000000001" customHeight="1">
      <c r="A40" s="827"/>
      <c r="E40" s="706"/>
      <c r="H40" s="855"/>
      <c r="I40" s="855"/>
      <c r="J40" s="855"/>
      <c r="M40" s="827"/>
      <c r="S40" s="811"/>
      <c r="Y40" s="827"/>
      <c r="Z40" s="606"/>
      <c r="AA40" s="812"/>
    </row>
    <row r="41" spans="1:36" ht="20.100000000000001" customHeight="1">
      <c r="A41" s="827"/>
      <c r="E41" s="706"/>
      <c r="H41" s="855"/>
      <c r="I41" s="855"/>
      <c r="J41" s="855"/>
      <c r="M41" s="827"/>
      <c r="S41" s="825"/>
      <c r="Y41" s="827"/>
      <c r="Z41" s="605"/>
      <c r="AA41" s="830"/>
    </row>
    <row r="42" spans="1:36" s="811" customFormat="1" ht="20.100000000000001" customHeight="1">
      <c r="A42" s="827"/>
      <c r="B42" s="703"/>
      <c r="C42" s="703"/>
      <c r="D42" s="703"/>
      <c r="E42" s="706"/>
      <c r="F42" s="703"/>
      <c r="G42" s="703"/>
      <c r="H42" s="855"/>
      <c r="I42" s="855"/>
      <c r="J42" s="855"/>
      <c r="K42" s="703"/>
      <c r="L42" s="703"/>
      <c r="M42" s="827"/>
      <c r="N42" s="703"/>
      <c r="O42" s="1026"/>
      <c r="P42" s="703"/>
      <c r="Q42" s="703"/>
      <c r="R42" s="703"/>
      <c r="S42" s="825"/>
      <c r="U42" s="703"/>
      <c r="V42" s="703"/>
      <c r="W42" s="703"/>
      <c r="X42" s="703"/>
      <c r="Y42" s="827"/>
      <c r="Z42" s="830"/>
      <c r="AA42" s="830"/>
    </row>
    <row r="43" spans="1:36" ht="20.100000000000001" customHeight="1">
      <c r="A43" s="811"/>
      <c r="B43" s="811"/>
      <c r="C43" s="811"/>
      <c r="D43" s="811"/>
      <c r="E43" s="811"/>
      <c r="F43" s="910"/>
      <c r="M43" s="811"/>
      <c r="N43" s="811"/>
      <c r="O43" s="1034"/>
      <c r="P43" s="811"/>
      <c r="Q43" s="811"/>
      <c r="R43" s="811"/>
      <c r="S43" s="825"/>
      <c r="X43" s="1037"/>
      <c r="Y43" s="1037"/>
      <c r="Z43" s="1037"/>
      <c r="AA43" s="1037"/>
      <c r="AD43" s="1037"/>
      <c r="AF43" s="1036"/>
      <c r="AG43" s="1036"/>
      <c r="AH43" s="1036"/>
      <c r="AI43" s="1036"/>
      <c r="AJ43" s="1036"/>
    </row>
    <row r="44" spans="1:36" ht="9.75" customHeight="1">
      <c r="A44" s="812"/>
      <c r="B44" s="812"/>
      <c r="C44" s="812"/>
      <c r="D44" s="812"/>
      <c r="E44" s="812"/>
      <c r="F44" s="910"/>
      <c r="M44" s="812"/>
      <c r="N44" s="812"/>
      <c r="O44" s="1035"/>
      <c r="P44" s="812"/>
      <c r="Q44" s="812"/>
      <c r="R44" s="812"/>
      <c r="S44" s="825"/>
      <c r="X44" s="1037"/>
      <c r="Y44" s="1037"/>
      <c r="Z44" s="1037"/>
      <c r="AA44" s="1037"/>
      <c r="AD44" s="1037"/>
      <c r="AF44" s="1036"/>
      <c r="AG44" s="1036"/>
      <c r="AH44" s="1036"/>
      <c r="AI44" s="1036"/>
      <c r="AJ44" s="1036"/>
    </row>
    <row r="45" spans="1:36" ht="9.75" customHeight="1">
      <c r="A45" s="812"/>
      <c r="B45" s="812"/>
      <c r="C45" s="812"/>
      <c r="D45" s="812"/>
      <c r="E45" s="812"/>
      <c r="F45" s="910"/>
      <c r="M45" s="812"/>
      <c r="N45" s="812"/>
      <c r="O45" s="1035"/>
      <c r="P45" s="812"/>
      <c r="Q45" s="812"/>
      <c r="R45" s="812"/>
      <c r="S45" s="825"/>
      <c r="X45" s="1037"/>
      <c r="Y45" s="1037"/>
      <c r="Z45" s="1037"/>
      <c r="AA45" s="1037"/>
      <c r="AD45" s="1037"/>
      <c r="AF45" s="1036"/>
      <c r="AG45" s="1036"/>
      <c r="AH45" s="1036"/>
      <c r="AI45" s="1036"/>
      <c r="AJ45" s="1036"/>
    </row>
    <row r="46" spans="1:36">
      <c r="B46" s="1250"/>
      <c r="C46" s="1250"/>
      <c r="D46" s="1250"/>
      <c r="E46" s="1250"/>
      <c r="F46" s="1250"/>
      <c r="G46" s="1250"/>
      <c r="M46" s="856"/>
    </row>
    <row r="47" spans="1:36" ht="16.5">
      <c r="B47" s="1250"/>
      <c r="C47" s="1250"/>
      <c r="D47" s="1250"/>
      <c r="E47" s="1250"/>
      <c r="F47" s="1250"/>
      <c r="G47" s="1250"/>
      <c r="M47" s="827"/>
    </row>
    <row r="48" spans="1:36">
      <c r="M48" s="1036"/>
    </row>
    <row r="49" spans="2:13" ht="18">
      <c r="B49" s="827"/>
      <c r="M49" s="825"/>
    </row>
    <row r="50" spans="2:13" ht="18">
      <c r="B50" s="910"/>
      <c r="C50" s="910"/>
      <c r="D50" s="910"/>
      <c r="E50" s="910"/>
      <c r="F50" s="910"/>
      <c r="G50" s="910"/>
      <c r="M50" s="825"/>
    </row>
    <row r="51" spans="2:13">
      <c r="B51" s="1250"/>
      <c r="C51" s="1250"/>
      <c r="D51" s="1250"/>
      <c r="E51" s="1250"/>
      <c r="F51" s="1250"/>
      <c r="G51" s="1250"/>
    </row>
    <row r="52" spans="2:13">
      <c r="B52" s="1250"/>
      <c r="C52" s="1250"/>
      <c r="D52" s="1250"/>
      <c r="E52" s="1250"/>
      <c r="F52" s="1250"/>
      <c r="G52" s="1250"/>
    </row>
  </sheetData>
  <mergeCells count="129">
    <mergeCell ref="A16:A17"/>
    <mergeCell ref="A18:A19"/>
    <mergeCell ref="A20:A21"/>
    <mergeCell ref="A22:A23"/>
    <mergeCell ref="A24:A25"/>
    <mergeCell ref="Z12:Z13"/>
    <mergeCell ref="A26:H27"/>
    <mergeCell ref="B12:K13"/>
    <mergeCell ref="L12:N13"/>
    <mergeCell ref="U12:V13"/>
    <mergeCell ref="B16:H17"/>
    <mergeCell ref="W12:Y13"/>
    <mergeCell ref="B14:H15"/>
    <mergeCell ref="B18:H19"/>
    <mergeCell ref="B20:H21"/>
    <mergeCell ref="B22:H23"/>
    <mergeCell ref="B24:H25"/>
    <mergeCell ref="I27:K27"/>
    <mergeCell ref="L27:N27"/>
    <mergeCell ref="P27:T27"/>
    <mergeCell ref="U27:V27"/>
    <mergeCell ref="W27:Y27"/>
    <mergeCell ref="I25:K25"/>
    <mergeCell ref="L25:N25"/>
    <mergeCell ref="A37:E37"/>
    <mergeCell ref="G37:K37"/>
    <mergeCell ref="M37:R37"/>
    <mergeCell ref="T37:W37"/>
    <mergeCell ref="Y37:Z37"/>
    <mergeCell ref="B46:G46"/>
    <mergeCell ref="B47:G47"/>
    <mergeCell ref="B51:G51"/>
    <mergeCell ref="B52:G52"/>
    <mergeCell ref="A35:E35"/>
    <mergeCell ref="G35:K35"/>
    <mergeCell ref="M35:R35"/>
    <mergeCell ref="T35:W35"/>
    <mergeCell ref="Y35:Z35"/>
    <mergeCell ref="A36:E36"/>
    <mergeCell ref="G36:K36"/>
    <mergeCell ref="M36:R36"/>
    <mergeCell ref="T36:W36"/>
    <mergeCell ref="Y36:Z36"/>
    <mergeCell ref="A28:Z28"/>
    <mergeCell ref="A30:E30"/>
    <mergeCell ref="M30:N30"/>
    <mergeCell ref="A34:E34"/>
    <mergeCell ref="G34:K34"/>
    <mergeCell ref="M34:R34"/>
    <mergeCell ref="T34:W34"/>
    <mergeCell ref="Y34:Z34"/>
    <mergeCell ref="I26:K26"/>
    <mergeCell ref="L26:N26"/>
    <mergeCell ref="P26:T26"/>
    <mergeCell ref="U26:V26"/>
    <mergeCell ref="W26:Y26"/>
    <mergeCell ref="I22:K22"/>
    <mergeCell ref="L22:N22"/>
    <mergeCell ref="P22:T22"/>
    <mergeCell ref="U22:V22"/>
    <mergeCell ref="W22:Y22"/>
    <mergeCell ref="P25:T25"/>
    <mergeCell ref="U25:V25"/>
    <mergeCell ref="W25:Y25"/>
    <mergeCell ref="I23:K23"/>
    <mergeCell ref="L23:N23"/>
    <mergeCell ref="P23:T23"/>
    <mergeCell ref="U23:V23"/>
    <mergeCell ref="W23:Y23"/>
    <mergeCell ref="I24:K24"/>
    <mergeCell ref="L24:N24"/>
    <mergeCell ref="P24:T24"/>
    <mergeCell ref="U24:V24"/>
    <mergeCell ref="W24:Y24"/>
    <mergeCell ref="I20:K20"/>
    <mergeCell ref="L20:N20"/>
    <mergeCell ref="P20:T20"/>
    <mergeCell ref="U20:V20"/>
    <mergeCell ref="W20:Y20"/>
    <mergeCell ref="I21:K21"/>
    <mergeCell ref="L21:N21"/>
    <mergeCell ref="P21:T21"/>
    <mergeCell ref="U21:V21"/>
    <mergeCell ref="W21:Y21"/>
    <mergeCell ref="I18:K18"/>
    <mergeCell ref="L18:N18"/>
    <mergeCell ref="P18:T18"/>
    <mergeCell ref="U18:V18"/>
    <mergeCell ref="W18:Y18"/>
    <mergeCell ref="I19:K19"/>
    <mergeCell ref="L19:N19"/>
    <mergeCell ref="P19:T19"/>
    <mergeCell ref="U19:V19"/>
    <mergeCell ref="W19:Y19"/>
    <mergeCell ref="I16:K16"/>
    <mergeCell ref="L16:N16"/>
    <mergeCell ref="P16:T16"/>
    <mergeCell ref="U16:V16"/>
    <mergeCell ref="W16:Y16"/>
    <mergeCell ref="I17:K17"/>
    <mergeCell ref="L17:N17"/>
    <mergeCell ref="P17:T17"/>
    <mergeCell ref="U17:V17"/>
    <mergeCell ref="W17:Y17"/>
    <mergeCell ref="A10:Z10"/>
    <mergeCell ref="W11:Y11"/>
    <mergeCell ref="O12:T12"/>
    <mergeCell ref="P13:T13"/>
    <mergeCell ref="I14:K14"/>
    <mergeCell ref="L14:N14"/>
    <mergeCell ref="P14:T14"/>
    <mergeCell ref="U14:V14"/>
    <mergeCell ref="W14:Y14"/>
    <mergeCell ref="A12:A13"/>
    <mergeCell ref="A14:A15"/>
    <mergeCell ref="I15:K15"/>
    <mergeCell ref="L15:N15"/>
    <mergeCell ref="P15:T15"/>
    <mergeCell ref="U15:V15"/>
    <mergeCell ref="W15:Y15"/>
    <mergeCell ref="A1:Z1"/>
    <mergeCell ref="A2:Z2"/>
    <mergeCell ref="A3:Z3"/>
    <mergeCell ref="A4:Z4"/>
    <mergeCell ref="A5:D5"/>
    <mergeCell ref="Y5:Z5"/>
    <mergeCell ref="A6:Z6"/>
    <mergeCell ref="A7:Z7"/>
    <mergeCell ref="A8:Z8"/>
  </mergeCells>
  <printOptions horizontalCentered="1"/>
  <pageMargins left="9.8400000000000001E-2" right="9.8400000000000001E-2" top="0.78739999999999999" bottom="0.39369999999999999" header="0.39369999999999999" footer="0"/>
  <pageSetup paperSize="9" scale="56"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J57"/>
  <sheetViews>
    <sheetView view="pageBreakPreview" topLeftCell="C12" zoomScale="60" zoomScaleNormal="70" workbookViewId="0">
      <selection activeCell="A44" sqref="A44:Y44"/>
    </sheetView>
  </sheetViews>
  <sheetFormatPr defaultColWidth="9" defaultRowHeight="18"/>
  <cols>
    <col min="1" max="1" width="21.125" style="811" customWidth="1"/>
    <col min="2" max="2" width="20" style="811" customWidth="1"/>
    <col min="3" max="3" width="9.875" style="811" customWidth="1"/>
    <col min="4" max="4" width="10.5" style="811" customWidth="1"/>
    <col min="5" max="5" width="2" style="811" customWidth="1"/>
    <col min="6" max="6" width="9.625" style="811" customWidth="1"/>
    <col min="7" max="7" width="17.625" style="811" customWidth="1"/>
    <col min="8" max="8" width="8.25" style="811" customWidth="1"/>
    <col min="9" max="9" width="17.375" style="811" customWidth="1"/>
    <col min="10" max="10" width="10.5" style="811" customWidth="1"/>
    <col min="11" max="11" width="5.375" style="811" customWidth="1"/>
    <col min="12" max="12" width="4.625" style="811" customWidth="1"/>
    <col min="13" max="13" width="10.625" style="811" customWidth="1"/>
    <col min="14" max="14" width="7.75" style="811" customWidth="1"/>
    <col min="15" max="15" width="9.875" style="811" customWidth="1"/>
    <col min="16" max="16" width="6.375" style="915" customWidth="1"/>
    <col min="17" max="17" width="5.75" style="811" customWidth="1"/>
    <col min="18" max="18" width="7.375" style="811" customWidth="1"/>
    <col min="19" max="19" width="5.125" style="811" customWidth="1"/>
    <col min="20" max="20" width="17.25" style="811" customWidth="1"/>
    <col min="21" max="21" width="9.125" style="811" customWidth="1"/>
    <col min="22" max="22" width="10.75" style="811" customWidth="1"/>
    <col min="23" max="23" width="3.5" style="811" customWidth="1"/>
    <col min="24" max="24" width="15" style="811" customWidth="1"/>
    <col min="25" max="25" width="17" style="811" customWidth="1"/>
    <col min="26" max="26" width="22.25" style="916" customWidth="1"/>
    <col min="27" max="27" width="17.875" style="811" customWidth="1"/>
    <col min="28" max="255" width="8.5" style="811" customWidth="1"/>
    <col min="256" max="256" width="10" style="811" customWidth="1"/>
    <col min="257" max="257" width="6.75" style="811" customWidth="1"/>
    <col min="258" max="260" width="5.875" style="811" customWidth="1"/>
    <col min="261" max="261" width="10" style="811" customWidth="1"/>
    <col min="262" max="262" width="12.125" style="811" customWidth="1"/>
    <col min="263" max="263" width="7" style="811" customWidth="1"/>
    <col min="264" max="264" width="8.25" style="811" customWidth="1"/>
    <col min="265" max="265" width="8.875" style="811" customWidth="1"/>
    <col min="266" max="266" width="15.125" style="811" customWidth="1"/>
    <col min="267" max="267" width="8.125" style="811" customWidth="1"/>
    <col min="268" max="268" width="5.375" style="811" customWidth="1"/>
    <col min="269" max="269" width="4.625" style="811" customWidth="1"/>
    <col min="270" max="270" width="6.875" style="811" customWidth="1"/>
    <col min="271" max="271" width="5.5" style="811" customWidth="1"/>
    <col min="272" max="272" width="7.875" style="811" customWidth="1"/>
    <col min="273" max="273" width="2.625" style="811" customWidth="1"/>
    <col min="274" max="274" width="10" style="811" customWidth="1"/>
    <col min="275" max="275" width="12.625" style="811" customWidth="1"/>
    <col min="276" max="276" width="20.75" style="811" customWidth="1"/>
    <col min="277" max="278" width="9.125" style="811" customWidth="1"/>
    <col min="279" max="279" width="3.5" style="811" customWidth="1"/>
    <col min="280" max="280" width="18.875" style="811" customWidth="1"/>
    <col min="281" max="281" width="27.5" style="811" customWidth="1"/>
    <col min="282" max="511" width="8.5" style="811" customWidth="1"/>
    <col min="512" max="512" width="10" style="811" customWidth="1"/>
    <col min="513" max="513" width="6.75" style="811" customWidth="1"/>
    <col min="514" max="516" width="5.875" style="811" customWidth="1"/>
    <col min="517" max="517" width="10" style="811" customWidth="1"/>
    <col min="518" max="518" width="12.125" style="811" customWidth="1"/>
    <col min="519" max="519" width="7" style="811" customWidth="1"/>
    <col min="520" max="520" width="8.25" style="811" customWidth="1"/>
    <col min="521" max="521" width="8.875" style="811" customWidth="1"/>
    <col min="522" max="522" width="15.125" style="811" customWidth="1"/>
    <col min="523" max="523" width="8.125" style="811" customWidth="1"/>
    <col min="524" max="524" width="5.375" style="811" customWidth="1"/>
    <col min="525" max="525" width="4.625" style="811" customWidth="1"/>
    <col min="526" max="526" width="6.875" style="811" customWidth="1"/>
    <col min="527" max="527" width="5.5" style="811" customWidth="1"/>
    <col min="528" max="528" width="7.875" style="811" customWidth="1"/>
    <col min="529" max="529" width="2.625" style="811" customWidth="1"/>
    <col min="530" max="530" width="10" style="811" customWidth="1"/>
    <col min="531" max="531" width="12.625" style="811" customWidth="1"/>
    <col min="532" max="532" width="20.75" style="811" customWidth="1"/>
    <col min="533" max="534" width="9.125" style="811" customWidth="1"/>
    <col min="535" max="535" width="3.5" style="811" customWidth="1"/>
    <col min="536" max="536" width="18.875" style="811" customWidth="1"/>
    <col min="537" max="537" width="27.5" style="811" customWidth="1"/>
    <col min="538" max="767" width="8.5" style="811" customWidth="1"/>
    <col min="768" max="768" width="10" style="811" customWidth="1"/>
    <col min="769" max="769" width="6.75" style="811" customWidth="1"/>
    <col min="770" max="772" width="5.875" style="811" customWidth="1"/>
    <col min="773" max="773" width="10" style="811" customWidth="1"/>
    <col min="774" max="774" width="12.125" style="811" customWidth="1"/>
    <col min="775" max="775" width="7" style="811" customWidth="1"/>
    <col min="776" max="776" width="8.25" style="811" customWidth="1"/>
    <col min="777" max="777" width="8.875" style="811" customWidth="1"/>
    <col min="778" max="778" width="15.125" style="811" customWidth="1"/>
    <col min="779" max="779" width="8.125" style="811" customWidth="1"/>
    <col min="780" max="780" width="5.375" style="811" customWidth="1"/>
    <col min="781" max="781" width="4.625" style="811" customWidth="1"/>
    <col min="782" max="782" width="6.875" style="811" customWidth="1"/>
    <col min="783" max="783" width="5.5" style="811" customWidth="1"/>
    <col min="784" max="784" width="7.875" style="811" customWidth="1"/>
    <col min="785" max="785" width="2.625" style="811" customWidth="1"/>
    <col min="786" max="786" width="10" style="811" customWidth="1"/>
    <col min="787" max="787" width="12.625" style="811" customWidth="1"/>
    <col min="788" max="788" width="20.75" style="811" customWidth="1"/>
    <col min="789" max="790" width="9.125" style="811" customWidth="1"/>
    <col min="791" max="791" width="3.5" style="811" customWidth="1"/>
    <col min="792" max="792" width="18.875" style="811" customWidth="1"/>
    <col min="793" max="793" width="27.5" style="811" customWidth="1"/>
    <col min="794" max="1023" width="8.5" style="811" customWidth="1"/>
    <col min="1024" max="1024" width="10" style="811" customWidth="1"/>
    <col min="1025" max="1025" width="9" customWidth="1"/>
  </cols>
  <sheetData>
    <row r="1" spans="1:33">
      <c r="A1" s="1250"/>
      <c r="B1" s="1250"/>
      <c r="C1" s="1250"/>
      <c r="D1" s="1250"/>
      <c r="E1" s="1250"/>
      <c r="F1" s="1250"/>
      <c r="G1" s="1250"/>
      <c r="H1" s="1250"/>
      <c r="I1" s="1250"/>
      <c r="J1" s="1250"/>
      <c r="K1" s="1250"/>
      <c r="L1" s="1250"/>
      <c r="M1" s="1250"/>
      <c r="N1" s="1250"/>
      <c r="O1" s="1250"/>
      <c r="P1" s="1250"/>
      <c r="Q1" s="1250"/>
      <c r="R1" s="1250"/>
      <c r="S1" s="1250"/>
      <c r="T1" s="1250"/>
      <c r="U1" s="1250"/>
      <c r="V1" s="1250"/>
      <c r="W1" s="1250"/>
      <c r="X1" s="1250"/>
      <c r="Y1" s="1250"/>
    </row>
    <row r="2" spans="1:33">
      <c r="A2" s="1251" t="s">
        <v>0</v>
      </c>
      <c r="B2" s="1251"/>
      <c r="C2" s="1251"/>
      <c r="D2" s="1251"/>
      <c r="E2" s="1251"/>
      <c r="F2" s="1251"/>
      <c r="G2" s="1251"/>
      <c r="H2" s="1251"/>
      <c r="I2" s="1251"/>
      <c r="J2" s="1251"/>
      <c r="K2" s="1251"/>
      <c r="L2" s="1251"/>
      <c r="M2" s="1251"/>
      <c r="N2" s="1251"/>
      <c r="O2" s="1251"/>
      <c r="P2" s="1251"/>
      <c r="Q2" s="1251"/>
      <c r="R2" s="1251"/>
      <c r="S2" s="1251"/>
      <c r="T2" s="1251"/>
      <c r="U2" s="1251"/>
      <c r="V2" s="1251"/>
      <c r="W2" s="1251"/>
      <c r="X2" s="1251"/>
      <c r="Y2" s="1251"/>
    </row>
    <row r="3" spans="1:33">
      <c r="A3" s="810"/>
      <c r="B3" s="810"/>
      <c r="C3" s="810"/>
      <c r="D3" s="810"/>
      <c r="E3" s="810"/>
      <c r="F3" s="810"/>
      <c r="G3" s="810"/>
      <c r="H3" s="810"/>
      <c r="I3" s="810"/>
      <c r="J3" s="810"/>
      <c r="K3" s="810"/>
      <c r="L3" s="810"/>
      <c r="M3" s="810"/>
      <c r="N3" s="810"/>
      <c r="O3" s="810"/>
      <c r="P3" s="937"/>
      <c r="Q3" s="810"/>
      <c r="R3" s="810"/>
      <c r="S3" s="810"/>
      <c r="T3" s="810"/>
      <c r="U3" s="810"/>
      <c r="V3" s="810"/>
      <c r="W3" s="810"/>
      <c r="X3" s="810"/>
      <c r="Y3" s="997" t="s">
        <v>25</v>
      </c>
    </row>
    <row r="4" spans="1:33" ht="20.25">
      <c r="A4" s="1250"/>
      <c r="B4" s="1250"/>
      <c r="C4" s="1250"/>
      <c r="D4" s="1250"/>
      <c r="E4" s="678"/>
      <c r="F4" s="678"/>
      <c r="G4" s="678"/>
      <c r="H4" s="678"/>
      <c r="I4" s="678"/>
      <c r="J4" s="938"/>
      <c r="K4" s="938"/>
      <c r="L4" s="938"/>
      <c r="M4" s="939"/>
      <c r="N4" s="939"/>
      <c r="O4" s="939"/>
      <c r="P4" s="940"/>
      <c r="Q4" s="938"/>
      <c r="R4" s="938"/>
      <c r="S4" s="938"/>
      <c r="T4" s="938"/>
      <c r="U4" s="938"/>
      <c r="V4" s="938"/>
      <c r="W4" s="938"/>
      <c r="X4" s="1252" t="s">
        <v>26</v>
      </c>
      <c r="Y4" s="1252"/>
      <c r="Z4" s="998"/>
      <c r="AA4" s="605"/>
      <c r="AB4" s="605"/>
      <c r="AC4" s="605"/>
      <c r="AD4" s="605"/>
      <c r="AE4" s="605"/>
      <c r="AF4" s="605"/>
      <c r="AG4" s="605"/>
    </row>
    <row r="5" spans="1:33">
      <c r="A5" s="1253" t="str">
        <f>'POW-2015-01C-00_'!A2:R2</f>
        <v>CONSTRUCTION OF ROAD</v>
      </c>
      <c r="B5" s="1253"/>
      <c r="C5" s="1253"/>
      <c r="D5" s="1253"/>
      <c r="E5" s="1253"/>
      <c r="F5" s="1253"/>
      <c r="G5" s="1253"/>
      <c r="H5" s="1253"/>
      <c r="I5" s="1253"/>
      <c r="J5" s="1253"/>
      <c r="K5" s="1253"/>
      <c r="L5" s="1253"/>
      <c r="M5" s="1253"/>
      <c r="N5" s="1253"/>
      <c r="O5" s="1253"/>
      <c r="P5" s="1253"/>
      <c r="Q5" s="1253"/>
      <c r="R5" s="1253"/>
      <c r="S5" s="1253"/>
      <c r="T5" s="1253"/>
      <c r="U5" s="1253"/>
      <c r="V5" s="1253"/>
      <c r="W5" s="1253"/>
      <c r="X5" s="1253"/>
      <c r="Y5" s="1253"/>
      <c r="Z5" s="999"/>
      <c r="AA5" s="606"/>
      <c r="AB5" s="606"/>
      <c r="AC5" s="606"/>
      <c r="AD5" s="606"/>
      <c r="AE5" s="606"/>
      <c r="AF5" s="606"/>
      <c r="AG5" s="606"/>
    </row>
    <row r="6" spans="1:33">
      <c r="A6" s="1254" t="str">
        <f>'POW-2015-01C-00_'!A3:R3</f>
        <v>BRGY. L. PIMENTEL, SAN LUIS, AURORA</v>
      </c>
      <c r="B6" s="1254"/>
      <c r="C6" s="1254"/>
      <c r="D6" s="1254"/>
      <c r="E6" s="1254"/>
      <c r="F6" s="1254"/>
      <c r="G6" s="1254"/>
      <c r="H6" s="1254"/>
      <c r="I6" s="1254"/>
      <c r="J6" s="1254"/>
      <c r="K6" s="1254"/>
      <c r="L6" s="1254"/>
      <c r="M6" s="1254"/>
      <c r="N6" s="1254"/>
      <c r="O6" s="1254"/>
      <c r="P6" s="1254"/>
      <c r="Q6" s="1254"/>
      <c r="R6" s="1254"/>
      <c r="S6" s="1254"/>
      <c r="T6" s="1254"/>
      <c r="U6" s="1254"/>
      <c r="V6" s="1254"/>
      <c r="W6" s="1254"/>
      <c r="X6" s="1254"/>
      <c r="Y6" s="1254"/>
      <c r="Z6" s="999"/>
      <c r="AA6" s="606"/>
      <c r="AB6" s="606"/>
      <c r="AC6" s="606"/>
      <c r="AD6" s="606"/>
      <c r="AE6" s="606"/>
      <c r="AF6" s="606"/>
      <c r="AG6" s="606"/>
    </row>
    <row r="7" spans="1:33">
      <c r="A7" s="1255"/>
      <c r="B7" s="1255"/>
      <c r="C7" s="1255"/>
      <c r="D7" s="1255"/>
      <c r="E7" s="1255"/>
      <c r="F7" s="1255"/>
      <c r="G7" s="1255"/>
      <c r="H7" s="1255"/>
      <c r="I7" s="1255"/>
      <c r="J7" s="1255"/>
      <c r="K7" s="1255"/>
      <c r="L7" s="1255"/>
      <c r="M7" s="1255"/>
      <c r="N7" s="1255"/>
      <c r="O7" s="1255"/>
      <c r="P7" s="1255"/>
      <c r="Q7" s="1255"/>
      <c r="R7" s="1255"/>
      <c r="S7" s="1255"/>
      <c r="T7" s="1255"/>
      <c r="U7" s="1255"/>
      <c r="V7" s="1255"/>
      <c r="W7" s="1255"/>
      <c r="X7" s="1255"/>
      <c r="Y7" s="1255"/>
    </row>
    <row r="8" spans="1:33">
      <c r="X8" s="1299"/>
      <c r="Y8" s="1299"/>
    </row>
    <row r="9" spans="1:33">
      <c r="A9" s="1253" t="s">
        <v>27</v>
      </c>
      <c r="B9" s="1253"/>
      <c r="C9" s="1253"/>
      <c r="D9" s="1253"/>
      <c r="E9" s="1253"/>
      <c r="F9" s="1253"/>
      <c r="G9" s="1253"/>
      <c r="H9" s="1253"/>
      <c r="I9" s="1253"/>
      <c r="J9" s="1253"/>
      <c r="K9" s="1253"/>
      <c r="L9" s="1253"/>
      <c r="M9" s="1253"/>
      <c r="N9" s="1253"/>
      <c r="O9" s="1253"/>
      <c r="P9" s="1253"/>
      <c r="Q9" s="1253"/>
      <c r="R9" s="1253"/>
      <c r="S9" s="1253"/>
      <c r="T9" s="1253"/>
      <c r="U9" s="1253"/>
      <c r="V9" s="1253"/>
      <c r="W9" s="1253"/>
      <c r="X9" s="1253"/>
      <c r="Y9" s="1253"/>
    </row>
    <row r="10" spans="1:33">
      <c r="A10" s="917" t="s">
        <v>28</v>
      </c>
      <c r="B10" s="918" t="str">
        <f>+BACKUP!B3</f>
        <v>LOCATION 1</v>
      </c>
      <c r="C10" s="918">
        <f>+BACKUP!C3</f>
        <v>0</v>
      </c>
      <c r="D10" s="918" t="str">
        <f>+BACKUP!D3</f>
        <v>TO</v>
      </c>
      <c r="E10" s="918"/>
      <c r="F10" s="918">
        <f>+BACKUP!F3</f>
        <v>741</v>
      </c>
      <c r="G10" s="918"/>
      <c r="H10" s="919"/>
      <c r="I10" s="941"/>
      <c r="J10" s="606"/>
      <c r="K10" s="606"/>
      <c r="L10" s="606"/>
      <c r="M10" s="606"/>
      <c r="N10" s="606"/>
      <c r="O10" s="606"/>
      <c r="P10" s="942"/>
      <c r="Q10" s="606"/>
      <c r="R10" s="606"/>
      <c r="S10" s="606"/>
      <c r="U10" s="606"/>
      <c r="V10" s="606"/>
    </row>
    <row r="11" spans="1:33">
      <c r="A11" s="917"/>
      <c r="B11" s="918" t="str">
        <f>+BACKUP!B4</f>
        <v>LOCATION 2</v>
      </c>
      <c r="C11" s="918">
        <f>+BACKUP!C4</f>
        <v>0</v>
      </c>
      <c r="D11" s="918" t="str">
        <f>+BACKUP!D4</f>
        <v>TO</v>
      </c>
      <c r="E11" s="918"/>
      <c r="F11" s="918">
        <f>+BACKUP!F4</f>
        <v>222</v>
      </c>
      <c r="G11" s="918"/>
      <c r="H11" s="919"/>
      <c r="I11" s="941"/>
      <c r="J11" s="606"/>
      <c r="K11" s="606"/>
      <c r="L11" s="606"/>
      <c r="M11" s="606"/>
      <c r="N11" s="606"/>
      <c r="O11" s="606"/>
      <c r="P11" s="942"/>
      <c r="Q11" s="606"/>
      <c r="R11" s="606"/>
      <c r="S11" s="606"/>
      <c r="U11" s="606"/>
      <c r="V11" s="606"/>
    </row>
    <row r="12" spans="1:33">
      <c r="A12" s="917" t="s">
        <v>29</v>
      </c>
      <c r="B12" s="920">
        <f>+BACKUP!B7</f>
        <v>1.9259999999999999</v>
      </c>
      <c r="C12" s="921" t="str">
        <f>+BACKUP!C7</f>
        <v>Lane km</v>
      </c>
      <c r="D12" s="922"/>
      <c r="E12" s="923"/>
      <c r="F12" s="923"/>
      <c r="H12" s="924"/>
      <c r="I12" s="941"/>
      <c r="J12" s="606"/>
      <c r="K12" s="606"/>
      <c r="L12" s="606"/>
      <c r="M12" s="606"/>
      <c r="N12" s="606"/>
      <c r="O12" s="606"/>
      <c r="P12" s="942"/>
      <c r="Q12" s="606"/>
      <c r="R12" s="606"/>
      <c r="S12" s="606"/>
      <c r="U12" s="606"/>
      <c r="V12" s="606"/>
      <c r="W12" s="809"/>
      <c r="X12" s="809"/>
      <c r="Y12" s="1000"/>
    </row>
    <row r="13" spans="1:33">
      <c r="A13" s="917"/>
      <c r="B13" s="925"/>
      <c r="C13" s="923"/>
      <c r="D13" s="923"/>
      <c r="E13" s="927"/>
      <c r="F13" s="927"/>
      <c r="G13" s="927"/>
      <c r="H13" s="927"/>
      <c r="I13" s="606"/>
      <c r="J13" s="606"/>
      <c r="K13" s="606"/>
      <c r="L13" s="606"/>
      <c r="M13" s="606"/>
      <c r="N13" s="606"/>
      <c r="O13" s="606"/>
      <c r="P13" s="942"/>
      <c r="Q13" s="606"/>
      <c r="R13" s="606"/>
      <c r="S13" s="606"/>
      <c r="U13" s="606"/>
      <c r="V13" s="606"/>
      <c r="W13" s="809" t="s">
        <v>3</v>
      </c>
      <c r="X13" s="809"/>
      <c r="Y13" s="1000">
        <f>cd!D30</f>
        <v>65</v>
      </c>
    </row>
    <row r="14" spans="1:33">
      <c r="A14" s="1286" t="s">
        <v>4</v>
      </c>
      <c r="B14" s="1339" t="s">
        <v>5</v>
      </c>
      <c r="C14" s="1339"/>
      <c r="D14" s="1339"/>
      <c r="E14" s="1339"/>
      <c r="F14" s="1339"/>
      <c r="G14" s="1339"/>
      <c r="H14" s="1339"/>
      <c r="I14" s="1339" t="s">
        <v>30</v>
      </c>
      <c r="J14" s="1339" t="s">
        <v>31</v>
      </c>
      <c r="K14" s="1339" t="s">
        <v>6</v>
      </c>
      <c r="L14" s="1339"/>
      <c r="M14" s="1339"/>
      <c r="N14" s="1339" t="s">
        <v>32</v>
      </c>
      <c r="O14" s="1339"/>
      <c r="P14" s="1351" t="s">
        <v>7</v>
      </c>
      <c r="Q14" s="1351"/>
      <c r="R14" s="1351"/>
      <c r="S14" s="1351"/>
      <c r="T14" s="1339" t="s">
        <v>8</v>
      </c>
      <c r="U14" s="1339" t="s">
        <v>9</v>
      </c>
      <c r="V14" s="1339"/>
      <c r="W14" s="1339" t="s">
        <v>10</v>
      </c>
      <c r="X14" s="1339"/>
      <c r="Y14" s="1348" t="s">
        <v>33</v>
      </c>
      <c r="Z14" s="1350" t="s">
        <v>34</v>
      </c>
    </row>
    <row r="15" spans="1:33">
      <c r="A15" s="1288"/>
      <c r="B15" s="1340"/>
      <c r="C15" s="1340"/>
      <c r="D15" s="1340"/>
      <c r="E15" s="1340"/>
      <c r="F15" s="1340"/>
      <c r="G15" s="1340"/>
      <c r="H15" s="1340"/>
      <c r="I15" s="1340"/>
      <c r="J15" s="1340"/>
      <c r="K15" s="1340"/>
      <c r="L15" s="1340"/>
      <c r="M15" s="1340"/>
      <c r="N15" s="1340"/>
      <c r="O15" s="1340"/>
      <c r="P15" s="1018" t="s">
        <v>11</v>
      </c>
      <c r="Q15" s="1352" t="s">
        <v>12</v>
      </c>
      <c r="R15" s="1352"/>
      <c r="S15" s="1352"/>
      <c r="T15" s="1340"/>
      <c r="U15" s="1340"/>
      <c r="V15" s="1340"/>
      <c r="W15" s="1340"/>
      <c r="X15" s="1340"/>
      <c r="Y15" s="1349"/>
      <c r="Z15" s="1350"/>
    </row>
    <row r="16" spans="1:33">
      <c r="A16" s="1337">
        <v>-1</v>
      </c>
      <c r="B16" s="1337">
        <v>-2</v>
      </c>
      <c r="C16" s="1337"/>
      <c r="D16" s="1337"/>
      <c r="E16" s="1337"/>
      <c r="F16" s="1337"/>
      <c r="G16" s="1337"/>
      <c r="H16" s="1337"/>
      <c r="I16" s="1337">
        <v>-3</v>
      </c>
      <c r="J16" s="1337">
        <v>-4</v>
      </c>
      <c r="K16" s="1337">
        <v>-5</v>
      </c>
      <c r="L16" s="1337"/>
      <c r="M16" s="1337"/>
      <c r="N16" s="1019" t="s">
        <v>35</v>
      </c>
      <c r="O16" s="1020" t="s">
        <v>36</v>
      </c>
      <c r="P16" s="1341">
        <v>-8</v>
      </c>
      <c r="Q16" s="1353">
        <v>-9</v>
      </c>
      <c r="R16" s="1353"/>
      <c r="S16" s="1353"/>
      <c r="T16" s="1024">
        <v>-10</v>
      </c>
      <c r="U16" s="1354">
        <v>-11</v>
      </c>
      <c r="V16" s="1354"/>
      <c r="W16" s="1354">
        <v>-12</v>
      </c>
      <c r="X16" s="1354"/>
      <c r="Y16" s="1024">
        <v>-13</v>
      </c>
    </row>
    <row r="17" spans="1:27" ht="18.75" customHeight="1">
      <c r="A17" s="1338"/>
      <c r="B17" s="1338"/>
      <c r="C17" s="1338"/>
      <c r="D17" s="1338"/>
      <c r="E17" s="1338"/>
      <c r="F17" s="1338"/>
      <c r="G17" s="1338"/>
      <c r="H17" s="1338"/>
      <c r="I17" s="1338"/>
      <c r="J17" s="1338"/>
      <c r="K17" s="1338"/>
      <c r="L17" s="1338"/>
      <c r="M17" s="1338"/>
      <c r="N17" s="946">
        <v>-6</v>
      </c>
      <c r="O17" s="947">
        <v>-7</v>
      </c>
      <c r="P17" s="1342"/>
      <c r="Q17" s="1355" t="s">
        <v>37</v>
      </c>
      <c r="R17" s="1355"/>
      <c r="S17" s="1355"/>
      <c r="T17" s="989" t="s">
        <v>38</v>
      </c>
      <c r="U17" s="1337" t="s">
        <v>39</v>
      </c>
      <c r="V17" s="1337"/>
      <c r="W17" s="1337" t="s">
        <v>40</v>
      </c>
      <c r="X17" s="1337"/>
      <c r="Y17" s="989" t="s">
        <v>41</v>
      </c>
    </row>
    <row r="18" spans="1:27" s="825" customFormat="1" ht="18.75" customHeight="1">
      <c r="A18" s="928" t="str">
        <f>+'POW-2015-01C-00_'!A11</f>
        <v>PART A</v>
      </c>
      <c r="B18" s="1262" t="str">
        <f>+'POW-2015-01C-00_'!B11</f>
        <v>FACILITIES FOR THE ENGINEER</v>
      </c>
      <c r="C18" s="1262"/>
      <c r="D18" s="1262"/>
      <c r="E18" s="1262"/>
      <c r="F18" s="1262"/>
      <c r="G18" s="1262"/>
      <c r="H18" s="1262"/>
      <c r="I18" s="842"/>
      <c r="J18" s="842"/>
      <c r="K18" s="1300"/>
      <c r="L18" s="1300"/>
      <c r="M18" s="1300"/>
      <c r="N18" s="948"/>
      <c r="O18" s="948"/>
      <c r="P18" s="948"/>
      <c r="Q18" s="1300"/>
      <c r="R18" s="1300"/>
      <c r="S18" s="1300"/>
      <c r="T18" s="842"/>
      <c r="U18" s="1300"/>
      <c r="V18" s="1300"/>
      <c r="W18" s="1300"/>
      <c r="X18" s="1300"/>
      <c r="Y18" s="824"/>
      <c r="Z18" s="1001"/>
    </row>
    <row r="19" spans="1:27" ht="18.75" customHeight="1">
      <c r="A19" s="929" t="str">
        <f>'POW-2015-01C-00_'!A12</f>
        <v>A.1.1 (3)</v>
      </c>
      <c r="B19" s="1301" t="str">
        <f>'POW-2015-01C-00_'!B12</f>
        <v>Construction of Field Office for the Engineer</v>
      </c>
      <c r="C19" s="1301"/>
      <c r="D19" s="1301"/>
      <c r="E19" s="1301"/>
      <c r="F19" s="1301"/>
      <c r="G19" s="1301"/>
      <c r="H19" s="1301"/>
      <c r="I19" s="949">
        <f>+VLOOKUP(A19,SUMMARY,7,0)</f>
        <v>1</v>
      </c>
      <c r="J19" s="950" t="str">
        <f>'POW-2015-01C-00_'!G12</f>
        <v>ls</v>
      </c>
      <c r="K19" s="1302">
        <f>+ROUND(I19*Z19,2)</f>
        <v>48948.07</v>
      </c>
      <c r="L19" s="1302"/>
      <c r="M19" s="1302"/>
      <c r="N19" s="951">
        <f>+'A_1_1_(3)'!H65</f>
        <v>0.12</v>
      </c>
      <c r="O19" s="951">
        <f>+'A_1_1_(3)'!H67</f>
        <v>0.08</v>
      </c>
      <c r="P19" s="952">
        <f>+N19+O19</f>
        <v>0.2</v>
      </c>
      <c r="Q19" s="1302">
        <f>+ROUND(K19*P19,2)</f>
        <v>9789.61</v>
      </c>
      <c r="R19" s="1302"/>
      <c r="S19" s="1302"/>
      <c r="T19" s="990">
        <f>ROUND(0.05*(K19+Q19),2)</f>
        <v>2936.88</v>
      </c>
      <c r="U19" s="1302">
        <f>ROUND(Q19+T19,2)</f>
        <v>12726.49</v>
      </c>
      <c r="V19" s="1302"/>
      <c r="W19" s="1302">
        <f>+ROUND(K19+U19,2)</f>
        <v>61674.559999999998</v>
      </c>
      <c r="X19" s="1302"/>
      <c r="Y19" s="1002">
        <f>ROUND(W19/I19,2)</f>
        <v>61674.559999999998</v>
      </c>
      <c r="Z19" s="916">
        <f>+'A_1_1_(3)'!I63</f>
        <v>48948.07</v>
      </c>
      <c r="AA19" s="996">
        <f>+W19-'POW-2015-01C-00_'!R13</f>
        <v>0</v>
      </c>
    </row>
    <row r="20" spans="1:27" s="825" customFormat="1">
      <c r="A20" s="1303" t="str">
        <f>+'POW-2015-01C-00_'!B14</f>
        <v>TOTAL OF PART A</v>
      </c>
      <c r="B20" s="1303"/>
      <c r="C20" s="1303"/>
      <c r="D20" s="1303"/>
      <c r="E20" s="1303"/>
      <c r="F20" s="1303"/>
      <c r="G20" s="1303"/>
      <c r="H20" s="1303"/>
      <c r="I20" s="842"/>
      <c r="J20" s="842"/>
      <c r="K20" s="1304">
        <f>+K19</f>
        <v>48948.07</v>
      </c>
      <c r="L20" s="1304"/>
      <c r="M20" s="1304"/>
      <c r="N20" s="953"/>
      <c r="O20" s="953"/>
      <c r="P20" s="948"/>
      <c r="Q20" s="1305">
        <f>+Q19</f>
        <v>9789.61</v>
      </c>
      <c r="R20" s="1305"/>
      <c r="S20" s="1305"/>
      <c r="T20" s="991">
        <f>+T19</f>
        <v>2936.88</v>
      </c>
      <c r="U20" s="1305">
        <f>+U19</f>
        <v>12726.49</v>
      </c>
      <c r="V20" s="1305"/>
      <c r="W20" s="1305">
        <f>+W19</f>
        <v>61674.559999999998</v>
      </c>
      <c r="X20" s="1305"/>
      <c r="Y20" s="824"/>
      <c r="Z20" s="916"/>
    </row>
    <row r="21" spans="1:27" s="825" customFormat="1">
      <c r="A21" s="928" t="str">
        <f>+'POW-2015-01C-00_'!A16</f>
        <v>PART B</v>
      </c>
      <c r="B21" s="1262" t="str">
        <f>+'POW-2015-01C-00_'!B16</f>
        <v>OTHER GENERAL REQUIREMENTS</v>
      </c>
      <c r="C21" s="1262"/>
      <c r="D21" s="1262"/>
      <c r="E21" s="1262"/>
      <c r="F21" s="1262"/>
      <c r="G21" s="1262"/>
      <c r="H21" s="1262"/>
      <c r="I21" s="842"/>
      <c r="J21" s="842"/>
      <c r="K21" s="1300"/>
      <c r="L21" s="1300"/>
      <c r="M21" s="1300"/>
      <c r="N21" s="953"/>
      <c r="O21" s="953"/>
      <c r="P21" s="948"/>
      <c r="Q21" s="1300"/>
      <c r="R21" s="1300"/>
      <c r="S21" s="1300"/>
      <c r="T21" s="842"/>
      <c r="U21" s="1300"/>
      <c r="V21" s="1300"/>
      <c r="W21" s="1300"/>
      <c r="X21" s="1300"/>
      <c r="Y21" s="824"/>
      <c r="Z21" s="916"/>
    </row>
    <row r="22" spans="1:27" ht="18" customHeight="1">
      <c r="A22" s="930" t="str">
        <f>'POW-2015-01C-00_'!A17</f>
        <v>B.5</v>
      </c>
      <c r="B22" s="1306" t="str">
        <f>'POW-2015-01C-00_'!B17</f>
        <v>Project Billboard/ Signboard (DPWH)</v>
      </c>
      <c r="C22" s="1306"/>
      <c r="D22" s="1306"/>
      <c r="E22" s="1306"/>
      <c r="F22" s="1306"/>
      <c r="G22" s="1306"/>
      <c r="H22" s="1306"/>
      <c r="I22" s="954">
        <f>+SOQ!G15</f>
        <v>2</v>
      </c>
      <c r="J22" s="955" t="str">
        <f>'POW-2015-01C-00_'!G17</f>
        <v>ea</v>
      </c>
      <c r="K22" s="1307">
        <f>+ROUND(I22*Z22,2)</f>
        <v>6832.04</v>
      </c>
      <c r="L22" s="1307"/>
      <c r="M22" s="1307"/>
      <c r="N22" s="956">
        <f>+'B_5(dp)'!H54</f>
        <v>0.12</v>
      </c>
      <c r="O22" s="956">
        <f>+'B_5(dp)'!H56</f>
        <v>0.08</v>
      </c>
      <c r="P22" s="957">
        <f>+N22+O22</f>
        <v>0.2</v>
      </c>
      <c r="Q22" s="1307">
        <f>+ROUND(K22*P22,2)</f>
        <v>1366.41</v>
      </c>
      <c r="R22" s="1307"/>
      <c r="S22" s="1307"/>
      <c r="T22" s="954">
        <f>ROUND(0.05*(K22+Q22),2)</f>
        <v>409.92</v>
      </c>
      <c r="U22" s="1307">
        <f>ROUND(Q22+T22,2)</f>
        <v>1776.33</v>
      </c>
      <c r="V22" s="1307"/>
      <c r="W22" s="1307">
        <f>+ROUND(K22+U22,2)</f>
        <v>8608.3700000000008</v>
      </c>
      <c r="X22" s="1307"/>
      <c r="Y22" s="1003">
        <f>ROUND(W22/I22,2)</f>
        <v>4304.1899999999996</v>
      </c>
      <c r="Z22" s="916">
        <f>+'B_5(dp)'!I52</f>
        <v>3416.02</v>
      </c>
      <c r="AA22" s="996">
        <f>+W22-'POW-2015-01C-00_'!R18</f>
        <v>0</v>
      </c>
    </row>
    <row r="23" spans="1:27" ht="18" customHeight="1">
      <c r="A23" s="931" t="str">
        <f>'POW-2015-01C-00_'!A19</f>
        <v>B.5</v>
      </c>
      <c r="B23" s="1308" t="str">
        <f>'POW-2015-01C-00_'!B19</f>
        <v>Project Billboard/ Signboard (COA)</v>
      </c>
      <c r="C23" s="1308"/>
      <c r="D23" s="1308"/>
      <c r="E23" s="1308"/>
      <c r="F23" s="1308"/>
      <c r="G23" s="1308"/>
      <c r="H23" s="1308"/>
      <c r="I23" s="958">
        <f>+SOQ!G16</f>
        <v>1</v>
      </c>
      <c r="J23" s="959" t="str">
        <f>'POW-2015-01C-00_'!G19</f>
        <v>ea</v>
      </c>
      <c r="K23" s="1309">
        <f>+ROUND(I23*Z23,2)</f>
        <v>6832.04</v>
      </c>
      <c r="L23" s="1309"/>
      <c r="M23" s="1309"/>
      <c r="N23" s="960">
        <f>+'B_5_(coa)'!H54</f>
        <v>0.12</v>
      </c>
      <c r="O23" s="960">
        <f>+'B_5_(coa)'!H56</f>
        <v>0.08</v>
      </c>
      <c r="P23" s="961">
        <f>+N23+O23</f>
        <v>0.2</v>
      </c>
      <c r="Q23" s="1309">
        <f>+ROUND(K23*P23,2)</f>
        <v>1366.41</v>
      </c>
      <c r="R23" s="1309"/>
      <c r="S23" s="1309"/>
      <c r="T23" s="958">
        <f>ROUND(0.05*(K23+Q23),2)</f>
        <v>409.92</v>
      </c>
      <c r="U23" s="1309">
        <f>ROUND(Q23+T23,2)</f>
        <v>1776.33</v>
      </c>
      <c r="V23" s="1309"/>
      <c r="W23" s="1309">
        <f>+ROUND(K23+U23,2)</f>
        <v>8608.3700000000008</v>
      </c>
      <c r="X23" s="1309"/>
      <c r="Y23" s="1004">
        <f>ROUND(W23/I23,2)</f>
        <v>8608.3700000000008</v>
      </c>
      <c r="Z23" s="916">
        <f>+'B_5_(coa)'!I52</f>
        <v>6832.04</v>
      </c>
      <c r="AA23" s="996">
        <f>+W23-'POW-2015-01C-00_'!R20</f>
        <v>0</v>
      </c>
    </row>
    <row r="24" spans="1:27" ht="18" customHeight="1">
      <c r="A24" s="931" t="str">
        <f>'POW-2015-01C-00_'!A21</f>
        <v>B.7 (2)</v>
      </c>
      <c r="B24" s="1308" t="str">
        <f>'POW-2015-01C-00_'!B21</f>
        <v>Occupational Safety and Health Program</v>
      </c>
      <c r="C24" s="1308"/>
      <c r="D24" s="1308"/>
      <c r="E24" s="1308"/>
      <c r="F24" s="1308"/>
      <c r="G24" s="1308"/>
      <c r="H24" s="1308"/>
      <c r="I24" s="958">
        <f>+VLOOKUP(A24,SUMMARY,7,0)</f>
        <v>1</v>
      </c>
      <c r="J24" s="959" t="str">
        <f>'POW-2015-01C-00_'!G21</f>
        <v>ls</v>
      </c>
      <c r="K24" s="1309">
        <f>+ROUND(I24*Z24,2)</f>
        <v>109314.5</v>
      </c>
      <c r="L24" s="1309"/>
      <c r="M24" s="1309"/>
      <c r="N24" s="960">
        <f>+'B_7(2)'!H69</f>
        <v>0</v>
      </c>
      <c r="O24" s="960">
        <f>+'B_7(2)'!H71</f>
        <v>0.08</v>
      </c>
      <c r="P24" s="961">
        <f>+N24+O24</f>
        <v>0.08</v>
      </c>
      <c r="Q24" s="1309">
        <f>+ROUND(K24*P24,2)</f>
        <v>8745.16</v>
      </c>
      <c r="R24" s="1309"/>
      <c r="S24" s="1309"/>
      <c r="T24" s="958">
        <f>ROUND(0.05*(K24+Q24),2)</f>
        <v>5902.98</v>
      </c>
      <c r="U24" s="1309">
        <f>ROUND(Q24+T24,2)</f>
        <v>14648.14</v>
      </c>
      <c r="V24" s="1309"/>
      <c r="W24" s="1309">
        <f>+ROUND(K24+U24,2)</f>
        <v>123962.64</v>
      </c>
      <c r="X24" s="1309"/>
      <c r="Y24" s="1004">
        <f>ROUND(W24/I24,2)</f>
        <v>123962.64</v>
      </c>
      <c r="Z24" s="916">
        <f>+'B_7(2)'!I67</f>
        <v>109314.5</v>
      </c>
      <c r="AA24" s="996">
        <f>+W24-'POW-2015-01C-00_'!R22</f>
        <v>0</v>
      </c>
    </row>
    <row r="25" spans="1:27">
      <c r="A25" s="931" t="str">
        <f>'POW-2015-01C-00_'!A23</f>
        <v>B.8(2)</v>
      </c>
      <c r="B25" s="1308" t="str">
        <f>'POW-2015-01C-00_'!B23</f>
        <v>Road Works Safety and Traffic Management</v>
      </c>
      <c r="C25" s="1308"/>
      <c r="D25" s="1308"/>
      <c r="E25" s="1308"/>
      <c r="F25" s="1308"/>
      <c r="G25" s="1308"/>
      <c r="H25" s="1308"/>
      <c r="I25" s="958">
        <f>+VLOOKUP(A25,SUMMARY,7,0)</f>
        <v>1</v>
      </c>
      <c r="J25" s="959" t="str">
        <f>'POW-2015-01C-00_'!G23</f>
        <v>ls</v>
      </c>
      <c r="K25" s="1309">
        <f>+ROUND(I25*Z25,2)</f>
        <v>11559.6</v>
      </c>
      <c r="L25" s="1309"/>
      <c r="M25" s="1309"/>
      <c r="N25" s="960">
        <f>+'B_8(2)'!H51</f>
        <v>0</v>
      </c>
      <c r="O25" s="960">
        <f>+'B_8(2)'!H53</f>
        <v>0.08</v>
      </c>
      <c r="P25" s="961">
        <f>+N25+O25</f>
        <v>0.08</v>
      </c>
      <c r="Q25" s="1309">
        <f>+ROUND(K25*P25,2)</f>
        <v>924.77</v>
      </c>
      <c r="R25" s="1309"/>
      <c r="S25" s="1309"/>
      <c r="T25" s="958">
        <f>ROUND(0.05*(K25+Q25),2)</f>
        <v>624.22</v>
      </c>
      <c r="U25" s="1309">
        <f>ROUND(Q25+T25,2)</f>
        <v>1548.99</v>
      </c>
      <c r="V25" s="1309"/>
      <c r="W25" s="1309">
        <f>+ROUND(K25+U25,2)</f>
        <v>13108.59</v>
      </c>
      <c r="X25" s="1309"/>
      <c r="Y25" s="1004">
        <f>ROUND(W25/I25,2)</f>
        <v>13108.59</v>
      </c>
      <c r="Z25" s="916">
        <f>+'B_8(2)'!I49</f>
        <v>11559.6</v>
      </c>
      <c r="AA25" s="996">
        <f>+W25-'POW-2015-01C-00_'!R24</f>
        <v>0</v>
      </c>
    </row>
    <row r="26" spans="1:27" ht="18.75" customHeight="1">
      <c r="A26" s="931" t="str">
        <f>'POW-2015-01C-00_'!A25</f>
        <v>B.9</v>
      </c>
      <c r="B26" s="1310" t="str">
        <f>'POW-2015-01C-00_'!B25</f>
        <v>Mobilization/ Demobilization</v>
      </c>
      <c r="C26" s="1310"/>
      <c r="D26" s="1310"/>
      <c r="E26" s="1310"/>
      <c r="F26" s="1310"/>
      <c r="G26" s="1310"/>
      <c r="H26" s="1310"/>
      <c r="I26" s="962">
        <f>+VLOOKUP(A26,SUMMARY,7,0)</f>
        <v>1</v>
      </c>
      <c r="J26" s="963" t="str">
        <f>'POW-2015-01C-00_'!G25</f>
        <v>ls</v>
      </c>
      <c r="K26" s="1311">
        <f>+ROUND(I26*Z26,2)</f>
        <v>67000</v>
      </c>
      <c r="L26" s="1311"/>
      <c r="M26" s="1311"/>
      <c r="N26" s="951">
        <f>+B_9!H51</f>
        <v>0</v>
      </c>
      <c r="O26" s="951">
        <f>+B_9!H53</f>
        <v>0</v>
      </c>
      <c r="P26" s="951">
        <f>+N26+O26</f>
        <v>0</v>
      </c>
      <c r="Q26" s="1311">
        <f>+ROUND(K26*P26,2)</f>
        <v>0</v>
      </c>
      <c r="R26" s="1311"/>
      <c r="S26" s="1311"/>
      <c r="T26" s="992">
        <f>ROUND(0.05*(K26+Q26),2)</f>
        <v>3350</v>
      </c>
      <c r="U26" s="1311">
        <f>ROUND(Q26+T26,2)</f>
        <v>3350</v>
      </c>
      <c r="V26" s="1311"/>
      <c r="W26" s="1311">
        <f>+ROUND(K26+U26,2)</f>
        <v>70350</v>
      </c>
      <c r="X26" s="1311"/>
      <c r="Y26" s="1005">
        <f>ROUND(W26/I26,2)</f>
        <v>70350</v>
      </c>
      <c r="Z26" s="916">
        <f>+B_9!I49</f>
        <v>67000</v>
      </c>
      <c r="AA26" s="996">
        <f>+W26-'POW-2015-01C-00_'!R26</f>
        <v>0</v>
      </c>
    </row>
    <row r="27" spans="1:27" s="825" customFormat="1">
      <c r="A27" s="1312" t="str">
        <f>+'POW-2015-01C-00_'!B27</f>
        <v>TOTAL OF PART B</v>
      </c>
      <c r="B27" s="1312"/>
      <c r="C27" s="1312"/>
      <c r="D27" s="1312"/>
      <c r="E27" s="1312"/>
      <c r="F27" s="1312"/>
      <c r="G27" s="1312"/>
      <c r="H27" s="1312"/>
      <c r="I27" s="964"/>
      <c r="J27" s="889"/>
      <c r="K27" s="1313">
        <f>SUM(K22:M26)</f>
        <v>201538.18</v>
      </c>
      <c r="L27" s="1313"/>
      <c r="M27" s="1313"/>
      <c r="N27" s="965"/>
      <c r="O27" s="965"/>
      <c r="P27" s="966">
        <f>+N32+O32</f>
        <v>0.2</v>
      </c>
      <c r="Q27" s="1313">
        <f>SUM(Q22:S26)</f>
        <v>12402.75</v>
      </c>
      <c r="R27" s="1313"/>
      <c r="S27" s="1313"/>
      <c r="T27" s="993">
        <f>SUM(T22:T26)</f>
        <v>10697.04</v>
      </c>
      <c r="U27" s="1314">
        <f>SUM(U22:V26)</f>
        <v>23099.79</v>
      </c>
      <c r="V27" s="1314"/>
      <c r="W27" s="1314">
        <f>SUM(W22:X26)</f>
        <v>224637.97</v>
      </c>
      <c r="X27" s="1314"/>
      <c r="Y27" s="1006"/>
      <c r="Z27" s="916"/>
    </row>
    <row r="28" spans="1:27" s="825" customFormat="1" ht="18.75" customHeight="1" thickBot="1">
      <c r="A28" s="1016" t="str">
        <f>+'POW-2015-01C-00_'!A29</f>
        <v>PART C</v>
      </c>
      <c r="B28" s="1315" t="str">
        <f>+'POW-2015-01C-00_'!B29</f>
        <v>EARTHWORK</v>
      </c>
      <c r="C28" s="1315"/>
      <c r="D28" s="1315"/>
      <c r="E28" s="1315"/>
      <c r="F28" s="1315"/>
      <c r="G28" s="1315"/>
      <c r="H28" s="1315"/>
      <c r="I28" s="935"/>
      <c r="J28" s="935"/>
      <c r="K28" s="1316"/>
      <c r="L28" s="1316"/>
      <c r="M28" s="1316"/>
      <c r="N28" s="981"/>
      <c r="O28" s="981"/>
      <c r="P28" s="981"/>
      <c r="Q28" s="1316"/>
      <c r="R28" s="1316"/>
      <c r="S28" s="1316"/>
      <c r="T28" s="935"/>
      <c r="U28" s="1316"/>
      <c r="V28" s="1316"/>
      <c r="W28" s="1316"/>
      <c r="X28" s="1316"/>
      <c r="Y28" s="1012"/>
      <c r="Z28" s="916"/>
    </row>
    <row r="29" spans="1:27" ht="18" hidden="1" customHeight="1">
      <c r="A29" s="1017" t="str">
        <f>+'POW-2015-01C-00_'!A30</f>
        <v>100(3)a1</v>
      </c>
      <c r="B29" s="1317" t="str">
        <f>+'POW-2015-01C-00_'!B30</f>
        <v>Individual Removal of Trees (150-300 mm dia., Small)</v>
      </c>
      <c r="C29" s="1318"/>
      <c r="D29" s="1318"/>
      <c r="E29" s="1318"/>
      <c r="F29" s="1318"/>
      <c r="G29" s="1318"/>
      <c r="H29" s="1318"/>
      <c r="I29" s="1021">
        <f>+VLOOKUP(A29,SUMMARY,7,0)</f>
        <v>0</v>
      </c>
      <c r="J29" s="1022" t="str">
        <f>+'POW-2015-01C-00_'!G30</f>
        <v>ea</v>
      </c>
      <c r="K29" s="1319">
        <f>+ROUND(I29*Z29,2)</f>
        <v>0</v>
      </c>
      <c r="L29" s="1319"/>
      <c r="M29" s="1319"/>
      <c r="N29" s="1023">
        <f>+'100(3)a1'!H54</f>
        <v>0.12</v>
      </c>
      <c r="O29" s="1023">
        <f>+'100(3)a1'!H56</f>
        <v>0.08</v>
      </c>
      <c r="P29" s="1023">
        <f>+N29+O29</f>
        <v>0.2</v>
      </c>
      <c r="Q29" s="1319">
        <f>+ROUND(K29*P29,2)</f>
        <v>0</v>
      </c>
      <c r="R29" s="1319"/>
      <c r="S29" s="1319"/>
      <c r="T29" s="1021">
        <f>ROUND(0.05*(K29+Q29),2)</f>
        <v>0</v>
      </c>
      <c r="U29" s="1319">
        <f>ROUND(Q29+T29,2)</f>
        <v>0</v>
      </c>
      <c r="V29" s="1319"/>
      <c r="W29" s="1319">
        <f>+ROUND(K29+U29,2)</f>
        <v>0</v>
      </c>
      <c r="X29" s="1319"/>
      <c r="Y29" s="1025" t="e">
        <f>ROUND(W29/I29,2)</f>
        <v>#DIV/0!</v>
      </c>
      <c r="Z29" s="916">
        <f>+'100(3)a1'!I52</f>
        <v>1747.39</v>
      </c>
      <c r="AA29" s="996">
        <f>+W29-'POW-2015-01C-00_'!R31</f>
        <v>0</v>
      </c>
    </row>
    <row r="30" spans="1:27" ht="18" customHeight="1">
      <c r="A30" s="932" t="str">
        <f>+'POW-2015-01C-00_'!A32</f>
        <v>102(2)</v>
      </c>
      <c r="B30" s="1320" t="str">
        <f>+'POW-2015-01C-00_'!B32</f>
        <v>Surplus Common Excavation</v>
      </c>
      <c r="C30" s="1321"/>
      <c r="D30" s="1321"/>
      <c r="E30" s="1321"/>
      <c r="F30" s="1321"/>
      <c r="G30" s="1321"/>
      <c r="H30" s="1321"/>
      <c r="I30" s="967">
        <f>+VLOOKUP(A30,SUMMARY,7,0)</f>
        <v>800.05000000000018</v>
      </c>
      <c r="J30" s="968" t="str">
        <f>+'POW-2015-01C-00_'!G32</f>
        <v>cum</v>
      </c>
      <c r="K30" s="1322">
        <f>+ROUND(I30*Z30,2)</f>
        <v>184315.51999999999</v>
      </c>
      <c r="L30" s="1322"/>
      <c r="M30" s="1322"/>
      <c r="N30" s="969">
        <f>+'102(2)'!H52</f>
        <v>0.12</v>
      </c>
      <c r="O30" s="969">
        <f>+'102(2)'!H54</f>
        <v>0.08</v>
      </c>
      <c r="P30" s="969">
        <f>+N30+O30</f>
        <v>0.2</v>
      </c>
      <c r="Q30" s="1322">
        <f>+ROUND(K30*P30,2)</f>
        <v>36863.1</v>
      </c>
      <c r="R30" s="1322"/>
      <c r="S30" s="1322"/>
      <c r="T30" s="967">
        <f>ROUND(0.05*(K30+Q30),2)</f>
        <v>11058.93</v>
      </c>
      <c r="U30" s="1322">
        <f>ROUND(Q30+T30,2)</f>
        <v>47922.03</v>
      </c>
      <c r="V30" s="1322"/>
      <c r="W30" s="1322">
        <f>+ROUND(K30+U30,2)</f>
        <v>232237.55</v>
      </c>
      <c r="X30" s="1322"/>
      <c r="Y30" s="1007">
        <f>ROUND(W30/I30,2)</f>
        <v>290.27999999999997</v>
      </c>
      <c r="Z30" s="916">
        <f>+'102(2)'!I50</f>
        <v>230.38</v>
      </c>
      <c r="AA30" s="996">
        <f>+W30-'POW-2015-01C-00_'!R33</f>
        <v>0</v>
      </c>
    </row>
    <row r="31" spans="1:27" ht="18" customHeight="1">
      <c r="A31" s="932" t="str">
        <f>+'POW-2015-01C-00_'!A34</f>
        <v>104(2)a</v>
      </c>
      <c r="B31" s="1320" t="str">
        <f>+'POW-2015-01C-00_'!B34</f>
        <v>Embankment from Borrow (Common Soil)</v>
      </c>
      <c r="C31" s="1321"/>
      <c r="D31" s="1321"/>
      <c r="E31" s="1321"/>
      <c r="F31" s="1321"/>
      <c r="G31" s="1321"/>
      <c r="H31" s="1321"/>
      <c r="I31" s="967">
        <f>+VLOOKUP(A31,SUMMARY,7,0)</f>
        <v>848.88</v>
      </c>
      <c r="J31" s="968" t="str">
        <f>+'POW-2015-01C-00_'!G34</f>
        <v>cum</v>
      </c>
      <c r="K31" s="1322">
        <f>+ROUND(I31*Z31,2)</f>
        <v>468581.76</v>
      </c>
      <c r="L31" s="1322"/>
      <c r="M31" s="1322"/>
      <c r="N31" s="969">
        <f>+'104(1)a'!H61</f>
        <v>0.12</v>
      </c>
      <c r="O31" s="969">
        <f>+'104(1)a'!H63</f>
        <v>0.08</v>
      </c>
      <c r="P31" s="969">
        <f>+N31+O31</f>
        <v>0.2</v>
      </c>
      <c r="Q31" s="1322">
        <f>+ROUND(K31*P31,2)</f>
        <v>93716.35</v>
      </c>
      <c r="R31" s="1322"/>
      <c r="S31" s="1322"/>
      <c r="T31" s="967">
        <f>ROUND(0.05*(K31+Q31),2)</f>
        <v>28114.91</v>
      </c>
      <c r="U31" s="1322">
        <f>ROUND(Q31+T31,2)</f>
        <v>121831.26</v>
      </c>
      <c r="V31" s="1322"/>
      <c r="W31" s="1322">
        <f>+ROUND(K31+U31,2)</f>
        <v>590413.02</v>
      </c>
      <c r="X31" s="1322"/>
      <c r="Y31" s="1007">
        <f>ROUND(W31/I31,2)</f>
        <v>695.52</v>
      </c>
      <c r="Z31" s="916">
        <f>'104(2)a'!K50</f>
        <v>552</v>
      </c>
      <c r="AA31" s="996">
        <f>+W31-'POW-2015-01C-00_'!R35</f>
        <v>0</v>
      </c>
    </row>
    <row r="32" spans="1:27" ht="18.75" customHeight="1">
      <c r="A32" s="932" t="str">
        <f>+'POW-2015-01C-00_'!A36</f>
        <v>105(1)a</v>
      </c>
      <c r="B32" s="1323" t="str">
        <f>+'POW-2015-01C-00_'!B36</f>
        <v>Subgrade Preparation (Common Material)</v>
      </c>
      <c r="C32" s="1324"/>
      <c r="D32" s="1324"/>
      <c r="E32" s="1324"/>
      <c r="F32" s="1324"/>
      <c r="G32" s="1324"/>
      <c r="H32" s="1324"/>
      <c r="I32" s="970">
        <f>+VLOOKUP(A32,SUMMARY,7,0)</f>
        <v>5778</v>
      </c>
      <c r="J32" s="971" t="str">
        <f>+'POW-2015-01C-00_'!G36</f>
        <v>sqm</v>
      </c>
      <c r="K32" s="1325">
        <f>+ROUND(I32*Z32,2)</f>
        <v>122320.26</v>
      </c>
      <c r="L32" s="1325"/>
      <c r="M32" s="1325"/>
      <c r="N32" s="972">
        <f>+'105(1)a'!H50</f>
        <v>0.12</v>
      </c>
      <c r="O32" s="972">
        <f>+'105(1)a'!H52</f>
        <v>0.08</v>
      </c>
      <c r="P32" s="972">
        <f>+N32+O32</f>
        <v>0.2</v>
      </c>
      <c r="Q32" s="1325">
        <f>+ROUND(K32*P32,2)</f>
        <v>24464.05</v>
      </c>
      <c r="R32" s="1325"/>
      <c r="S32" s="1325"/>
      <c r="T32" s="970">
        <f>ROUND(0.05*(K32+Q32),2)</f>
        <v>7339.22</v>
      </c>
      <c r="U32" s="1325">
        <f>ROUND(Q32+T32,2)</f>
        <v>31803.27</v>
      </c>
      <c r="V32" s="1325"/>
      <c r="W32" s="1325">
        <f>+ROUND(K32+U32,2)</f>
        <v>154123.53</v>
      </c>
      <c r="X32" s="1325"/>
      <c r="Y32" s="1008">
        <f>ROUND(W32/I32,2)</f>
        <v>26.67</v>
      </c>
      <c r="Z32" s="916">
        <f>+'105(1)a'!I48</f>
        <v>21.17</v>
      </c>
      <c r="AA32" s="996">
        <f>+W32-'POW-2015-01C-00_'!R37</f>
        <v>0</v>
      </c>
    </row>
    <row r="33" spans="1:31" s="825" customFormat="1">
      <c r="A33" s="1326" t="str">
        <f>+'POW-2015-01C-00_'!B38</f>
        <v>TOTAL OF PART C</v>
      </c>
      <c r="B33" s="1327"/>
      <c r="C33" s="1327"/>
      <c r="D33" s="1327"/>
      <c r="E33" s="1327"/>
      <c r="F33" s="1327"/>
      <c r="G33" s="1327"/>
      <c r="H33" s="1327"/>
      <c r="I33" s="973"/>
      <c r="J33" s="974"/>
      <c r="K33" s="1328">
        <f>+SUM(K29:M32)</f>
        <v>775217.54</v>
      </c>
      <c r="L33" s="1328"/>
      <c r="M33" s="1328"/>
      <c r="N33" s="975"/>
      <c r="O33" s="975"/>
      <c r="P33" s="976"/>
      <c r="Q33" s="1328">
        <f>SUM(Q29:S32)</f>
        <v>155043.5</v>
      </c>
      <c r="R33" s="1328"/>
      <c r="S33" s="1328"/>
      <c r="T33" s="994">
        <f>SUM(T29:T32)</f>
        <v>46513.06</v>
      </c>
      <c r="U33" s="1329">
        <f>SUM(U29:V32)</f>
        <v>201556.55999999997</v>
      </c>
      <c r="V33" s="1329"/>
      <c r="W33" s="1329">
        <f>SUM(W29:X32)</f>
        <v>976774.10000000009</v>
      </c>
      <c r="X33" s="1329"/>
      <c r="Y33" s="1009"/>
      <c r="Z33" s="916"/>
    </row>
    <row r="34" spans="1:31" s="825" customFormat="1" ht="18.75" customHeight="1">
      <c r="A34" s="933" t="str">
        <f>+'POW-2015-01C-00_'!A40</f>
        <v>PART D</v>
      </c>
      <c r="B34" s="1330" t="str">
        <f>+'POW-2015-01C-00_'!B40</f>
        <v>SUBBASE AND BASE COURSE</v>
      </c>
      <c r="C34" s="1330"/>
      <c r="D34" s="1330"/>
      <c r="E34" s="1330"/>
      <c r="F34" s="1330"/>
      <c r="G34" s="1330"/>
      <c r="H34" s="1330"/>
      <c r="I34" s="977"/>
      <c r="J34" s="977"/>
      <c r="K34" s="1331"/>
      <c r="L34" s="1331"/>
      <c r="M34" s="1331"/>
      <c r="N34" s="978"/>
      <c r="O34" s="978"/>
      <c r="P34" s="979"/>
      <c r="Q34" s="1331"/>
      <c r="R34" s="1331"/>
      <c r="S34" s="1331"/>
      <c r="T34" s="977"/>
      <c r="U34" s="1331"/>
      <c r="V34" s="1331"/>
      <c r="W34" s="1331"/>
      <c r="X34" s="1331"/>
      <c r="Y34" s="1010"/>
      <c r="Z34" s="916"/>
    </row>
    <row r="35" spans="1:31" s="825" customFormat="1" ht="18.75" customHeight="1">
      <c r="A35" s="930" t="str">
        <f>+'POW-2015-01C-00_'!A41</f>
        <v>200(1)</v>
      </c>
      <c r="B35" s="1301" t="str">
        <f>+'POW-2015-01C-00_'!B41</f>
        <v>Aggregate Subbase Course</v>
      </c>
      <c r="C35" s="1301"/>
      <c r="D35" s="1301"/>
      <c r="E35" s="1301"/>
      <c r="F35" s="1301"/>
      <c r="G35" s="1301"/>
      <c r="H35" s="1301"/>
      <c r="I35" s="958">
        <f>+VLOOKUP(A35,SUMMARY,7,0)</f>
        <v>1551.95</v>
      </c>
      <c r="J35" s="959" t="str">
        <f>+'POW-2015-01C-00_'!G41</f>
        <v>cum</v>
      </c>
      <c r="K35" s="1302">
        <f>+ROUND(I35*Z35,2)</f>
        <v>1035926.63</v>
      </c>
      <c r="L35" s="1302"/>
      <c r="M35" s="1302"/>
      <c r="N35" s="961">
        <f>+'200(1)'!H53</f>
        <v>0.12</v>
      </c>
      <c r="O35" s="961">
        <f>+'200(1)'!H55</f>
        <v>0.08</v>
      </c>
      <c r="P35" s="961">
        <f>+N35+O35</f>
        <v>0.2</v>
      </c>
      <c r="Q35" s="1302">
        <f>+ROUND(K35*P35,2)</f>
        <v>207185.33</v>
      </c>
      <c r="R35" s="1302"/>
      <c r="S35" s="1302"/>
      <c r="T35" s="990">
        <f>ROUND(0.05*(K35+Q35),2)</f>
        <v>62155.6</v>
      </c>
      <c r="U35" s="1302">
        <f>ROUND(Q35+T35,2)</f>
        <v>269340.93</v>
      </c>
      <c r="V35" s="1302"/>
      <c r="W35" s="1302">
        <f>+ROUND(K35+U35,2)</f>
        <v>1305267.56</v>
      </c>
      <c r="X35" s="1302"/>
      <c r="Y35" s="1002">
        <f>ROUND(W35/I35,2)</f>
        <v>841.05</v>
      </c>
      <c r="Z35" s="916">
        <f>+'200(1)'!I51</f>
        <v>667.5</v>
      </c>
      <c r="AA35" s="1011">
        <f>+W35-'POW-2015-01C-00_'!R42</f>
        <v>0</v>
      </c>
    </row>
    <row r="36" spans="1:31" s="825" customFormat="1">
      <c r="A36" s="1303" t="str">
        <f>+'POW-2015-01C-00_'!B43</f>
        <v>TOTAL OF PART D</v>
      </c>
      <c r="B36" s="1303"/>
      <c r="C36" s="1303"/>
      <c r="D36" s="1303"/>
      <c r="E36" s="1303"/>
      <c r="F36" s="1303"/>
      <c r="G36" s="1303"/>
      <c r="H36" s="1303"/>
      <c r="I36" s="842"/>
      <c r="J36" s="842"/>
      <c r="K36" s="1304">
        <f>+K35</f>
        <v>1035926.63</v>
      </c>
      <c r="L36" s="1304"/>
      <c r="M36" s="1304"/>
      <c r="N36" s="953"/>
      <c r="O36" s="953"/>
      <c r="P36" s="948"/>
      <c r="Q36" s="1304">
        <f>+Q35</f>
        <v>207185.33</v>
      </c>
      <c r="R36" s="1304"/>
      <c r="S36" s="1304"/>
      <c r="T36" s="991">
        <f>+T35</f>
        <v>62155.6</v>
      </c>
      <c r="U36" s="1305">
        <f>+U35</f>
        <v>269340.93</v>
      </c>
      <c r="V36" s="1305"/>
      <c r="W36" s="1305">
        <f>+W35</f>
        <v>1305267.56</v>
      </c>
      <c r="X36" s="1305"/>
      <c r="Y36" s="824"/>
      <c r="Z36" s="916"/>
    </row>
    <row r="37" spans="1:31" s="825" customFormat="1" ht="18.75" customHeight="1" thickBot="1">
      <c r="A37" s="928" t="str">
        <f>+'POW-2015-01C-00_'!A45</f>
        <v>PART E</v>
      </c>
      <c r="B37" s="1262" t="str">
        <f>+'POW-2015-01C-00_'!B45</f>
        <v>SURFACE COURSES</v>
      </c>
      <c r="C37" s="1262"/>
      <c r="D37" s="1262"/>
      <c r="E37" s="1262"/>
      <c r="F37" s="1262"/>
      <c r="G37" s="1262"/>
      <c r="H37" s="1262"/>
      <c r="I37" s="842"/>
      <c r="J37" s="842"/>
      <c r="K37" s="1300"/>
      <c r="L37" s="1300"/>
      <c r="M37" s="1300"/>
      <c r="N37" s="953"/>
      <c r="O37" s="953"/>
      <c r="P37" s="948"/>
      <c r="Q37" s="1300"/>
      <c r="R37" s="1300"/>
      <c r="S37" s="1300"/>
      <c r="T37" s="842"/>
      <c r="U37" s="1300"/>
      <c r="V37" s="1300"/>
      <c r="W37" s="1300"/>
      <c r="X37" s="1300"/>
      <c r="Y37" s="824"/>
      <c r="Z37" s="916"/>
    </row>
    <row r="38" spans="1:31" s="825" customFormat="1" ht="18.75" customHeight="1" thickBot="1">
      <c r="A38" s="930" t="str">
        <f>+'POW-2015-01C-00_'!A46</f>
        <v>311(1)b1</v>
      </c>
      <c r="B38" s="1301" t="str">
        <f>+'POW-2015-01C-00_'!B46</f>
        <v>Portland Cement Concrete Pavement  (Unreinforced, 0.20m thick, 14 days)</v>
      </c>
      <c r="C38" s="1301"/>
      <c r="D38" s="1301"/>
      <c r="E38" s="1301"/>
      <c r="F38" s="1301"/>
      <c r="G38" s="1301"/>
      <c r="H38" s="1301"/>
      <c r="I38" s="958">
        <f>+VLOOKUP(A38,SUMMARY,7,0)</f>
        <v>4815</v>
      </c>
      <c r="J38" s="959" t="str">
        <f>+'POW-2015-01C-00_'!G46</f>
        <v>sqm</v>
      </c>
      <c r="K38" s="1302">
        <f>+ROUND(I38*Z38,2)</f>
        <v>4672524.1500000004</v>
      </c>
      <c r="L38" s="1302"/>
      <c r="M38" s="1302"/>
      <c r="N38" s="961">
        <f>+'311(1)b1'!H71</f>
        <v>0.12</v>
      </c>
      <c r="O38" s="961">
        <f>+'311(1)b1'!H73</f>
        <v>0.08</v>
      </c>
      <c r="P38" s="961">
        <f>+N38+O38</f>
        <v>0.2</v>
      </c>
      <c r="Q38" s="1302">
        <f>+ROUND(K38*P38,2)</f>
        <v>934504.83</v>
      </c>
      <c r="R38" s="1302"/>
      <c r="S38" s="1302"/>
      <c r="T38" s="990">
        <f>ROUND(0.05*(K38+Q38),2)</f>
        <v>280351.45</v>
      </c>
      <c r="U38" s="1302">
        <f>ROUND(Q38+T38,2)</f>
        <v>1214856.28</v>
      </c>
      <c r="V38" s="1302"/>
      <c r="W38" s="1302">
        <f>+ROUND(K38+U38,2)</f>
        <v>5887380.4299999997</v>
      </c>
      <c r="X38" s="1302"/>
      <c r="Y38" s="1002">
        <f>ROUND(W38/I38,2)</f>
        <v>1222.72</v>
      </c>
      <c r="Z38" s="916">
        <f>+'311(1)b1'!I69</f>
        <v>970.41</v>
      </c>
      <c r="AA38" s="1011">
        <f>+W38-'POW-2015-01C-00_'!R47</f>
        <v>0</v>
      </c>
    </row>
    <row r="39" spans="1:31" s="825" customFormat="1" ht="18.75" thickBot="1">
      <c r="A39" s="1303" t="str">
        <f>+'POW-2015-01C-00_'!B48</f>
        <v>TOTAL OF PART E</v>
      </c>
      <c r="B39" s="1303"/>
      <c r="C39" s="1303"/>
      <c r="D39" s="1303"/>
      <c r="E39" s="1303"/>
      <c r="F39" s="1303"/>
      <c r="G39" s="1303"/>
      <c r="H39" s="1303"/>
      <c r="I39" s="842"/>
      <c r="J39" s="842"/>
      <c r="K39" s="1304">
        <f>+K38</f>
        <v>4672524.1500000004</v>
      </c>
      <c r="L39" s="1304"/>
      <c r="M39" s="1304"/>
      <c r="N39" s="953"/>
      <c r="O39" s="953"/>
      <c r="P39" s="948"/>
      <c r="Q39" s="1304">
        <f>+Q38</f>
        <v>934504.83</v>
      </c>
      <c r="R39" s="1304"/>
      <c r="S39" s="1304"/>
      <c r="T39" s="991">
        <f>+T38</f>
        <v>280351.45</v>
      </c>
      <c r="U39" s="1305">
        <f>+U38</f>
        <v>1214856.28</v>
      </c>
      <c r="V39" s="1305"/>
      <c r="W39" s="1305">
        <f>+W38</f>
        <v>5887380.4299999997</v>
      </c>
      <c r="X39" s="1305"/>
      <c r="Y39" s="824"/>
      <c r="Z39" s="916"/>
    </row>
    <row r="40" spans="1:31" s="825" customFormat="1" ht="18.75" customHeight="1" thickBot="1">
      <c r="A40" s="928" t="str">
        <f>+'POW-2015-01C-00_'!A50</f>
        <v>PART F</v>
      </c>
      <c r="B40" s="1262" t="str">
        <f>+'POW-2015-01C-00_'!B50</f>
        <v>DRAINAGE AND SLOPE PROTECTION STRUCTURES</v>
      </c>
      <c r="C40" s="1262"/>
      <c r="D40" s="1262"/>
      <c r="E40" s="1262"/>
      <c r="F40" s="1262"/>
      <c r="G40" s="1262"/>
      <c r="H40" s="1262"/>
      <c r="I40" s="842"/>
      <c r="J40" s="842"/>
      <c r="K40" s="1300"/>
      <c r="L40" s="1300"/>
      <c r="M40" s="1300"/>
      <c r="N40" s="953"/>
      <c r="O40" s="953"/>
      <c r="P40" s="948"/>
      <c r="Q40" s="1300"/>
      <c r="R40" s="1300"/>
      <c r="S40" s="1300"/>
      <c r="T40" s="842"/>
      <c r="U40" s="1300"/>
      <c r="V40" s="1300"/>
      <c r="W40" s="1300"/>
      <c r="X40" s="1300"/>
      <c r="Y40" s="824"/>
      <c r="Z40" s="916"/>
    </row>
    <row r="41" spans="1:31" s="825" customFormat="1" ht="18.75" customHeight="1" thickBot="1">
      <c r="A41" s="934" t="str">
        <f>+'506(1)'!F5</f>
        <v>506(1)</v>
      </c>
      <c r="B41" s="1334" t="str">
        <f>+'POW-2015-01C-00_'!B51</f>
        <v>Stone Masonry(Slope Protection)</v>
      </c>
      <c r="C41" s="1334"/>
      <c r="D41" s="1334"/>
      <c r="E41" s="1334"/>
      <c r="F41" s="1334"/>
      <c r="G41" s="1334"/>
      <c r="H41" s="1334"/>
      <c r="I41" s="962">
        <f>+BACKUP!D34</f>
        <v>336</v>
      </c>
      <c r="J41" s="963" t="str">
        <f>+'506(1)'!F6</f>
        <v>cum</v>
      </c>
      <c r="K41" s="1335">
        <f>+ROUND(I41*Z41,2)</f>
        <v>1066877.28</v>
      </c>
      <c r="L41" s="1335"/>
      <c r="M41" s="1335"/>
      <c r="N41" s="980">
        <f>+'506(1)'!H59</f>
        <v>0.12</v>
      </c>
      <c r="O41" s="980">
        <f>+'506(1)'!H61</f>
        <v>0.08</v>
      </c>
      <c r="P41" s="980">
        <f>+N41+O41</f>
        <v>0.2</v>
      </c>
      <c r="Q41" s="1335">
        <f>+ROUND(K41*P41,2)</f>
        <v>213375.46</v>
      </c>
      <c r="R41" s="1335"/>
      <c r="S41" s="1335"/>
      <c r="T41" s="990">
        <f>ROUND(0.05*(K41+Q41),2)</f>
        <v>64012.639999999999</v>
      </c>
      <c r="U41" s="1335">
        <f>ROUND(Q41+T41,2)</f>
        <v>277388.09999999998</v>
      </c>
      <c r="V41" s="1335"/>
      <c r="W41" s="1335">
        <f>+ROUND(K41+U41,2)</f>
        <v>1344265.38</v>
      </c>
      <c r="X41" s="1335"/>
      <c r="Y41" s="1002">
        <f>ROUND(W41/I41,2)</f>
        <v>4000.79</v>
      </c>
      <c r="Z41" s="916">
        <f>+'506(1)'!I57</f>
        <v>3175.23</v>
      </c>
      <c r="AA41" s="1011">
        <f>+W41-'POW-2015-01C-00_'!R52</f>
        <v>0</v>
      </c>
    </row>
    <row r="42" spans="1:31" s="825" customFormat="1" ht="18.75" thickBot="1">
      <c r="A42" s="1343" t="str">
        <f>'POW-2015-01C-00_'!B53</f>
        <v>TOTAL OF PART F</v>
      </c>
      <c r="B42" s="1344"/>
      <c r="C42" s="1344"/>
      <c r="D42" s="1344"/>
      <c r="E42" s="1344"/>
      <c r="F42" s="1344"/>
      <c r="G42" s="1344"/>
      <c r="H42" s="1345"/>
      <c r="I42" s="974"/>
      <c r="J42" s="974"/>
      <c r="K42" s="1336">
        <f>+K41</f>
        <v>1066877.28</v>
      </c>
      <c r="L42" s="1346"/>
      <c r="M42" s="1347"/>
      <c r="N42" s="975"/>
      <c r="O42" s="975"/>
      <c r="P42" s="976"/>
      <c r="Q42" s="1336">
        <f>+Q41</f>
        <v>213375.46</v>
      </c>
      <c r="R42" s="1346"/>
      <c r="S42" s="1347"/>
      <c r="T42" s="994">
        <f>+T41</f>
        <v>64012.639999999999</v>
      </c>
      <c r="U42" s="1332">
        <f>+U41</f>
        <v>277388.09999999998</v>
      </c>
      <c r="V42" s="1333"/>
      <c r="W42" s="1332">
        <f>+W41</f>
        <v>1344265.38</v>
      </c>
      <c r="X42" s="1333"/>
      <c r="Y42" s="1009"/>
      <c r="Z42" s="916"/>
    </row>
    <row r="43" spans="1:31" s="825" customFormat="1" ht="18.75" thickBot="1">
      <c r="A43" s="1326" t="s">
        <v>42</v>
      </c>
      <c r="B43" s="1327"/>
      <c r="C43" s="1327"/>
      <c r="D43" s="1327"/>
      <c r="E43" s="1327"/>
      <c r="F43" s="1327"/>
      <c r="G43" s="1327"/>
      <c r="H43" s="1327"/>
      <c r="I43" s="974"/>
      <c r="J43" s="974"/>
      <c r="K43" s="1328">
        <f>+K20+K27+K33+K36+K39+K42</f>
        <v>7801031.8500000006</v>
      </c>
      <c r="L43" s="1328"/>
      <c r="M43" s="1336"/>
      <c r="N43" s="983"/>
      <c r="O43" s="983"/>
      <c r="P43" s="982"/>
      <c r="Q43" s="1329">
        <f>+Q20+Q27+Q33+Q36+Q39+Q42</f>
        <v>1532301.48</v>
      </c>
      <c r="R43" s="1329"/>
      <c r="S43" s="1329"/>
      <c r="T43" s="994">
        <f>+T20+T27+T33+T36+T39+T42</f>
        <v>466666.67000000004</v>
      </c>
      <c r="U43" s="1329">
        <f>+U20+U27+U33+U36+U39+U42</f>
        <v>1998968.15</v>
      </c>
      <c r="V43" s="1329"/>
      <c r="W43" s="1329">
        <f>+W20+W27+W33+W36+W39+W42</f>
        <v>9800000</v>
      </c>
      <c r="X43" s="1329"/>
      <c r="Y43" s="1009"/>
      <c r="Z43" s="1001" t="b">
        <f>+W43='POW-2015-01C-00_'!R56</f>
        <v>1</v>
      </c>
    </row>
    <row r="44" spans="1:31" ht="36" customHeight="1">
      <c r="A44" s="1273" t="str">
        <f>'POW-2015-01-00_'!A42:AG42</f>
        <v>Note: Prices/Rates were based on CMPD 4TH Quarter CY 2022 for Materials, Memorandum dated December 29, 2022 for Labor cost and Memorandum dated May 18, 2022 for Equipment rental including Fuel &amp; Oil/Lubricant cost as of January 4, 2023 for DPWH Regional/District Engineering Offices</v>
      </c>
      <c r="B44" s="1273"/>
      <c r="C44" s="1273"/>
      <c r="D44" s="1273"/>
      <c r="E44" s="1273"/>
      <c r="F44" s="1273"/>
      <c r="G44" s="1273"/>
      <c r="H44" s="1273"/>
      <c r="I44" s="1273"/>
      <c r="J44" s="1273"/>
      <c r="K44" s="1273"/>
      <c r="L44" s="1273"/>
      <c r="M44" s="1273"/>
      <c r="N44" s="1273"/>
      <c r="O44" s="1273"/>
      <c r="P44" s="1273"/>
      <c r="Q44" s="1273"/>
      <c r="R44" s="1273"/>
      <c r="S44" s="1273"/>
      <c r="T44" s="1273"/>
      <c r="U44" s="1273"/>
      <c r="V44" s="1273"/>
      <c r="W44" s="1273"/>
      <c r="X44" s="1273"/>
      <c r="Y44" s="1273"/>
      <c r="Z44" s="916" t="b">
        <f>+U43='POW-2015-01C-00_'!P56+'POW-2015-01C-00_'!Q56</f>
        <v>1</v>
      </c>
    </row>
    <row r="45" spans="1:31" ht="14.1" customHeight="1">
      <c r="A45" s="936"/>
      <c r="B45" s="936"/>
      <c r="C45" s="936"/>
      <c r="D45" s="936"/>
      <c r="E45" s="936"/>
      <c r="F45" s="936"/>
      <c r="G45" s="936"/>
      <c r="H45" s="936"/>
      <c r="I45" s="936"/>
      <c r="J45" s="936"/>
      <c r="K45" s="936"/>
      <c r="L45" s="936"/>
      <c r="M45" s="936"/>
      <c r="N45" s="936"/>
      <c r="O45" s="936"/>
      <c r="P45" s="936"/>
      <c r="Q45" s="936"/>
      <c r="R45" s="936"/>
      <c r="S45" s="936"/>
      <c r="T45" s="936"/>
      <c r="U45" s="936"/>
      <c r="V45" s="936"/>
      <c r="W45" s="936"/>
      <c r="X45" s="936"/>
      <c r="Y45" s="936"/>
    </row>
    <row r="46" spans="1:31">
      <c r="A46" s="825" t="str">
        <f>+'POW-2015-01-00_'!A43</f>
        <v>Preparation and Submission:</v>
      </c>
      <c r="C46" s="785"/>
      <c r="H46" s="703"/>
      <c r="I46" s="984" t="str">
        <f>+'POW-2015-01-00_'!N43</f>
        <v>Evaluation:</v>
      </c>
      <c r="K46" s="703"/>
      <c r="M46" s="703"/>
      <c r="N46" s="985"/>
      <c r="O46" s="984"/>
      <c r="P46" s="986"/>
      <c r="S46" s="984"/>
      <c r="T46" s="703"/>
      <c r="U46" s="703"/>
      <c r="V46" s="703"/>
      <c r="X46" s="703"/>
      <c r="Z46" s="916" t="b">
        <f>+T43='POW-2015-01C-00_'!Q56</f>
        <v>1</v>
      </c>
    </row>
    <row r="47" spans="1:31">
      <c r="A47" s="825"/>
      <c r="C47" s="785"/>
      <c r="K47" s="703"/>
      <c r="M47" s="703"/>
      <c r="N47" s="985"/>
      <c r="P47" s="986"/>
      <c r="Q47" s="825"/>
      <c r="S47" s="825"/>
      <c r="T47" s="703"/>
      <c r="U47" s="703"/>
      <c r="V47" s="703"/>
      <c r="X47" s="995"/>
      <c r="Z47" s="916" t="b">
        <f>+Q43='POW-2015-01C-00_'!P56</f>
        <v>1</v>
      </c>
    </row>
    <row r="48" spans="1:31">
      <c r="A48" s="827" t="str">
        <f>+'POW-2015-01-00_'!A45</f>
        <v>Prepared by:</v>
      </c>
      <c r="B48" s="703"/>
      <c r="C48" s="828"/>
      <c r="D48" s="827" t="str">
        <f>+'POW-2015-01-00_'!H45</f>
        <v>Checked/Submitted by:</v>
      </c>
      <c r="E48" s="828"/>
      <c r="H48" s="808"/>
      <c r="I48" s="827" t="str">
        <f>+'POW-2015-01-00_'!N45</f>
        <v>Reviewed as to Unit Cost:</v>
      </c>
      <c r="J48" s="808"/>
      <c r="K48" s="703"/>
      <c r="L48" s="827" t="s">
        <v>18</v>
      </c>
      <c r="M48" s="703"/>
      <c r="N48" s="853"/>
      <c r="O48" s="827"/>
      <c r="P48" s="987"/>
      <c r="Q48" s="808"/>
      <c r="S48" s="827"/>
      <c r="T48" s="703"/>
      <c r="V48" s="827"/>
      <c r="W48" s="703"/>
      <c r="X48" s="827"/>
      <c r="Y48" s="703"/>
      <c r="Z48" s="916" t="b">
        <f>+K43='POW-2015-01C-00_'!N56</f>
        <v>1</v>
      </c>
      <c r="AE48" s="825"/>
    </row>
    <row r="49" spans="1:32">
      <c r="A49" s="827"/>
      <c r="B49" s="703"/>
      <c r="C49" s="828"/>
      <c r="D49" s="808"/>
      <c r="E49" s="828"/>
      <c r="F49" s="703"/>
      <c r="G49" s="827"/>
      <c r="H49" s="808"/>
      <c r="I49" s="808"/>
      <c r="J49" s="808"/>
      <c r="K49" s="703"/>
      <c r="L49" s="827"/>
      <c r="M49" s="703"/>
      <c r="N49" s="853"/>
      <c r="O49" s="808"/>
      <c r="P49" s="987"/>
      <c r="Q49" s="808"/>
      <c r="S49" s="827"/>
      <c r="T49" s="703"/>
      <c r="V49" s="703"/>
      <c r="W49" s="703"/>
      <c r="X49" s="827"/>
      <c r="Y49" s="703"/>
      <c r="AE49" s="812"/>
    </row>
    <row r="50" spans="1:32" ht="31.5" customHeight="1">
      <c r="A50" s="1250"/>
      <c r="B50" s="1250"/>
      <c r="C50" s="1250"/>
      <c r="D50" s="1250"/>
      <c r="E50" s="1250"/>
      <c r="F50" s="703"/>
      <c r="G50" s="1250"/>
      <c r="H50" s="1250"/>
      <c r="I50" s="1250"/>
      <c r="J50" s="1250"/>
      <c r="K50" s="1250"/>
      <c r="L50" s="606"/>
      <c r="M50" s="606"/>
      <c r="N50" s="606"/>
      <c r="O50" s="606"/>
      <c r="P50" s="942"/>
      <c r="Q50" s="606"/>
      <c r="S50" s="606"/>
      <c r="T50" s="606"/>
      <c r="V50" s="606"/>
      <c r="W50" s="606"/>
      <c r="X50" s="606"/>
      <c r="Y50" s="606"/>
      <c r="AA50" s="825"/>
      <c r="AB50" s="825"/>
      <c r="AC50" s="825"/>
      <c r="AD50" s="825"/>
      <c r="AE50" s="830"/>
    </row>
    <row r="51" spans="1:32">
      <c r="A51" s="1276" t="str">
        <f>+'POW-2015-01-00_'!A48:E48</f>
        <v xml:space="preserve">WINLOVE A. ESTEVES
</v>
      </c>
      <c r="B51" s="1276"/>
      <c r="C51" s="605"/>
      <c r="D51" s="1276" t="str">
        <f>+'POW-2015-01-00_'!H48</f>
        <v>MARK ANGELO E. SURIL</v>
      </c>
      <c r="E51" s="1276"/>
      <c r="F51" s="1276"/>
      <c r="G51" s="1276"/>
      <c r="H51" s="605"/>
      <c r="I51" s="1276" t="str">
        <f>+'POW-2015-01-00_'!N48</f>
        <v>NICOMEDES G. NOHAY</v>
      </c>
      <c r="J51" s="1276"/>
      <c r="K51" s="1276"/>
      <c r="L51" s="1276"/>
      <c r="M51" s="1276"/>
      <c r="N51" s="605"/>
      <c r="O51" s="1250"/>
      <c r="P51" s="1250"/>
      <c r="Q51" s="1250"/>
      <c r="R51" s="1250"/>
      <c r="S51" s="1250"/>
      <c r="T51" s="1250"/>
      <c r="V51" s="1250"/>
      <c r="W51" s="1250"/>
      <c r="X51" s="1250"/>
      <c r="Y51" s="1250"/>
      <c r="Z51" s="1013"/>
      <c r="AA51" s="785"/>
      <c r="AB51" s="785"/>
      <c r="AC51" s="785"/>
      <c r="AD51" s="785"/>
      <c r="AE51" s="785"/>
      <c r="AF51" s="785"/>
    </row>
    <row r="52" spans="1:32">
      <c r="A52" s="1279" t="str">
        <f>+'POW-2015-01-00_'!A49:E49</f>
        <v>Engineer II</v>
      </c>
      <c r="B52" s="1279"/>
      <c r="C52" s="605"/>
      <c r="D52" s="1279" t="str">
        <f>+'POW-2015-01-00_'!H49</f>
        <v>Engineer II</v>
      </c>
      <c r="E52" s="1279"/>
      <c r="F52" s="1279"/>
      <c r="G52" s="1279"/>
      <c r="H52" s="605"/>
      <c r="I52" s="1279" t="str">
        <f>+'POW-2015-01-00_'!N49</f>
        <v>Engineer III</v>
      </c>
      <c r="J52" s="1279"/>
      <c r="K52" s="1279"/>
      <c r="L52" s="1279"/>
      <c r="M52" s="1279"/>
      <c r="N52" s="605"/>
      <c r="V52" s="1250"/>
      <c r="W52" s="1250"/>
      <c r="X52" s="1250"/>
      <c r="Y52" s="1250"/>
      <c r="Z52" s="1001"/>
      <c r="AA52" s="825"/>
      <c r="AB52" s="825"/>
      <c r="AC52" s="825"/>
      <c r="AD52" s="825"/>
      <c r="AE52" s="825"/>
      <c r="AF52" s="825"/>
    </row>
    <row r="53" spans="1:32" ht="18.75" customHeight="1">
      <c r="A53" s="1254" t="str">
        <f>+'POW-2015-01-00_'!A50:E50</f>
        <v>Planning and Design Section</v>
      </c>
      <c r="B53" s="1254"/>
      <c r="C53" s="606"/>
      <c r="D53" s="1254" t="str">
        <f>+'POW-2015-01-00_'!H50</f>
        <v>Planning and Design Section</v>
      </c>
      <c r="E53" s="1254"/>
      <c r="F53" s="1254"/>
      <c r="G53" s="1254"/>
      <c r="H53" s="606"/>
      <c r="I53" s="1254" t="str">
        <f>+'POW-2015-01-00_'!N50</f>
        <v>Planning and Design Section</v>
      </c>
      <c r="J53" s="1254"/>
      <c r="K53" s="1254"/>
      <c r="L53" s="1254"/>
      <c r="M53" s="1254"/>
      <c r="N53" s="606"/>
      <c r="O53" s="1250"/>
      <c r="P53" s="1250"/>
      <c r="Q53" s="1250"/>
      <c r="R53" s="1250"/>
      <c r="S53" s="1250"/>
      <c r="T53" s="1250"/>
      <c r="U53" s="1250"/>
      <c r="V53" s="1250"/>
      <c r="W53" s="1250"/>
      <c r="X53" s="1250"/>
      <c r="Y53" s="893"/>
      <c r="Z53" s="1014"/>
      <c r="AA53" s="1015"/>
      <c r="AB53" s="1015"/>
      <c r="AC53" s="1015"/>
      <c r="AD53" s="1015"/>
      <c r="AE53" s="1015"/>
      <c r="AF53" s="1015"/>
    </row>
    <row r="54" spans="1:32">
      <c r="B54" s="825"/>
      <c r="C54" s="825"/>
      <c r="D54" s="825"/>
      <c r="E54" s="825"/>
      <c r="F54" s="825"/>
      <c r="G54" s="825"/>
      <c r="S54" s="996"/>
      <c r="U54" s="825"/>
      <c r="V54" s="825"/>
      <c r="W54" s="825"/>
      <c r="X54" s="825"/>
      <c r="Y54" s="825"/>
    </row>
    <row r="55" spans="1:32">
      <c r="B55" s="1250"/>
      <c r="C55" s="1250"/>
      <c r="D55" s="1250"/>
      <c r="E55" s="1250"/>
      <c r="F55" s="1250"/>
      <c r="G55" s="1250"/>
      <c r="H55" s="785"/>
      <c r="S55" s="1250"/>
      <c r="T55" s="1250"/>
      <c r="U55" s="1250"/>
      <c r="V55" s="605"/>
      <c r="W55" s="605"/>
      <c r="X55" s="605"/>
      <c r="Y55" s="605"/>
    </row>
    <row r="56" spans="1:32">
      <c r="B56" s="1250"/>
      <c r="C56" s="1250"/>
      <c r="D56" s="1250"/>
      <c r="E56" s="1250"/>
      <c r="F56" s="1250"/>
      <c r="G56" s="1250"/>
      <c r="H56" s="825"/>
      <c r="S56" s="1250"/>
      <c r="T56" s="1250"/>
      <c r="U56" s="1250"/>
      <c r="V56" s="830"/>
      <c r="W56" s="830"/>
      <c r="X56" s="830"/>
      <c r="Y56" s="830"/>
    </row>
    <row r="57" spans="1:32">
      <c r="B57" s="1250"/>
      <c r="C57" s="1250"/>
      <c r="D57" s="1250"/>
      <c r="E57" s="1250"/>
      <c r="F57" s="1250"/>
      <c r="G57" s="1250"/>
      <c r="S57" s="1250"/>
      <c r="T57" s="1250"/>
      <c r="U57" s="1250"/>
      <c r="V57" s="606"/>
      <c r="W57" s="606"/>
      <c r="X57" s="606"/>
      <c r="Y57" s="606"/>
    </row>
  </sheetData>
  <mergeCells count="187">
    <mergeCell ref="Y14:Y15"/>
    <mergeCell ref="Z14:Z15"/>
    <mergeCell ref="U14:V15"/>
    <mergeCell ref="W14:X15"/>
    <mergeCell ref="B14:H15"/>
    <mergeCell ref="K14:M15"/>
    <mergeCell ref="N14:O15"/>
    <mergeCell ref="B16:H17"/>
    <mergeCell ref="K16:M17"/>
    <mergeCell ref="P14:S14"/>
    <mergeCell ref="Q15:S15"/>
    <mergeCell ref="Q16:S16"/>
    <mergeCell ref="U16:V16"/>
    <mergeCell ref="W16:X16"/>
    <mergeCell ref="Q17:S17"/>
    <mergeCell ref="U17:V17"/>
    <mergeCell ref="W17:X17"/>
    <mergeCell ref="B55:G55"/>
    <mergeCell ref="S55:U55"/>
    <mergeCell ref="B56:G56"/>
    <mergeCell ref="S56:U56"/>
    <mergeCell ref="B57:G57"/>
    <mergeCell ref="S57:U57"/>
    <mergeCell ref="A14:A15"/>
    <mergeCell ref="A16:A17"/>
    <mergeCell ref="I14:I15"/>
    <mergeCell ref="I16:I17"/>
    <mergeCell ref="J14:J15"/>
    <mergeCell ref="J16:J17"/>
    <mergeCell ref="P16:P17"/>
    <mergeCell ref="T14:T15"/>
    <mergeCell ref="A52:B52"/>
    <mergeCell ref="D52:G52"/>
    <mergeCell ref="I52:M52"/>
    <mergeCell ref="A42:H42"/>
    <mergeCell ref="K42:M42"/>
    <mergeCell ref="Q42:S42"/>
    <mergeCell ref="U42:V42"/>
    <mergeCell ref="B38:H38"/>
    <mergeCell ref="K38:M38"/>
    <mergeCell ref="Q38:S38"/>
    <mergeCell ref="V52:Y52"/>
    <mergeCell ref="A53:B53"/>
    <mergeCell ref="D53:G53"/>
    <mergeCell ref="I53:M53"/>
    <mergeCell ref="O53:T53"/>
    <mergeCell ref="U53:X53"/>
    <mergeCell ref="A43:H43"/>
    <mergeCell ref="K43:M43"/>
    <mergeCell ref="Q43:S43"/>
    <mergeCell ref="U43:V43"/>
    <mergeCell ref="W43:X43"/>
    <mergeCell ref="A44:Y44"/>
    <mergeCell ref="A50:E50"/>
    <mergeCell ref="G50:K50"/>
    <mergeCell ref="A51:B51"/>
    <mergeCell ref="D51:G51"/>
    <mergeCell ref="I51:M51"/>
    <mergeCell ref="O51:T51"/>
    <mergeCell ref="V51:Y51"/>
    <mergeCell ref="W42:X42"/>
    <mergeCell ref="B40:H40"/>
    <mergeCell ref="K40:M40"/>
    <mergeCell ref="Q40:S40"/>
    <mergeCell ref="U40:V40"/>
    <mergeCell ref="W40:X40"/>
    <mergeCell ref="B41:H41"/>
    <mergeCell ref="K41:M41"/>
    <mergeCell ref="Q41:S41"/>
    <mergeCell ref="U41:V41"/>
    <mergeCell ref="W41:X41"/>
    <mergeCell ref="U38:V38"/>
    <mergeCell ref="W38:X38"/>
    <mergeCell ref="A39:H39"/>
    <mergeCell ref="K39:M39"/>
    <mergeCell ref="Q39:S39"/>
    <mergeCell ref="U39:V39"/>
    <mergeCell ref="W39:X39"/>
    <mergeCell ref="A36:H36"/>
    <mergeCell ref="K36:M36"/>
    <mergeCell ref="Q36:S36"/>
    <mergeCell ref="U36:V36"/>
    <mergeCell ref="W36:X36"/>
    <mergeCell ref="B37:H37"/>
    <mergeCell ref="K37:M37"/>
    <mergeCell ref="Q37:S37"/>
    <mergeCell ref="U37:V37"/>
    <mergeCell ref="W37:X37"/>
    <mergeCell ref="B34:H34"/>
    <mergeCell ref="K34:M34"/>
    <mergeCell ref="Q34:S34"/>
    <mergeCell ref="U34:V34"/>
    <mergeCell ref="W34:X34"/>
    <mergeCell ref="B35:H35"/>
    <mergeCell ref="K35:M35"/>
    <mergeCell ref="Q35:S35"/>
    <mergeCell ref="U35:V35"/>
    <mergeCell ref="W35:X35"/>
    <mergeCell ref="B32:H32"/>
    <mergeCell ref="K32:M32"/>
    <mergeCell ref="Q32:S32"/>
    <mergeCell ref="U32:V32"/>
    <mergeCell ref="W32:X32"/>
    <mergeCell ref="A33:H33"/>
    <mergeCell ref="K33:M33"/>
    <mergeCell ref="Q33:S33"/>
    <mergeCell ref="U33:V33"/>
    <mergeCell ref="W33:X33"/>
    <mergeCell ref="B30:H30"/>
    <mergeCell ref="K30:M30"/>
    <mergeCell ref="Q30:S30"/>
    <mergeCell ref="U30:V30"/>
    <mergeCell ref="W30:X30"/>
    <mergeCell ref="B31:H31"/>
    <mergeCell ref="K31:M31"/>
    <mergeCell ref="Q31:S31"/>
    <mergeCell ref="U31:V31"/>
    <mergeCell ref="W31:X31"/>
    <mergeCell ref="B28:H28"/>
    <mergeCell ref="K28:M28"/>
    <mergeCell ref="Q28:S28"/>
    <mergeCell ref="U28:V28"/>
    <mergeCell ref="W28:X28"/>
    <mergeCell ref="B29:H29"/>
    <mergeCell ref="K29:M29"/>
    <mergeCell ref="Q29:S29"/>
    <mergeCell ref="U29:V29"/>
    <mergeCell ref="W29:X29"/>
    <mergeCell ref="B26:H26"/>
    <mergeCell ref="K26:M26"/>
    <mergeCell ref="Q26:S26"/>
    <mergeCell ref="U26:V26"/>
    <mergeCell ref="W26:X26"/>
    <mergeCell ref="A27:H27"/>
    <mergeCell ref="K27:M27"/>
    <mergeCell ref="Q27:S27"/>
    <mergeCell ref="U27:V27"/>
    <mergeCell ref="W27:X27"/>
    <mergeCell ref="B24:H24"/>
    <mergeCell ref="K24:M24"/>
    <mergeCell ref="Q24:S24"/>
    <mergeCell ref="U24:V24"/>
    <mergeCell ref="W24:X24"/>
    <mergeCell ref="B25:H25"/>
    <mergeCell ref="K25:M25"/>
    <mergeCell ref="Q25:S25"/>
    <mergeCell ref="U25:V25"/>
    <mergeCell ref="W25:X25"/>
    <mergeCell ref="B22:H22"/>
    <mergeCell ref="K22:M22"/>
    <mergeCell ref="Q22:S22"/>
    <mergeCell ref="U22:V22"/>
    <mergeCell ref="W22:X22"/>
    <mergeCell ref="B23:H23"/>
    <mergeCell ref="K23:M23"/>
    <mergeCell ref="Q23:S23"/>
    <mergeCell ref="U23:V23"/>
    <mergeCell ref="W23:X23"/>
    <mergeCell ref="A20:H20"/>
    <mergeCell ref="K20:M20"/>
    <mergeCell ref="Q20:S20"/>
    <mergeCell ref="U20:V20"/>
    <mergeCell ref="W20:X20"/>
    <mergeCell ref="B21:H21"/>
    <mergeCell ref="K21:M21"/>
    <mergeCell ref="Q21:S21"/>
    <mergeCell ref="U21:V21"/>
    <mergeCell ref="W21:X21"/>
    <mergeCell ref="B18:H18"/>
    <mergeCell ref="K18:M18"/>
    <mergeCell ref="Q18:S18"/>
    <mergeCell ref="U18:V18"/>
    <mergeCell ref="W18:X18"/>
    <mergeCell ref="B19:H19"/>
    <mergeCell ref="K19:M19"/>
    <mergeCell ref="Q19:S19"/>
    <mergeCell ref="U19:V19"/>
    <mergeCell ref="W19:X19"/>
    <mergeCell ref="A1:Y1"/>
    <mergeCell ref="A2:Y2"/>
    <mergeCell ref="A4:D4"/>
    <mergeCell ref="X4:Y4"/>
    <mergeCell ref="A5:Y5"/>
    <mergeCell ref="A6:Y6"/>
    <mergeCell ref="A7:Y7"/>
    <mergeCell ref="X8:Y8"/>
    <mergeCell ref="A9:Y9"/>
  </mergeCells>
  <printOptions horizontalCentered="1"/>
  <pageMargins left="0.1181" right="0.1181" top="0.78739999999999999" bottom="0.39369999999999999" header="0.39369999999999999" footer="0"/>
  <pageSetup paperSize="9" scale="50" fitToWidth="0"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J57"/>
  <sheetViews>
    <sheetView view="pageBreakPreview" zoomScale="55" zoomScaleNormal="70" zoomScaleSheetLayoutView="55" workbookViewId="0">
      <selection activeCell="AA35" sqref="AA35"/>
    </sheetView>
  </sheetViews>
  <sheetFormatPr defaultColWidth="9" defaultRowHeight="18"/>
  <cols>
    <col min="1" max="1" width="21.125" style="811" customWidth="1"/>
    <col min="2" max="2" width="20" style="811" customWidth="1"/>
    <col min="3" max="3" width="9.875" style="811" customWidth="1"/>
    <col min="4" max="4" width="10.5" style="811" customWidth="1"/>
    <col min="5" max="5" width="2" style="811" customWidth="1"/>
    <col min="6" max="6" width="9.625" style="811" customWidth="1"/>
    <col min="7" max="7" width="17.625" style="811" customWidth="1"/>
    <col min="8" max="8" width="8.25" style="811" customWidth="1"/>
    <col min="9" max="9" width="17.375" style="811" customWidth="1"/>
    <col min="10" max="10" width="10.5" style="811" customWidth="1"/>
    <col min="11" max="11" width="5.375" style="811" customWidth="1"/>
    <col min="12" max="12" width="4.625" style="811" customWidth="1"/>
    <col min="13" max="13" width="10.625" style="811" customWidth="1"/>
    <col min="14" max="14" width="7.75" style="811" customWidth="1"/>
    <col min="15" max="15" width="9.875" style="811" customWidth="1"/>
    <col min="16" max="16" width="6.375" style="915" customWidth="1"/>
    <col min="17" max="17" width="5.75" style="811" customWidth="1"/>
    <col min="18" max="18" width="7.375" style="811" customWidth="1"/>
    <col min="19" max="19" width="5.125" style="811" customWidth="1"/>
    <col min="20" max="20" width="17.25" style="811" customWidth="1"/>
    <col min="21" max="21" width="9.125" style="811" customWidth="1"/>
    <col min="22" max="22" width="10" style="811" customWidth="1"/>
    <col min="23" max="23" width="3.5" style="811" customWidth="1"/>
    <col min="24" max="24" width="15" style="811" customWidth="1"/>
    <col min="25" max="25" width="17" style="811" customWidth="1"/>
    <col min="26" max="26" width="22.25" style="916" customWidth="1"/>
    <col min="27" max="27" width="17.875" style="811" customWidth="1"/>
    <col min="28" max="255" width="8.5" style="811" customWidth="1"/>
    <col min="256" max="256" width="10" style="811" customWidth="1"/>
    <col min="257" max="257" width="6.75" style="811" customWidth="1"/>
    <col min="258" max="260" width="5.875" style="811" customWidth="1"/>
    <col min="261" max="261" width="10" style="811" customWidth="1"/>
    <col min="262" max="262" width="12.125" style="811" customWidth="1"/>
    <col min="263" max="263" width="7" style="811" customWidth="1"/>
    <col min="264" max="264" width="8.25" style="811" customWidth="1"/>
    <col min="265" max="265" width="8.875" style="811" customWidth="1"/>
    <col min="266" max="266" width="15.125" style="811" customWidth="1"/>
    <col min="267" max="267" width="8.125" style="811" customWidth="1"/>
    <col min="268" max="268" width="5.375" style="811" customWidth="1"/>
    <col min="269" max="269" width="4.625" style="811" customWidth="1"/>
    <col min="270" max="270" width="6.875" style="811" customWidth="1"/>
    <col min="271" max="271" width="5.5" style="811" customWidth="1"/>
    <col min="272" max="272" width="7.875" style="811" customWidth="1"/>
    <col min="273" max="273" width="2.625" style="811" customWidth="1"/>
    <col min="274" max="274" width="10" style="811" customWidth="1"/>
    <col min="275" max="275" width="12.625" style="811" customWidth="1"/>
    <col min="276" max="276" width="20.75" style="811" customWidth="1"/>
    <col min="277" max="278" width="9.125" style="811" customWidth="1"/>
    <col min="279" max="279" width="3.5" style="811" customWidth="1"/>
    <col min="280" max="280" width="18.875" style="811" customWidth="1"/>
    <col min="281" max="281" width="27.5" style="811" customWidth="1"/>
    <col min="282" max="511" width="8.5" style="811" customWidth="1"/>
    <col min="512" max="512" width="10" style="811" customWidth="1"/>
    <col min="513" max="513" width="6.75" style="811" customWidth="1"/>
    <col min="514" max="516" width="5.875" style="811" customWidth="1"/>
    <col min="517" max="517" width="10" style="811" customWidth="1"/>
    <col min="518" max="518" width="12.125" style="811" customWidth="1"/>
    <col min="519" max="519" width="7" style="811" customWidth="1"/>
    <col min="520" max="520" width="8.25" style="811" customWidth="1"/>
    <col min="521" max="521" width="8.875" style="811" customWidth="1"/>
    <col min="522" max="522" width="15.125" style="811" customWidth="1"/>
    <col min="523" max="523" width="8.125" style="811" customWidth="1"/>
    <col min="524" max="524" width="5.375" style="811" customWidth="1"/>
    <col min="525" max="525" width="4.625" style="811" customWidth="1"/>
    <col min="526" max="526" width="6.875" style="811" customWidth="1"/>
    <col min="527" max="527" width="5.5" style="811" customWidth="1"/>
    <col min="528" max="528" width="7.875" style="811" customWidth="1"/>
    <col min="529" max="529" width="2.625" style="811" customWidth="1"/>
    <col min="530" max="530" width="10" style="811" customWidth="1"/>
    <col min="531" max="531" width="12.625" style="811" customWidth="1"/>
    <col min="532" max="532" width="20.75" style="811" customWidth="1"/>
    <col min="533" max="534" width="9.125" style="811" customWidth="1"/>
    <col min="535" max="535" width="3.5" style="811" customWidth="1"/>
    <col min="536" max="536" width="18.875" style="811" customWidth="1"/>
    <col min="537" max="537" width="27.5" style="811" customWidth="1"/>
    <col min="538" max="767" width="8.5" style="811" customWidth="1"/>
    <col min="768" max="768" width="10" style="811" customWidth="1"/>
    <col min="769" max="769" width="6.75" style="811" customWidth="1"/>
    <col min="770" max="772" width="5.875" style="811" customWidth="1"/>
    <col min="773" max="773" width="10" style="811" customWidth="1"/>
    <col min="774" max="774" width="12.125" style="811" customWidth="1"/>
    <col min="775" max="775" width="7" style="811" customWidth="1"/>
    <col min="776" max="776" width="8.25" style="811" customWidth="1"/>
    <col min="777" max="777" width="8.875" style="811" customWidth="1"/>
    <col min="778" max="778" width="15.125" style="811" customWidth="1"/>
    <col min="779" max="779" width="8.125" style="811" customWidth="1"/>
    <col min="780" max="780" width="5.375" style="811" customWidth="1"/>
    <col min="781" max="781" width="4.625" style="811" customWidth="1"/>
    <col min="782" max="782" width="6.875" style="811" customWidth="1"/>
    <col min="783" max="783" width="5.5" style="811" customWidth="1"/>
    <col min="784" max="784" width="7.875" style="811" customWidth="1"/>
    <col min="785" max="785" width="2.625" style="811" customWidth="1"/>
    <col min="786" max="786" width="10" style="811" customWidth="1"/>
    <col min="787" max="787" width="12.625" style="811" customWidth="1"/>
    <col min="788" max="788" width="20.75" style="811" customWidth="1"/>
    <col min="789" max="790" width="9.125" style="811" customWidth="1"/>
    <col min="791" max="791" width="3.5" style="811" customWidth="1"/>
    <col min="792" max="792" width="18.875" style="811" customWidth="1"/>
    <col min="793" max="793" width="27.5" style="811" customWidth="1"/>
    <col min="794" max="1023" width="8.5" style="811" customWidth="1"/>
    <col min="1024" max="1024" width="10" style="811" customWidth="1"/>
    <col min="1025" max="1025" width="9" customWidth="1"/>
  </cols>
  <sheetData>
    <row r="1" spans="1:33">
      <c r="A1" s="1250"/>
      <c r="B1" s="1250"/>
      <c r="C1" s="1250"/>
      <c r="D1" s="1250"/>
      <c r="E1" s="1250"/>
      <c r="F1" s="1250"/>
      <c r="G1" s="1250"/>
      <c r="H1" s="1250"/>
      <c r="I1" s="1250"/>
      <c r="J1" s="1250"/>
      <c r="K1" s="1250"/>
      <c r="L1" s="1250"/>
      <c r="M1" s="1250"/>
      <c r="N1" s="1250"/>
      <c r="O1" s="1250"/>
      <c r="P1" s="1250"/>
      <c r="Q1" s="1250"/>
      <c r="R1" s="1250"/>
      <c r="S1" s="1250"/>
      <c r="T1" s="1250"/>
      <c r="U1" s="1250"/>
      <c r="V1" s="1250"/>
      <c r="W1" s="1250"/>
      <c r="X1" s="1250"/>
      <c r="Y1" s="1250"/>
    </row>
    <row r="2" spans="1:33">
      <c r="A2" s="1251" t="s">
        <v>0</v>
      </c>
      <c r="B2" s="1251"/>
      <c r="C2" s="1251"/>
      <c r="D2" s="1251"/>
      <c r="E2" s="1251"/>
      <c r="F2" s="1251"/>
      <c r="G2" s="1251"/>
      <c r="H2" s="1251"/>
      <c r="I2" s="1251"/>
      <c r="J2" s="1251"/>
      <c r="K2" s="1251"/>
      <c r="L2" s="1251"/>
      <c r="M2" s="1251"/>
      <c r="N2" s="1251"/>
      <c r="O2" s="1251"/>
      <c r="P2" s="1251"/>
      <c r="Q2" s="1251"/>
      <c r="R2" s="1251"/>
      <c r="S2" s="1251"/>
      <c r="T2" s="1251"/>
      <c r="U2" s="1251"/>
      <c r="V2" s="1251"/>
      <c r="W2" s="1251"/>
      <c r="X2" s="1251"/>
      <c r="Y2" s="1251"/>
    </row>
    <row r="3" spans="1:33">
      <c r="A3" s="810"/>
      <c r="B3" s="810"/>
      <c r="C3" s="810"/>
      <c r="D3" s="810"/>
      <c r="E3" s="810"/>
      <c r="F3" s="810"/>
      <c r="G3" s="810"/>
      <c r="H3" s="810"/>
      <c r="I3" s="810"/>
      <c r="J3" s="810"/>
      <c r="K3" s="810"/>
      <c r="L3" s="810"/>
      <c r="M3" s="810"/>
      <c r="N3" s="810"/>
      <c r="O3" s="810"/>
      <c r="P3" s="937"/>
      <c r="Q3" s="810"/>
      <c r="R3" s="810"/>
      <c r="S3" s="810"/>
      <c r="T3" s="810"/>
      <c r="U3" s="810"/>
      <c r="V3" s="810"/>
      <c r="W3" s="810"/>
      <c r="X3" s="810"/>
      <c r="Y3" s="997" t="s">
        <v>25</v>
      </c>
    </row>
    <row r="4" spans="1:33" ht="20.25">
      <c r="A4" s="1250"/>
      <c r="B4" s="1250"/>
      <c r="C4" s="1250"/>
      <c r="D4" s="1250"/>
      <c r="E4" s="678"/>
      <c r="F4" s="678"/>
      <c r="G4" s="678"/>
      <c r="H4" s="678"/>
      <c r="I4" s="678"/>
      <c r="J4" s="938"/>
      <c r="K4" s="938"/>
      <c r="L4" s="938"/>
      <c r="M4" s="939"/>
      <c r="N4" s="939"/>
      <c r="O4" s="939"/>
      <c r="P4" s="940"/>
      <c r="Q4" s="938"/>
      <c r="R4" s="938"/>
      <c r="S4" s="938"/>
      <c r="T4" s="938"/>
      <c r="U4" s="938"/>
      <c r="V4" s="938"/>
      <c r="W4" s="938"/>
      <c r="X4" s="1252" t="s">
        <v>26</v>
      </c>
      <c r="Y4" s="1252"/>
      <c r="Z4" s="998"/>
      <c r="AA4" s="605"/>
      <c r="AB4" s="605"/>
      <c r="AC4" s="605"/>
      <c r="AD4" s="605"/>
      <c r="AE4" s="605"/>
      <c r="AF4" s="605"/>
      <c r="AG4" s="605"/>
    </row>
    <row r="5" spans="1:33">
      <c r="A5" s="1253" t="str">
        <f>'POW-2015-01C-00_'!A2:R2</f>
        <v>CONSTRUCTION OF ROAD</v>
      </c>
      <c r="B5" s="1253"/>
      <c r="C5" s="1253"/>
      <c r="D5" s="1253"/>
      <c r="E5" s="1253"/>
      <c r="F5" s="1253"/>
      <c r="G5" s="1253"/>
      <c r="H5" s="1253"/>
      <c r="I5" s="1253"/>
      <c r="J5" s="1253"/>
      <c r="K5" s="1253"/>
      <c r="L5" s="1253"/>
      <c r="M5" s="1253"/>
      <c r="N5" s="1253"/>
      <c r="O5" s="1253"/>
      <c r="P5" s="1253"/>
      <c r="Q5" s="1253"/>
      <c r="R5" s="1253"/>
      <c r="S5" s="1253"/>
      <c r="T5" s="1253"/>
      <c r="U5" s="1253"/>
      <c r="V5" s="1253"/>
      <c r="W5" s="1253"/>
      <c r="X5" s="1253"/>
      <c r="Y5" s="1253"/>
      <c r="Z5" s="999"/>
      <c r="AA5" s="606"/>
      <c r="AB5" s="606"/>
      <c r="AC5" s="606"/>
      <c r="AD5" s="606"/>
      <c r="AE5" s="606"/>
      <c r="AF5" s="606"/>
      <c r="AG5" s="606"/>
    </row>
    <row r="6" spans="1:33">
      <c r="A6" s="1254" t="str">
        <f>'POW-2015-01C-00_'!A3:R3</f>
        <v>BRGY. L. PIMENTEL, SAN LUIS, AURORA</v>
      </c>
      <c r="B6" s="1254"/>
      <c r="C6" s="1254"/>
      <c r="D6" s="1254"/>
      <c r="E6" s="1254"/>
      <c r="F6" s="1254"/>
      <c r="G6" s="1254"/>
      <c r="H6" s="1254"/>
      <c r="I6" s="1254"/>
      <c r="J6" s="1254"/>
      <c r="K6" s="1254"/>
      <c r="L6" s="1254"/>
      <c r="M6" s="1254"/>
      <c r="N6" s="1254"/>
      <c r="O6" s="1254"/>
      <c r="P6" s="1254"/>
      <c r="Q6" s="1254"/>
      <c r="R6" s="1254"/>
      <c r="S6" s="1254"/>
      <c r="T6" s="1254"/>
      <c r="U6" s="1254"/>
      <c r="V6" s="1254"/>
      <c r="W6" s="1254"/>
      <c r="X6" s="1254"/>
      <c r="Y6" s="1254"/>
      <c r="Z6" s="999"/>
      <c r="AA6" s="606"/>
      <c r="AB6" s="606"/>
      <c r="AC6" s="606"/>
      <c r="AD6" s="606"/>
      <c r="AE6" s="606"/>
      <c r="AF6" s="606"/>
      <c r="AG6" s="606"/>
    </row>
    <row r="7" spans="1:33">
      <c r="A7" s="1255"/>
      <c r="B7" s="1255"/>
      <c r="C7" s="1255"/>
      <c r="D7" s="1255"/>
      <c r="E7" s="1255"/>
      <c r="F7" s="1255"/>
      <c r="G7" s="1255"/>
      <c r="H7" s="1255"/>
      <c r="I7" s="1255"/>
      <c r="J7" s="1255"/>
      <c r="K7" s="1255"/>
      <c r="L7" s="1255"/>
      <c r="M7" s="1255"/>
      <c r="N7" s="1255"/>
      <c r="O7" s="1255"/>
      <c r="P7" s="1255"/>
      <c r="Q7" s="1255"/>
      <c r="R7" s="1255"/>
      <c r="S7" s="1255"/>
      <c r="T7" s="1255"/>
      <c r="U7" s="1255"/>
      <c r="V7" s="1255"/>
      <c r="W7" s="1255"/>
      <c r="X7" s="1255"/>
      <c r="Y7" s="1255"/>
    </row>
    <row r="8" spans="1:33">
      <c r="X8" s="1299"/>
      <c r="Y8" s="1299"/>
    </row>
    <row r="9" spans="1:33">
      <c r="A9" s="1253" t="s">
        <v>27</v>
      </c>
      <c r="B9" s="1253"/>
      <c r="C9" s="1253"/>
      <c r="D9" s="1253"/>
      <c r="E9" s="1253"/>
      <c r="F9" s="1253"/>
      <c r="G9" s="1253"/>
      <c r="H9" s="1253"/>
      <c r="I9" s="1253"/>
      <c r="J9" s="1253"/>
      <c r="K9" s="1253"/>
      <c r="L9" s="1253"/>
      <c r="M9" s="1253"/>
      <c r="N9" s="1253"/>
      <c r="O9" s="1253"/>
      <c r="P9" s="1253"/>
      <c r="Q9" s="1253"/>
      <c r="R9" s="1253"/>
      <c r="S9" s="1253"/>
      <c r="T9" s="1253"/>
      <c r="U9" s="1253"/>
      <c r="V9" s="1253"/>
      <c r="W9" s="1253"/>
      <c r="X9" s="1253"/>
      <c r="Y9" s="1253"/>
    </row>
    <row r="10" spans="1:33">
      <c r="A10" s="917" t="s">
        <v>28</v>
      </c>
      <c r="B10" s="918" t="str">
        <f>+BACKUP!B3</f>
        <v>LOCATION 1</v>
      </c>
      <c r="C10" s="918">
        <f>+BACKUP!C3</f>
        <v>0</v>
      </c>
      <c r="D10" s="918" t="str">
        <f>+BACKUP!D3</f>
        <v>TO</v>
      </c>
      <c r="E10" s="918"/>
      <c r="F10" s="918">
        <f>+BACKUP!F3</f>
        <v>741</v>
      </c>
      <c r="G10" s="918"/>
      <c r="H10" s="919"/>
      <c r="I10" s="941"/>
      <c r="J10" s="606"/>
      <c r="K10" s="606"/>
      <c r="L10" s="606"/>
      <c r="M10" s="606"/>
      <c r="N10" s="606"/>
      <c r="O10" s="606"/>
      <c r="P10" s="942"/>
      <c r="Q10" s="606"/>
      <c r="R10" s="606"/>
      <c r="S10" s="606"/>
      <c r="U10" s="606"/>
      <c r="V10" s="606"/>
    </row>
    <row r="11" spans="1:33">
      <c r="A11" s="917"/>
      <c r="B11" s="918" t="str">
        <f>+BACKUP!B4</f>
        <v>LOCATION 2</v>
      </c>
      <c r="C11" s="918">
        <f>+BACKUP!C4</f>
        <v>0</v>
      </c>
      <c r="D11" s="918" t="str">
        <f>+BACKUP!D4</f>
        <v>TO</v>
      </c>
      <c r="E11" s="918"/>
      <c r="F11" s="918">
        <f>+BACKUP!F4</f>
        <v>222</v>
      </c>
      <c r="G11" s="918"/>
      <c r="H11" s="919"/>
      <c r="I11" s="941"/>
      <c r="J11" s="606"/>
      <c r="K11" s="606"/>
      <c r="L11" s="606"/>
      <c r="M11" s="606"/>
      <c r="N11" s="606"/>
      <c r="O11" s="606"/>
      <c r="P11" s="942"/>
      <c r="Q11" s="606"/>
      <c r="R11" s="606"/>
      <c r="S11" s="606"/>
      <c r="U11" s="606"/>
      <c r="V11" s="606"/>
    </row>
    <row r="12" spans="1:33">
      <c r="A12" s="917" t="s">
        <v>29</v>
      </c>
      <c r="B12" s="920">
        <f>+BACKUP!B7</f>
        <v>1.9259999999999999</v>
      </c>
      <c r="C12" s="921" t="str">
        <f>+BACKUP!C7</f>
        <v>Lane km</v>
      </c>
      <c r="D12" s="922"/>
      <c r="E12" s="923"/>
      <c r="F12" s="923"/>
      <c r="H12" s="924"/>
      <c r="I12" s="941"/>
      <c r="J12" s="606"/>
      <c r="K12" s="606"/>
      <c r="L12" s="606"/>
      <c r="M12" s="606"/>
      <c r="N12" s="606"/>
      <c r="O12" s="606"/>
      <c r="P12" s="942"/>
      <c r="Q12" s="606"/>
      <c r="R12" s="606"/>
      <c r="S12" s="606"/>
      <c r="U12" s="606"/>
      <c r="V12" s="606"/>
      <c r="W12" s="809"/>
      <c r="X12" s="809"/>
      <c r="Y12" s="1000"/>
    </row>
    <row r="13" spans="1:33">
      <c r="A13" s="917"/>
      <c r="B13" s="925"/>
      <c r="C13" s="926"/>
      <c r="D13" s="926"/>
      <c r="E13" s="927"/>
      <c r="F13" s="927"/>
      <c r="G13" s="927"/>
      <c r="H13" s="927"/>
      <c r="I13" s="606"/>
      <c r="J13" s="606"/>
      <c r="K13" s="606"/>
      <c r="L13" s="606"/>
      <c r="M13" s="606"/>
      <c r="N13" s="606"/>
      <c r="O13" s="606"/>
      <c r="P13" s="942"/>
      <c r="Q13" s="606"/>
      <c r="R13" s="606"/>
      <c r="S13" s="606"/>
      <c r="U13" s="606"/>
      <c r="V13" s="606"/>
      <c r="W13" s="809" t="s">
        <v>3</v>
      </c>
      <c r="X13" s="809"/>
      <c r="Y13" s="1000">
        <f>cd!D30</f>
        <v>65</v>
      </c>
    </row>
    <row r="14" spans="1:33">
      <c r="A14" s="1262" t="s">
        <v>4</v>
      </c>
      <c r="B14" s="1290" t="s">
        <v>5</v>
      </c>
      <c r="C14" s="1290"/>
      <c r="D14" s="1290"/>
      <c r="E14" s="1290"/>
      <c r="F14" s="1290"/>
      <c r="G14" s="1290"/>
      <c r="H14" s="1290"/>
      <c r="I14" s="1290" t="s">
        <v>30</v>
      </c>
      <c r="J14" s="1290" t="s">
        <v>31</v>
      </c>
      <c r="K14" s="1290" t="s">
        <v>6</v>
      </c>
      <c r="L14" s="1290"/>
      <c r="M14" s="1290"/>
      <c r="N14" s="1290" t="s">
        <v>32</v>
      </c>
      <c r="O14" s="1290"/>
      <c r="P14" s="1371" t="s">
        <v>7</v>
      </c>
      <c r="Q14" s="1371"/>
      <c r="R14" s="1371"/>
      <c r="S14" s="1371"/>
      <c r="T14" s="1290" t="s">
        <v>8</v>
      </c>
      <c r="U14" s="1290" t="s">
        <v>9</v>
      </c>
      <c r="V14" s="1290"/>
      <c r="W14" s="1290" t="s">
        <v>10</v>
      </c>
      <c r="X14" s="1290"/>
      <c r="Y14" s="1284" t="s">
        <v>33</v>
      </c>
      <c r="Z14" s="1370" t="s">
        <v>34</v>
      </c>
    </row>
    <row r="15" spans="1:33">
      <c r="A15" s="1262"/>
      <c r="B15" s="1290"/>
      <c r="C15" s="1290"/>
      <c r="D15" s="1290"/>
      <c r="E15" s="1290"/>
      <c r="F15" s="1290"/>
      <c r="G15" s="1290"/>
      <c r="H15" s="1290"/>
      <c r="I15" s="1290"/>
      <c r="J15" s="1290"/>
      <c r="K15" s="1290"/>
      <c r="L15" s="1290"/>
      <c r="M15" s="1290"/>
      <c r="N15" s="1290"/>
      <c r="O15" s="1290"/>
      <c r="P15" s="943" t="s">
        <v>11</v>
      </c>
      <c r="Q15" s="1372" t="s">
        <v>12</v>
      </c>
      <c r="R15" s="1372"/>
      <c r="S15" s="1372"/>
      <c r="T15" s="1290"/>
      <c r="U15" s="1290"/>
      <c r="V15" s="1290"/>
      <c r="W15" s="1290"/>
      <c r="X15" s="1290"/>
      <c r="Y15" s="1284"/>
      <c r="Z15" s="1370"/>
      <c r="AD15" s="811" t="s">
        <v>43</v>
      </c>
    </row>
    <row r="16" spans="1:33">
      <c r="A16" s="1338">
        <v>-1</v>
      </c>
      <c r="B16" s="1338">
        <v>-2</v>
      </c>
      <c r="C16" s="1338"/>
      <c r="D16" s="1338"/>
      <c r="E16" s="1338"/>
      <c r="F16" s="1338"/>
      <c r="G16" s="1338"/>
      <c r="H16" s="1338"/>
      <c r="I16" s="1338">
        <v>-3</v>
      </c>
      <c r="J16" s="1338">
        <v>-4</v>
      </c>
      <c r="K16" s="1338">
        <v>-5</v>
      </c>
      <c r="L16" s="1338"/>
      <c r="M16" s="1338"/>
      <c r="N16" s="944" t="s">
        <v>35</v>
      </c>
      <c r="O16" s="945" t="s">
        <v>36</v>
      </c>
      <c r="P16" s="1342">
        <v>-8</v>
      </c>
      <c r="Q16" s="1373">
        <v>-9</v>
      </c>
      <c r="R16" s="1373"/>
      <c r="S16" s="1373"/>
      <c r="T16" s="988">
        <v>-10</v>
      </c>
      <c r="U16" s="1374">
        <v>-11</v>
      </c>
      <c r="V16" s="1374"/>
      <c r="W16" s="1374">
        <v>-12</v>
      </c>
      <c r="X16" s="1374"/>
      <c r="Y16" s="988">
        <v>-13</v>
      </c>
      <c r="AE16" s="854" t="s">
        <v>44</v>
      </c>
    </row>
    <row r="17" spans="1:31" ht="18.75" customHeight="1">
      <c r="A17" s="1338"/>
      <c r="B17" s="1338"/>
      <c r="C17" s="1338"/>
      <c r="D17" s="1338"/>
      <c r="E17" s="1338"/>
      <c r="F17" s="1338"/>
      <c r="G17" s="1338"/>
      <c r="H17" s="1338"/>
      <c r="I17" s="1338"/>
      <c r="J17" s="1338"/>
      <c r="K17" s="1338"/>
      <c r="L17" s="1338"/>
      <c r="M17" s="1338"/>
      <c r="N17" s="946">
        <v>-6</v>
      </c>
      <c r="O17" s="947">
        <v>-7</v>
      </c>
      <c r="P17" s="1342"/>
      <c r="Q17" s="1355" t="s">
        <v>37</v>
      </c>
      <c r="R17" s="1355"/>
      <c r="S17" s="1355"/>
      <c r="T17" s="989" t="s">
        <v>38</v>
      </c>
      <c r="U17" s="1337" t="s">
        <v>39</v>
      </c>
      <c r="V17" s="1337"/>
      <c r="W17" s="1337" t="s">
        <v>40</v>
      </c>
      <c r="X17" s="1337"/>
      <c r="Y17" s="989" t="s">
        <v>41</v>
      </c>
      <c r="AE17" s="811" t="s">
        <v>45</v>
      </c>
    </row>
    <row r="18" spans="1:31" s="825" customFormat="1" ht="18.75" customHeight="1">
      <c r="A18" s="928" t="str">
        <f>+'POW-2015-01C-00_'!A11</f>
        <v>PART A</v>
      </c>
      <c r="B18" s="1262" t="str">
        <f>+'POW-2015-01C-00_'!B11</f>
        <v>FACILITIES FOR THE ENGINEER</v>
      </c>
      <c r="C18" s="1262"/>
      <c r="D18" s="1262"/>
      <c r="E18" s="1262"/>
      <c r="F18" s="1262"/>
      <c r="G18" s="1262"/>
      <c r="H18" s="1262"/>
      <c r="I18" s="842"/>
      <c r="J18" s="842"/>
      <c r="K18" s="1300"/>
      <c r="L18" s="1300"/>
      <c r="M18" s="1300"/>
      <c r="N18" s="948"/>
      <c r="O18" s="948"/>
      <c r="P18" s="948"/>
      <c r="Q18" s="1300"/>
      <c r="R18" s="1300"/>
      <c r="S18" s="1300"/>
      <c r="T18" s="842"/>
      <c r="U18" s="1300"/>
      <c r="V18" s="1300"/>
      <c r="W18" s="1300"/>
      <c r="X18" s="1300"/>
      <c r="Y18" s="824"/>
      <c r="Z18" s="1001"/>
    </row>
    <row r="19" spans="1:31" ht="18.75" customHeight="1">
      <c r="A19" s="929" t="str">
        <f>'POW-2015-01C-00_'!A12</f>
        <v>A.1.1 (3)</v>
      </c>
      <c r="B19" s="1301" t="str">
        <f>'POW-2015-01C-00_'!B12</f>
        <v>Construction of Field Office for the Engineer</v>
      </c>
      <c r="C19" s="1301"/>
      <c r="D19" s="1301"/>
      <c r="E19" s="1301"/>
      <c r="F19" s="1301"/>
      <c r="G19" s="1301"/>
      <c r="H19" s="1301"/>
      <c r="I19" s="949">
        <f>+VLOOKUP(A19,SUMMARY,7,0)</f>
        <v>1</v>
      </c>
      <c r="J19" s="950" t="str">
        <f>'POW-2015-01C-00_'!G12</f>
        <v>ls</v>
      </c>
      <c r="K19" s="1302">
        <f t="shared" ref="K19:K26" si="0">+ROUND(I19*Z19,2)</f>
        <v>48948.07</v>
      </c>
      <c r="L19" s="1302"/>
      <c r="M19" s="1302"/>
      <c r="N19" s="951">
        <f>+'A_1_1_(3)'!H65</f>
        <v>0.12</v>
      </c>
      <c r="O19" s="951">
        <f>+'A_1_1_(3)'!H67</f>
        <v>0.08</v>
      </c>
      <c r="P19" s="952">
        <f t="shared" ref="P19:P26" si="1">+N19+O19</f>
        <v>0.2</v>
      </c>
      <c r="Q19" s="1356">
        <f t="shared" ref="Q19:Q26" si="2">+ROUND(K19*P19,2)</f>
        <v>9789.61</v>
      </c>
      <c r="R19" s="1356"/>
      <c r="S19" s="1356"/>
      <c r="T19" s="990">
        <f t="shared" ref="T19:T26" si="3">ROUND(0.05*(K19+Q19),2)</f>
        <v>2936.88</v>
      </c>
      <c r="U19" s="1302">
        <f t="shared" ref="U19:U26" si="4">ROUND(Q19+T19,2)</f>
        <v>12726.49</v>
      </c>
      <c r="V19" s="1302"/>
      <c r="W19" s="1302">
        <f t="shared" ref="W19:W26" si="5">+ROUND(K19+U19,2)</f>
        <v>61674.559999999998</v>
      </c>
      <c r="X19" s="1302"/>
      <c r="Y19" s="1002">
        <f t="shared" ref="Y19:Y26" si="6">ROUND(W19/I19,2)</f>
        <v>61674.559999999998</v>
      </c>
      <c r="Z19" s="916">
        <f>+'A_1_1_(3)'!I63</f>
        <v>48948.07</v>
      </c>
      <c r="AA19" s="996">
        <f>+W19-'POW-2015-01C-00_'!R13</f>
        <v>0</v>
      </c>
    </row>
    <row r="20" spans="1:31" s="825" customFormat="1">
      <c r="A20" s="1303" t="str">
        <f>+'POW-2015-01C-00_'!B14</f>
        <v>TOTAL OF PART A</v>
      </c>
      <c r="B20" s="1303"/>
      <c r="C20" s="1303"/>
      <c r="D20" s="1303"/>
      <c r="E20" s="1303"/>
      <c r="F20" s="1303"/>
      <c r="G20" s="1303"/>
      <c r="H20" s="1303"/>
      <c r="I20" s="842"/>
      <c r="J20" s="842"/>
      <c r="K20" s="1304">
        <f>+K19</f>
        <v>48948.07</v>
      </c>
      <c r="L20" s="1304"/>
      <c r="M20" s="1304"/>
      <c r="N20" s="953"/>
      <c r="O20" s="953"/>
      <c r="P20" s="948"/>
      <c r="Q20" s="1305">
        <f t="shared" ref="Q20:U20" si="7">+Q19</f>
        <v>9789.61</v>
      </c>
      <c r="R20" s="1305"/>
      <c r="S20" s="1305"/>
      <c r="T20" s="991">
        <f t="shared" si="7"/>
        <v>2936.88</v>
      </c>
      <c r="U20" s="1305">
        <f t="shared" si="7"/>
        <v>12726.49</v>
      </c>
      <c r="V20" s="1305"/>
      <c r="W20" s="1305">
        <f>+W19</f>
        <v>61674.559999999998</v>
      </c>
      <c r="X20" s="1305"/>
      <c r="Y20" s="824"/>
      <c r="Z20" s="916"/>
    </row>
    <row r="21" spans="1:31" s="825" customFormat="1">
      <c r="A21" s="928" t="str">
        <f>+'POW-2015-01C-00_'!A16</f>
        <v>PART B</v>
      </c>
      <c r="B21" s="1262" t="str">
        <f>+'POW-2015-01C-00_'!B16</f>
        <v>OTHER GENERAL REQUIREMENTS</v>
      </c>
      <c r="C21" s="1262"/>
      <c r="D21" s="1262"/>
      <c r="E21" s="1262"/>
      <c r="F21" s="1262"/>
      <c r="G21" s="1262"/>
      <c r="H21" s="1262"/>
      <c r="I21" s="842"/>
      <c r="J21" s="842"/>
      <c r="K21" s="1300"/>
      <c r="L21" s="1300"/>
      <c r="M21" s="1300"/>
      <c r="N21" s="953"/>
      <c r="O21" s="953"/>
      <c r="P21" s="948"/>
      <c r="Q21" s="1300"/>
      <c r="R21" s="1300"/>
      <c r="S21" s="1300"/>
      <c r="T21" s="842"/>
      <c r="U21" s="1300"/>
      <c r="V21" s="1300"/>
      <c r="W21" s="1300"/>
      <c r="X21" s="1300"/>
      <c r="Y21" s="824"/>
      <c r="Z21" s="916"/>
    </row>
    <row r="22" spans="1:31" ht="18" customHeight="1">
      <c r="A22" s="930" t="str">
        <f>'POW-2015-01C-00_'!A17</f>
        <v>B.5</v>
      </c>
      <c r="B22" s="1306" t="str">
        <f>'POW-2015-01C-00_'!B17</f>
        <v>Project Billboard/ Signboard (DPWH)</v>
      </c>
      <c r="C22" s="1306"/>
      <c r="D22" s="1306"/>
      <c r="E22" s="1306"/>
      <c r="F22" s="1306"/>
      <c r="G22" s="1306"/>
      <c r="H22" s="1306"/>
      <c r="I22" s="954">
        <f>+SOQ!G15</f>
        <v>2</v>
      </c>
      <c r="J22" s="955" t="str">
        <f>'POW-2015-01C-00_'!G17</f>
        <v>ea</v>
      </c>
      <c r="K22" s="1307">
        <f t="shared" si="0"/>
        <v>6832.04</v>
      </c>
      <c r="L22" s="1307"/>
      <c r="M22" s="1307"/>
      <c r="N22" s="956">
        <f>+'B_5(dp)'!H54</f>
        <v>0.12</v>
      </c>
      <c r="O22" s="956">
        <f>+'B_5(dp)'!H56</f>
        <v>0.08</v>
      </c>
      <c r="P22" s="957">
        <f t="shared" si="1"/>
        <v>0.2</v>
      </c>
      <c r="Q22" s="1357">
        <f t="shared" si="2"/>
        <v>1366.41</v>
      </c>
      <c r="R22" s="1357"/>
      <c r="S22" s="1357"/>
      <c r="T22" s="954">
        <f t="shared" si="3"/>
        <v>409.92</v>
      </c>
      <c r="U22" s="1307">
        <f t="shared" si="4"/>
        <v>1776.33</v>
      </c>
      <c r="V22" s="1307"/>
      <c r="W22" s="1307">
        <f t="shared" si="5"/>
        <v>8608.3700000000008</v>
      </c>
      <c r="X22" s="1307"/>
      <c r="Y22" s="1003">
        <f t="shared" si="6"/>
        <v>4304.1899999999996</v>
      </c>
      <c r="Z22" s="916">
        <f>+'B_5(dp)'!I52</f>
        <v>3416.02</v>
      </c>
      <c r="AA22" s="996">
        <f>+W22-'POW-2015-01C-00_'!R18</f>
        <v>0</v>
      </c>
    </row>
    <row r="23" spans="1:31" ht="18" customHeight="1">
      <c r="A23" s="931" t="str">
        <f>'POW-2015-01C-00_'!A19</f>
        <v>B.5</v>
      </c>
      <c r="B23" s="1308" t="str">
        <f>'POW-2015-01C-00_'!B19</f>
        <v>Project Billboard/ Signboard (COA)</v>
      </c>
      <c r="C23" s="1308"/>
      <c r="D23" s="1308"/>
      <c r="E23" s="1308"/>
      <c r="F23" s="1308"/>
      <c r="G23" s="1308"/>
      <c r="H23" s="1308"/>
      <c r="I23" s="958">
        <f>+SOQ!G16</f>
        <v>1</v>
      </c>
      <c r="J23" s="959" t="str">
        <f>'POW-2015-01C-00_'!G19</f>
        <v>ea</v>
      </c>
      <c r="K23" s="1309">
        <f t="shared" si="0"/>
        <v>6832.04</v>
      </c>
      <c r="L23" s="1309"/>
      <c r="M23" s="1309"/>
      <c r="N23" s="960">
        <f>+'B_5_(coa)'!H54</f>
        <v>0.12</v>
      </c>
      <c r="O23" s="960">
        <f>+'B_5_(coa)'!H56</f>
        <v>0.08</v>
      </c>
      <c r="P23" s="961">
        <f t="shared" si="1"/>
        <v>0.2</v>
      </c>
      <c r="Q23" s="1358">
        <f t="shared" si="2"/>
        <v>1366.41</v>
      </c>
      <c r="R23" s="1358"/>
      <c r="S23" s="1358"/>
      <c r="T23" s="958">
        <f t="shared" si="3"/>
        <v>409.92</v>
      </c>
      <c r="U23" s="1309">
        <f t="shared" si="4"/>
        <v>1776.33</v>
      </c>
      <c r="V23" s="1309"/>
      <c r="W23" s="1309">
        <f t="shared" si="5"/>
        <v>8608.3700000000008</v>
      </c>
      <c r="X23" s="1309"/>
      <c r="Y23" s="1004">
        <f t="shared" si="6"/>
        <v>8608.3700000000008</v>
      </c>
      <c r="Z23" s="916">
        <f>+'B_5_(coa)'!I52</f>
        <v>6832.04</v>
      </c>
      <c r="AA23" s="996">
        <f>+W23-'POW-2015-01C-00_'!R20</f>
        <v>0</v>
      </c>
    </row>
    <row r="24" spans="1:31" ht="18" customHeight="1">
      <c r="A24" s="931" t="str">
        <f>'POW-2015-01C-00_'!A21</f>
        <v>B.7 (2)</v>
      </c>
      <c r="B24" s="1308" t="str">
        <f>'POW-2015-01C-00_'!B21</f>
        <v>Occupational Safety and Health Program</v>
      </c>
      <c r="C24" s="1308"/>
      <c r="D24" s="1308"/>
      <c r="E24" s="1308"/>
      <c r="F24" s="1308"/>
      <c r="G24" s="1308"/>
      <c r="H24" s="1308"/>
      <c r="I24" s="958">
        <f>+VLOOKUP(A24,SUMMARY,7,0)</f>
        <v>1</v>
      </c>
      <c r="J24" s="959" t="str">
        <f>'POW-2015-01C-00_'!G21</f>
        <v>ls</v>
      </c>
      <c r="K24" s="1309">
        <f t="shared" si="0"/>
        <v>109314.5</v>
      </c>
      <c r="L24" s="1309"/>
      <c r="M24" s="1309"/>
      <c r="N24" s="960">
        <f>+'B_7(2)'!H69</f>
        <v>0</v>
      </c>
      <c r="O24" s="960">
        <f>+'B_7(2)'!H71</f>
        <v>0.08</v>
      </c>
      <c r="P24" s="961">
        <f t="shared" si="1"/>
        <v>0.08</v>
      </c>
      <c r="Q24" s="1358">
        <f t="shared" si="2"/>
        <v>8745.16</v>
      </c>
      <c r="R24" s="1358"/>
      <c r="S24" s="1358"/>
      <c r="T24" s="958">
        <f t="shared" si="3"/>
        <v>5902.98</v>
      </c>
      <c r="U24" s="1309">
        <f t="shared" si="4"/>
        <v>14648.14</v>
      </c>
      <c r="V24" s="1309"/>
      <c r="W24" s="1309">
        <f t="shared" si="5"/>
        <v>123962.64</v>
      </c>
      <c r="X24" s="1309"/>
      <c r="Y24" s="1004">
        <f t="shared" si="6"/>
        <v>123962.64</v>
      </c>
      <c r="Z24" s="916">
        <f>+'B_7(2)'!I67</f>
        <v>109314.5</v>
      </c>
      <c r="AA24" s="996">
        <f>+W24-'POW-2015-01C-00_'!R22</f>
        <v>0</v>
      </c>
    </row>
    <row r="25" spans="1:31">
      <c r="A25" s="931" t="str">
        <f>'POW-2015-01C-00_'!A23</f>
        <v>B.8(2)</v>
      </c>
      <c r="B25" s="1308" t="str">
        <f>'POW-2015-01C-00_'!B23</f>
        <v>Road Works Safety and Traffic Management</v>
      </c>
      <c r="C25" s="1308"/>
      <c r="D25" s="1308"/>
      <c r="E25" s="1308"/>
      <c r="F25" s="1308"/>
      <c r="G25" s="1308"/>
      <c r="H25" s="1308"/>
      <c r="I25" s="958">
        <f>+VLOOKUP(A25,SUMMARY,7,0)</f>
        <v>1</v>
      </c>
      <c r="J25" s="959" t="str">
        <f>'POW-2015-01C-00_'!G23</f>
        <v>ls</v>
      </c>
      <c r="K25" s="1309">
        <f t="shared" si="0"/>
        <v>11559.6</v>
      </c>
      <c r="L25" s="1309"/>
      <c r="M25" s="1309"/>
      <c r="N25" s="960">
        <f>+'B_8(2)'!H51</f>
        <v>0</v>
      </c>
      <c r="O25" s="960">
        <f>+'B_8(2)'!H53</f>
        <v>0.08</v>
      </c>
      <c r="P25" s="961">
        <f t="shared" si="1"/>
        <v>0.08</v>
      </c>
      <c r="Q25" s="1358">
        <f t="shared" si="2"/>
        <v>924.77</v>
      </c>
      <c r="R25" s="1358"/>
      <c r="S25" s="1358"/>
      <c r="T25" s="958">
        <f t="shared" si="3"/>
        <v>624.22</v>
      </c>
      <c r="U25" s="1309">
        <f t="shared" si="4"/>
        <v>1548.99</v>
      </c>
      <c r="V25" s="1309"/>
      <c r="W25" s="1309">
        <f t="shared" si="5"/>
        <v>13108.59</v>
      </c>
      <c r="X25" s="1309"/>
      <c r="Y25" s="1004">
        <f t="shared" si="6"/>
        <v>13108.59</v>
      </c>
      <c r="Z25" s="916">
        <f>+'B_8(2)'!I49</f>
        <v>11559.6</v>
      </c>
      <c r="AA25" s="996">
        <f>+W25-'POW-2015-01C-00_'!R24</f>
        <v>0</v>
      </c>
    </row>
    <row r="26" spans="1:31" ht="18.75" customHeight="1">
      <c r="A26" s="931" t="str">
        <f>'POW-2015-01C-00_'!A25</f>
        <v>B.9</v>
      </c>
      <c r="B26" s="1310" t="str">
        <f>'POW-2015-01C-00_'!B25</f>
        <v>Mobilization/ Demobilization</v>
      </c>
      <c r="C26" s="1310"/>
      <c r="D26" s="1310"/>
      <c r="E26" s="1310"/>
      <c r="F26" s="1310"/>
      <c r="G26" s="1310"/>
      <c r="H26" s="1310"/>
      <c r="I26" s="962">
        <f>+VLOOKUP(A26,SUMMARY,7,0)</f>
        <v>1</v>
      </c>
      <c r="J26" s="963" t="str">
        <f>'POW-2015-01C-00_'!G25</f>
        <v>ls</v>
      </c>
      <c r="K26" s="1311">
        <f t="shared" si="0"/>
        <v>67000</v>
      </c>
      <c r="L26" s="1311"/>
      <c r="M26" s="1311"/>
      <c r="N26" s="951">
        <f>+B_9!H51</f>
        <v>0</v>
      </c>
      <c r="O26" s="951">
        <f>+B_9!H53</f>
        <v>0</v>
      </c>
      <c r="P26" s="951">
        <f t="shared" si="1"/>
        <v>0</v>
      </c>
      <c r="Q26" s="1311">
        <f t="shared" si="2"/>
        <v>0</v>
      </c>
      <c r="R26" s="1311"/>
      <c r="S26" s="1311"/>
      <c r="T26" s="992">
        <f t="shared" si="3"/>
        <v>3350</v>
      </c>
      <c r="U26" s="1311">
        <f t="shared" si="4"/>
        <v>3350</v>
      </c>
      <c r="V26" s="1311"/>
      <c r="W26" s="1311">
        <f t="shared" si="5"/>
        <v>70350</v>
      </c>
      <c r="X26" s="1311"/>
      <c r="Y26" s="1005">
        <f t="shared" si="6"/>
        <v>70350</v>
      </c>
      <c r="Z26" s="916">
        <f>+B_9!I49</f>
        <v>67000</v>
      </c>
      <c r="AA26" s="996">
        <f>+W26-'POW-2015-01C-00_'!R26</f>
        <v>0</v>
      </c>
    </row>
    <row r="27" spans="1:31" s="825" customFormat="1" ht="18.75" thickBot="1">
      <c r="A27" s="1312" t="str">
        <f>+'POW-2015-01C-00_'!B27</f>
        <v>TOTAL OF PART B</v>
      </c>
      <c r="B27" s="1312"/>
      <c r="C27" s="1312"/>
      <c r="D27" s="1312"/>
      <c r="E27" s="1312"/>
      <c r="F27" s="1312"/>
      <c r="G27" s="1312"/>
      <c r="H27" s="1312"/>
      <c r="I27" s="964"/>
      <c r="J27" s="889"/>
      <c r="K27" s="1313">
        <f>SUM(K22:M26)</f>
        <v>201538.18</v>
      </c>
      <c r="L27" s="1313"/>
      <c r="M27" s="1313"/>
      <c r="N27" s="965"/>
      <c r="O27" s="965"/>
      <c r="P27" s="966">
        <f>+N32+O32</f>
        <v>0.2</v>
      </c>
      <c r="Q27" s="1313">
        <f>SUM(Q22:S26)</f>
        <v>12402.75</v>
      </c>
      <c r="R27" s="1313"/>
      <c r="S27" s="1313"/>
      <c r="T27" s="993">
        <f>SUM(T22:T26)</f>
        <v>10697.04</v>
      </c>
      <c r="U27" s="1314">
        <f>SUM(U22:V26)</f>
        <v>23099.79</v>
      </c>
      <c r="V27" s="1314"/>
      <c r="W27" s="1314">
        <f>SUM(W22:X26)</f>
        <v>224637.97</v>
      </c>
      <c r="X27" s="1314"/>
      <c r="Y27" s="1006"/>
      <c r="Z27" s="916"/>
    </row>
    <row r="28" spans="1:31" s="825" customFormat="1" ht="18.75" customHeight="1" thickBot="1">
      <c r="A28" s="1171" t="str">
        <f>+'POW-2015-01C-00_'!A29</f>
        <v>PART C</v>
      </c>
      <c r="B28" s="1359" t="str">
        <f>+'POW-2015-01C-00_'!B29</f>
        <v>EARTHWORK</v>
      </c>
      <c r="C28" s="1315"/>
      <c r="D28" s="1315"/>
      <c r="E28" s="1315"/>
      <c r="F28" s="1315"/>
      <c r="G28" s="1315"/>
      <c r="H28" s="1315"/>
      <c r="I28" s="935"/>
      <c r="J28" s="935"/>
      <c r="K28" s="1316"/>
      <c r="L28" s="1316"/>
      <c r="M28" s="1316"/>
      <c r="N28" s="981"/>
      <c r="O28" s="981"/>
      <c r="P28" s="981"/>
      <c r="Q28" s="1316"/>
      <c r="R28" s="1316"/>
      <c r="S28" s="1316"/>
      <c r="T28" s="935"/>
      <c r="U28" s="1316"/>
      <c r="V28" s="1316"/>
      <c r="W28" s="1316"/>
      <c r="X28" s="1316"/>
      <c r="Y28" s="1012"/>
      <c r="Z28" s="916"/>
    </row>
    <row r="29" spans="1:31" ht="18" hidden="1" customHeight="1">
      <c r="A29" s="1017" t="str">
        <f>+'POW-2015-01C-00_'!A30</f>
        <v>100(3)a1</v>
      </c>
      <c r="B29" s="1360" t="str">
        <f>+'POW-2015-01C-00_'!B30</f>
        <v>Individual Removal of Trees (150-300 mm dia., Small)</v>
      </c>
      <c r="C29" s="1361"/>
      <c r="D29" s="1361"/>
      <c r="E29" s="1361"/>
      <c r="F29" s="1361"/>
      <c r="G29" s="1361"/>
      <c r="H29" s="1361"/>
      <c r="I29" s="1167">
        <f>+VLOOKUP(A29,SUMMARY,7,0)</f>
        <v>0</v>
      </c>
      <c r="J29" s="1168" t="str">
        <f>+'POW-2015-01C-00_'!G30</f>
        <v>ea</v>
      </c>
      <c r="K29" s="1362">
        <f>+ROUND(I29*Z29,2)</f>
        <v>0</v>
      </c>
      <c r="L29" s="1362"/>
      <c r="M29" s="1362"/>
      <c r="N29" s="1169">
        <f>+'100(3)a1'!H54</f>
        <v>0.12</v>
      </c>
      <c r="O29" s="1169">
        <f>+'100(3)a1'!H56</f>
        <v>0.08</v>
      </c>
      <c r="P29" s="1169">
        <f>+N29+O29</f>
        <v>0.2</v>
      </c>
      <c r="Q29" s="1362">
        <f>+ROUND(K29*P29,2)</f>
        <v>0</v>
      </c>
      <c r="R29" s="1362"/>
      <c r="S29" s="1362"/>
      <c r="T29" s="1167">
        <f>ROUND(0.05*(K29+Q29),2)</f>
        <v>0</v>
      </c>
      <c r="U29" s="1362">
        <f>ROUND(Q29+T29,2)</f>
        <v>0</v>
      </c>
      <c r="V29" s="1362"/>
      <c r="W29" s="1362">
        <f>+ROUND(K29+U29,2)</f>
        <v>0</v>
      </c>
      <c r="X29" s="1362"/>
      <c r="Y29" s="1170" t="e">
        <f>ROUND(W29/I29,2)</f>
        <v>#DIV/0!</v>
      </c>
      <c r="Z29" s="916">
        <f>+'100(3)a1'!I52</f>
        <v>1747.39</v>
      </c>
      <c r="AA29" s="996">
        <f>+W29-'POW-2015-01C-00_'!R31</f>
        <v>0</v>
      </c>
    </row>
    <row r="30" spans="1:31" ht="18" customHeight="1">
      <c r="A30" s="932" t="str">
        <f>+'POW-2015-01C-00_'!A32</f>
        <v>102(2)</v>
      </c>
      <c r="B30" s="1320" t="str">
        <f>+'POW-2015-01C-00_'!B32</f>
        <v>Surplus Common Excavation</v>
      </c>
      <c r="C30" s="1321"/>
      <c r="D30" s="1321"/>
      <c r="E30" s="1321"/>
      <c r="F30" s="1321"/>
      <c r="G30" s="1321"/>
      <c r="H30" s="1321"/>
      <c r="I30" s="967">
        <f>+VLOOKUP(A30,SUMMARY,7,0)</f>
        <v>800.05000000000018</v>
      </c>
      <c r="J30" s="968" t="str">
        <f>+'POW-2015-01C-00_'!G32</f>
        <v>cum</v>
      </c>
      <c r="K30" s="1322">
        <f>+ROUND(I30*Z30,2)</f>
        <v>184315.51999999999</v>
      </c>
      <c r="L30" s="1322"/>
      <c r="M30" s="1322"/>
      <c r="N30" s="969">
        <f>+'102(2)'!H52</f>
        <v>0.12</v>
      </c>
      <c r="O30" s="969">
        <f>+'102(2)'!H54</f>
        <v>0.08</v>
      </c>
      <c r="P30" s="969">
        <f>+N30+O30</f>
        <v>0.2</v>
      </c>
      <c r="Q30" s="1363">
        <f>+ROUND(K30*P30,2)</f>
        <v>36863.1</v>
      </c>
      <c r="R30" s="1363"/>
      <c r="S30" s="1363"/>
      <c r="T30" s="967">
        <f>ROUND(0.05*(K30+Q30),2)</f>
        <v>11058.93</v>
      </c>
      <c r="U30" s="1322">
        <f>ROUND(Q30+T30,2)</f>
        <v>47922.03</v>
      </c>
      <c r="V30" s="1322"/>
      <c r="W30" s="1322">
        <f>+ROUND(K30+U30,2)</f>
        <v>232237.55</v>
      </c>
      <c r="X30" s="1322"/>
      <c r="Y30" s="1007">
        <f>ROUND(W30/I30,2)</f>
        <v>290.27999999999997</v>
      </c>
      <c r="Z30" s="916">
        <f>+'102(2)'!I50</f>
        <v>230.38</v>
      </c>
      <c r="AA30" s="996">
        <f>+W30-'POW-2015-01C-00_'!R33</f>
        <v>0</v>
      </c>
    </row>
    <row r="31" spans="1:31" ht="18" customHeight="1">
      <c r="A31" s="932" t="str">
        <f>+'POW-2015-01C-00_'!A34</f>
        <v>104(2)a</v>
      </c>
      <c r="B31" s="1320" t="str">
        <f>+'POW-2015-01C-00_'!B34</f>
        <v>Embankment from Borrow (Common Soil)</v>
      </c>
      <c r="C31" s="1321"/>
      <c r="D31" s="1321"/>
      <c r="E31" s="1321"/>
      <c r="F31" s="1321"/>
      <c r="G31" s="1321"/>
      <c r="H31" s="1321"/>
      <c r="I31" s="967">
        <f>+VLOOKUP(A31,SUMMARY,7,0)</f>
        <v>848.88</v>
      </c>
      <c r="J31" s="968" t="str">
        <f>+'POW-2015-01C-00_'!G34</f>
        <v>cum</v>
      </c>
      <c r="K31" s="1322">
        <f>+ROUND(I31*Z31,2)</f>
        <v>468581.76</v>
      </c>
      <c r="L31" s="1322"/>
      <c r="M31" s="1322"/>
      <c r="N31" s="969">
        <f>+'104(1)a'!H61</f>
        <v>0.12</v>
      </c>
      <c r="O31" s="969">
        <f>+'104(1)a'!H63</f>
        <v>0.08</v>
      </c>
      <c r="P31" s="969">
        <f>+N31+O31</f>
        <v>0.2</v>
      </c>
      <c r="Q31" s="1363">
        <f>+ROUND(K31*P31,2)</f>
        <v>93716.35</v>
      </c>
      <c r="R31" s="1363"/>
      <c r="S31" s="1363"/>
      <c r="T31" s="967">
        <f>ROUND(0.05*(K31+Q31),2)</f>
        <v>28114.91</v>
      </c>
      <c r="U31" s="1322">
        <f>ROUND(Q31+T31,2)</f>
        <v>121831.26</v>
      </c>
      <c r="V31" s="1322"/>
      <c r="W31" s="1322">
        <f>+ROUND(K31+U31,2)</f>
        <v>590413.02</v>
      </c>
      <c r="X31" s="1322"/>
      <c r="Y31" s="1007">
        <f>ROUND(W31/I31,2)</f>
        <v>695.52</v>
      </c>
      <c r="Z31" s="916">
        <f>'104(2)a'!K50</f>
        <v>552</v>
      </c>
      <c r="AA31" s="996">
        <f>+W31-'POW-2015-01C-00_'!R35</f>
        <v>0</v>
      </c>
    </row>
    <row r="32" spans="1:31" ht="18.75" customHeight="1">
      <c r="A32" s="932" t="str">
        <f>+'POW-2015-01C-00_'!A36</f>
        <v>105(1)a</v>
      </c>
      <c r="B32" s="1323" t="str">
        <f>+'POW-2015-01C-00_'!B36</f>
        <v>Subgrade Preparation (Common Material)</v>
      </c>
      <c r="C32" s="1324"/>
      <c r="D32" s="1324"/>
      <c r="E32" s="1324"/>
      <c r="F32" s="1324"/>
      <c r="G32" s="1324"/>
      <c r="H32" s="1324"/>
      <c r="I32" s="970">
        <f>+VLOOKUP(A32,SUMMARY,7,0)</f>
        <v>5778</v>
      </c>
      <c r="J32" s="971" t="str">
        <f>+'POW-2015-01C-00_'!G36</f>
        <v>sqm</v>
      </c>
      <c r="K32" s="1325">
        <f>+ROUND(I32*Z32,2)</f>
        <v>122320.26</v>
      </c>
      <c r="L32" s="1325"/>
      <c r="M32" s="1325"/>
      <c r="N32" s="972">
        <f>+'105(1)a'!H50</f>
        <v>0.12</v>
      </c>
      <c r="O32" s="972">
        <f>+'105(1)a'!H52</f>
        <v>0.08</v>
      </c>
      <c r="P32" s="972">
        <f>+N32+O32</f>
        <v>0.2</v>
      </c>
      <c r="Q32" s="1364">
        <f>+ROUNDDOWN(K32*P32,2)</f>
        <v>24464.05</v>
      </c>
      <c r="R32" s="1364"/>
      <c r="S32" s="1364"/>
      <c r="T32" s="970">
        <f>ROUND(0.05*(K32+Q32),2)</f>
        <v>7339.22</v>
      </c>
      <c r="U32" s="1325">
        <f>ROUND(Q32+T32,2)</f>
        <v>31803.27</v>
      </c>
      <c r="V32" s="1325"/>
      <c r="W32" s="1325">
        <f>+ROUND(K32+U32,2)</f>
        <v>154123.53</v>
      </c>
      <c r="X32" s="1325"/>
      <c r="Y32" s="1008">
        <f>ROUND(W32/I32,2)</f>
        <v>26.67</v>
      </c>
      <c r="Z32" s="916">
        <f>+'105(1)a'!I48</f>
        <v>21.17</v>
      </c>
      <c r="AA32" s="996">
        <f>+W32-'POW-2015-01C-00_'!R37</f>
        <v>0</v>
      </c>
    </row>
    <row r="33" spans="1:31" s="825" customFormat="1">
      <c r="A33" s="1326" t="str">
        <f>+'POW-2015-01C-00_'!B38</f>
        <v>TOTAL OF PART C</v>
      </c>
      <c r="B33" s="1327"/>
      <c r="C33" s="1327"/>
      <c r="D33" s="1327"/>
      <c r="E33" s="1327"/>
      <c r="F33" s="1327"/>
      <c r="G33" s="1327"/>
      <c r="H33" s="1327"/>
      <c r="I33" s="973"/>
      <c r="J33" s="974"/>
      <c r="K33" s="1328">
        <f>+SUM(K29:M32)</f>
        <v>775217.54</v>
      </c>
      <c r="L33" s="1328"/>
      <c r="M33" s="1328"/>
      <c r="N33" s="975"/>
      <c r="O33" s="975"/>
      <c r="P33" s="976"/>
      <c r="Q33" s="1328">
        <f>SUM(Q29:S32)</f>
        <v>155043.5</v>
      </c>
      <c r="R33" s="1328"/>
      <c r="S33" s="1328"/>
      <c r="T33" s="994">
        <f>SUM(T29:T32)</f>
        <v>46513.06</v>
      </c>
      <c r="U33" s="1329">
        <f>SUM(U29:V32)</f>
        <v>201556.55999999997</v>
      </c>
      <c r="V33" s="1329"/>
      <c r="W33" s="1329">
        <f>SUM(W29:X32)</f>
        <v>976774.10000000009</v>
      </c>
      <c r="X33" s="1329"/>
      <c r="Y33" s="1009"/>
      <c r="Z33" s="916"/>
    </row>
    <row r="34" spans="1:31" s="825" customFormat="1" ht="18.75" customHeight="1">
      <c r="A34" s="933" t="str">
        <f>+'POW-2015-01C-00_'!A40</f>
        <v>PART D</v>
      </c>
      <c r="B34" s="1330" t="str">
        <f>+'POW-2015-01C-00_'!B40</f>
        <v>SUBBASE AND BASE COURSE</v>
      </c>
      <c r="C34" s="1330"/>
      <c r="D34" s="1330"/>
      <c r="E34" s="1330"/>
      <c r="F34" s="1330"/>
      <c r="G34" s="1330"/>
      <c r="H34" s="1330"/>
      <c r="I34" s="977"/>
      <c r="J34" s="977"/>
      <c r="K34" s="1331"/>
      <c r="L34" s="1331"/>
      <c r="M34" s="1331"/>
      <c r="N34" s="978"/>
      <c r="O34" s="978"/>
      <c r="P34" s="979"/>
      <c r="Q34" s="1331"/>
      <c r="R34" s="1331"/>
      <c r="S34" s="1331"/>
      <c r="T34" s="977"/>
      <c r="U34" s="1331"/>
      <c r="V34" s="1331"/>
      <c r="W34" s="1331"/>
      <c r="X34" s="1331"/>
      <c r="Y34" s="1010"/>
      <c r="Z34" s="916"/>
    </row>
    <row r="35" spans="1:31" s="825" customFormat="1" ht="18.75" customHeight="1">
      <c r="A35" s="930" t="str">
        <f>+'POW-2015-01C-00_'!A41</f>
        <v>200(1)</v>
      </c>
      <c r="B35" s="1301" t="str">
        <f>+'POW-2015-01C-00_'!B41</f>
        <v>Aggregate Subbase Course</v>
      </c>
      <c r="C35" s="1301"/>
      <c r="D35" s="1301"/>
      <c r="E35" s="1301"/>
      <c r="F35" s="1301"/>
      <c r="G35" s="1301"/>
      <c r="H35" s="1301"/>
      <c r="I35" s="958">
        <f>+VLOOKUP(A35,SUMMARY,7,0)</f>
        <v>1551.95</v>
      </c>
      <c r="J35" s="959" t="str">
        <f>+'POW-2015-01C-00_'!G41</f>
        <v>cum</v>
      </c>
      <c r="K35" s="1302">
        <f>+ROUND(I35*Z35,2)</f>
        <v>1035926.63</v>
      </c>
      <c r="L35" s="1302"/>
      <c r="M35" s="1302"/>
      <c r="N35" s="961">
        <f>+'200(1)'!H53</f>
        <v>0.12</v>
      </c>
      <c r="O35" s="961">
        <f>+'200(1)'!H55</f>
        <v>0.08</v>
      </c>
      <c r="P35" s="961">
        <f>+N35+O35</f>
        <v>0.2</v>
      </c>
      <c r="Q35" s="1365">
        <f>+ROUND(K35*P35,2)</f>
        <v>207185.33</v>
      </c>
      <c r="R35" s="1365"/>
      <c r="S35" s="1365"/>
      <c r="T35" s="990">
        <f>ROUND(0.05*(K35+Q35),2)</f>
        <v>62155.6</v>
      </c>
      <c r="U35" s="1302">
        <f>ROUND(Q35+T35,2)</f>
        <v>269340.93</v>
      </c>
      <c r="V35" s="1302"/>
      <c r="W35" s="1302">
        <f>+ROUND(K35+U35,2)</f>
        <v>1305267.56</v>
      </c>
      <c r="X35" s="1302"/>
      <c r="Y35" s="1002">
        <f>ROUND(W35/I35,2)</f>
        <v>841.05</v>
      </c>
      <c r="Z35" s="916">
        <f>+'200(1)'!I51</f>
        <v>667.5</v>
      </c>
      <c r="AA35" s="1011">
        <f>+W35-'POW-2015-01C-00_'!R42</f>
        <v>0</v>
      </c>
    </row>
    <row r="36" spans="1:31" s="825" customFormat="1">
      <c r="A36" s="1303" t="str">
        <f>+'POW-2015-01C-00_'!B43</f>
        <v>TOTAL OF PART D</v>
      </c>
      <c r="B36" s="1303"/>
      <c r="C36" s="1303"/>
      <c r="D36" s="1303"/>
      <c r="E36" s="1303"/>
      <c r="F36" s="1303"/>
      <c r="G36" s="1303"/>
      <c r="H36" s="1303"/>
      <c r="I36" s="842"/>
      <c r="J36" s="842"/>
      <c r="K36" s="1304">
        <f>+K35</f>
        <v>1035926.63</v>
      </c>
      <c r="L36" s="1304"/>
      <c r="M36" s="1304"/>
      <c r="N36" s="953"/>
      <c r="O36" s="953"/>
      <c r="P36" s="948"/>
      <c r="Q36" s="1304">
        <f t="shared" ref="Q36:U36" si="8">+Q35</f>
        <v>207185.33</v>
      </c>
      <c r="R36" s="1304"/>
      <c r="S36" s="1304"/>
      <c r="T36" s="991">
        <f t="shared" si="8"/>
        <v>62155.6</v>
      </c>
      <c r="U36" s="1305">
        <f t="shared" si="8"/>
        <v>269340.93</v>
      </c>
      <c r="V36" s="1305"/>
      <c r="W36" s="1305">
        <f>+W35</f>
        <v>1305267.56</v>
      </c>
      <c r="X36" s="1305"/>
      <c r="Y36" s="824"/>
      <c r="Z36" s="916"/>
    </row>
    <row r="37" spans="1:31" s="825" customFormat="1" ht="18.75" customHeight="1">
      <c r="A37" s="928" t="str">
        <f>+'POW-2015-01C-00_'!A45</f>
        <v>PART E</v>
      </c>
      <c r="B37" s="1262" t="str">
        <f>+'POW-2015-01C-00_'!B45</f>
        <v>SURFACE COURSES</v>
      </c>
      <c r="C37" s="1262"/>
      <c r="D37" s="1262"/>
      <c r="E37" s="1262"/>
      <c r="F37" s="1262"/>
      <c r="G37" s="1262"/>
      <c r="H37" s="1262"/>
      <c r="I37" s="842"/>
      <c r="J37" s="842"/>
      <c r="K37" s="1300"/>
      <c r="L37" s="1300"/>
      <c r="M37" s="1300"/>
      <c r="N37" s="953"/>
      <c r="O37" s="953"/>
      <c r="P37" s="948"/>
      <c r="Q37" s="1300"/>
      <c r="R37" s="1300"/>
      <c r="S37" s="1300"/>
      <c r="T37" s="842"/>
      <c r="U37" s="1300"/>
      <c r="V37" s="1300"/>
      <c r="W37" s="1300"/>
      <c r="X37" s="1300"/>
      <c r="Y37" s="824"/>
      <c r="Z37" s="916"/>
    </row>
    <row r="38" spans="1:31" s="825" customFormat="1" ht="18.75" customHeight="1">
      <c r="A38" s="930" t="str">
        <f>+'POW-2015-01C-00_'!A46</f>
        <v>311(1)b1</v>
      </c>
      <c r="B38" s="1301" t="str">
        <f>+'POW-2015-01C-00_'!B46</f>
        <v>Portland Cement Concrete Pavement  (Unreinforced, 0.20m thick, 14 days)</v>
      </c>
      <c r="C38" s="1301"/>
      <c r="D38" s="1301"/>
      <c r="E38" s="1301"/>
      <c r="F38" s="1301"/>
      <c r="G38" s="1301"/>
      <c r="H38" s="1301"/>
      <c r="I38" s="958">
        <f>+VLOOKUP(A38,SUMMARY,7,0)</f>
        <v>4815</v>
      </c>
      <c r="J38" s="959" t="str">
        <f>+'POW-2015-01C-00_'!G46</f>
        <v>sqm</v>
      </c>
      <c r="K38" s="1302">
        <f>+ROUND(I38*Z38,2)</f>
        <v>4672524.1500000004</v>
      </c>
      <c r="L38" s="1302"/>
      <c r="M38" s="1302"/>
      <c r="N38" s="961">
        <f>+'311(1)b1'!H71</f>
        <v>0.12</v>
      </c>
      <c r="O38" s="961">
        <f>+'311(1)b1'!H73</f>
        <v>0.08</v>
      </c>
      <c r="P38" s="961">
        <f>+N38+O38</f>
        <v>0.2</v>
      </c>
      <c r="Q38" s="1365">
        <f>+ROUND(K38*P38,2)</f>
        <v>934504.83</v>
      </c>
      <c r="R38" s="1365"/>
      <c r="S38" s="1365"/>
      <c r="T38" s="990">
        <f>ROUND(0.05*(K38+Q38),2)</f>
        <v>280351.45</v>
      </c>
      <c r="U38" s="1302">
        <f>ROUND(Q38+T38,2)</f>
        <v>1214856.28</v>
      </c>
      <c r="V38" s="1302"/>
      <c r="W38" s="1302">
        <f>+ROUND(K38+U38,2)</f>
        <v>5887380.4299999997</v>
      </c>
      <c r="X38" s="1302"/>
      <c r="Y38" s="1002">
        <f>ROUND(W38/I38,2)</f>
        <v>1222.72</v>
      </c>
      <c r="Z38" s="916">
        <f>+'311(1)b1'!I69</f>
        <v>970.41</v>
      </c>
      <c r="AA38" s="1011">
        <f>+W38-'POW-2015-01C-00_'!R47</f>
        <v>0</v>
      </c>
    </row>
    <row r="39" spans="1:31" s="825" customFormat="1">
      <c r="A39" s="1303" t="str">
        <f>+'POW-2015-01C-00_'!B48</f>
        <v>TOTAL OF PART E</v>
      </c>
      <c r="B39" s="1303"/>
      <c r="C39" s="1303"/>
      <c r="D39" s="1303"/>
      <c r="E39" s="1303"/>
      <c r="F39" s="1303"/>
      <c r="G39" s="1303"/>
      <c r="H39" s="1303"/>
      <c r="I39" s="842"/>
      <c r="J39" s="842"/>
      <c r="K39" s="1304">
        <f>+K38</f>
        <v>4672524.1500000004</v>
      </c>
      <c r="L39" s="1304"/>
      <c r="M39" s="1304"/>
      <c r="N39" s="953"/>
      <c r="O39" s="953"/>
      <c r="P39" s="948"/>
      <c r="Q39" s="1304">
        <f t="shared" ref="Q39:U39" si="9">+Q38</f>
        <v>934504.83</v>
      </c>
      <c r="R39" s="1304"/>
      <c r="S39" s="1304"/>
      <c r="T39" s="991">
        <f t="shared" si="9"/>
        <v>280351.45</v>
      </c>
      <c r="U39" s="1305">
        <f t="shared" si="9"/>
        <v>1214856.28</v>
      </c>
      <c r="V39" s="1305"/>
      <c r="W39" s="1305">
        <f>+W38</f>
        <v>5887380.4299999997</v>
      </c>
      <c r="X39" s="1305"/>
      <c r="Y39" s="824"/>
      <c r="Z39" s="916"/>
    </row>
    <row r="40" spans="1:31" s="825" customFormat="1" ht="18.75" customHeight="1">
      <c r="A40" s="928" t="str">
        <f>+'POW-2015-01C-00_'!A50</f>
        <v>PART F</v>
      </c>
      <c r="B40" s="1262" t="str">
        <f>+'POW-2015-01C-00_'!B50</f>
        <v>DRAINAGE AND SLOPE PROTECTION STRUCTURES</v>
      </c>
      <c r="C40" s="1262"/>
      <c r="D40" s="1262"/>
      <c r="E40" s="1262"/>
      <c r="F40" s="1262"/>
      <c r="G40" s="1262"/>
      <c r="H40" s="1262"/>
      <c r="I40" s="842"/>
      <c r="J40" s="842"/>
      <c r="K40" s="1300"/>
      <c r="L40" s="1300"/>
      <c r="M40" s="1300"/>
      <c r="N40" s="953"/>
      <c r="O40" s="953"/>
      <c r="P40" s="948"/>
      <c r="Q40" s="1300"/>
      <c r="R40" s="1300"/>
      <c r="S40" s="1300"/>
      <c r="T40" s="842"/>
      <c r="U40" s="1300"/>
      <c r="V40" s="1300"/>
      <c r="W40" s="1300"/>
      <c r="X40" s="1300"/>
      <c r="Y40" s="824"/>
      <c r="Z40" s="916"/>
    </row>
    <row r="41" spans="1:31" s="825" customFormat="1" ht="18.75" customHeight="1">
      <c r="A41" s="934" t="str">
        <f>+'506(1)'!F5</f>
        <v>506(1)</v>
      </c>
      <c r="B41" s="1334" t="str">
        <f>+'POW-2015-01C-00_'!B51</f>
        <v>Stone Masonry(Slope Protection)</v>
      </c>
      <c r="C41" s="1334"/>
      <c r="D41" s="1334"/>
      <c r="E41" s="1334"/>
      <c r="F41" s="1334"/>
      <c r="G41" s="1334"/>
      <c r="H41" s="1334"/>
      <c r="I41" s="962">
        <f>+BACKUP!D34</f>
        <v>336</v>
      </c>
      <c r="J41" s="963" t="str">
        <f>+'506(1)'!F6</f>
        <v>cum</v>
      </c>
      <c r="K41" s="1335">
        <f>+ROUND(I41*Z41,2)</f>
        <v>1066877.28</v>
      </c>
      <c r="L41" s="1335"/>
      <c r="M41" s="1335"/>
      <c r="N41" s="980">
        <f>+'506(1)'!H59</f>
        <v>0.12</v>
      </c>
      <c r="O41" s="980">
        <f>+'506(1)'!H61</f>
        <v>0.08</v>
      </c>
      <c r="P41" s="980">
        <f>+N41+O41</f>
        <v>0.2</v>
      </c>
      <c r="Q41" s="1366">
        <f>+ROUND(K41*P41,2)</f>
        <v>213375.46</v>
      </c>
      <c r="R41" s="1366"/>
      <c r="S41" s="1366"/>
      <c r="T41" s="990">
        <f>ROUND(0.05*(K41+Q41),2)</f>
        <v>64012.639999999999</v>
      </c>
      <c r="U41" s="1335">
        <f>ROUND(Q41+T41,2)</f>
        <v>277388.09999999998</v>
      </c>
      <c r="V41" s="1335"/>
      <c r="W41" s="1335">
        <f>+ROUND(K41+U41,2)</f>
        <v>1344265.38</v>
      </c>
      <c r="X41" s="1335"/>
      <c r="Y41" s="1002">
        <f>ROUND(W41/I41,2)</f>
        <v>4000.79</v>
      </c>
      <c r="Z41" s="916">
        <f>+'506(1)'!I57</f>
        <v>3175.23</v>
      </c>
      <c r="AA41" s="1011">
        <f>+W41-'POW-2015-01C-00_'!R52</f>
        <v>0</v>
      </c>
    </row>
    <row r="42" spans="1:31" s="825" customFormat="1">
      <c r="A42" s="1326" t="str">
        <f>'POW-2015-01C-00_'!B53</f>
        <v>TOTAL OF PART F</v>
      </c>
      <c r="B42" s="1327"/>
      <c r="C42" s="1327"/>
      <c r="D42" s="1327"/>
      <c r="E42" s="1327"/>
      <c r="F42" s="1327"/>
      <c r="G42" s="1327"/>
      <c r="H42" s="1327"/>
      <c r="I42" s="974"/>
      <c r="J42" s="974"/>
      <c r="K42" s="1328">
        <f>+K41</f>
        <v>1066877.28</v>
      </c>
      <c r="L42" s="1328"/>
      <c r="M42" s="1328"/>
      <c r="N42" s="975"/>
      <c r="O42" s="975"/>
      <c r="P42" s="976"/>
      <c r="Q42" s="1328">
        <f t="shared" ref="Q42:U42" si="10">+Q41</f>
        <v>213375.46</v>
      </c>
      <c r="R42" s="1328"/>
      <c r="S42" s="1328"/>
      <c r="T42" s="994">
        <f t="shared" si="10"/>
        <v>64012.639999999999</v>
      </c>
      <c r="U42" s="1329">
        <f t="shared" si="10"/>
        <v>277388.09999999998</v>
      </c>
      <c r="V42" s="1329"/>
      <c r="W42" s="1329">
        <f>+W41</f>
        <v>1344265.38</v>
      </c>
      <c r="X42" s="1329"/>
      <c r="Y42" s="1009"/>
      <c r="Z42" s="916"/>
    </row>
    <row r="43" spans="1:31" s="825" customFormat="1">
      <c r="A43" s="1326" t="s">
        <v>42</v>
      </c>
      <c r="B43" s="1327"/>
      <c r="C43" s="1327"/>
      <c r="D43" s="1327"/>
      <c r="E43" s="1327"/>
      <c r="F43" s="1327"/>
      <c r="G43" s="1327"/>
      <c r="H43" s="1327"/>
      <c r="I43" s="974"/>
      <c r="J43" s="974"/>
      <c r="K43" s="1328">
        <f>+K20+K27+K33+K36+K39+K42</f>
        <v>7801031.8500000006</v>
      </c>
      <c r="L43" s="1328"/>
      <c r="M43" s="1336"/>
      <c r="N43" s="983"/>
      <c r="O43" s="983"/>
      <c r="P43" s="982"/>
      <c r="Q43" s="1329">
        <f>+Q20+Q27+Q33+Q36+Q39+Q42</f>
        <v>1532301.48</v>
      </c>
      <c r="R43" s="1329"/>
      <c r="S43" s="1329"/>
      <c r="T43" s="994">
        <f>+T20+T27+T33+T36+T39+T42</f>
        <v>466666.67000000004</v>
      </c>
      <c r="U43" s="1329">
        <f>+U20+U27+U33+U36+U39+U42</f>
        <v>1998968.15</v>
      </c>
      <c r="V43" s="1329"/>
      <c r="W43" s="1329">
        <f>+W20+W27+W33+W36+W39+W42</f>
        <v>9800000</v>
      </c>
      <c r="X43" s="1329"/>
      <c r="Y43" s="1009"/>
      <c r="Z43" s="1001" t="b">
        <f>+W43='POW-2015-01C-00_'!R56</f>
        <v>1</v>
      </c>
    </row>
    <row r="44" spans="1:31" ht="36" customHeight="1">
      <c r="A44" s="1273" t="str">
        <f>'POW-2015-01-00_'!A42:AG42</f>
        <v>Note: Prices/Rates were based on CMPD 4TH Quarter CY 2022 for Materials, Memorandum dated December 29, 2022 for Labor cost and Memorandum dated May 18, 2022 for Equipment rental including Fuel &amp; Oil/Lubricant cost as of January 4, 2023 for DPWH Regional/District Engineering Offices</v>
      </c>
      <c r="B44" s="1273"/>
      <c r="C44" s="1273"/>
      <c r="D44" s="1273"/>
      <c r="E44" s="1273"/>
      <c r="F44" s="1273"/>
      <c r="G44" s="1273"/>
      <c r="H44" s="1273"/>
      <c r="I44" s="1273"/>
      <c r="J44" s="1273"/>
      <c r="K44" s="1273"/>
      <c r="L44" s="1273"/>
      <c r="M44" s="1273"/>
      <c r="N44" s="1273"/>
      <c r="O44" s="1273"/>
      <c r="P44" s="1273"/>
      <c r="Q44" s="1273"/>
      <c r="R44" s="1273"/>
      <c r="S44" s="1273"/>
      <c r="T44" s="1273"/>
      <c r="U44" s="1273"/>
      <c r="V44" s="1273"/>
      <c r="W44" s="1273"/>
      <c r="X44" s="1273"/>
      <c r="Y44" s="1273"/>
      <c r="Z44" s="916" t="b">
        <f>+U43='POW-2015-01C-00_'!P56+'POW-2015-01C-00_'!Q56</f>
        <v>1</v>
      </c>
    </row>
    <row r="45" spans="1:31" ht="14.1" customHeight="1">
      <c r="A45" s="936"/>
      <c r="B45" s="936"/>
      <c r="C45" s="936"/>
      <c r="D45" s="936"/>
      <c r="E45" s="936"/>
      <c r="F45" s="936"/>
      <c r="G45" s="936"/>
      <c r="H45" s="936"/>
      <c r="I45" s="936"/>
      <c r="J45" s="936"/>
      <c r="K45" s="936"/>
      <c r="L45" s="936"/>
      <c r="M45" s="936"/>
      <c r="N45" s="936"/>
      <c r="O45" s="936"/>
      <c r="P45" s="936"/>
      <c r="Q45" s="936"/>
      <c r="R45" s="936"/>
      <c r="S45" s="936"/>
      <c r="T45" s="936"/>
      <c r="U45" s="936"/>
      <c r="V45" s="936"/>
      <c r="W45" s="936"/>
      <c r="X45" s="936"/>
      <c r="Y45" s="936"/>
    </row>
    <row r="46" spans="1:31">
      <c r="A46" s="825" t="str">
        <f>+'POW-2015-01-00_'!A43</f>
        <v>Preparation and Submission:</v>
      </c>
      <c r="C46" s="785"/>
      <c r="H46" s="703"/>
      <c r="I46" s="984" t="str">
        <f>+'POW-2015-01-00_'!N43</f>
        <v>Evaluation:</v>
      </c>
      <c r="K46" s="703"/>
      <c r="M46" s="703"/>
      <c r="N46" s="985"/>
      <c r="O46" s="984" t="str">
        <f>'POW-2015-01-00_'!T43</f>
        <v>Approval:</v>
      </c>
      <c r="P46" s="986"/>
      <c r="S46" s="984"/>
      <c r="T46" s="703"/>
      <c r="U46" s="703"/>
      <c r="V46" s="703"/>
      <c r="X46" s="703"/>
      <c r="Z46" s="916" t="b">
        <f>+T43='POW-2015-01C-00_'!Q56</f>
        <v>1</v>
      </c>
    </row>
    <row r="47" spans="1:31">
      <c r="A47" s="825"/>
      <c r="C47" s="785"/>
      <c r="K47" s="703"/>
      <c r="M47" s="703"/>
      <c r="N47" s="985"/>
      <c r="P47" s="986"/>
      <c r="Q47" s="825"/>
      <c r="S47" s="825"/>
      <c r="T47" s="703"/>
      <c r="U47" s="703"/>
      <c r="V47" s="703"/>
      <c r="X47" s="995"/>
      <c r="Z47" s="916" t="b">
        <f>+Q43='POW-2015-01C-00_'!P56</f>
        <v>1</v>
      </c>
    </row>
    <row r="48" spans="1:31">
      <c r="A48" s="827" t="str">
        <f>+'POW-2015-01-00_'!A45</f>
        <v>Prepared by:</v>
      </c>
      <c r="B48" s="703"/>
      <c r="C48" s="828"/>
      <c r="D48" s="827" t="str">
        <f>+'POW-2015-01-00_'!H45</f>
        <v>Checked/Submitted by:</v>
      </c>
      <c r="E48" s="828"/>
      <c r="H48" s="808"/>
      <c r="I48" s="827" t="str">
        <f>+'POW-2015-01-00_'!N45</f>
        <v>Reviewed as to Unit Cost:</v>
      </c>
      <c r="J48" s="808"/>
      <c r="K48" s="703"/>
      <c r="L48" s="827" t="s">
        <v>18</v>
      </c>
      <c r="M48" s="703"/>
      <c r="N48" s="853"/>
      <c r="O48" s="827" t="str">
        <f>'POW-2015-01-00_'!T45</f>
        <v>Recommending Approval:</v>
      </c>
      <c r="P48" s="987"/>
      <c r="Q48" s="808"/>
      <c r="S48" s="827"/>
      <c r="T48" s="703"/>
      <c r="V48" s="827" t="str">
        <f>'POW-2015-01-00_'!AA45</f>
        <v>Approved:</v>
      </c>
      <c r="W48" s="703"/>
      <c r="X48" s="827"/>
      <c r="Y48" s="703"/>
      <c r="Z48" s="916" t="b">
        <f>+K43='POW-2015-01C-00_'!N56</f>
        <v>1</v>
      </c>
      <c r="AE48" s="825"/>
    </row>
    <row r="49" spans="1:32">
      <c r="A49" s="827"/>
      <c r="B49" s="703"/>
      <c r="C49" s="828"/>
      <c r="D49" s="808"/>
      <c r="E49" s="828"/>
      <c r="F49" s="703"/>
      <c r="G49" s="827"/>
      <c r="H49" s="808"/>
      <c r="I49" s="808"/>
      <c r="J49" s="808"/>
      <c r="K49" s="703"/>
      <c r="L49" s="827"/>
      <c r="M49" s="703"/>
      <c r="N49" s="853"/>
      <c r="O49" s="808"/>
      <c r="P49" s="987"/>
      <c r="Q49" s="808"/>
      <c r="S49" s="827"/>
      <c r="T49" s="703"/>
      <c r="V49" s="703"/>
      <c r="W49" s="703"/>
      <c r="X49" s="827"/>
      <c r="Y49" s="703"/>
      <c r="AE49" s="812"/>
    </row>
    <row r="50" spans="1:32" ht="31.5" customHeight="1">
      <c r="A50" s="1250"/>
      <c r="B50" s="1250"/>
      <c r="C50" s="1250"/>
      <c r="D50" s="1250"/>
      <c r="E50" s="1250"/>
      <c r="F50" s="703"/>
      <c r="G50" s="1250"/>
      <c r="H50" s="1250"/>
      <c r="I50" s="1250"/>
      <c r="J50" s="1250"/>
      <c r="K50" s="1250"/>
      <c r="L50" s="606"/>
      <c r="M50" s="606"/>
      <c r="N50" s="606"/>
      <c r="O50" s="606"/>
      <c r="P50" s="942"/>
      <c r="Q50" s="606"/>
      <c r="S50" s="606"/>
      <c r="T50" s="606"/>
      <c r="V50" s="606"/>
      <c r="W50" s="606"/>
      <c r="X50" s="606"/>
      <c r="Y50" s="606"/>
      <c r="AA50" s="825"/>
      <c r="AB50" s="825"/>
      <c r="AC50" s="825"/>
      <c r="AD50" s="825"/>
      <c r="AE50" s="830"/>
    </row>
    <row r="51" spans="1:32">
      <c r="A51" s="1276" t="str">
        <f>+'POW-2015-01-00_'!A48:E48</f>
        <v xml:space="preserve">WINLOVE A. ESTEVES
</v>
      </c>
      <c r="B51" s="1276"/>
      <c r="C51" s="605"/>
      <c r="D51" s="1276" t="str">
        <f>+'POW-2015-01-00_'!H48</f>
        <v>MARK ANGELO E. SURIL</v>
      </c>
      <c r="E51" s="1276"/>
      <c r="F51" s="1276"/>
      <c r="G51" s="1276"/>
      <c r="H51" s="605"/>
      <c r="I51" s="1276" t="str">
        <f>+'POW-2015-01-00_'!N48</f>
        <v>NICOMEDES G. NOHAY</v>
      </c>
      <c r="J51" s="1276"/>
      <c r="K51" s="1276"/>
      <c r="L51" s="1276"/>
      <c r="M51" s="1276"/>
      <c r="N51" s="605"/>
      <c r="O51" s="1369" t="str">
        <f>'POW-2015-01-00_'!T48</f>
        <v>BENELITO D. PASCUA</v>
      </c>
      <c r="P51" s="1369"/>
      <c r="Q51" s="1369"/>
      <c r="R51" s="1369"/>
      <c r="S51" s="1369"/>
      <c r="T51" s="1369"/>
      <c r="V51" s="1369" t="str">
        <f>'POW-2015-01-00_'!AA48</f>
        <v>RODERICK  A. ANDAL</v>
      </c>
      <c r="W51" s="1369"/>
      <c r="X51" s="1369"/>
      <c r="Y51" s="1369"/>
      <c r="Z51" s="1013"/>
      <c r="AA51" s="785"/>
      <c r="AB51" s="785"/>
      <c r="AC51" s="785"/>
      <c r="AD51" s="785"/>
      <c r="AE51" s="785"/>
      <c r="AF51" s="785"/>
    </row>
    <row r="52" spans="1:32">
      <c r="A52" s="1279" t="str">
        <f>+'POW-2015-01-00_'!A49:E49</f>
        <v>Engineer II</v>
      </c>
      <c r="B52" s="1279"/>
      <c r="C52" s="605"/>
      <c r="D52" s="1279" t="str">
        <f>+'POW-2015-01-00_'!H49</f>
        <v>Engineer II</v>
      </c>
      <c r="E52" s="1279"/>
      <c r="F52" s="1279"/>
      <c r="G52" s="1279"/>
      <c r="H52" s="605"/>
      <c r="I52" s="1279" t="str">
        <f>+'POW-2015-01-00_'!N49</f>
        <v>Engineer III</v>
      </c>
      <c r="J52" s="1279"/>
      <c r="K52" s="1279"/>
      <c r="L52" s="1279"/>
      <c r="M52" s="1279"/>
      <c r="N52" s="605"/>
      <c r="O52" s="1280" t="str">
        <f>'POW-2015-01-00_'!T49</f>
        <v>Engineer III</v>
      </c>
      <c r="P52" s="1280"/>
      <c r="Q52" s="1280"/>
      <c r="R52" s="1280"/>
      <c r="S52" s="1280"/>
      <c r="T52" s="1280"/>
      <c r="V52" s="1367" t="str">
        <f>'POW-2015-01-00_'!AA49</f>
        <v>District Engineer</v>
      </c>
      <c r="W52" s="1367"/>
      <c r="X52" s="1367"/>
      <c r="Y52" s="1367"/>
      <c r="Z52" s="1001"/>
      <c r="AA52" s="825"/>
      <c r="AB52" s="825"/>
      <c r="AC52" s="825"/>
      <c r="AD52" s="825"/>
      <c r="AE52" s="825"/>
      <c r="AF52" s="825"/>
    </row>
    <row r="53" spans="1:32" ht="18.75" customHeight="1">
      <c r="A53" s="1254" t="str">
        <f>+'POW-2015-01-00_'!A50:E50</f>
        <v>Planning and Design Section</v>
      </c>
      <c r="B53" s="1254"/>
      <c r="C53" s="606"/>
      <c r="D53" s="1254" t="str">
        <f>+'POW-2015-01-00_'!H50</f>
        <v>Planning and Design Section</v>
      </c>
      <c r="E53" s="1254"/>
      <c r="F53" s="1254"/>
      <c r="G53" s="1254"/>
      <c r="H53" s="606"/>
      <c r="I53" s="1254" t="str">
        <f>+'POW-2015-01-00_'!N50</f>
        <v>Planning and Design Section</v>
      </c>
      <c r="J53" s="1254"/>
      <c r="K53" s="1254"/>
      <c r="L53" s="1254"/>
      <c r="M53" s="1254"/>
      <c r="N53" s="606"/>
      <c r="O53" s="1368" t="str">
        <f>'POW-2015-01-00_'!T50</f>
        <v>Concurrent OIC Assistant District Engineer</v>
      </c>
      <c r="P53" s="1368"/>
      <c r="Q53" s="1368"/>
      <c r="R53" s="1368"/>
      <c r="S53" s="1368"/>
      <c r="T53" s="1368"/>
      <c r="U53" s="1250"/>
      <c r="V53" s="1250"/>
      <c r="W53" s="1250"/>
      <c r="X53" s="1250"/>
      <c r="Y53" s="893"/>
      <c r="Z53" s="1014"/>
      <c r="AA53" s="1015"/>
      <c r="AB53" s="1015"/>
      <c r="AC53" s="1015"/>
      <c r="AD53" s="1015"/>
      <c r="AE53" s="1015"/>
      <c r="AF53" s="1015"/>
    </row>
    <row r="54" spans="1:32">
      <c r="B54" s="825"/>
      <c r="C54" s="825"/>
      <c r="D54" s="825"/>
      <c r="E54" s="825"/>
      <c r="F54" s="825"/>
      <c r="G54" s="825"/>
      <c r="S54" s="996"/>
      <c r="U54" s="825"/>
      <c r="V54" s="825"/>
      <c r="W54" s="825"/>
      <c r="X54" s="825"/>
      <c r="Y54" s="825"/>
    </row>
    <row r="55" spans="1:32">
      <c r="B55" s="1250"/>
      <c r="C55" s="1250"/>
      <c r="D55" s="1250"/>
      <c r="E55" s="1250"/>
      <c r="F55" s="1250"/>
      <c r="G55" s="1250"/>
      <c r="H55" s="785"/>
      <c r="S55" s="1250"/>
      <c r="T55" s="1250"/>
      <c r="U55" s="1250"/>
      <c r="V55" s="605"/>
      <c r="W55" s="605"/>
      <c r="X55" s="605"/>
      <c r="Y55" s="605"/>
    </row>
    <row r="56" spans="1:32">
      <c r="B56" s="1250"/>
      <c r="C56" s="1250"/>
      <c r="D56" s="1250"/>
      <c r="E56" s="1250"/>
      <c r="F56" s="1250"/>
      <c r="G56" s="1250"/>
      <c r="H56" s="825"/>
      <c r="S56" s="1250"/>
      <c r="T56" s="1250"/>
      <c r="U56" s="1250"/>
      <c r="V56" s="830"/>
      <c r="W56" s="830"/>
      <c r="X56" s="830"/>
      <c r="Y56" s="830"/>
    </row>
    <row r="57" spans="1:32">
      <c r="B57" s="1250"/>
      <c r="C57" s="1250"/>
      <c r="D57" s="1250"/>
      <c r="E57" s="1250"/>
      <c r="F57" s="1250"/>
      <c r="G57" s="1250"/>
      <c r="S57" s="1250"/>
      <c r="T57" s="1250"/>
      <c r="U57" s="1250"/>
      <c r="V57" s="606"/>
      <c r="W57" s="606"/>
      <c r="X57" s="606"/>
      <c r="Y57" s="606"/>
    </row>
  </sheetData>
  <mergeCells count="188">
    <mergeCell ref="Y14:Y15"/>
    <mergeCell ref="Z14:Z15"/>
    <mergeCell ref="B14:H15"/>
    <mergeCell ref="K14:M15"/>
    <mergeCell ref="N14:O15"/>
    <mergeCell ref="U14:V15"/>
    <mergeCell ref="W14:X15"/>
    <mergeCell ref="B16:H17"/>
    <mergeCell ref="K16:M17"/>
    <mergeCell ref="P14:S14"/>
    <mergeCell ref="Q15:S15"/>
    <mergeCell ref="Q16:S16"/>
    <mergeCell ref="U16:V16"/>
    <mergeCell ref="W16:X16"/>
    <mergeCell ref="Q17:S17"/>
    <mergeCell ref="U17:V17"/>
    <mergeCell ref="W17:X17"/>
    <mergeCell ref="B55:G55"/>
    <mergeCell ref="S55:U55"/>
    <mergeCell ref="B56:G56"/>
    <mergeCell ref="S56:U56"/>
    <mergeCell ref="B57:G57"/>
    <mergeCell ref="S57:U57"/>
    <mergeCell ref="A14:A15"/>
    <mergeCell ref="A16:A17"/>
    <mergeCell ref="I14:I15"/>
    <mergeCell ref="I16:I17"/>
    <mergeCell ref="J14:J15"/>
    <mergeCell ref="J16:J17"/>
    <mergeCell ref="P16:P17"/>
    <mergeCell ref="T14:T15"/>
    <mergeCell ref="A52:B52"/>
    <mergeCell ref="D52:G52"/>
    <mergeCell ref="I52:M52"/>
    <mergeCell ref="O52:T52"/>
    <mergeCell ref="A42:H42"/>
    <mergeCell ref="K42:M42"/>
    <mergeCell ref="Q42:S42"/>
    <mergeCell ref="U42:V42"/>
    <mergeCell ref="B38:H38"/>
    <mergeCell ref="K38:M38"/>
    <mergeCell ref="V52:Y52"/>
    <mergeCell ref="A53:B53"/>
    <mergeCell ref="D53:G53"/>
    <mergeCell ref="I53:M53"/>
    <mergeCell ref="O53:T53"/>
    <mergeCell ref="U53:X53"/>
    <mergeCell ref="A43:H43"/>
    <mergeCell ref="K43:M43"/>
    <mergeCell ref="Q43:S43"/>
    <mergeCell ref="U43:V43"/>
    <mergeCell ref="W43:X43"/>
    <mergeCell ref="A44:Y44"/>
    <mergeCell ref="A50:E50"/>
    <mergeCell ref="G50:K50"/>
    <mergeCell ref="A51:B51"/>
    <mergeCell ref="D51:G51"/>
    <mergeCell ref="I51:M51"/>
    <mergeCell ref="O51:T51"/>
    <mergeCell ref="V51:Y51"/>
    <mergeCell ref="W42:X42"/>
    <mergeCell ref="B40:H40"/>
    <mergeCell ref="K40:M40"/>
    <mergeCell ref="Q40:S40"/>
    <mergeCell ref="U40:V40"/>
    <mergeCell ref="W40:X40"/>
    <mergeCell ref="B41:H41"/>
    <mergeCell ref="K41:M41"/>
    <mergeCell ref="Q41:S41"/>
    <mergeCell ref="U41:V41"/>
    <mergeCell ref="W41:X41"/>
    <mergeCell ref="Q38:S38"/>
    <mergeCell ref="U38:V38"/>
    <mergeCell ref="W38:X38"/>
    <mergeCell ref="A39:H39"/>
    <mergeCell ref="K39:M39"/>
    <mergeCell ref="Q39:S39"/>
    <mergeCell ref="U39:V39"/>
    <mergeCell ref="W39:X39"/>
    <mergeCell ref="A36:H36"/>
    <mergeCell ref="K36:M36"/>
    <mergeCell ref="Q36:S36"/>
    <mergeCell ref="U36:V36"/>
    <mergeCell ref="W36:X36"/>
    <mergeCell ref="B37:H37"/>
    <mergeCell ref="K37:M37"/>
    <mergeCell ref="Q37:S37"/>
    <mergeCell ref="U37:V37"/>
    <mergeCell ref="W37:X37"/>
    <mergeCell ref="B34:H34"/>
    <mergeCell ref="K34:M34"/>
    <mergeCell ref="Q34:S34"/>
    <mergeCell ref="U34:V34"/>
    <mergeCell ref="W34:X34"/>
    <mergeCell ref="B35:H35"/>
    <mergeCell ref="K35:M35"/>
    <mergeCell ref="Q35:S35"/>
    <mergeCell ref="U35:V35"/>
    <mergeCell ref="W35:X35"/>
    <mergeCell ref="B32:H32"/>
    <mergeCell ref="K32:M32"/>
    <mergeCell ref="Q32:S32"/>
    <mergeCell ref="U32:V32"/>
    <mergeCell ref="W32:X32"/>
    <mergeCell ref="A33:H33"/>
    <mergeCell ref="K33:M33"/>
    <mergeCell ref="Q33:S33"/>
    <mergeCell ref="U33:V33"/>
    <mergeCell ref="W33:X33"/>
    <mergeCell ref="B30:H30"/>
    <mergeCell ref="K30:M30"/>
    <mergeCell ref="Q30:S30"/>
    <mergeCell ref="U30:V30"/>
    <mergeCell ref="W30:X30"/>
    <mergeCell ref="B31:H31"/>
    <mergeCell ref="K31:M31"/>
    <mergeCell ref="Q31:S31"/>
    <mergeCell ref="U31:V31"/>
    <mergeCell ref="W31:X31"/>
    <mergeCell ref="B28:H28"/>
    <mergeCell ref="K28:M28"/>
    <mergeCell ref="Q28:S28"/>
    <mergeCell ref="U28:V28"/>
    <mergeCell ref="W28:X28"/>
    <mergeCell ref="B29:H29"/>
    <mergeCell ref="K29:M29"/>
    <mergeCell ref="Q29:S29"/>
    <mergeCell ref="U29:V29"/>
    <mergeCell ref="W29:X29"/>
    <mergeCell ref="B26:H26"/>
    <mergeCell ref="K26:M26"/>
    <mergeCell ref="Q26:S26"/>
    <mergeCell ref="U26:V26"/>
    <mergeCell ref="W26:X26"/>
    <mergeCell ref="A27:H27"/>
    <mergeCell ref="K27:M27"/>
    <mergeCell ref="Q27:S27"/>
    <mergeCell ref="U27:V27"/>
    <mergeCell ref="W27:X27"/>
    <mergeCell ref="B24:H24"/>
    <mergeCell ref="K24:M24"/>
    <mergeCell ref="Q24:S24"/>
    <mergeCell ref="U24:V24"/>
    <mergeCell ref="W24:X24"/>
    <mergeCell ref="B25:H25"/>
    <mergeCell ref="K25:M25"/>
    <mergeCell ref="Q25:S25"/>
    <mergeCell ref="U25:V25"/>
    <mergeCell ref="W25:X25"/>
    <mergeCell ref="B22:H22"/>
    <mergeCell ref="K22:M22"/>
    <mergeCell ref="Q22:S22"/>
    <mergeCell ref="U22:V22"/>
    <mergeCell ref="W22:X22"/>
    <mergeCell ref="B23:H23"/>
    <mergeCell ref="K23:M23"/>
    <mergeCell ref="Q23:S23"/>
    <mergeCell ref="U23:V23"/>
    <mergeCell ref="W23:X23"/>
    <mergeCell ref="A20:H20"/>
    <mergeCell ref="K20:M20"/>
    <mergeCell ref="Q20:S20"/>
    <mergeCell ref="U20:V20"/>
    <mergeCell ref="W20:X20"/>
    <mergeCell ref="B21:H21"/>
    <mergeCell ref="K21:M21"/>
    <mergeCell ref="Q21:S21"/>
    <mergeCell ref="U21:V21"/>
    <mergeCell ref="W21:X21"/>
    <mergeCell ref="B18:H18"/>
    <mergeCell ref="K18:M18"/>
    <mergeCell ref="Q18:S18"/>
    <mergeCell ref="U18:V18"/>
    <mergeCell ref="W18:X18"/>
    <mergeCell ref="B19:H19"/>
    <mergeCell ref="K19:M19"/>
    <mergeCell ref="Q19:S19"/>
    <mergeCell ref="U19:V19"/>
    <mergeCell ref="W19:X19"/>
    <mergeCell ref="A1:Y1"/>
    <mergeCell ref="A2:Y2"/>
    <mergeCell ref="A4:D4"/>
    <mergeCell ref="X4:Y4"/>
    <mergeCell ref="A5:Y5"/>
    <mergeCell ref="A6:Y6"/>
    <mergeCell ref="A7:Y7"/>
    <mergeCell ref="X8:Y8"/>
    <mergeCell ref="A9:Y9"/>
  </mergeCells>
  <printOptions horizontalCentered="1"/>
  <pageMargins left="0.1181" right="0.1181" top="0.78739999999999999" bottom="0.39369999999999999" header="0.39369999999999999" footer="0"/>
  <pageSetup paperSize="9" scale="50" fitToWidth="0" fitToHeight="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MJ87"/>
  <sheetViews>
    <sheetView view="pageBreakPreview" topLeftCell="A12" zoomScale="60" zoomScaleNormal="100" workbookViewId="0">
      <selection activeCell="O41" sqref="O41:P41"/>
    </sheetView>
  </sheetViews>
  <sheetFormatPr defaultColWidth="9" defaultRowHeight="14.25"/>
  <cols>
    <col min="1" max="1" width="4.875" style="703" customWidth="1"/>
    <col min="2" max="2" width="8.375" style="703" customWidth="1"/>
    <col min="3" max="3" width="5" style="703" customWidth="1"/>
    <col min="4" max="4" width="4" style="706" customWidth="1"/>
    <col min="5" max="5" width="21.5" style="703" customWidth="1"/>
    <col min="6" max="6" width="12.375" style="703" customWidth="1"/>
    <col min="7" max="7" width="5" style="703" customWidth="1"/>
    <col min="8" max="8" width="14.75" style="703" customWidth="1"/>
    <col min="9" max="9" width="4.375" style="703" customWidth="1"/>
    <col min="10" max="10" width="5" style="703" customWidth="1"/>
    <col min="11" max="11" width="5.875" style="703" customWidth="1"/>
    <col min="12" max="12" width="15.375" style="703" customWidth="1"/>
    <col min="13" max="13" width="7.625" style="703" customWidth="1"/>
    <col min="14" max="14" width="14.875" style="703" customWidth="1"/>
    <col min="15" max="15" width="6.75" style="703" customWidth="1"/>
    <col min="16" max="16" width="12.875" style="703" customWidth="1"/>
    <col min="17" max="17" width="6.625" style="703" customWidth="1"/>
    <col min="18" max="18" width="3.875" style="703" customWidth="1"/>
    <col min="19" max="19" width="5" style="703" customWidth="1"/>
    <col min="20" max="20" width="5.125" style="703" customWidth="1"/>
    <col min="21" max="21" width="2.625" style="703" customWidth="1"/>
    <col min="22" max="22" width="4.625" style="703" customWidth="1"/>
    <col min="23" max="23" width="25.25" style="703" customWidth="1"/>
    <col min="24" max="24" width="3.375" style="703" customWidth="1"/>
    <col min="25" max="25" width="6.75" style="703" customWidth="1"/>
    <col min="26" max="26" width="5" style="703" customWidth="1"/>
    <col min="27" max="27" width="7.625" style="703" customWidth="1"/>
    <col min="28" max="28" width="6.125" style="703" customWidth="1"/>
    <col min="29" max="29" width="9.5" style="703" customWidth="1"/>
    <col min="30" max="30" width="4.125" style="703" customWidth="1"/>
    <col min="31" max="31" width="5.625" style="703" customWidth="1"/>
    <col min="32" max="32" width="9.5" style="703" customWidth="1"/>
    <col min="33" max="33" width="7.5" style="703" customWidth="1"/>
    <col min="34" max="34" width="18.5" style="703" customWidth="1"/>
    <col min="35" max="35" width="16" style="703" customWidth="1"/>
    <col min="36" max="36" width="16.875" style="703" customWidth="1"/>
    <col min="37" max="37" width="8.5" style="703" customWidth="1"/>
    <col min="38" max="38" width="10.125" style="703" customWidth="1"/>
    <col min="39" max="39" width="14" style="703" customWidth="1"/>
    <col min="40" max="256" width="8.5" style="703" customWidth="1"/>
    <col min="257" max="257" width="4.875" style="703" customWidth="1"/>
    <col min="258" max="258" width="21" style="703" customWidth="1"/>
    <col min="259" max="259" width="5" style="703" customWidth="1"/>
    <col min="260" max="260" width="2.5" style="703" customWidth="1"/>
    <col min="261" max="261" width="19.75" style="703" customWidth="1"/>
    <col min="262" max="262" width="2.625" style="703" customWidth="1"/>
    <col min="263" max="263" width="5" style="703" customWidth="1"/>
    <col min="264" max="264" width="11.125" style="703" customWidth="1"/>
    <col min="265" max="265" width="2.875" style="703" customWidth="1"/>
    <col min="266" max="266" width="2.625" style="703" customWidth="1"/>
    <col min="267" max="267" width="4.125" style="703" customWidth="1"/>
    <col min="268" max="268" width="20.5" style="703" customWidth="1"/>
    <col min="269" max="269" width="5" style="703" customWidth="1"/>
    <col min="270" max="270" width="14.875" style="703" customWidth="1"/>
    <col min="271" max="271" width="6.75" style="703" customWidth="1"/>
    <col min="272" max="272" width="11.375" style="703" customWidth="1"/>
    <col min="273" max="273" width="4.625" style="703" customWidth="1"/>
    <col min="274" max="274" width="3.875" style="703" customWidth="1"/>
    <col min="275" max="275" width="5" style="703" customWidth="1"/>
    <col min="276" max="276" width="5.125" style="703" customWidth="1"/>
    <col min="277" max="277" width="2.625" style="703" customWidth="1"/>
    <col min="278" max="278" width="4.625" style="703" customWidth="1"/>
    <col min="279" max="279" width="17.5" style="703" customWidth="1"/>
    <col min="280" max="280" width="3.375" style="703" customWidth="1"/>
    <col min="281" max="281" width="6.75" style="703" customWidth="1"/>
    <col min="282" max="282" width="5" style="703" customWidth="1"/>
    <col min="283" max="283" width="7.625" style="703" customWidth="1"/>
    <col min="284" max="284" width="6.125" style="703" customWidth="1"/>
    <col min="285" max="285" width="9.5" style="703" customWidth="1"/>
    <col min="286" max="286" width="2.375" style="703" customWidth="1"/>
    <col min="287" max="287" width="3.5" style="703" customWidth="1"/>
    <col min="288" max="288" width="9.5" style="703" customWidth="1"/>
    <col min="289" max="289" width="5.375" style="703" customWidth="1"/>
    <col min="290" max="512" width="8.5" style="703" customWidth="1"/>
    <col min="513" max="513" width="4.875" style="703" customWidth="1"/>
    <col min="514" max="514" width="21" style="703" customWidth="1"/>
    <col min="515" max="515" width="5" style="703" customWidth="1"/>
    <col min="516" max="516" width="2.5" style="703" customWidth="1"/>
    <col min="517" max="517" width="19.75" style="703" customWidth="1"/>
    <col min="518" max="518" width="2.625" style="703" customWidth="1"/>
    <col min="519" max="519" width="5" style="703" customWidth="1"/>
    <col min="520" max="520" width="11.125" style="703" customWidth="1"/>
    <col min="521" max="521" width="2.875" style="703" customWidth="1"/>
    <col min="522" max="522" width="2.625" style="703" customWidth="1"/>
    <col min="523" max="523" width="4.125" style="703" customWidth="1"/>
    <col min="524" max="524" width="20.5" style="703" customWidth="1"/>
    <col min="525" max="525" width="5" style="703" customWidth="1"/>
    <col min="526" max="526" width="14.875" style="703" customWidth="1"/>
    <col min="527" max="527" width="6.75" style="703" customWidth="1"/>
    <col min="528" max="528" width="11.375" style="703" customWidth="1"/>
    <col min="529" max="529" width="4.625" style="703" customWidth="1"/>
    <col min="530" max="530" width="3.875" style="703" customWidth="1"/>
    <col min="531" max="531" width="5" style="703" customWidth="1"/>
    <col min="532" max="532" width="5.125" style="703" customWidth="1"/>
    <col min="533" max="533" width="2.625" style="703" customWidth="1"/>
    <col min="534" max="534" width="4.625" style="703" customWidth="1"/>
    <col min="535" max="535" width="17.5" style="703" customWidth="1"/>
    <col min="536" max="536" width="3.375" style="703" customWidth="1"/>
    <col min="537" max="537" width="6.75" style="703" customWidth="1"/>
    <col min="538" max="538" width="5" style="703" customWidth="1"/>
    <col min="539" max="539" width="7.625" style="703" customWidth="1"/>
    <col min="540" max="540" width="6.125" style="703" customWidth="1"/>
    <col min="541" max="541" width="9.5" style="703" customWidth="1"/>
    <col min="542" max="542" width="2.375" style="703" customWidth="1"/>
    <col min="543" max="543" width="3.5" style="703" customWidth="1"/>
    <col min="544" max="544" width="9.5" style="703" customWidth="1"/>
    <col min="545" max="545" width="5.375" style="703" customWidth="1"/>
    <col min="546" max="768" width="8.5" style="703" customWidth="1"/>
    <col min="769" max="769" width="4.875" style="703" customWidth="1"/>
    <col min="770" max="770" width="21" style="703" customWidth="1"/>
    <col min="771" max="771" width="5" style="703" customWidth="1"/>
    <col min="772" max="772" width="2.5" style="703" customWidth="1"/>
    <col min="773" max="773" width="19.75" style="703" customWidth="1"/>
    <col min="774" max="774" width="2.625" style="703" customWidth="1"/>
    <col min="775" max="775" width="5" style="703" customWidth="1"/>
    <col min="776" max="776" width="11.125" style="703" customWidth="1"/>
    <col min="777" max="777" width="2.875" style="703" customWidth="1"/>
    <col min="778" max="778" width="2.625" style="703" customWidth="1"/>
    <col min="779" max="779" width="4.125" style="703" customWidth="1"/>
    <col min="780" max="780" width="20.5" style="703" customWidth="1"/>
    <col min="781" max="781" width="5" style="703" customWidth="1"/>
    <col min="782" max="782" width="14.875" style="703" customWidth="1"/>
    <col min="783" max="783" width="6.75" style="703" customWidth="1"/>
    <col min="784" max="784" width="11.375" style="703" customWidth="1"/>
    <col min="785" max="785" width="4.625" style="703" customWidth="1"/>
    <col min="786" max="786" width="3.875" style="703" customWidth="1"/>
    <col min="787" max="787" width="5" style="703" customWidth="1"/>
    <col min="788" max="788" width="5.125" style="703" customWidth="1"/>
    <col min="789" max="789" width="2.625" style="703" customWidth="1"/>
    <col min="790" max="790" width="4.625" style="703" customWidth="1"/>
    <col min="791" max="791" width="17.5" style="703" customWidth="1"/>
    <col min="792" max="792" width="3.375" style="703" customWidth="1"/>
    <col min="793" max="793" width="6.75" style="703" customWidth="1"/>
    <col min="794" max="794" width="5" style="703" customWidth="1"/>
    <col min="795" max="795" width="7.625" style="703" customWidth="1"/>
    <col min="796" max="796" width="6.125" style="703" customWidth="1"/>
    <col min="797" max="797" width="9.5" style="703" customWidth="1"/>
    <col min="798" max="798" width="2.375" style="703" customWidth="1"/>
    <col min="799" max="799" width="3.5" style="703" customWidth="1"/>
    <col min="800" max="800" width="9.5" style="703" customWidth="1"/>
    <col min="801" max="801" width="5.375" style="703" customWidth="1"/>
    <col min="802" max="1024" width="8.5" style="703" customWidth="1"/>
    <col min="1025" max="1025" width="9" customWidth="1"/>
  </cols>
  <sheetData>
    <row r="1" spans="1:33" hidden="1"/>
    <row r="2" spans="1:33" hidden="1"/>
    <row r="3" spans="1:33" ht="15" customHeight="1">
      <c r="A3" s="1250"/>
      <c r="B3" s="1250"/>
      <c r="C3" s="1250"/>
      <c r="D3" s="1250"/>
      <c r="E3" s="1250"/>
      <c r="F3" s="1250"/>
      <c r="G3" s="1250"/>
      <c r="H3" s="1250"/>
      <c r="I3" s="1250"/>
      <c r="J3" s="1250"/>
      <c r="K3" s="1250"/>
      <c r="L3" s="1250"/>
      <c r="M3" s="1250"/>
      <c r="N3" s="1250"/>
      <c r="O3" s="1250"/>
      <c r="P3" s="1250"/>
      <c r="Q3" s="1250"/>
      <c r="R3" s="1250"/>
      <c r="S3" s="1250"/>
      <c r="T3" s="1250"/>
      <c r="U3" s="1250"/>
      <c r="V3" s="1250"/>
      <c r="W3" s="1250"/>
      <c r="X3" s="1250"/>
      <c r="Y3" s="1250"/>
      <c r="Z3" s="1250"/>
      <c r="AA3" s="1250"/>
      <c r="AB3" s="1250"/>
      <c r="AC3" s="1250"/>
      <c r="AD3" s="1250"/>
      <c r="AE3" s="1250"/>
      <c r="AF3" s="1250"/>
      <c r="AG3" s="1250"/>
    </row>
    <row r="4" spans="1:33" ht="15" customHeight="1"/>
    <row r="5" spans="1:33" ht="15.75">
      <c r="A5" s="1251" t="s">
        <v>0</v>
      </c>
      <c r="B5" s="1251"/>
      <c r="C5" s="1251"/>
      <c r="D5" s="1251"/>
      <c r="E5" s="1251"/>
      <c r="F5" s="1251"/>
      <c r="G5" s="1251"/>
      <c r="H5" s="1251"/>
      <c r="I5" s="1251"/>
      <c r="J5" s="1251"/>
      <c r="K5" s="1251"/>
      <c r="L5" s="1251"/>
      <c r="M5" s="1251"/>
      <c r="N5" s="1251"/>
      <c r="O5" s="1251"/>
      <c r="P5" s="1251"/>
      <c r="Q5" s="1251"/>
      <c r="R5" s="1251"/>
      <c r="S5" s="1251"/>
      <c r="T5" s="1251"/>
      <c r="U5" s="1251"/>
      <c r="V5" s="1251"/>
      <c r="W5" s="1251"/>
      <c r="X5" s="1251"/>
      <c r="Y5" s="1251"/>
      <c r="Z5" s="1251"/>
      <c r="AA5" s="1251"/>
      <c r="AB5" s="1251"/>
      <c r="AC5" s="1251"/>
      <c r="AD5" s="1251"/>
      <c r="AE5" s="1251"/>
      <c r="AF5" s="1251"/>
      <c r="AG5" s="1251"/>
    </row>
    <row r="6" spans="1:33" ht="15" customHeight="1">
      <c r="A6" s="1250"/>
      <c r="B6" s="1250"/>
      <c r="C6" s="1250"/>
      <c r="D6" s="1250"/>
      <c r="E6" s="1250"/>
      <c r="F6" s="1250"/>
      <c r="G6" s="1250"/>
      <c r="H6" s="1250"/>
      <c r="I6" s="1250"/>
      <c r="J6" s="1250"/>
      <c r="K6" s="1250"/>
      <c r="L6" s="1250"/>
      <c r="M6" s="1250"/>
      <c r="N6" s="1250"/>
      <c r="O6" s="1250"/>
      <c r="P6" s="1250"/>
      <c r="Q6" s="1250"/>
      <c r="R6" s="1250"/>
      <c r="S6" s="1250"/>
      <c r="T6" s="1250"/>
      <c r="U6" s="1250"/>
      <c r="V6" s="1250"/>
      <c r="W6" s="1250"/>
      <c r="X6" s="1250"/>
      <c r="Y6" s="1250"/>
      <c r="Z6" s="1250"/>
      <c r="AA6" s="1250"/>
      <c r="AB6" s="1250"/>
      <c r="AC6" s="1250"/>
      <c r="AD6" s="1250"/>
      <c r="AE6" s="1250"/>
      <c r="AF6" s="1250"/>
      <c r="AG6" s="1250"/>
    </row>
    <row r="7" spans="1:33" ht="15.6" customHeight="1">
      <c r="E7" s="706"/>
      <c r="AC7" s="1375" t="s">
        <v>46</v>
      </c>
      <c r="AD7" s="1375"/>
      <c r="AE7" s="1375"/>
      <c r="AF7" s="1375"/>
      <c r="AG7" s="1375"/>
    </row>
    <row r="8" spans="1:33" ht="15.6" customHeight="1">
      <c r="A8" s="1253" t="s">
        <v>47</v>
      </c>
      <c r="B8" s="1253"/>
      <c r="C8" s="1253"/>
      <c r="D8" s="1253"/>
      <c r="E8" s="1253"/>
      <c r="F8" s="1253"/>
      <c r="G8" s="1253"/>
      <c r="H8" s="1253"/>
      <c r="I8" s="1253"/>
      <c r="J8" s="1253"/>
      <c r="K8" s="1253"/>
      <c r="L8" s="1253"/>
      <c r="M8" s="1253"/>
      <c r="N8" s="1253"/>
      <c r="O8" s="1253"/>
      <c r="P8" s="1253"/>
      <c r="Q8" s="1253"/>
      <c r="R8" s="1253"/>
      <c r="S8" s="1253"/>
      <c r="T8" s="1253"/>
      <c r="U8" s="1253"/>
      <c r="V8" s="1253"/>
      <c r="W8" s="1253"/>
      <c r="X8" s="1253"/>
      <c r="Y8" s="1253"/>
      <c r="Z8" s="1253"/>
      <c r="AA8" s="1253"/>
      <c r="AB8" s="1253"/>
      <c r="AC8" s="1253"/>
      <c r="AD8" s="1253"/>
      <c r="AE8" s="1253"/>
      <c r="AF8" s="1253"/>
      <c r="AG8" s="1253"/>
    </row>
    <row r="9" spans="1:33" ht="15.6" customHeight="1">
      <c r="U9" s="857"/>
      <c r="V9" s="857"/>
      <c r="W9" s="857"/>
      <c r="X9" s="857"/>
    </row>
    <row r="10" spans="1:33" ht="19.5" customHeight="1">
      <c r="A10" s="1376" t="s">
        <v>48</v>
      </c>
      <c r="B10" s="1376"/>
      <c r="C10" s="1376"/>
      <c r="D10" s="706" t="s">
        <v>49</v>
      </c>
      <c r="E10" s="1377" t="str">
        <f>+BACKUP!B1</f>
        <v>CONSTRUCTION OF ROAD</v>
      </c>
      <c r="F10" s="1377"/>
      <c r="G10" s="1377"/>
      <c r="H10" s="1377"/>
      <c r="I10" s="1377"/>
      <c r="J10" s="1377"/>
      <c r="K10" s="1377"/>
      <c r="L10" s="1377"/>
      <c r="M10" s="1377"/>
      <c r="N10" s="1377"/>
      <c r="V10" s="811" t="s">
        <v>50</v>
      </c>
      <c r="X10" s="858" t="s">
        <v>49</v>
      </c>
      <c r="Y10" s="872" t="s">
        <v>51</v>
      </c>
      <c r="AA10" s="1378">
        <f>+BACKUP!B7</f>
        <v>1.9259999999999999</v>
      </c>
      <c r="AB10" s="1378"/>
      <c r="AC10" s="1379" t="str">
        <f>+BACKUP!C7</f>
        <v>Lane km</v>
      </c>
      <c r="AD10" s="1379"/>
      <c r="AE10" s="1255"/>
      <c r="AF10" s="1255"/>
      <c r="AG10" s="1255"/>
    </row>
    <row r="11" spans="1:33" ht="19.5" customHeight="1">
      <c r="A11" s="1250"/>
      <c r="B11" s="1250"/>
      <c r="C11" s="1250"/>
      <c r="D11" s="812"/>
      <c r="E11" s="1382"/>
      <c r="F11" s="1382"/>
      <c r="G11" s="1382"/>
      <c r="H11" s="1382"/>
      <c r="I11" s="1382"/>
      <c r="J11" s="1382"/>
      <c r="K11" s="1382"/>
      <c r="L11" s="1382"/>
      <c r="M11" s="1382"/>
      <c r="N11" s="1382"/>
      <c r="V11" s="811"/>
      <c r="X11" s="858" t="s">
        <v>49</v>
      </c>
      <c r="Y11" s="872" t="s">
        <v>52</v>
      </c>
      <c r="AA11" s="1382"/>
      <c r="AB11" s="1382"/>
      <c r="AC11" s="873"/>
      <c r="AD11" s="1382"/>
      <c r="AE11" s="1382"/>
      <c r="AF11" s="1382"/>
      <c r="AG11" s="1382"/>
    </row>
    <row r="12" spans="1:33" ht="19.5" customHeight="1">
      <c r="A12" s="811"/>
      <c r="B12" s="811"/>
      <c r="C12" s="811"/>
      <c r="D12" s="812"/>
      <c r="E12" s="814"/>
      <c r="F12" s="814"/>
      <c r="G12" s="814"/>
      <c r="H12" s="814"/>
      <c r="I12" s="814"/>
      <c r="J12" s="814"/>
      <c r="K12" s="814"/>
      <c r="L12" s="814"/>
      <c r="M12" s="814"/>
      <c r="N12" s="833"/>
      <c r="V12" s="811"/>
      <c r="X12" s="858" t="s">
        <v>49</v>
      </c>
      <c r="Y12" s="872" t="s">
        <v>53</v>
      </c>
      <c r="AA12" s="1382"/>
      <c r="AB12" s="1382"/>
      <c r="AC12" s="874"/>
      <c r="AD12" s="875"/>
      <c r="AE12" s="876"/>
      <c r="AF12" s="876"/>
      <c r="AG12" s="876"/>
    </row>
    <row r="13" spans="1:33" ht="19.5" customHeight="1">
      <c r="A13" s="1376" t="s">
        <v>54</v>
      </c>
      <c r="B13" s="1376"/>
      <c r="C13" s="1376"/>
      <c r="D13" s="706" t="s">
        <v>49</v>
      </c>
      <c r="E13" s="1382"/>
      <c r="F13" s="1382"/>
      <c r="G13" s="1382"/>
      <c r="H13" s="1382"/>
      <c r="I13" s="1382"/>
      <c r="J13" s="1382"/>
      <c r="K13" s="1382"/>
      <c r="L13" s="1382"/>
      <c r="M13" s="1382"/>
      <c r="N13" s="1382"/>
      <c r="V13" s="859"/>
      <c r="AA13" s="1382"/>
      <c r="AB13" s="1382"/>
      <c r="AC13" s="874"/>
      <c r="AD13" s="875"/>
      <c r="AE13" s="877"/>
      <c r="AF13" s="877"/>
      <c r="AG13" s="877"/>
    </row>
    <row r="14" spans="1:33" ht="19.5" customHeight="1">
      <c r="A14" s="1376" t="s">
        <v>55</v>
      </c>
      <c r="B14" s="1376"/>
      <c r="C14" s="1376"/>
      <c r="D14" s="706" t="s">
        <v>49</v>
      </c>
      <c r="E14" s="1383" t="str">
        <f>+BACKUP!B2</f>
        <v>BRGY. L. PIMENTEL, SAN LUIS, AURORA</v>
      </c>
      <c r="F14" s="1383"/>
      <c r="G14" s="1383"/>
      <c r="H14" s="1383"/>
      <c r="I14" s="1383"/>
      <c r="J14" s="1383"/>
      <c r="K14" s="1383"/>
      <c r="L14" s="1383"/>
      <c r="M14" s="1383"/>
      <c r="N14" s="1383"/>
      <c r="V14" s="859" t="s">
        <v>56</v>
      </c>
      <c r="X14" s="858" t="s">
        <v>49</v>
      </c>
      <c r="Y14" s="872"/>
      <c r="AA14" s="1382"/>
      <c r="AB14" s="1382"/>
      <c r="AC14" s="1382"/>
      <c r="AD14" s="1382"/>
      <c r="AE14" s="1382"/>
      <c r="AF14" s="1382"/>
      <c r="AG14" s="1382"/>
    </row>
    <row r="15" spans="1:33" ht="19.5" customHeight="1">
      <c r="A15" s="1376" t="s">
        <v>57</v>
      </c>
      <c r="B15" s="1376"/>
      <c r="C15" s="1376"/>
      <c r="D15" s="706" t="s">
        <v>49</v>
      </c>
      <c r="E15" s="815" t="str">
        <f>+BACKUP!B3</f>
        <v>LOCATION 1</v>
      </c>
      <c r="F15" s="815">
        <f>+BACKUP!C3</f>
        <v>0</v>
      </c>
      <c r="G15" s="815" t="str">
        <f>+BACKUP!D3</f>
        <v>TO</v>
      </c>
      <c r="H15" s="815">
        <f>+BACKUP!E3</f>
        <v>741</v>
      </c>
      <c r="I15" s="1163"/>
      <c r="J15" s="815"/>
      <c r="K15" s="1380"/>
      <c r="L15" s="1380"/>
      <c r="M15" s="834"/>
      <c r="N15" s="815"/>
      <c r="V15" s="859" t="s">
        <v>59</v>
      </c>
      <c r="X15" s="858" t="s">
        <v>49</v>
      </c>
      <c r="Y15" s="872"/>
      <c r="AA15" s="878"/>
      <c r="AB15" s="878"/>
      <c r="AC15" s="879">
        <f>cd!D30</f>
        <v>65</v>
      </c>
      <c r="AD15" s="880" t="str">
        <f>cd!E30</f>
        <v>CD</v>
      </c>
      <c r="AE15" s="813"/>
      <c r="AF15" s="878"/>
      <c r="AG15" s="878"/>
    </row>
    <row r="16" spans="1:33" ht="19.5" customHeight="1">
      <c r="A16" s="811"/>
      <c r="B16" s="811"/>
      <c r="C16" s="811"/>
      <c r="E16" s="815" t="str">
        <f>+BACKUP!B4</f>
        <v>LOCATION 2</v>
      </c>
      <c r="F16" s="815">
        <f>+BACKUP!C4</f>
        <v>0</v>
      </c>
      <c r="G16" s="815" t="str">
        <f>+BACKUP!D4</f>
        <v>TO</v>
      </c>
      <c r="H16" s="815">
        <f>+BACKUP!E4</f>
        <v>222</v>
      </c>
      <c r="I16" s="815"/>
      <c r="J16" s="815"/>
      <c r="K16" s="815"/>
      <c r="L16" s="815"/>
      <c r="M16" s="834"/>
      <c r="N16" s="815"/>
      <c r="V16" s="859"/>
      <c r="X16" s="858"/>
      <c r="Y16" s="872"/>
      <c r="AA16" s="878"/>
      <c r="AB16" s="878"/>
      <c r="AC16" s="879"/>
      <c r="AD16" s="880"/>
      <c r="AE16" s="813"/>
      <c r="AF16" s="878"/>
      <c r="AG16" s="878"/>
    </row>
    <row r="17" spans="1:44" ht="19.5" customHeight="1">
      <c r="A17" s="811" t="s">
        <v>60</v>
      </c>
      <c r="B17" s="811"/>
      <c r="C17" s="811"/>
      <c r="D17" s="706" t="s">
        <v>49</v>
      </c>
      <c r="E17" s="1381">
        <f>+AB41</f>
        <v>10000000</v>
      </c>
      <c r="F17" s="1381"/>
      <c r="G17" s="1381"/>
      <c r="H17" s="1381"/>
      <c r="I17" s="1381"/>
      <c r="J17" s="1381"/>
      <c r="K17" s="1381"/>
      <c r="L17" s="1381"/>
      <c r="M17" s="1381"/>
      <c r="N17" s="1381"/>
      <c r="V17" s="811" t="s">
        <v>61</v>
      </c>
      <c r="X17" s="858" t="s">
        <v>49</v>
      </c>
      <c r="Z17" s="738"/>
      <c r="AA17" s="1382"/>
      <c r="AB17" s="1382"/>
      <c r="AC17" s="1382"/>
      <c r="AD17" s="1382"/>
      <c r="AE17" s="1382"/>
      <c r="AF17" s="1382"/>
      <c r="AG17" s="1382"/>
    </row>
    <row r="18" spans="1:44" ht="19.5" customHeight="1">
      <c r="A18" s="811" t="s">
        <v>62</v>
      </c>
      <c r="B18" s="811"/>
      <c r="C18" s="811"/>
      <c r="D18" s="706" t="s">
        <v>49</v>
      </c>
      <c r="E18" s="1382"/>
      <c r="F18" s="1382"/>
      <c r="G18" s="1382"/>
      <c r="H18" s="1382"/>
      <c r="I18" s="1382"/>
      <c r="J18" s="1382"/>
      <c r="K18" s="1382"/>
      <c r="L18" s="1382"/>
      <c r="M18" s="1382"/>
      <c r="N18" s="1382"/>
      <c r="V18" s="811" t="s">
        <v>63</v>
      </c>
      <c r="X18" s="858"/>
      <c r="Z18" s="738"/>
      <c r="AA18" s="1299"/>
      <c r="AB18" s="1299"/>
      <c r="AC18" s="1299"/>
      <c r="AD18" s="1299"/>
      <c r="AE18" s="1299"/>
      <c r="AF18" s="1299"/>
      <c r="AG18" s="1299"/>
    </row>
    <row r="19" spans="1:44" ht="19.5" customHeight="1">
      <c r="A19" s="1250"/>
      <c r="B19" s="1250"/>
      <c r="C19" s="1250"/>
      <c r="D19" s="1250"/>
      <c r="E19" s="1250"/>
      <c r="H19" s="1299"/>
      <c r="I19" s="1299"/>
      <c r="J19" s="1299"/>
      <c r="K19" s="1299"/>
      <c r="L19" s="703" t="s">
        <v>18</v>
      </c>
    </row>
    <row r="20" spans="1:44" s="785" customFormat="1" ht="20.25" customHeight="1">
      <c r="A20" s="1286" t="s">
        <v>64</v>
      </c>
      <c r="B20" s="1287"/>
      <c r="C20" s="1287"/>
      <c r="D20" s="1287"/>
      <c r="E20" s="1287"/>
      <c r="F20" s="1287"/>
      <c r="G20" s="1287"/>
      <c r="H20" s="1287"/>
      <c r="I20" s="1287"/>
      <c r="J20" s="1287"/>
      <c r="K20" s="1287"/>
      <c r="L20" s="1339" t="s">
        <v>30</v>
      </c>
      <c r="M20" s="1339"/>
      <c r="N20" s="1339" t="s">
        <v>31</v>
      </c>
      <c r="O20" s="1339"/>
      <c r="P20" s="1384" t="s">
        <v>14</v>
      </c>
      <c r="Q20" s="1384"/>
      <c r="R20" s="1384"/>
      <c r="S20" s="1384"/>
      <c r="T20" s="1384"/>
      <c r="U20" s="1384"/>
      <c r="V20" s="1384"/>
      <c r="W20" s="1384"/>
      <c r="X20" s="1384"/>
      <c r="Y20" s="1385" t="s">
        <v>13</v>
      </c>
      <c r="Z20" s="1385"/>
      <c r="AA20" s="1385"/>
      <c r="AB20" s="1385"/>
      <c r="AC20" s="1385"/>
      <c r="AD20" s="1385"/>
      <c r="AE20" s="1385"/>
      <c r="AF20" s="1385"/>
      <c r="AG20" s="1386"/>
      <c r="AI20" s="609"/>
      <c r="AJ20" s="809"/>
      <c r="AK20" s="809"/>
      <c r="AL20" s="809"/>
      <c r="AM20" s="809"/>
      <c r="AN20" s="809"/>
      <c r="AO20" s="1250"/>
      <c r="AP20" s="1250"/>
      <c r="AQ20" s="1250"/>
      <c r="AR20" s="1250"/>
    </row>
    <row r="21" spans="1:44" s="785" customFormat="1" ht="20.25" customHeight="1">
      <c r="A21" s="1442"/>
      <c r="B21" s="1263"/>
      <c r="C21" s="1263"/>
      <c r="D21" s="1263"/>
      <c r="E21" s="1263"/>
      <c r="F21" s="1263"/>
      <c r="G21" s="1263"/>
      <c r="H21" s="1263"/>
      <c r="I21" s="1263"/>
      <c r="J21" s="1263"/>
      <c r="K21" s="1263"/>
      <c r="L21" s="1291"/>
      <c r="M21" s="1291"/>
      <c r="N21" s="1291"/>
      <c r="O21" s="1291"/>
      <c r="P21" s="1387" t="s">
        <v>65</v>
      </c>
      <c r="Q21" s="1387"/>
      <c r="R21" s="1387"/>
      <c r="S21" s="1387" t="s">
        <v>66</v>
      </c>
      <c r="T21" s="1387"/>
      <c r="U21" s="1387"/>
      <c r="V21" s="1387"/>
      <c r="W21" s="1387"/>
      <c r="X21" s="1387"/>
      <c r="Y21" s="1259" t="s">
        <v>65</v>
      </c>
      <c r="Z21" s="1259"/>
      <c r="AA21" s="1259"/>
      <c r="AB21" s="1388" t="s">
        <v>66</v>
      </c>
      <c r="AC21" s="1388"/>
      <c r="AD21" s="1388"/>
      <c r="AE21" s="1388"/>
      <c r="AF21" s="1388"/>
      <c r="AG21" s="1389"/>
      <c r="AI21" s="1250"/>
      <c r="AJ21" s="1250"/>
      <c r="AK21" s="1250"/>
      <c r="AL21" s="1250"/>
      <c r="AM21" s="1250"/>
      <c r="AN21" s="1250"/>
      <c r="AO21" s="1250"/>
      <c r="AP21" s="1250"/>
      <c r="AQ21" s="1250"/>
      <c r="AR21" s="1250"/>
    </row>
    <row r="22" spans="1:44" ht="20.25" customHeight="1">
      <c r="A22" s="816" t="s">
        <v>67</v>
      </c>
      <c r="B22" s="817" t="s">
        <v>68</v>
      </c>
      <c r="C22" s="1390" t="str">
        <f>+'POW-2015-01C-00_'!B11</f>
        <v>FACILITIES FOR THE ENGINEER</v>
      </c>
      <c r="D22" s="1390"/>
      <c r="E22" s="1390"/>
      <c r="F22" s="1390"/>
      <c r="G22" s="1390"/>
      <c r="H22" s="1390"/>
      <c r="I22" s="1390"/>
      <c r="J22" s="1390"/>
      <c r="K22" s="1390"/>
      <c r="L22" s="1156"/>
      <c r="M22" s="1157"/>
      <c r="N22" s="835"/>
      <c r="O22" s="836"/>
      <c r="P22" s="1261"/>
      <c r="Q22" s="1261"/>
      <c r="R22" s="1261"/>
      <c r="S22" s="1261"/>
      <c r="T22" s="1261"/>
      <c r="U22" s="1261"/>
      <c r="V22" s="1261"/>
      <c r="W22" s="1261"/>
      <c r="X22" s="1261"/>
      <c r="Y22" s="881"/>
      <c r="Z22" s="882"/>
      <c r="AA22" s="883"/>
      <c r="AB22" s="881"/>
      <c r="AC22" s="882"/>
      <c r="AD22" s="882"/>
      <c r="AE22" s="882"/>
      <c r="AF22" s="882"/>
      <c r="AG22" s="896"/>
      <c r="AI22" s="1250"/>
      <c r="AJ22" s="1250"/>
      <c r="AK22" s="1250"/>
      <c r="AL22" s="1250"/>
      <c r="AM22" s="1250"/>
      <c r="AN22" s="1250"/>
      <c r="AO22" s="909"/>
      <c r="AP22" s="909"/>
      <c r="AQ22" s="909"/>
      <c r="AR22" s="827"/>
    </row>
    <row r="23" spans="1:44" ht="20.25" customHeight="1">
      <c r="A23" s="1391" t="s">
        <v>69</v>
      </c>
      <c r="B23" s="1392"/>
      <c r="C23" s="1393" t="str">
        <f>+'POW-2015-01C-00_'!B16</f>
        <v>OTHER GENERAL REQUIREMENTS</v>
      </c>
      <c r="D23" s="1393"/>
      <c r="E23" s="1393"/>
      <c r="F23" s="1393"/>
      <c r="G23" s="1393"/>
      <c r="H23" s="1393"/>
      <c r="I23" s="1393"/>
      <c r="J23" s="1393"/>
      <c r="K23" s="1394"/>
      <c r="L23" s="1395" t="s">
        <v>71</v>
      </c>
      <c r="M23" s="1396"/>
      <c r="N23" s="1396"/>
      <c r="O23" s="1396"/>
      <c r="P23" s="1269"/>
      <c r="Q23" s="1269"/>
      <c r="R23" s="1269"/>
      <c r="S23" s="1269"/>
      <c r="T23" s="1269"/>
      <c r="U23" s="1269"/>
      <c r="V23" s="1269"/>
      <c r="W23" s="1269"/>
      <c r="X23" s="1269"/>
      <c r="Y23" s="884"/>
      <c r="Z23" s="885"/>
      <c r="AA23" s="886"/>
      <c r="AB23" s="884"/>
      <c r="AC23" s="885"/>
      <c r="AD23" s="885"/>
      <c r="AE23" s="885"/>
      <c r="AF23" s="885"/>
      <c r="AG23" s="897"/>
      <c r="AI23" s="1250"/>
      <c r="AJ23" s="1250"/>
      <c r="AK23" s="1250"/>
      <c r="AL23" s="1250"/>
      <c r="AM23" s="1250"/>
      <c r="AN23" s="1250"/>
      <c r="AO23" s="909"/>
      <c r="AP23" s="909"/>
      <c r="AQ23" s="909"/>
      <c r="AR23" s="827"/>
    </row>
    <row r="24" spans="1:44" ht="20.25" customHeight="1">
      <c r="A24" s="1391" t="s">
        <v>70</v>
      </c>
      <c r="B24" s="1392"/>
      <c r="C24" s="1393" t="str">
        <f>+'POW-2015-01C-00_'!B29</f>
        <v>EARTHWORK</v>
      </c>
      <c r="D24" s="1393"/>
      <c r="E24" s="1393"/>
      <c r="F24" s="1393"/>
      <c r="G24" s="1393"/>
      <c r="H24" s="1393"/>
      <c r="I24" s="1393"/>
      <c r="J24" s="1393"/>
      <c r="K24" s="1394"/>
      <c r="L24" s="1395"/>
      <c r="M24" s="1396"/>
      <c r="N24" s="1396"/>
      <c r="O24" s="1396"/>
      <c r="P24" s="1158"/>
      <c r="Q24" s="838"/>
      <c r="R24" s="860"/>
      <c r="S24" s="861"/>
      <c r="T24" s="862"/>
      <c r="U24" s="862"/>
      <c r="V24" s="862"/>
      <c r="W24" s="862"/>
      <c r="X24" s="863"/>
      <c r="Y24" s="884"/>
      <c r="Z24" s="885"/>
      <c r="AA24" s="886"/>
      <c r="AB24" s="884"/>
      <c r="AC24" s="885"/>
      <c r="AD24" s="885"/>
      <c r="AE24" s="885"/>
      <c r="AF24" s="885"/>
      <c r="AG24" s="897"/>
      <c r="AI24" s="898"/>
      <c r="AJ24" s="898"/>
      <c r="AK24" s="898"/>
      <c r="AL24" s="898"/>
      <c r="AM24" s="899"/>
      <c r="AN24" s="899"/>
      <c r="AO24" s="909"/>
      <c r="AP24" s="909"/>
      <c r="AQ24" s="909"/>
      <c r="AR24" s="827"/>
    </row>
    <row r="25" spans="1:44" ht="20.25" customHeight="1">
      <c r="A25" s="818"/>
      <c r="B25" s="819" t="s">
        <v>72</v>
      </c>
      <c r="C25" s="820" t="str">
        <f>+'POW-2015-01C-00_'!B40</f>
        <v>SUBBASE AND BASE COURSE</v>
      </c>
      <c r="D25" s="821"/>
      <c r="E25" s="821"/>
      <c r="F25" s="821"/>
      <c r="G25" s="821"/>
      <c r="H25" s="821"/>
      <c r="I25" s="821"/>
      <c r="J25" s="821"/>
      <c r="K25" s="821"/>
      <c r="L25" s="1395"/>
      <c r="M25" s="1396"/>
      <c r="N25" s="1396"/>
      <c r="O25" s="1396"/>
      <c r="P25" s="1158"/>
      <c r="Q25" s="838"/>
      <c r="R25" s="860"/>
      <c r="S25" s="861"/>
      <c r="T25" s="862"/>
      <c r="U25" s="862"/>
      <c r="V25" s="862"/>
      <c r="W25" s="862"/>
      <c r="X25" s="863"/>
      <c r="Y25" s="884"/>
      <c r="Z25" s="885"/>
      <c r="AA25" s="886"/>
      <c r="AB25" s="884"/>
      <c r="AC25" s="885"/>
      <c r="AD25" s="885"/>
      <c r="AE25" s="885"/>
      <c r="AF25" s="885"/>
      <c r="AG25" s="897"/>
      <c r="AI25" s="898"/>
      <c r="AJ25" s="898"/>
      <c r="AK25" s="898"/>
      <c r="AL25" s="898"/>
      <c r="AM25" s="899"/>
      <c r="AN25" s="899"/>
      <c r="AO25" s="909"/>
      <c r="AP25" s="909"/>
      <c r="AQ25" s="909"/>
      <c r="AR25" s="827"/>
    </row>
    <row r="26" spans="1:44" ht="20.25" customHeight="1">
      <c r="A26" s="818"/>
      <c r="B26" s="819" t="s">
        <v>73</v>
      </c>
      <c r="C26" s="820" t="str">
        <f>+'POW-2015-01C-00_'!B45</f>
        <v>SURFACE COURSES</v>
      </c>
      <c r="D26" s="821"/>
      <c r="E26" s="821"/>
      <c r="F26" s="821"/>
      <c r="G26" s="821"/>
      <c r="H26" s="821"/>
      <c r="I26" s="821"/>
      <c r="J26" s="821"/>
      <c r="K26" s="821"/>
      <c r="L26" s="1397"/>
      <c r="M26" s="1398"/>
      <c r="N26" s="1398"/>
      <c r="O26" s="1398"/>
      <c r="P26" s="1158"/>
      <c r="Q26" s="838"/>
      <c r="R26" s="860"/>
      <c r="S26" s="861"/>
      <c r="T26" s="862"/>
      <c r="U26" s="862"/>
      <c r="V26" s="862"/>
      <c r="W26" s="862"/>
      <c r="X26" s="863"/>
      <c r="Y26" s="884"/>
      <c r="Z26" s="885"/>
      <c r="AA26" s="886"/>
      <c r="AB26" s="884"/>
      <c r="AC26" s="885"/>
      <c r="AD26" s="885"/>
      <c r="AE26" s="885"/>
      <c r="AF26" s="885"/>
      <c r="AG26" s="897"/>
      <c r="AI26" s="898"/>
      <c r="AJ26" s="898"/>
      <c r="AK26" s="898"/>
      <c r="AL26" s="898"/>
      <c r="AM26" s="899"/>
      <c r="AN26" s="899"/>
      <c r="AO26" s="909"/>
      <c r="AP26" s="909"/>
      <c r="AQ26" s="909"/>
      <c r="AR26" s="827"/>
    </row>
    <row r="27" spans="1:44" ht="20.25" customHeight="1">
      <c r="A27" s="822"/>
      <c r="B27" s="823" t="s">
        <v>74</v>
      </c>
      <c r="C27" s="1143" t="str">
        <f>'POW-2015-01C-00_'!B50</f>
        <v>DRAINAGE AND SLOPE PROTECTION STRUCTURES</v>
      </c>
      <c r="D27" s="1144"/>
      <c r="E27" s="1144"/>
      <c r="F27" s="1144"/>
      <c r="G27" s="1144"/>
      <c r="H27" s="1144"/>
      <c r="I27" s="1144"/>
      <c r="J27" s="1144"/>
      <c r="K27" s="1144"/>
      <c r="L27" s="1145"/>
      <c r="M27" s="1146"/>
      <c r="N27" s="1145"/>
      <c r="O27" s="837"/>
      <c r="P27" s="1147"/>
      <c r="Q27" s="1147"/>
      <c r="R27" s="1148"/>
      <c r="S27" s="1149"/>
      <c r="T27" s="1150"/>
      <c r="U27" s="1150"/>
      <c r="V27" s="1150"/>
      <c r="W27" s="1150"/>
      <c r="X27" s="1151"/>
      <c r="Y27" s="1152"/>
      <c r="Z27" s="1153"/>
      <c r="AA27" s="1154"/>
      <c r="AB27" s="1152"/>
      <c r="AC27" s="1153"/>
      <c r="AD27" s="1153"/>
      <c r="AE27" s="1153"/>
      <c r="AF27" s="1153"/>
      <c r="AG27" s="1155"/>
      <c r="AI27" s="898"/>
      <c r="AJ27" s="898"/>
      <c r="AK27" s="898"/>
      <c r="AL27" s="898"/>
      <c r="AM27" s="899"/>
      <c r="AN27" s="899"/>
      <c r="AO27" s="909"/>
      <c r="AP27" s="909"/>
      <c r="AQ27" s="909"/>
      <c r="AR27" s="827"/>
    </row>
    <row r="28" spans="1:44" s="808" customFormat="1" ht="20.25" customHeight="1">
      <c r="A28" s="1399"/>
      <c r="B28" s="1400"/>
      <c r="C28" s="1401" t="s">
        <v>75</v>
      </c>
      <c r="D28" s="1401"/>
      <c r="E28" s="1401"/>
      <c r="F28" s="1401"/>
      <c r="G28" s="1401"/>
      <c r="H28" s="1401"/>
      <c r="I28" s="1401"/>
      <c r="J28" s="1401"/>
      <c r="K28" s="1401"/>
      <c r="L28" s="1401"/>
      <c r="M28" s="1401"/>
      <c r="N28" s="839"/>
      <c r="O28" s="840"/>
      <c r="P28" s="1402"/>
      <c r="Q28" s="1402"/>
      <c r="R28" s="1402"/>
      <c r="S28" s="1402"/>
      <c r="T28" s="1402"/>
      <c r="U28" s="1402"/>
      <c r="V28" s="1402"/>
      <c r="W28" s="1402"/>
      <c r="X28" s="1402"/>
      <c r="Y28" s="1402"/>
      <c r="Z28" s="1402"/>
      <c r="AA28" s="1402"/>
      <c r="AB28" s="887"/>
      <c r="AC28" s="888"/>
      <c r="AD28" s="888"/>
      <c r="AE28" s="888"/>
      <c r="AF28" s="888"/>
      <c r="AG28" s="900"/>
    </row>
    <row r="29" spans="1:44" ht="20.25" customHeight="1">
      <c r="A29" s="1250"/>
      <c r="B29" s="1250"/>
      <c r="C29" s="1250"/>
      <c r="D29" s="1250"/>
      <c r="E29" s="1250"/>
      <c r="F29" s="1250"/>
      <c r="G29" s="1250"/>
      <c r="H29" s="1250"/>
      <c r="I29" s="1250"/>
      <c r="J29" s="1250"/>
      <c r="K29" s="1250"/>
      <c r="L29" s="1250"/>
      <c r="M29" s="1250"/>
      <c r="N29" s="1250"/>
      <c r="O29" s="1250"/>
      <c r="P29" s="1250"/>
      <c r="Q29" s="1250"/>
      <c r="R29" s="1250"/>
      <c r="S29" s="1250"/>
      <c r="T29" s="1250"/>
      <c r="U29" s="1250"/>
      <c r="V29" s="1250"/>
      <c r="W29" s="1250"/>
      <c r="X29" s="1250"/>
      <c r="Y29" s="1250"/>
      <c r="Z29" s="1250"/>
      <c r="AA29" s="1250"/>
      <c r="AB29" s="1250"/>
      <c r="AC29" s="1250"/>
      <c r="AD29" s="1250"/>
      <c r="AE29" s="1250"/>
      <c r="AF29" s="1250"/>
      <c r="AG29" s="1250"/>
    </row>
    <row r="30" spans="1:44" s="809" customFormat="1" ht="20.25" customHeight="1">
      <c r="A30" s="1403" t="s">
        <v>76</v>
      </c>
      <c r="B30" s="1403"/>
      <c r="C30" s="1403"/>
      <c r="D30" s="1403"/>
      <c r="E30" s="1403"/>
      <c r="F30" s="1403"/>
      <c r="G30" s="1403"/>
      <c r="H30" s="1403"/>
      <c r="I30" s="1403"/>
      <c r="K30" s="609" t="s">
        <v>77</v>
      </c>
      <c r="L30" s="841"/>
      <c r="M30" s="841"/>
      <c r="N30" s="841"/>
      <c r="O30" s="841"/>
      <c r="P30" s="841"/>
      <c r="Q30" s="1404"/>
      <c r="R30" s="1404"/>
      <c r="S30" s="1404"/>
      <c r="T30" s="1404"/>
      <c r="AI30" s="901">
        <f>+E17*0.02</f>
        <v>200000</v>
      </c>
    </row>
    <row r="31" spans="1:44" s="785" customFormat="1" ht="20.25" customHeight="1">
      <c r="A31" s="1303" t="s">
        <v>5</v>
      </c>
      <c r="B31" s="1303"/>
      <c r="C31" s="1303"/>
      <c r="D31" s="1303"/>
      <c r="E31" s="1303"/>
      <c r="F31" s="1303"/>
      <c r="G31" s="1405" t="s">
        <v>78</v>
      </c>
      <c r="H31" s="1405"/>
      <c r="I31" s="1405"/>
      <c r="J31" s="605"/>
      <c r="K31" s="1406"/>
      <c r="L31" s="1406"/>
      <c r="M31" s="1406"/>
      <c r="N31" s="1406"/>
      <c r="O31" s="1407" t="s">
        <v>14</v>
      </c>
      <c r="P31" s="1407"/>
      <c r="Q31" s="1405" t="s">
        <v>13</v>
      </c>
      <c r="R31" s="1405"/>
      <c r="S31" s="1405"/>
      <c r="T31" s="1405"/>
      <c r="V31" s="1406"/>
      <c r="W31" s="1406"/>
      <c r="X31" s="1406"/>
      <c r="Y31" s="1406"/>
      <c r="Z31" s="1406"/>
      <c r="AA31" s="1406"/>
      <c r="AB31" s="1408" t="s">
        <v>14</v>
      </c>
      <c r="AC31" s="1408"/>
      <c r="AD31" s="1408"/>
      <c r="AE31" s="1405" t="s">
        <v>13</v>
      </c>
      <c r="AF31" s="1405"/>
      <c r="AG31" s="1405"/>
    </row>
    <row r="32" spans="1:44" s="808" customFormat="1" ht="20.25" customHeight="1">
      <c r="A32" s="1409"/>
      <c r="B32" s="1409"/>
      <c r="C32" s="1409"/>
      <c r="D32" s="1409"/>
      <c r="E32" s="1409"/>
      <c r="F32" s="1409"/>
      <c r="G32" s="1410"/>
      <c r="H32" s="1410"/>
      <c r="I32" s="1410"/>
      <c r="J32" s="830"/>
      <c r="K32" s="1411" t="s">
        <v>79</v>
      </c>
      <c r="L32" s="1411"/>
      <c r="M32" s="1411"/>
      <c r="N32" s="1411"/>
      <c r="O32" s="1412">
        <f>+'POW-2015-01C-00_'!K56</f>
        <v>325640.37840000005</v>
      </c>
      <c r="P32" s="1412"/>
      <c r="Q32" s="849"/>
      <c r="R32" s="864"/>
      <c r="S32" s="864"/>
      <c r="T32" s="865"/>
      <c r="U32" s="866"/>
      <c r="V32" s="1413" t="s">
        <v>80</v>
      </c>
      <c r="W32" s="1413"/>
      <c r="X32" s="1413"/>
      <c r="Y32" s="1413"/>
      <c r="Z32" s="1413"/>
      <c r="AA32" s="1414"/>
      <c r="AB32" s="1415">
        <f>+'POW-2015-01C-00_'!N56</f>
        <v>7801031.8500000006</v>
      </c>
      <c r="AC32" s="1416"/>
      <c r="AD32" s="1417"/>
      <c r="AE32" s="1418"/>
      <c r="AF32" s="1410"/>
      <c r="AG32" s="1410"/>
    </row>
    <row r="33" spans="1:39" s="808" customFormat="1" ht="20.25" customHeight="1">
      <c r="A33" s="1419"/>
      <c r="B33" s="1419"/>
      <c r="C33" s="1419"/>
      <c r="D33" s="1419"/>
      <c r="E33" s="1419"/>
      <c r="F33" s="1419"/>
      <c r="G33" s="1420"/>
      <c r="H33" s="1420"/>
      <c r="I33" s="1420"/>
      <c r="J33" s="843"/>
      <c r="K33" s="1421" t="s">
        <v>81</v>
      </c>
      <c r="L33" s="1421"/>
      <c r="M33" s="1421"/>
      <c r="N33" s="1421"/>
      <c r="O33" s="1422">
        <f>'POW-2015-01C-00_'!I56</f>
        <v>5613700.3250000002</v>
      </c>
      <c r="P33" s="1422"/>
      <c r="Q33" s="849"/>
      <c r="R33" s="864"/>
      <c r="S33" s="864"/>
      <c r="T33" s="865"/>
      <c r="U33" s="866"/>
      <c r="V33" s="1423" t="s">
        <v>82</v>
      </c>
      <c r="W33" s="1423"/>
      <c r="X33" s="1423"/>
      <c r="Y33" s="1423"/>
      <c r="Z33" s="1423"/>
      <c r="AA33" s="1424"/>
      <c r="AB33" s="1425">
        <f>+'POW-2015-01C-00_'!P56</f>
        <v>1532301.48</v>
      </c>
      <c r="AC33" s="1426"/>
      <c r="AD33" s="1427"/>
      <c r="AE33" s="1428"/>
      <c r="AF33" s="1420"/>
      <c r="AG33" s="1420"/>
    </row>
    <row r="34" spans="1:39" ht="20.25" customHeight="1">
      <c r="A34" s="1419"/>
      <c r="B34" s="1419"/>
      <c r="C34" s="1419"/>
      <c r="D34" s="1419"/>
      <c r="E34" s="1419"/>
      <c r="F34" s="1419"/>
      <c r="G34" s="1420"/>
      <c r="H34" s="1420"/>
      <c r="I34" s="1420"/>
      <c r="J34" s="843"/>
      <c r="K34" s="1421" t="s">
        <v>83</v>
      </c>
      <c r="L34" s="1421"/>
      <c r="M34" s="1421"/>
      <c r="N34" s="1421"/>
      <c r="O34" s="1422">
        <f>+'POW-2015-01C-00_'!M56</f>
        <v>1861691.1416</v>
      </c>
      <c r="P34" s="1422"/>
      <c r="Q34" s="849"/>
      <c r="R34" s="864"/>
      <c r="S34" s="864"/>
      <c r="T34" s="865"/>
      <c r="U34" s="827"/>
      <c r="V34" s="1423" t="s">
        <v>84</v>
      </c>
      <c r="W34" s="1423"/>
      <c r="X34" s="1423"/>
      <c r="Y34" s="1423"/>
      <c r="Z34" s="1423"/>
      <c r="AA34" s="1424"/>
      <c r="AB34" s="1425">
        <f>+'POW-2015-01C-00_'!Q56</f>
        <v>466666.67000000004</v>
      </c>
      <c r="AC34" s="1426"/>
      <c r="AD34" s="1427"/>
      <c r="AE34" s="1428"/>
      <c r="AF34" s="1420"/>
      <c r="AG34" s="1420"/>
      <c r="AH34" s="902"/>
      <c r="AM34" s="894"/>
    </row>
    <row r="35" spans="1:39" ht="20.25" customHeight="1">
      <c r="A35" s="1419"/>
      <c r="B35" s="1419"/>
      <c r="C35" s="1419"/>
      <c r="D35" s="1419"/>
      <c r="E35" s="1419"/>
      <c r="F35" s="1419"/>
      <c r="G35" s="1420"/>
      <c r="H35" s="1420"/>
      <c r="I35" s="1420"/>
      <c r="J35" s="843"/>
      <c r="K35" s="1421" t="s">
        <v>85</v>
      </c>
      <c r="L35" s="1421"/>
      <c r="M35" s="1421"/>
      <c r="N35" s="1421"/>
      <c r="O35" s="1429"/>
      <c r="P35" s="1429"/>
      <c r="Q35" s="849"/>
      <c r="R35" s="864"/>
      <c r="S35" s="864"/>
      <c r="T35" s="865"/>
      <c r="U35" s="827"/>
      <c r="V35" s="1423" t="s">
        <v>86</v>
      </c>
      <c r="W35" s="1423"/>
      <c r="X35" s="1423"/>
      <c r="Y35" s="1423"/>
      <c r="Z35" s="1423"/>
      <c r="AA35" s="1424"/>
      <c r="AB35" s="1425">
        <f>SUM(AB32:AD34)</f>
        <v>9800000</v>
      </c>
      <c r="AC35" s="1426"/>
      <c r="AD35" s="1427"/>
      <c r="AE35" s="1428"/>
      <c r="AF35" s="1420"/>
      <c r="AG35" s="1420"/>
      <c r="AH35" s="903"/>
    </row>
    <row r="36" spans="1:39" ht="20.25" customHeight="1">
      <c r="A36" s="1430" t="s">
        <v>87</v>
      </c>
      <c r="B36" s="1430"/>
      <c r="C36" s="1430"/>
      <c r="D36" s="1430"/>
      <c r="E36" s="1430"/>
      <c r="F36" s="1430"/>
      <c r="G36" s="1430"/>
      <c r="H36" s="1430"/>
      <c r="I36" s="1430"/>
      <c r="J36" s="843"/>
      <c r="K36" s="1421" t="s">
        <v>88</v>
      </c>
      <c r="L36" s="1421"/>
      <c r="M36" s="1421"/>
      <c r="N36" s="1421"/>
      <c r="O36" s="1422">
        <f>+'POW-2015-01C-00_'!P56</f>
        <v>1532301.48</v>
      </c>
      <c r="P36" s="1422"/>
      <c r="Q36" s="849"/>
      <c r="R36" s="864"/>
      <c r="S36" s="864"/>
      <c r="T36" s="865"/>
      <c r="U36" s="827"/>
      <c r="V36" s="867" t="s">
        <v>89</v>
      </c>
      <c r="W36" s="868"/>
      <c r="X36" s="868"/>
      <c r="Y36" s="868"/>
      <c r="Z36" s="868"/>
      <c r="AA36" s="890">
        <v>0.02</v>
      </c>
      <c r="AB36" s="1431">
        <f>+(AA36*AB35)/(1-AA36)</f>
        <v>200000</v>
      </c>
      <c r="AC36" s="1432"/>
      <c r="AD36" s="1433"/>
      <c r="AE36" s="1428"/>
      <c r="AF36" s="1420"/>
      <c r="AG36" s="1420"/>
      <c r="AH36" s="904">
        <f>+AH41*AA36</f>
        <v>200000</v>
      </c>
      <c r="AJ36" s="856">
        <f>+E17-AB36</f>
        <v>9800000</v>
      </c>
    </row>
    <row r="37" spans="1:39" ht="20.25" customHeight="1">
      <c r="A37" s="1419"/>
      <c r="B37" s="1419"/>
      <c r="C37" s="1419"/>
      <c r="D37" s="1419"/>
      <c r="E37" s="1419"/>
      <c r="F37" s="1419"/>
      <c r="G37" s="1420"/>
      <c r="H37" s="1420"/>
      <c r="I37" s="1420"/>
      <c r="J37" s="844"/>
      <c r="K37" s="1421" t="s">
        <v>90</v>
      </c>
      <c r="L37" s="1421"/>
      <c r="M37" s="1421"/>
      <c r="N37" s="1421"/>
      <c r="O37" s="1422">
        <f>+'POW-2015-01C-00_'!Q56</f>
        <v>466666.67000000004</v>
      </c>
      <c r="P37" s="1422"/>
      <c r="Q37" s="849"/>
      <c r="R37" s="864"/>
      <c r="S37" s="864"/>
      <c r="T37" s="865"/>
      <c r="U37" s="827"/>
      <c r="V37" s="1423" t="s">
        <v>91</v>
      </c>
      <c r="W37" s="1423"/>
      <c r="X37" s="1423"/>
      <c r="Y37" s="1423"/>
      <c r="Z37" s="1423"/>
      <c r="AA37" s="1423"/>
      <c r="AB37" s="1434"/>
      <c r="AC37" s="1434"/>
      <c r="AD37" s="1434"/>
      <c r="AE37" s="1420"/>
      <c r="AF37" s="1420"/>
      <c r="AG37" s="1420"/>
      <c r="AH37" s="902"/>
    </row>
    <row r="38" spans="1:39" ht="20.25" customHeight="1">
      <c r="A38" s="1419"/>
      <c r="B38" s="1419"/>
      <c r="C38" s="1419"/>
      <c r="D38" s="1419"/>
      <c r="E38" s="1419"/>
      <c r="F38" s="1419"/>
      <c r="G38" s="1420"/>
      <c r="H38" s="1420"/>
      <c r="I38" s="1420"/>
      <c r="J38" s="844"/>
      <c r="K38" s="845" t="s">
        <v>92</v>
      </c>
      <c r="L38" s="846"/>
      <c r="M38" s="847">
        <f>+AA36</f>
        <v>0.02</v>
      </c>
      <c r="N38" s="848"/>
      <c r="O38" s="1422">
        <f>AB36</f>
        <v>200000</v>
      </c>
      <c r="P38" s="1422"/>
      <c r="Q38" s="849"/>
      <c r="R38" s="864"/>
      <c r="S38" s="864"/>
      <c r="T38" s="865"/>
      <c r="U38" s="827"/>
      <c r="V38" s="1423" t="s">
        <v>93</v>
      </c>
      <c r="W38" s="1423"/>
      <c r="X38" s="1423"/>
      <c r="Y38" s="1423"/>
      <c r="Z38" s="1423"/>
      <c r="AA38" s="1423"/>
      <c r="AB38" s="1269"/>
      <c r="AC38" s="1269"/>
      <c r="AD38" s="1269"/>
      <c r="AE38" s="1420"/>
      <c r="AF38" s="1420"/>
      <c r="AG38" s="1420"/>
      <c r="AH38" s="902"/>
    </row>
    <row r="39" spans="1:39" ht="20.25" customHeight="1">
      <c r="A39" s="1419"/>
      <c r="B39" s="1419"/>
      <c r="C39" s="1419"/>
      <c r="D39" s="1419"/>
      <c r="E39" s="1419"/>
      <c r="F39" s="1419"/>
      <c r="G39" s="1420"/>
      <c r="H39" s="1420"/>
      <c r="I39" s="1420"/>
      <c r="J39" s="843"/>
      <c r="K39" s="1421" t="s">
        <v>94</v>
      </c>
      <c r="L39" s="1421"/>
      <c r="M39" s="1421"/>
      <c r="N39" s="1421"/>
      <c r="O39" s="849"/>
      <c r="P39" s="850"/>
      <c r="Q39" s="849"/>
      <c r="R39" s="864"/>
      <c r="S39" s="864"/>
      <c r="T39" s="865"/>
      <c r="U39" s="827"/>
      <c r="V39" s="1419"/>
      <c r="W39" s="1419"/>
      <c r="X39" s="1419"/>
      <c r="Y39" s="1419"/>
      <c r="Z39" s="1419"/>
      <c r="AA39" s="1419"/>
      <c r="AB39" s="1269"/>
      <c r="AC39" s="1269"/>
      <c r="AD39" s="1269"/>
      <c r="AE39" s="1420"/>
      <c r="AF39" s="1420"/>
      <c r="AG39" s="1420"/>
      <c r="AH39" s="902"/>
    </row>
    <row r="40" spans="1:39" ht="20.25" customHeight="1">
      <c r="A40" s="1419"/>
      <c r="B40" s="1419"/>
      <c r="C40" s="1419"/>
      <c r="D40" s="1419"/>
      <c r="E40" s="1419"/>
      <c r="F40" s="1419"/>
      <c r="G40" s="1420"/>
      <c r="H40" s="1420"/>
      <c r="I40" s="1420"/>
      <c r="J40" s="843"/>
      <c r="K40" s="1435" t="s">
        <v>95</v>
      </c>
      <c r="L40" s="1435"/>
      <c r="M40" s="1435"/>
      <c r="N40" s="1435"/>
      <c r="O40" s="851"/>
      <c r="P40" s="852"/>
      <c r="Q40" s="851"/>
      <c r="R40" s="869"/>
      <c r="S40" s="869"/>
      <c r="T40" s="870"/>
      <c r="U40" s="827"/>
      <c r="V40" s="1436"/>
      <c r="W40" s="1436"/>
      <c r="X40" s="1436"/>
      <c r="Y40" s="1436"/>
      <c r="Z40" s="1436"/>
      <c r="AA40" s="1436"/>
      <c r="AB40" s="1437"/>
      <c r="AC40" s="1437"/>
      <c r="AD40" s="1437"/>
      <c r="AE40" s="1438"/>
      <c r="AF40" s="1438"/>
      <c r="AG40" s="1438"/>
      <c r="AH40" s="902"/>
    </row>
    <row r="41" spans="1:39" s="396" customFormat="1" ht="20.25" customHeight="1">
      <c r="A41" s="1436"/>
      <c r="B41" s="1436"/>
      <c r="C41" s="1436"/>
      <c r="D41" s="1436"/>
      <c r="E41" s="1436"/>
      <c r="F41" s="1436"/>
      <c r="G41" s="1438"/>
      <c r="H41" s="1438"/>
      <c r="I41" s="1438"/>
      <c r="J41" s="606"/>
      <c r="K41" s="1441" t="s">
        <v>96</v>
      </c>
      <c r="L41" s="1441"/>
      <c r="M41" s="1441"/>
      <c r="N41" s="1441"/>
      <c r="O41" s="1439">
        <f>SUM(O32:P40)</f>
        <v>9999999.9949999992</v>
      </c>
      <c r="P41" s="1439"/>
      <c r="Q41" s="1440"/>
      <c r="R41" s="1440"/>
      <c r="S41" s="1440"/>
      <c r="T41" s="1440"/>
      <c r="U41" s="871"/>
      <c r="V41" s="1441" t="s">
        <v>97</v>
      </c>
      <c r="W41" s="1441"/>
      <c r="X41" s="1441"/>
      <c r="Y41" s="1441"/>
      <c r="Z41" s="1441"/>
      <c r="AA41" s="1441"/>
      <c r="AB41" s="1439">
        <f>AB35+AB36</f>
        <v>10000000</v>
      </c>
      <c r="AC41" s="1439"/>
      <c r="AD41" s="1439"/>
      <c r="AE41" s="891"/>
      <c r="AF41" s="892"/>
      <c r="AG41" s="905"/>
      <c r="AH41" s="906">
        <v>10000000</v>
      </c>
      <c r="AL41" s="599"/>
    </row>
    <row r="42" spans="1:39" ht="20.25" customHeight="1">
      <c r="A42" s="1368" t="s">
        <v>1178</v>
      </c>
      <c r="B42" s="1368"/>
      <c r="C42" s="1368"/>
      <c r="D42" s="1368"/>
      <c r="E42" s="1368"/>
      <c r="F42" s="1368"/>
      <c r="G42" s="1368"/>
      <c r="H42" s="1368"/>
      <c r="I42" s="1368"/>
      <c r="J42" s="1368"/>
      <c r="K42" s="1368"/>
      <c r="L42" s="1368"/>
      <c r="M42" s="1368"/>
      <c r="N42" s="1368"/>
      <c r="O42" s="1368"/>
      <c r="P42" s="1368"/>
      <c r="Q42" s="1368"/>
      <c r="R42" s="1368"/>
      <c r="S42" s="1368"/>
      <c r="T42" s="1368"/>
      <c r="U42" s="1368"/>
      <c r="V42" s="1368"/>
      <c r="W42" s="1368"/>
      <c r="X42" s="1368"/>
      <c r="Y42" s="1368"/>
      <c r="Z42" s="1368"/>
      <c r="AA42" s="1368"/>
      <c r="AB42" s="1368"/>
      <c r="AC42" s="1368"/>
      <c r="AD42" s="1368"/>
      <c r="AE42" s="1368"/>
      <c r="AF42" s="1368"/>
      <c r="AG42" s="1368"/>
      <c r="AH42" s="907">
        <f>+AB41-AH41</f>
        <v>0</v>
      </c>
    </row>
    <row r="43" spans="1:39" s="808" customFormat="1" ht="20.100000000000001" customHeight="1">
      <c r="A43" s="825" t="s">
        <v>16</v>
      </c>
      <c r="B43" s="826"/>
      <c r="C43" s="785"/>
      <c r="D43" s="812"/>
      <c r="E43" s="811"/>
      <c r="F43" s="811"/>
      <c r="G43" s="811"/>
      <c r="H43" s="811"/>
      <c r="I43" s="811"/>
      <c r="J43" s="811"/>
      <c r="K43" s="811"/>
      <c r="N43" s="825" t="s">
        <v>17</v>
      </c>
      <c r="O43" s="811"/>
      <c r="P43" s="811"/>
      <c r="Q43" s="811"/>
      <c r="R43" s="811"/>
      <c r="T43" s="825" t="s">
        <v>19</v>
      </c>
      <c r="U43" s="703"/>
      <c r="V43" s="703"/>
      <c r="W43" s="703"/>
      <c r="X43" s="703"/>
      <c r="Y43" s="703"/>
      <c r="Z43" s="703"/>
      <c r="AA43" s="825"/>
      <c r="AB43" s="703"/>
      <c r="AC43" s="703"/>
      <c r="AD43" s="703"/>
      <c r="AE43" s="703"/>
      <c r="AF43" s="703"/>
      <c r="AG43" s="703"/>
    </row>
    <row r="44" spans="1:39" s="808" customFormat="1" ht="20.100000000000001" customHeight="1">
      <c r="A44" s="703"/>
      <c r="B44" s="703"/>
      <c r="C44" s="752"/>
      <c r="D44" s="706"/>
      <c r="E44" s="703"/>
      <c r="F44" s="703"/>
      <c r="G44" s="703"/>
      <c r="H44" s="703"/>
      <c r="I44" s="703"/>
      <c r="J44" s="703"/>
      <c r="K44" s="703"/>
      <c r="L44" s="703"/>
      <c r="N44" s="703"/>
      <c r="O44" s="703"/>
      <c r="P44" s="703"/>
      <c r="Q44" s="703"/>
      <c r="R44" s="703"/>
      <c r="S44" s="703"/>
      <c r="T44" s="703"/>
      <c r="U44" s="703"/>
      <c r="V44" s="703"/>
      <c r="W44" s="703"/>
      <c r="X44" s="703"/>
      <c r="Y44" s="703"/>
      <c r="Z44" s="703"/>
      <c r="AA44" s="703"/>
      <c r="AB44" s="703"/>
      <c r="AC44" s="703"/>
      <c r="AD44" s="703"/>
      <c r="AE44" s="703"/>
      <c r="AF44" s="703"/>
      <c r="AG44" s="703"/>
    </row>
    <row r="45" spans="1:39" ht="20.100000000000001" customHeight="1">
      <c r="A45" s="827" t="s">
        <v>20</v>
      </c>
      <c r="C45" s="828"/>
      <c r="D45" s="828"/>
      <c r="E45" s="828"/>
      <c r="H45" s="827" t="s">
        <v>21</v>
      </c>
      <c r="I45" s="808"/>
      <c r="J45" s="808"/>
      <c r="N45" s="827" t="s">
        <v>22</v>
      </c>
      <c r="O45" s="853"/>
      <c r="P45" s="808"/>
      <c r="Q45" s="808"/>
      <c r="R45" s="808"/>
      <c r="T45" s="827" t="s">
        <v>23</v>
      </c>
      <c r="AA45" s="827" t="s">
        <v>24</v>
      </c>
      <c r="AB45" s="827"/>
      <c r="AC45" s="827"/>
      <c r="AD45" s="827"/>
      <c r="AE45" s="827"/>
      <c r="AF45" s="827"/>
      <c r="AG45" s="827"/>
      <c r="AH45" s="907"/>
      <c r="AI45" s="894"/>
      <c r="AJ45" s="808" t="b">
        <f>+O41=AB41</f>
        <v>0</v>
      </c>
    </row>
    <row r="46" spans="1:39" ht="20.100000000000001" customHeight="1">
      <c r="A46" s="827"/>
      <c r="C46" s="828"/>
      <c r="D46" s="828"/>
      <c r="E46" s="828"/>
      <c r="G46" s="827"/>
      <c r="H46" s="808"/>
      <c r="I46" s="808"/>
      <c r="J46" s="808"/>
      <c r="M46" s="827"/>
      <c r="O46" s="853"/>
      <c r="P46" s="808"/>
      <c r="Q46" s="808"/>
      <c r="R46" s="808"/>
      <c r="S46" s="825"/>
      <c r="T46" s="827"/>
      <c r="Y46" s="827"/>
      <c r="AA46" s="827"/>
      <c r="AB46" s="827"/>
      <c r="AC46" s="827"/>
      <c r="AD46" s="827"/>
      <c r="AE46" s="827"/>
      <c r="AF46" s="827"/>
      <c r="AG46" s="827"/>
    </row>
    <row r="47" spans="1:39" s="808" customFormat="1" ht="20.100000000000001" customHeight="1">
      <c r="A47" s="1250"/>
      <c r="B47" s="1250"/>
      <c r="C47" s="1250"/>
      <c r="D47" s="1250"/>
      <c r="E47" s="1250"/>
      <c r="F47" s="703"/>
      <c r="G47" s="1250"/>
      <c r="H47" s="1250"/>
      <c r="I47" s="1250"/>
      <c r="J47" s="1250"/>
      <c r="K47" s="1250"/>
      <c r="L47" s="703"/>
      <c r="M47" s="1250"/>
      <c r="N47" s="1250"/>
      <c r="O47" s="1250"/>
      <c r="P47" s="1250"/>
      <c r="Q47" s="1250"/>
      <c r="R47" s="1250"/>
      <c r="S47" s="825"/>
      <c r="T47" s="1250"/>
      <c r="U47" s="1250"/>
      <c r="V47" s="1250"/>
      <c r="W47" s="1250"/>
      <c r="X47" s="809"/>
      <c r="Y47" s="1250"/>
      <c r="Z47" s="1250"/>
      <c r="AA47" s="812"/>
      <c r="AB47" s="812"/>
      <c r="AC47" s="812"/>
      <c r="AD47" s="812"/>
      <c r="AE47" s="812"/>
      <c r="AF47" s="812"/>
      <c r="AG47" s="812"/>
      <c r="AJ47" s="908">
        <f>+O32/AB32</f>
        <v>4.1743244311968811E-2</v>
      </c>
    </row>
    <row r="48" spans="1:39" s="808" customFormat="1" ht="20.100000000000001" customHeight="1">
      <c r="A48" s="1443" t="s">
        <v>1179</v>
      </c>
      <c r="B48" s="1443"/>
      <c r="C48" s="1443"/>
      <c r="D48" s="1443"/>
      <c r="E48" s="1443"/>
      <c r="F48" s="703"/>
      <c r="G48" s="829"/>
      <c r="H48" s="1443" t="s">
        <v>98</v>
      </c>
      <c r="I48" s="1443"/>
      <c r="J48" s="1443"/>
      <c r="K48" s="1443"/>
      <c r="L48" s="1443"/>
      <c r="N48" s="1276" t="s">
        <v>99</v>
      </c>
      <c r="O48" s="1276"/>
      <c r="P48" s="1276"/>
      <c r="Q48" s="1276"/>
      <c r="R48" s="605"/>
      <c r="S48" s="825"/>
      <c r="T48" s="1277" t="s">
        <v>100</v>
      </c>
      <c r="U48" s="1277"/>
      <c r="V48" s="1277"/>
      <c r="W48" s="1277"/>
      <c r="X48" s="1277"/>
      <c r="Y48" s="1277"/>
      <c r="Z48" s="605"/>
      <c r="AA48" s="1277" t="s">
        <v>101</v>
      </c>
      <c r="AB48" s="1277"/>
      <c r="AC48" s="1277"/>
      <c r="AD48" s="1277"/>
      <c r="AE48" s="1277"/>
      <c r="AF48" s="1277"/>
      <c r="AG48" s="605"/>
    </row>
    <row r="49" spans="1:35" s="808" customFormat="1" ht="20.100000000000001" customHeight="1">
      <c r="A49" s="1278" t="s">
        <v>102</v>
      </c>
      <c r="B49" s="1278"/>
      <c r="C49" s="1278"/>
      <c r="D49" s="1278"/>
      <c r="E49" s="1278"/>
      <c r="F49" s="811"/>
      <c r="G49" s="830"/>
      <c r="H49" s="1278" t="s">
        <v>102</v>
      </c>
      <c r="I49" s="1278"/>
      <c r="J49" s="1278"/>
      <c r="K49" s="1278"/>
      <c r="L49" s="1278"/>
      <c r="N49" s="1278" t="s">
        <v>103</v>
      </c>
      <c r="O49" s="1278"/>
      <c r="P49" s="1278"/>
      <c r="Q49" s="1278"/>
      <c r="R49" s="830"/>
      <c r="S49" s="830"/>
      <c r="T49" s="1280" t="s">
        <v>103</v>
      </c>
      <c r="U49" s="1280"/>
      <c r="V49" s="1280"/>
      <c r="W49" s="1280"/>
      <c r="X49" s="1280"/>
      <c r="Y49" s="1280"/>
      <c r="Z49" s="830"/>
      <c r="AA49" s="1280" t="s">
        <v>104</v>
      </c>
      <c r="AB49" s="1280"/>
      <c r="AC49" s="1280"/>
      <c r="AD49" s="1280"/>
      <c r="AE49" s="1280"/>
      <c r="AF49" s="1280"/>
      <c r="AG49" s="830"/>
    </row>
    <row r="50" spans="1:35" s="808" customFormat="1" ht="20.100000000000001" customHeight="1">
      <c r="A50" s="1281" t="s">
        <v>105</v>
      </c>
      <c r="B50" s="1281"/>
      <c r="C50" s="1281"/>
      <c r="D50" s="1281"/>
      <c r="E50" s="1281"/>
      <c r="F50" s="811"/>
      <c r="G50" s="812"/>
      <c r="H50" s="1281" t="s">
        <v>105</v>
      </c>
      <c r="I50" s="1281"/>
      <c r="J50" s="1281"/>
      <c r="K50" s="1281"/>
      <c r="L50" s="1281"/>
      <c r="N50" s="1281" t="s">
        <v>105</v>
      </c>
      <c r="O50" s="1281"/>
      <c r="P50" s="1281"/>
      <c r="Q50" s="1281"/>
      <c r="R50" s="812"/>
      <c r="S50" s="830"/>
      <c r="T50" s="1281" t="s">
        <v>106</v>
      </c>
      <c r="U50" s="1281"/>
      <c r="V50" s="1281"/>
      <c r="W50" s="1281"/>
      <c r="X50" s="1281"/>
      <c r="Y50" s="1281"/>
      <c r="Z50" s="893"/>
      <c r="AA50" s="1250"/>
      <c r="AB50" s="1250"/>
      <c r="AC50" s="1250"/>
      <c r="AD50" s="1250"/>
      <c r="AE50" s="1250"/>
      <c r="AF50" s="1250"/>
      <c r="AG50" s="893"/>
    </row>
    <row r="51" spans="1:35" ht="20.100000000000001" customHeight="1"/>
    <row r="52" spans="1:35" ht="20.100000000000001" customHeight="1">
      <c r="M52" s="827"/>
      <c r="N52" s="854"/>
      <c r="O52" s="854"/>
      <c r="P52" s="854"/>
      <c r="Q52" s="854"/>
      <c r="R52" s="854"/>
      <c r="S52" s="854"/>
      <c r="T52" s="396"/>
      <c r="U52" s="396"/>
      <c r="V52" s="396"/>
      <c r="W52" s="396"/>
      <c r="X52" s="396"/>
      <c r="AA52" s="827"/>
      <c r="AH52" s="894" t="e">
        <f>+AB41/AA12</f>
        <v>#DIV/0!</v>
      </c>
      <c r="AI52" s="703" t="s">
        <v>107</v>
      </c>
    </row>
    <row r="53" spans="1:35">
      <c r="E53" s="706"/>
      <c r="AH53" s="856" t="e">
        <f>+AH42/AH52</f>
        <v>#DIV/0!</v>
      </c>
      <c r="AI53" s="703" t="s">
        <v>108</v>
      </c>
    </row>
    <row r="54" spans="1:35">
      <c r="E54" s="706"/>
    </row>
    <row r="55" spans="1:35">
      <c r="M55" s="1250"/>
      <c r="N55" s="1250"/>
      <c r="O55" s="1250"/>
      <c r="P55" s="1250"/>
      <c r="Q55" s="1250"/>
      <c r="R55" s="706"/>
      <c r="S55" s="706"/>
      <c r="Y55" s="1250"/>
      <c r="Z55" s="1250"/>
      <c r="AA55" s="1250"/>
      <c r="AB55" s="1250"/>
      <c r="AC55" s="1250"/>
      <c r="AD55" s="1250"/>
      <c r="AE55" s="1250"/>
      <c r="AF55" s="1250"/>
      <c r="AG55" s="1250"/>
    </row>
    <row r="56" spans="1:35">
      <c r="B56" s="1250"/>
      <c r="C56" s="1250"/>
      <c r="D56" s="1250"/>
      <c r="E56" s="1250"/>
      <c r="F56" s="1250"/>
      <c r="G56" s="1250"/>
      <c r="M56" s="1444">
        <f>R38</f>
        <v>0</v>
      </c>
      <c r="N56" s="1444"/>
      <c r="O56" s="1444"/>
      <c r="P56" s="1444"/>
      <c r="Q56" s="1444"/>
      <c r="R56" s="706"/>
      <c r="S56" s="706"/>
      <c r="Y56" s="1250"/>
      <c r="Z56" s="1250"/>
      <c r="AA56" s="1250"/>
      <c r="AB56" s="1250"/>
      <c r="AC56" s="1250"/>
      <c r="AD56" s="1250"/>
      <c r="AE56" s="1250"/>
      <c r="AF56" s="1250"/>
      <c r="AG56" s="1250"/>
    </row>
    <row r="57" spans="1:35">
      <c r="D57" s="831"/>
      <c r="E57" s="832"/>
      <c r="F57" s="831"/>
      <c r="G57" s="831"/>
      <c r="K57" s="706"/>
    </row>
    <row r="58" spans="1:35">
      <c r="E58" s="706"/>
      <c r="H58" s="1250"/>
      <c r="I58" s="1250"/>
      <c r="J58" s="1250"/>
      <c r="K58" s="1250"/>
    </row>
    <row r="59" spans="1:35">
      <c r="E59" s="706"/>
      <c r="AH59" s="894"/>
    </row>
    <row r="60" spans="1:35" ht="15" customHeight="1">
      <c r="E60" s="706"/>
      <c r="L60" s="856"/>
      <c r="AC60" s="894"/>
      <c r="AF60" s="895"/>
      <c r="AH60" s="856"/>
    </row>
    <row r="61" spans="1:35">
      <c r="B61" s="1250"/>
      <c r="C61" s="1250"/>
      <c r="D61" s="1250"/>
      <c r="E61" s="1250"/>
      <c r="F61" s="1250"/>
      <c r="G61" s="1250"/>
      <c r="L61" s="856"/>
      <c r="M61" s="1250"/>
      <c r="N61" s="1250"/>
      <c r="O61" s="1250"/>
      <c r="P61" s="1250"/>
      <c r="Q61" s="1250"/>
      <c r="R61" s="855"/>
      <c r="S61" s="855"/>
      <c r="Y61" s="1250"/>
      <c r="Z61" s="1250"/>
      <c r="AA61" s="1250"/>
      <c r="AB61" s="1250"/>
      <c r="AC61" s="1250"/>
      <c r="AD61" s="1250"/>
      <c r="AE61" s="1250"/>
      <c r="AF61" s="1250"/>
      <c r="AG61" s="1250"/>
    </row>
    <row r="62" spans="1:35">
      <c r="B62" s="1250"/>
      <c r="C62" s="1250"/>
      <c r="D62" s="1250"/>
      <c r="E62" s="1250"/>
      <c r="F62" s="1250"/>
      <c r="G62" s="1250"/>
      <c r="M62" s="1250"/>
      <c r="N62" s="1250"/>
      <c r="O62" s="1250"/>
      <c r="P62" s="1250"/>
      <c r="Q62" s="1250"/>
      <c r="R62" s="738"/>
      <c r="S62" s="738"/>
      <c r="T62" s="396"/>
      <c r="U62" s="396"/>
      <c r="V62" s="396"/>
      <c r="W62" s="396"/>
      <c r="X62" s="396"/>
      <c r="Y62" s="1250"/>
      <c r="Z62" s="1250"/>
      <c r="AA62" s="1250"/>
      <c r="AB62" s="1250"/>
      <c r="AC62" s="1250"/>
      <c r="AD62" s="1250"/>
      <c r="AE62" s="1250"/>
      <c r="AF62" s="1250"/>
      <c r="AG62" s="1250"/>
    </row>
    <row r="71" spans="2:23" ht="14.25" customHeight="1"/>
    <row r="72" spans="2:23" ht="14.25" customHeight="1"/>
    <row r="73" spans="2:23" ht="18.75" customHeight="1"/>
    <row r="74" spans="2:23" ht="15" customHeight="1"/>
    <row r="75" spans="2:23" ht="15" customHeight="1"/>
    <row r="76" spans="2:23">
      <c r="B76" s="709"/>
      <c r="C76" s="910"/>
      <c r="D76" s="910"/>
      <c r="E76" s="910"/>
      <c r="F76" s="709"/>
      <c r="G76" s="709"/>
      <c r="H76" s="709"/>
      <c r="I76" s="709"/>
      <c r="J76" s="709"/>
      <c r="M76" s="709"/>
      <c r="N76" s="709"/>
      <c r="O76" s="709"/>
      <c r="P76" s="709"/>
      <c r="Q76" s="910"/>
      <c r="R76" s="910"/>
      <c r="S76" s="910"/>
      <c r="T76" s="910"/>
      <c r="U76" s="910"/>
      <c r="V76" s="910"/>
      <c r="W76" s="910"/>
    </row>
    <row r="77" spans="2:23">
      <c r="B77" s="709"/>
      <c r="C77" s="911"/>
      <c r="D77" s="912"/>
      <c r="E77" s="709"/>
      <c r="F77" s="709"/>
      <c r="G77" s="709"/>
      <c r="H77" s="709"/>
      <c r="I77" s="913"/>
      <c r="J77" s="913"/>
      <c r="K77" s="911"/>
      <c r="L77" s="709"/>
      <c r="M77" s="709"/>
      <c r="N77" s="709"/>
      <c r="O77" s="709"/>
      <c r="P77" s="709"/>
    </row>
    <row r="78" spans="2:23">
      <c r="B78" s="709"/>
      <c r="C78" s="911"/>
      <c r="D78" s="912"/>
      <c r="E78" s="709"/>
      <c r="F78" s="709"/>
      <c r="G78" s="709"/>
      <c r="H78" s="709"/>
      <c r="I78" s="709"/>
      <c r="J78" s="709"/>
      <c r="K78" s="911"/>
      <c r="L78" s="709"/>
      <c r="M78" s="709"/>
      <c r="N78" s="709"/>
      <c r="O78" s="709"/>
      <c r="P78" s="709"/>
      <c r="Q78" s="709"/>
      <c r="R78" s="709"/>
      <c r="S78" s="709"/>
    </row>
    <row r="79" spans="2:23">
      <c r="B79" s="709"/>
      <c r="C79" s="709"/>
      <c r="D79" s="910"/>
      <c r="E79" s="709"/>
      <c r="F79" s="709"/>
      <c r="G79" s="709"/>
      <c r="H79" s="709"/>
      <c r="I79" s="709"/>
      <c r="J79" s="709"/>
      <c r="K79" s="709"/>
      <c r="L79" s="709"/>
      <c r="M79" s="709"/>
      <c r="N79" s="709"/>
      <c r="O79" s="709"/>
      <c r="P79" s="709"/>
      <c r="Q79" s="709"/>
      <c r="R79" s="709"/>
      <c r="S79" s="709"/>
    </row>
    <row r="80" spans="2:23">
      <c r="B80" s="709"/>
      <c r="C80" s="709"/>
      <c r="D80" s="910"/>
      <c r="E80" s="709"/>
      <c r="F80" s="709"/>
      <c r="G80" s="709"/>
      <c r="H80" s="709"/>
      <c r="K80" s="1250"/>
      <c r="L80" s="1250"/>
      <c r="M80" s="709"/>
      <c r="N80" s="709"/>
      <c r="O80" s="709"/>
      <c r="P80" s="709"/>
      <c r="Q80" s="709"/>
      <c r="R80" s="709"/>
      <c r="S80" s="709"/>
    </row>
    <row r="81" spans="2:21">
      <c r="B81" s="709"/>
      <c r="C81" s="709"/>
      <c r="D81" s="910"/>
      <c r="E81" s="709"/>
      <c r="F81" s="709"/>
      <c r="G81" s="709"/>
      <c r="H81" s="709"/>
      <c r="K81" s="1250"/>
      <c r="L81" s="1250"/>
      <c r="M81" s="709"/>
      <c r="N81" s="709"/>
      <c r="O81" s="709"/>
      <c r="P81" s="709"/>
      <c r="Q81" s="709"/>
      <c r="R81" s="709"/>
      <c r="S81" s="709"/>
    </row>
    <row r="82" spans="2:21">
      <c r="B82" s="709"/>
      <c r="C82" s="709"/>
      <c r="D82" s="910"/>
      <c r="F82" s="709"/>
      <c r="G82" s="709"/>
      <c r="H82" s="709"/>
      <c r="I82" s="709"/>
      <c r="J82" s="709"/>
      <c r="K82" s="709"/>
      <c r="L82" s="709"/>
      <c r="M82" s="709"/>
      <c r="N82" s="709"/>
      <c r="O82" s="709"/>
      <c r="P82" s="709"/>
      <c r="T82" s="709"/>
      <c r="U82" s="709"/>
    </row>
    <row r="83" spans="2:21">
      <c r="B83" s="709"/>
      <c r="C83" s="709"/>
      <c r="D83" s="910"/>
      <c r="E83" s="709"/>
      <c r="F83" s="709"/>
      <c r="G83" s="709"/>
      <c r="H83" s="709"/>
      <c r="I83" s="709"/>
      <c r="J83" s="709"/>
      <c r="K83" s="709"/>
      <c r="L83" s="709"/>
      <c r="M83" s="709"/>
      <c r="N83" s="709"/>
      <c r="O83" s="709"/>
      <c r="P83" s="709"/>
      <c r="Q83" s="709"/>
      <c r="R83" s="709"/>
      <c r="S83" s="709"/>
      <c r="T83" s="709"/>
      <c r="U83" s="709"/>
    </row>
    <row r="84" spans="2:21">
      <c r="B84" s="709"/>
      <c r="C84" s="709"/>
      <c r="D84" s="910"/>
      <c r="E84" s="709"/>
      <c r="F84" s="709"/>
      <c r="G84" s="709"/>
      <c r="H84" s="709"/>
      <c r="I84" s="709"/>
      <c r="J84" s="709"/>
      <c r="K84" s="709"/>
      <c r="L84" s="709"/>
      <c r="M84" s="709"/>
      <c r="N84" s="709"/>
      <c r="O84" s="709"/>
      <c r="P84" s="709"/>
      <c r="Q84" s="709"/>
      <c r="R84" s="709"/>
      <c r="S84" s="709"/>
      <c r="T84" s="709"/>
      <c r="U84" s="709"/>
    </row>
    <row r="86" spans="2:21">
      <c r="L86" s="709"/>
    </row>
    <row r="87" spans="2:21">
      <c r="L87" s="914"/>
    </row>
  </sheetData>
  <mergeCells count="172">
    <mergeCell ref="A42:AG42"/>
    <mergeCell ref="K80:L80"/>
    <mergeCell ref="K81:L81"/>
    <mergeCell ref="A50:E50"/>
    <mergeCell ref="H50:L50"/>
    <mergeCell ref="N50:Q50"/>
    <mergeCell ref="T50:Y50"/>
    <mergeCell ref="A47:E47"/>
    <mergeCell ref="G47:K47"/>
    <mergeCell ref="M47:R47"/>
    <mergeCell ref="T47:W47"/>
    <mergeCell ref="Y47:Z47"/>
    <mergeCell ref="T49:Y49"/>
    <mergeCell ref="AA49:AF49"/>
    <mergeCell ref="A20:K21"/>
    <mergeCell ref="L20:M21"/>
    <mergeCell ref="N20:O21"/>
    <mergeCell ref="H58:K58"/>
    <mergeCell ref="B61:G61"/>
    <mergeCell ref="M61:Q61"/>
    <mergeCell ref="Y61:AG61"/>
    <mergeCell ref="B62:G62"/>
    <mergeCell ref="M62:Q62"/>
    <mergeCell ref="Y62:AG62"/>
    <mergeCell ref="A48:E48"/>
    <mergeCell ref="H48:L48"/>
    <mergeCell ref="N48:Q48"/>
    <mergeCell ref="T48:Y48"/>
    <mergeCell ref="AA48:AF48"/>
    <mergeCell ref="A49:E49"/>
    <mergeCell ref="H49:L49"/>
    <mergeCell ref="N49:Q49"/>
    <mergeCell ref="AA50:AF50"/>
    <mergeCell ref="M55:Q55"/>
    <mergeCell ref="Y55:AG55"/>
    <mergeCell ref="B56:G56"/>
    <mergeCell ref="M56:Q56"/>
    <mergeCell ref="Y56:AG56"/>
    <mergeCell ref="A40:F40"/>
    <mergeCell ref="G40:I40"/>
    <mergeCell ref="K40:N40"/>
    <mergeCell ref="V40:AA40"/>
    <mergeCell ref="AB40:AD40"/>
    <mergeCell ref="AE40:AG40"/>
    <mergeCell ref="O41:P41"/>
    <mergeCell ref="Q41:T41"/>
    <mergeCell ref="V41:AA41"/>
    <mergeCell ref="AB41:AD41"/>
    <mergeCell ref="A41:F41"/>
    <mergeCell ref="G41:I41"/>
    <mergeCell ref="K41:N41"/>
    <mergeCell ref="A38:F38"/>
    <mergeCell ref="G38:I38"/>
    <mergeCell ref="O38:P38"/>
    <mergeCell ref="V38:AA38"/>
    <mergeCell ref="AB38:AD38"/>
    <mergeCell ref="AE38:AG38"/>
    <mergeCell ref="A39:F39"/>
    <mergeCell ref="G39:I39"/>
    <mergeCell ref="K39:N39"/>
    <mergeCell ref="V39:AA39"/>
    <mergeCell ref="AB39:AD39"/>
    <mergeCell ref="AE39:AG39"/>
    <mergeCell ref="A36:I36"/>
    <mergeCell ref="K36:N36"/>
    <mergeCell ref="O36:P36"/>
    <mergeCell ref="AB36:AD36"/>
    <mergeCell ref="AE36:AG36"/>
    <mergeCell ref="A37:F37"/>
    <mergeCell ref="G37:I37"/>
    <mergeCell ref="K37:N37"/>
    <mergeCell ref="O37:P37"/>
    <mergeCell ref="V37:AA37"/>
    <mergeCell ref="AB37:AD37"/>
    <mergeCell ref="AE37:AG37"/>
    <mergeCell ref="A34:F34"/>
    <mergeCell ref="G34:I34"/>
    <mergeCell ref="K34:N34"/>
    <mergeCell ref="O34:P34"/>
    <mergeCell ref="V34:AA34"/>
    <mergeCell ref="AB34:AD34"/>
    <mergeCell ref="AE34:AG34"/>
    <mergeCell ref="A35:F35"/>
    <mergeCell ref="G35:I35"/>
    <mergeCell ref="K35:N35"/>
    <mergeCell ref="O35:P35"/>
    <mergeCell ref="V35:AA35"/>
    <mergeCell ref="AB35:AD35"/>
    <mergeCell ref="AE35:AG35"/>
    <mergeCell ref="A32:F32"/>
    <mergeCell ref="G32:I32"/>
    <mergeCell ref="K32:N32"/>
    <mergeCell ref="O32:P32"/>
    <mergeCell ref="V32:AA32"/>
    <mergeCell ref="AB32:AD32"/>
    <mergeCell ref="AE32:AG32"/>
    <mergeCell ref="A33:F33"/>
    <mergeCell ref="G33:I33"/>
    <mergeCell ref="K33:N33"/>
    <mergeCell ref="O33:P33"/>
    <mergeCell ref="V33:AA33"/>
    <mergeCell ref="AB33:AD33"/>
    <mergeCell ref="AE33:AG33"/>
    <mergeCell ref="A28:B28"/>
    <mergeCell ref="C28:M28"/>
    <mergeCell ref="P28:R28"/>
    <mergeCell ref="S28:X28"/>
    <mergeCell ref="Y28:AA28"/>
    <mergeCell ref="A29:AG29"/>
    <mergeCell ref="A30:I30"/>
    <mergeCell ref="Q30:T30"/>
    <mergeCell ref="A31:F31"/>
    <mergeCell ref="G31:I31"/>
    <mergeCell ref="K31:N31"/>
    <mergeCell ref="O31:P31"/>
    <mergeCell ref="Q31:T31"/>
    <mergeCell ref="V31:AA31"/>
    <mergeCell ref="AB31:AD31"/>
    <mergeCell ref="AE31:AG31"/>
    <mergeCell ref="C22:K22"/>
    <mergeCell ref="P22:R22"/>
    <mergeCell ref="S22:X22"/>
    <mergeCell ref="AI22:AL22"/>
    <mergeCell ref="AM22:AN22"/>
    <mergeCell ref="A23:B23"/>
    <mergeCell ref="C23:K23"/>
    <mergeCell ref="P23:R23"/>
    <mergeCell ref="S23:X23"/>
    <mergeCell ref="AI23:AL23"/>
    <mergeCell ref="AM23:AN23"/>
    <mergeCell ref="L23:O26"/>
    <mergeCell ref="A24:B24"/>
    <mergeCell ref="C24:K24"/>
    <mergeCell ref="P20:X20"/>
    <mergeCell ref="Y20:AG20"/>
    <mergeCell ref="AO20:AR20"/>
    <mergeCell ref="P21:R21"/>
    <mergeCell ref="S21:X21"/>
    <mergeCell ref="Y21:AA21"/>
    <mergeCell ref="AB21:AG21"/>
    <mergeCell ref="AI21:AL21"/>
    <mergeCell ref="AM21:AN21"/>
    <mergeCell ref="AO21:AR21"/>
    <mergeCell ref="A15:C15"/>
    <mergeCell ref="K15:L15"/>
    <mergeCell ref="E17:N17"/>
    <mergeCell ref="AA17:AG17"/>
    <mergeCell ref="E18:N18"/>
    <mergeCell ref="AA18:AG18"/>
    <mergeCell ref="A19:E19"/>
    <mergeCell ref="H19:K19"/>
    <mergeCell ref="A11:C11"/>
    <mergeCell ref="E11:N11"/>
    <mergeCell ref="AA11:AB11"/>
    <mergeCell ref="AD11:AG11"/>
    <mergeCell ref="AA12:AB12"/>
    <mergeCell ref="A13:C13"/>
    <mergeCell ref="E13:N13"/>
    <mergeCell ref="AA13:AB13"/>
    <mergeCell ref="A14:C14"/>
    <mergeCell ref="E14:N14"/>
    <mergeCell ref="AA14:AG14"/>
    <mergeCell ref="A3:AG3"/>
    <mergeCell ref="A5:AG5"/>
    <mergeCell ref="A6:AG6"/>
    <mergeCell ref="AC7:AG7"/>
    <mergeCell ref="A8:AG8"/>
    <mergeCell ref="A10:C10"/>
    <mergeCell ref="E10:N10"/>
    <mergeCell ref="AA10:AB10"/>
    <mergeCell ref="AC10:AD10"/>
    <mergeCell ref="AE10:AG10"/>
  </mergeCells>
  <printOptions horizontalCentered="1"/>
  <pageMargins left="0.1181" right="0.1181" top="0.78739999999999999" bottom="0.39369999999999999" header="0.39369999999999999" footer="0"/>
  <pageSetup paperSize="9" scale="50"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MJ50"/>
  <sheetViews>
    <sheetView view="pageBreakPreview" topLeftCell="A3" zoomScale="49" zoomScaleNormal="100" zoomScaleSheetLayoutView="49" workbookViewId="0">
      <selection activeCell="K24" sqref="K24"/>
    </sheetView>
  </sheetViews>
  <sheetFormatPr defaultColWidth="9" defaultRowHeight="15"/>
  <cols>
    <col min="1" max="1" width="14.625" style="542" customWidth="1"/>
    <col min="2" max="2" width="1.375" style="373" customWidth="1"/>
    <col min="3" max="3" width="73.5" style="373" customWidth="1"/>
    <col min="4" max="5" width="17" style="383" customWidth="1"/>
    <col min="6" max="6" width="8.375" style="374" customWidth="1"/>
    <col min="7" max="12" width="17" style="373" customWidth="1"/>
    <col min="13" max="13" width="18.875" style="373" customWidth="1"/>
    <col min="14" max="14" width="14.625" style="751" customWidth="1"/>
    <col min="15" max="15" width="14.625" style="373" customWidth="1"/>
    <col min="16" max="16" width="10.25" style="373" customWidth="1"/>
    <col min="17" max="17" width="31.75" style="373" customWidth="1"/>
    <col min="18" max="260" width="8.5" style="373" customWidth="1"/>
    <col min="261" max="261" width="9.25" style="373" customWidth="1"/>
    <col min="262" max="262" width="1.375" style="373" customWidth="1"/>
    <col min="263" max="263" width="73" style="373" customWidth="1"/>
    <col min="264" max="264" width="14.125" style="373" customWidth="1"/>
    <col min="265" max="265" width="6.875" style="373" customWidth="1"/>
    <col min="266" max="267" width="22.125" style="373" customWidth="1"/>
    <col min="268" max="268" width="23.375" style="373" customWidth="1"/>
    <col min="269" max="269" width="15.5" style="373" customWidth="1"/>
    <col min="270" max="270" width="8.5" style="373" customWidth="1"/>
    <col min="271" max="271" width="14.625" style="373" customWidth="1"/>
    <col min="272" max="272" width="10.25" style="373" customWidth="1"/>
    <col min="273" max="273" width="31.75" style="373" customWidth="1"/>
    <col min="274" max="516" width="8.5" style="373" customWidth="1"/>
    <col min="517" max="517" width="9.25" style="373" customWidth="1"/>
    <col min="518" max="518" width="1.375" style="373" customWidth="1"/>
    <col min="519" max="519" width="73" style="373" customWidth="1"/>
    <col min="520" max="520" width="14.125" style="373" customWidth="1"/>
    <col min="521" max="521" width="6.875" style="373" customWidth="1"/>
    <col min="522" max="523" width="22.125" style="373" customWidth="1"/>
    <col min="524" max="524" width="23.375" style="373" customWidth="1"/>
    <col min="525" max="525" width="15.5" style="373" customWidth="1"/>
    <col min="526" max="526" width="8.5" style="373" customWidth="1"/>
    <col min="527" max="527" width="14.625" style="373" customWidth="1"/>
    <col min="528" max="528" width="10.25" style="373" customWidth="1"/>
    <col min="529" max="529" width="31.75" style="373" customWidth="1"/>
    <col min="530" max="772" width="8.5" style="373" customWidth="1"/>
    <col min="773" max="773" width="9.25" style="373" customWidth="1"/>
    <col min="774" max="774" width="1.375" style="373" customWidth="1"/>
    <col min="775" max="775" width="73" style="373" customWidth="1"/>
    <col min="776" max="776" width="14.125" style="373" customWidth="1"/>
    <col min="777" max="777" width="6.875" style="373" customWidth="1"/>
    <col min="778" max="779" width="22.125" style="373" customWidth="1"/>
    <col min="780" max="780" width="23.375" style="373" customWidth="1"/>
    <col min="781" max="781" width="15.5" style="373" customWidth="1"/>
    <col min="782" max="782" width="8.5" style="373" customWidth="1"/>
    <col min="783" max="783" width="14.625" style="373" customWidth="1"/>
    <col min="784" max="784" width="10.25" style="373" customWidth="1"/>
    <col min="785" max="785" width="31.75" style="373" customWidth="1"/>
    <col min="786" max="1024" width="8.5" style="373" customWidth="1"/>
    <col min="1025" max="1025" width="9" customWidth="1"/>
  </cols>
  <sheetData>
    <row r="1" spans="1:16" s="396" customFormat="1">
      <c r="A1" s="752"/>
      <c r="D1" s="599"/>
      <c r="E1" s="599"/>
      <c r="F1" s="738"/>
      <c r="N1" s="783"/>
    </row>
    <row r="2" spans="1:16" s="750" customFormat="1" ht="15.6" customHeight="1">
      <c r="A2" s="605"/>
      <c r="B2" s="605"/>
      <c r="C2" s="605"/>
      <c r="D2" s="608"/>
      <c r="E2" s="608"/>
      <c r="F2" s="605"/>
      <c r="G2" s="605"/>
      <c r="H2" s="605"/>
      <c r="I2" s="605"/>
      <c r="J2" s="605"/>
      <c r="K2" s="605"/>
      <c r="L2" s="605"/>
      <c r="M2" s="605"/>
      <c r="N2" s="784"/>
    </row>
    <row r="3" spans="1:16" s="396" customFormat="1" ht="15.75" customHeight="1">
      <c r="A3" s="1253" t="str">
        <f>'POW-2015-01C-00_'!A2:R2</f>
        <v>CONSTRUCTION OF ROAD</v>
      </c>
      <c r="B3" s="1253"/>
      <c r="C3" s="1253"/>
      <c r="D3" s="1253"/>
      <c r="E3" s="1253"/>
      <c r="F3" s="1253"/>
      <c r="G3" s="1253"/>
      <c r="H3" s="1253"/>
      <c r="I3" s="1253"/>
      <c r="J3" s="1253"/>
      <c r="K3" s="1253"/>
      <c r="L3" s="1253"/>
      <c r="M3" s="1253"/>
      <c r="N3" s="783"/>
    </row>
    <row r="4" spans="1:16" s="396" customFormat="1" ht="15.75" customHeight="1">
      <c r="A4" s="1254" t="str">
        <f>'POW-2015-01C-00_'!A3:R3</f>
        <v>BRGY. L. PIMENTEL, SAN LUIS, AURORA</v>
      </c>
      <c r="B4" s="1254"/>
      <c r="C4" s="1254"/>
      <c r="D4" s="1254"/>
      <c r="E4" s="1254"/>
      <c r="F4" s="1254"/>
      <c r="G4" s="1254"/>
      <c r="H4" s="1254"/>
      <c r="I4" s="1254"/>
      <c r="J4" s="1254"/>
      <c r="K4" s="1254"/>
      <c r="L4" s="1254"/>
      <c r="M4" s="1254"/>
      <c r="N4" s="783"/>
    </row>
    <row r="5" spans="1:16" s="396" customFormat="1" ht="15.75" customHeight="1">
      <c r="A5" s="606"/>
      <c r="B5" s="606"/>
      <c r="C5" s="606"/>
      <c r="D5" s="753"/>
      <c r="E5" s="753"/>
      <c r="F5" s="606"/>
      <c r="G5" s="606"/>
      <c r="H5" s="606"/>
      <c r="I5" s="606"/>
      <c r="J5" s="606"/>
      <c r="K5" s="606"/>
      <c r="L5" s="606"/>
      <c r="M5" s="606"/>
      <c r="N5" s="783"/>
    </row>
    <row r="6" spans="1:16" s="396" customFormat="1" ht="20.25" customHeight="1">
      <c r="A6" s="606"/>
      <c r="B6" s="606"/>
      <c r="C6" s="754"/>
      <c r="D6" s="755"/>
      <c r="E6" s="755"/>
      <c r="F6" s="756"/>
      <c r="G6" s="754"/>
      <c r="H6" s="754"/>
      <c r="I6" s="754"/>
      <c r="J6" s="754"/>
      <c r="K6" s="754"/>
      <c r="L6" s="785"/>
      <c r="M6" s="786" t="s">
        <v>109</v>
      </c>
      <c r="N6" s="783"/>
    </row>
    <row r="7" spans="1:16" ht="24.95" customHeight="1">
      <c r="A7" s="1445" t="s">
        <v>110</v>
      </c>
      <c r="B7" s="1445"/>
      <c r="C7" s="1445"/>
      <c r="D7" s="1445"/>
      <c r="E7" s="1445"/>
      <c r="F7" s="1445"/>
      <c r="G7" s="1445"/>
      <c r="H7" s="1445"/>
      <c r="I7" s="1445"/>
      <c r="J7" s="1445"/>
      <c r="K7" s="1445"/>
      <c r="L7" s="1445"/>
      <c r="M7" s="1445"/>
    </row>
    <row r="8" spans="1:16" s="542" customFormat="1" ht="24.95" customHeight="1">
      <c r="A8" s="1450" t="s">
        <v>4</v>
      </c>
      <c r="B8" s="1454" t="s">
        <v>5</v>
      </c>
      <c r="C8" s="1454"/>
      <c r="D8" s="1455" t="s">
        <v>30</v>
      </c>
      <c r="E8" s="1455"/>
      <c r="F8" s="1448" t="s">
        <v>31</v>
      </c>
      <c r="G8" s="1446" t="s">
        <v>111</v>
      </c>
      <c r="H8" s="1446"/>
      <c r="I8" s="1446"/>
      <c r="J8" s="1446"/>
      <c r="K8" s="1456" t="s">
        <v>112</v>
      </c>
      <c r="L8" s="1456"/>
      <c r="M8" s="1449" t="s">
        <v>113</v>
      </c>
      <c r="N8" s="1453" t="s">
        <v>10</v>
      </c>
    </row>
    <row r="9" spans="1:16" s="542" customFormat="1" ht="24.95" customHeight="1">
      <c r="A9" s="1450"/>
      <c r="B9" s="1454"/>
      <c r="C9" s="1454"/>
      <c r="D9" s="1455"/>
      <c r="E9" s="1455"/>
      <c r="F9" s="1448"/>
      <c r="G9" s="1447" t="s">
        <v>15</v>
      </c>
      <c r="H9" s="1447"/>
      <c r="I9" s="1447" t="s">
        <v>33</v>
      </c>
      <c r="J9" s="1447"/>
      <c r="K9" s="1456"/>
      <c r="L9" s="1456"/>
      <c r="M9" s="1449"/>
      <c r="N9" s="1453"/>
    </row>
    <row r="10" spans="1:16" s="542" customFormat="1" ht="24.95" customHeight="1">
      <c r="A10" s="1450"/>
      <c r="B10" s="1454"/>
      <c r="C10" s="1454"/>
      <c r="D10" s="757" t="s">
        <v>14</v>
      </c>
      <c r="E10" s="757" t="s">
        <v>13</v>
      </c>
      <c r="F10" s="1448"/>
      <c r="G10" s="758" t="s">
        <v>14</v>
      </c>
      <c r="H10" s="758" t="s">
        <v>13</v>
      </c>
      <c r="I10" s="758" t="s">
        <v>14</v>
      </c>
      <c r="J10" s="758" t="s">
        <v>13</v>
      </c>
      <c r="K10" s="787" t="s">
        <v>14</v>
      </c>
      <c r="L10" s="787" t="s">
        <v>13</v>
      </c>
      <c r="M10" s="788" t="s">
        <v>13</v>
      </c>
      <c r="N10" s="789"/>
    </row>
    <row r="11" spans="1:16" s="543" customFormat="1" ht="24.95" customHeight="1">
      <c r="A11" s="759" t="str">
        <f>+'POW-2015-01C-00_'!A11</f>
        <v>PART A</v>
      </c>
      <c r="B11" s="1457" t="str">
        <f>+'POW-2015-01C-00_'!B11</f>
        <v>FACILITIES FOR THE ENGINEER</v>
      </c>
      <c r="C11" s="1457"/>
      <c r="D11" s="760"/>
      <c r="E11" s="760"/>
      <c r="F11" s="761"/>
      <c r="G11" s="762"/>
      <c r="H11" s="762"/>
      <c r="I11" s="762"/>
      <c r="J11" s="762"/>
      <c r="K11" s="790"/>
      <c r="L11" s="791"/>
      <c r="M11" s="792"/>
      <c r="N11" s="793"/>
    </row>
    <row r="12" spans="1:16" ht="24.95" customHeight="1">
      <c r="A12" s="763" t="str">
        <f>'POW-2015-01C-00_'!A12</f>
        <v>A.1.1 (3)</v>
      </c>
      <c r="B12" s="1460" t="str">
        <f>'POW-2015-01C-00_'!B12</f>
        <v>Construction of Field Office for the Engineer</v>
      </c>
      <c r="C12" s="1460"/>
      <c r="D12" s="749">
        <f>+VLOOKUP(A12,SUMMARY,7,0)</f>
        <v>1</v>
      </c>
      <c r="E12" s="749"/>
      <c r="F12" s="618" t="str">
        <f>'POW-2015-01C-00_'!G12</f>
        <v>ls</v>
      </c>
      <c r="G12" s="764">
        <f>'POW-2015-01C-00_'!N13</f>
        <v>48948.07</v>
      </c>
      <c r="H12" s="618"/>
      <c r="I12" s="794">
        <f>G12/D12</f>
        <v>48948.07</v>
      </c>
      <c r="J12" s="749"/>
      <c r="K12" s="794">
        <f>+'POW-2015-01C-00_'!S13</f>
        <v>61674.559999999998</v>
      </c>
      <c r="L12" s="795"/>
      <c r="M12" s="796">
        <f>+(G12/$G$36)*100</f>
        <v>0.62745635373864028</v>
      </c>
      <c r="O12" s="373" t="b">
        <f>K12='A_1_1_(3)'!I71</f>
        <v>0</v>
      </c>
    </row>
    <row r="13" spans="1:16" s="542" customFormat="1" ht="24.95" customHeight="1">
      <c r="A13" s="765"/>
      <c r="B13" s="1459" t="str">
        <f>+'POW-2015-01C-00_'!B14</f>
        <v>TOTAL OF PART A</v>
      </c>
      <c r="C13" s="1459"/>
      <c r="D13" s="766"/>
      <c r="E13" s="766"/>
      <c r="F13" s="767"/>
      <c r="G13" s="768">
        <f>+G12</f>
        <v>48948.07</v>
      </c>
      <c r="H13" s="768"/>
      <c r="I13" s="797"/>
      <c r="J13" s="797"/>
      <c r="K13" s="797"/>
      <c r="L13" s="798"/>
      <c r="M13" s="799">
        <f>+M12</f>
        <v>0.62745635373864028</v>
      </c>
      <c r="N13" s="751"/>
      <c r="O13" s="383"/>
    </row>
    <row r="14" spans="1:16" s="543" customFormat="1" ht="24.95" customHeight="1">
      <c r="A14" s="769" t="str">
        <f>+'POW-2015-01C-00_'!A16</f>
        <v>PART B</v>
      </c>
      <c r="B14" s="1457" t="str">
        <f>+'POW-2015-01C-00_'!B16</f>
        <v>OTHER GENERAL REQUIREMENTS</v>
      </c>
      <c r="C14" s="1457"/>
      <c r="D14" s="770"/>
      <c r="E14" s="770"/>
      <c r="F14" s="771"/>
      <c r="G14" s="770"/>
      <c r="H14" s="770"/>
      <c r="I14" s="770"/>
      <c r="J14" s="770"/>
      <c r="K14" s="770"/>
      <c r="L14" s="800"/>
      <c r="M14" s="801"/>
      <c r="N14" s="793"/>
    </row>
    <row r="15" spans="1:16" ht="24.95" customHeight="1">
      <c r="A15" s="772" t="str">
        <f>'POW-2015-01C-00_'!A17</f>
        <v>B.5</v>
      </c>
      <c r="B15" s="1458" t="str">
        <f>'POW-2015-01C-00_'!B17</f>
        <v>Project Billboard/ Signboard (DPWH)</v>
      </c>
      <c r="C15" s="1458"/>
      <c r="D15" s="618">
        <f>+SOQ!G15</f>
        <v>2</v>
      </c>
      <c r="E15" s="618"/>
      <c r="F15" s="749" t="str">
        <f>'POW-2015-01C-00_'!G17</f>
        <v>ea</v>
      </c>
      <c r="G15" s="773">
        <f>+'POW-2015-01C-00_'!N18</f>
        <v>6832.04</v>
      </c>
      <c r="H15" s="773"/>
      <c r="I15" s="794">
        <f>G15/D15</f>
        <v>3416.02</v>
      </c>
      <c r="J15" s="773"/>
      <c r="K15" s="794">
        <f>+'POW-2015-01C-00_'!S18</f>
        <v>4304.1850000000004</v>
      </c>
      <c r="L15" s="802"/>
      <c r="M15" s="796">
        <f>+(G15/$G$36)*100</f>
        <v>8.7578670762637631E-2</v>
      </c>
      <c r="O15" s="373" t="b">
        <f>K15='B_5(dp)'!I60</f>
        <v>0</v>
      </c>
      <c r="P15" s="393"/>
    </row>
    <row r="16" spans="1:16" ht="24.95" customHeight="1">
      <c r="A16" s="772" t="str">
        <f>'POW-2015-01C-00_'!A19</f>
        <v>B.5</v>
      </c>
      <c r="B16" s="1458" t="str">
        <f>'POW-2015-01C-00_'!B19</f>
        <v>Project Billboard/ Signboard (COA)</v>
      </c>
      <c r="C16" s="1458"/>
      <c r="D16" s="618">
        <f>+SOQ!G16</f>
        <v>1</v>
      </c>
      <c r="E16" s="618"/>
      <c r="F16" s="749" t="str">
        <f>'POW-2015-01C-00_'!G19</f>
        <v>ea</v>
      </c>
      <c r="G16" s="773">
        <f>'POW-2015-01C-00_'!N20</f>
        <v>6832.04</v>
      </c>
      <c r="H16" s="773"/>
      <c r="I16" s="794">
        <f>G16/D16</f>
        <v>6832.04</v>
      </c>
      <c r="J16" s="773"/>
      <c r="K16" s="794">
        <f>+'POW-2015-01C-00_'!S20</f>
        <v>8608.3700000000008</v>
      </c>
      <c r="L16" s="802"/>
      <c r="M16" s="796">
        <f>+(G16/$G$36)*100</f>
        <v>8.7578670762637631E-2</v>
      </c>
      <c r="O16" s="373" t="b">
        <f>K16='B_5_(coa)'!I60</f>
        <v>1</v>
      </c>
      <c r="P16" s="393"/>
    </row>
    <row r="17" spans="1:17" ht="24.95" customHeight="1">
      <c r="A17" s="772" t="str">
        <f>'POW-2015-01C-00_'!A21</f>
        <v>B.7 (2)</v>
      </c>
      <c r="B17" s="1458" t="str">
        <f>'POW-2015-01C-00_'!B21</f>
        <v>Occupational Safety and Health Program</v>
      </c>
      <c r="C17" s="1458"/>
      <c r="D17" s="749">
        <f>+VLOOKUP(A17,SUMMARY,7,0)</f>
        <v>1</v>
      </c>
      <c r="E17" s="749"/>
      <c r="F17" s="749" t="str">
        <f>'POW-2015-01C-00_'!G21</f>
        <v>ls</v>
      </c>
      <c r="G17" s="773">
        <f>'POW-2015-01C-00_'!N22</f>
        <v>109314.5</v>
      </c>
      <c r="H17" s="773"/>
      <c r="I17" s="794">
        <f>G17/D17</f>
        <v>109314.5</v>
      </c>
      <c r="J17" s="773"/>
      <c r="K17" s="803">
        <f>+'POW-2015-01C-00_'!S22</f>
        <v>123962.64</v>
      </c>
      <c r="L17" s="802"/>
      <c r="M17" s="796">
        <f>+(G17/$G$36)*100</f>
        <v>1.4012825752018945</v>
      </c>
      <c r="O17" s="373" t="b">
        <f>K17='B_7(2)'!I63</f>
        <v>0</v>
      </c>
    </row>
    <row r="18" spans="1:17" ht="24.95" customHeight="1">
      <c r="A18" s="772" t="str">
        <f>'POW-2015-01C-00_'!A23</f>
        <v>B.8(2)</v>
      </c>
      <c r="B18" s="1458" t="str">
        <f>'POW-2015-01C-00_'!B23</f>
        <v>Road Works Safety and Traffic Management</v>
      </c>
      <c r="C18" s="1458"/>
      <c r="D18" s="749">
        <f>+VLOOKUP(A18,SUMMARY,7,0)</f>
        <v>1</v>
      </c>
      <c r="E18" s="749"/>
      <c r="F18" s="749" t="str">
        <f>'POW-2015-01C-00_'!G23</f>
        <v>ls</v>
      </c>
      <c r="G18" s="773">
        <f>'POW-2015-01C-00_'!N24</f>
        <v>11559.6</v>
      </c>
      <c r="H18" s="773"/>
      <c r="I18" s="794">
        <f>G18/D18</f>
        <v>11559.6</v>
      </c>
      <c r="J18" s="773"/>
      <c r="K18" s="803">
        <f>+'POW-2015-01C-00_'!S24</f>
        <v>13108.59</v>
      </c>
      <c r="L18" s="802"/>
      <c r="M18" s="796">
        <f>+(G18/$G$36)*100</f>
        <v>0.14818039744319209</v>
      </c>
      <c r="O18" s="373" t="b">
        <f>K18='B_8(2)'!I57</f>
        <v>1</v>
      </c>
    </row>
    <row r="19" spans="1:17" ht="24.95" customHeight="1">
      <c r="A19" s="772" t="str">
        <f>'POW-2015-01C-00_'!A25</f>
        <v>B.9</v>
      </c>
      <c r="B19" s="1458" t="str">
        <f>'POW-2015-01C-00_'!B25</f>
        <v>Mobilization/ Demobilization</v>
      </c>
      <c r="C19" s="1458"/>
      <c r="D19" s="749">
        <f>+VLOOKUP(A19,SUMMARY,7,0)</f>
        <v>1</v>
      </c>
      <c r="E19" s="618"/>
      <c r="F19" s="749" t="str">
        <f>'POW-2015-01C-00_'!G25</f>
        <v>ls</v>
      </c>
      <c r="G19" s="773">
        <f>'POW-2015-01C-00_'!N26</f>
        <v>67000</v>
      </c>
      <c r="H19" s="773"/>
      <c r="I19" s="794">
        <f>G19/D19</f>
        <v>67000</v>
      </c>
      <c r="J19" s="773"/>
      <c r="K19" s="803">
        <f>+'POW-2015-01C-00_'!S26</f>
        <v>70350</v>
      </c>
      <c r="L19" s="802"/>
      <c r="M19" s="796">
        <f>+(G19/$G$36)*100</f>
        <v>0.85886074160817572</v>
      </c>
      <c r="O19" s="373" t="b">
        <f>K19=B_9!I57</f>
        <v>1</v>
      </c>
    </row>
    <row r="20" spans="1:17" s="542" customFormat="1" ht="24.95" customHeight="1">
      <c r="A20" s="765"/>
      <c r="B20" s="1459" t="str">
        <f>+'POW-2015-01C-00_'!B27</f>
        <v>TOTAL OF PART B</v>
      </c>
      <c r="C20" s="1459"/>
      <c r="D20" s="766"/>
      <c r="E20" s="766"/>
      <c r="F20" s="766"/>
      <c r="G20" s="768">
        <f>+SUM(G15:G19)</f>
        <v>201538.18</v>
      </c>
      <c r="H20" s="768"/>
      <c r="I20" s="768"/>
      <c r="J20" s="768"/>
      <c r="K20" s="768"/>
      <c r="L20" s="804"/>
      <c r="M20" s="805">
        <f>+SUM(M15:M19)</f>
        <v>2.5834810557785373</v>
      </c>
      <c r="N20" s="789"/>
      <c r="O20" s="383"/>
      <c r="Q20" s="689"/>
    </row>
    <row r="21" spans="1:17" s="543" customFormat="1" ht="24.95" customHeight="1">
      <c r="A21" s="769" t="str">
        <f>+'POW-2015-01C-00_'!A29</f>
        <v>PART C</v>
      </c>
      <c r="B21" s="1457" t="str">
        <f>+'POW-2015-01C-00_'!B29</f>
        <v>EARTHWORK</v>
      </c>
      <c r="C21" s="1457"/>
      <c r="D21" s="770"/>
      <c r="E21" s="770"/>
      <c r="F21" s="771"/>
      <c r="G21" s="770"/>
      <c r="H21" s="770"/>
      <c r="I21" s="770"/>
      <c r="J21" s="770"/>
      <c r="K21" s="770"/>
      <c r="L21" s="800"/>
      <c r="M21" s="801"/>
      <c r="N21" s="793"/>
    </row>
    <row r="22" spans="1:17" ht="24.95" hidden="1" customHeight="1">
      <c r="A22" s="772" t="str">
        <f>+'POW-2015-01C-00_'!A30</f>
        <v>100(3)a1</v>
      </c>
      <c r="B22" s="1458" t="str">
        <f>+'POW-2015-01C-00_'!B30</f>
        <v>Individual Removal of Trees (150-300 mm dia., Small)</v>
      </c>
      <c r="C22" s="1458"/>
      <c r="D22" s="749">
        <f>+VLOOKUP(A22,SUMMARY,7,0)</f>
        <v>0</v>
      </c>
      <c r="E22" s="749"/>
      <c r="F22" s="749" t="str">
        <f>+'POW-2015-01C-00_'!G30</f>
        <v>ea</v>
      </c>
      <c r="G22" s="773">
        <f>+'POW-2015-01C-00_'!N31</f>
        <v>0</v>
      </c>
      <c r="H22" s="773"/>
      <c r="I22" s="794" t="e">
        <f>G22/D22</f>
        <v>#DIV/0!</v>
      </c>
      <c r="J22" s="773"/>
      <c r="K22" s="803" t="e">
        <f>+'POW-2015-01C-00_'!S31</f>
        <v>#DIV/0!</v>
      </c>
      <c r="L22" s="802"/>
      <c r="M22" s="796">
        <f>+(G22/$G$36)*100</f>
        <v>0</v>
      </c>
      <c r="O22" s="373" t="e">
        <f>K22='100(3)a1'!I40</f>
        <v>#DIV/0!</v>
      </c>
    </row>
    <row r="23" spans="1:17" ht="24.95" customHeight="1">
      <c r="A23" s="772" t="str">
        <f>+'POW-2015-01C-00_'!A32</f>
        <v>102(2)</v>
      </c>
      <c r="B23" s="1458" t="str">
        <f>+'POW-2015-01C-00_'!B32</f>
        <v>Surplus Common Excavation</v>
      </c>
      <c r="C23" s="1458"/>
      <c r="D23" s="749">
        <f>+VLOOKUP(A23,SUMMARY,7,0)</f>
        <v>800.05000000000018</v>
      </c>
      <c r="E23" s="749"/>
      <c r="F23" s="749" t="str">
        <f>+'POW-2015-01C-00_'!G32</f>
        <v>cum</v>
      </c>
      <c r="G23" s="773">
        <f>+'POW-2015-01C-00_'!N33</f>
        <v>184315.51999999999</v>
      </c>
      <c r="H23" s="773"/>
      <c r="I23" s="794">
        <f>G23/D23</f>
        <v>230.3800012499218</v>
      </c>
      <c r="J23" s="773"/>
      <c r="K23" s="803">
        <f>+'POW-2015-01C-00_'!S33</f>
        <v>290.2787950753077</v>
      </c>
      <c r="L23" s="802"/>
      <c r="M23" s="796">
        <f>+(G23/$G$36)*100</f>
        <v>2.3627069283148736</v>
      </c>
      <c r="O23" s="373" t="b">
        <f>K24='102(2)'!I58</f>
        <v>0</v>
      </c>
    </row>
    <row r="24" spans="1:17" ht="24.95" customHeight="1">
      <c r="A24" s="772" t="str">
        <f>+'POW-2015-01C-00_'!A34</f>
        <v>104(2)a</v>
      </c>
      <c r="B24" s="1458" t="str">
        <f>+'POW-2015-01C-00_'!B34</f>
        <v>Embankment from Borrow (Common Soil)</v>
      </c>
      <c r="C24" s="1458"/>
      <c r="D24" s="749">
        <f>+VLOOKUP(A24,SUMMARY,7,0)</f>
        <v>848.88</v>
      </c>
      <c r="E24" s="749"/>
      <c r="F24" s="749" t="str">
        <f>+'POW-2015-01C-00_'!G34</f>
        <v>cum</v>
      </c>
      <c r="G24" s="773">
        <f>+'POW-2015-01C-00_'!N35</f>
        <v>468581.76</v>
      </c>
      <c r="H24" s="773"/>
      <c r="I24" s="794">
        <f>G24/D24</f>
        <v>552</v>
      </c>
      <c r="J24" s="773"/>
      <c r="K24" s="803">
        <f>+'POW-2015-01C-00_'!S35</f>
        <v>695.52000282725476</v>
      </c>
      <c r="L24" s="802"/>
      <c r="M24" s="796">
        <f>+(G24/$G$36)*100</f>
        <v>6.0066638492188691</v>
      </c>
      <c r="O24" s="373" t="b">
        <f>K25='104(1)a'!I67</f>
        <v>0</v>
      </c>
    </row>
    <row r="25" spans="1:17" ht="24.95" customHeight="1">
      <c r="A25" s="772" t="str">
        <f>+'POW-2015-01C-00_'!A36</f>
        <v>105(1)a</v>
      </c>
      <c r="B25" s="1458" t="str">
        <f>+'POW-2015-01C-00_'!B36</f>
        <v>Subgrade Preparation (Common Material)</v>
      </c>
      <c r="C25" s="1458"/>
      <c r="D25" s="749">
        <f>+VLOOKUP(A25,SUMMARY,7,0)</f>
        <v>5778</v>
      </c>
      <c r="E25" s="749"/>
      <c r="F25" s="749" t="str">
        <f>+'POW-2015-01C-00_'!G36</f>
        <v>sqm</v>
      </c>
      <c r="G25" s="773">
        <f>+'POW-2015-01C-00_'!N37</f>
        <v>122320.26</v>
      </c>
      <c r="H25" s="773"/>
      <c r="I25" s="794">
        <f>G25/D25</f>
        <v>21.169999999999998</v>
      </c>
      <c r="J25" s="773"/>
      <c r="K25" s="803">
        <f>+'POW-2015-01C-00_'!S37</f>
        <v>26.674200415368638</v>
      </c>
      <c r="L25" s="802"/>
      <c r="M25" s="796">
        <f>+(G25/$G$36)*100</f>
        <v>1.5680010330941025</v>
      </c>
      <c r="O25" s="373" t="b">
        <f>K25='105(1)a'!I56</f>
        <v>0</v>
      </c>
    </row>
    <row r="26" spans="1:17" s="542" customFormat="1" ht="24.95" customHeight="1">
      <c r="A26" s="765"/>
      <c r="B26" s="1459" t="str">
        <f>+'POW-2015-01C-00_'!B38</f>
        <v>TOTAL OF PART C</v>
      </c>
      <c r="C26" s="1459"/>
      <c r="D26" s="766"/>
      <c r="E26" s="766"/>
      <c r="F26" s="766"/>
      <c r="G26" s="768">
        <f>+SUM(G22:G25)</f>
        <v>775217.54</v>
      </c>
      <c r="H26" s="768"/>
      <c r="I26" s="806"/>
      <c r="J26" s="768"/>
      <c r="K26" s="768"/>
      <c r="L26" s="804"/>
      <c r="M26" s="768">
        <f>+SUM(M22:M25)</f>
        <v>9.9373718106278446</v>
      </c>
      <c r="N26" s="789"/>
      <c r="O26" s="383"/>
      <c r="Q26" s="689"/>
    </row>
    <row r="27" spans="1:17" s="543" customFormat="1" ht="24.95" customHeight="1">
      <c r="A27" s="769" t="str">
        <f>+'POW-2015-01C-00_'!A40</f>
        <v>PART D</v>
      </c>
      <c r="B27" s="1457" t="str">
        <f>+'POW-2015-01C-00_'!B40</f>
        <v>SUBBASE AND BASE COURSE</v>
      </c>
      <c r="C27" s="1457"/>
      <c r="D27" s="770"/>
      <c r="E27" s="770"/>
      <c r="F27" s="771"/>
      <c r="G27" s="770"/>
      <c r="H27" s="770"/>
      <c r="I27" s="770"/>
      <c r="J27" s="770"/>
      <c r="K27" s="770"/>
      <c r="L27" s="800"/>
      <c r="M27" s="801"/>
      <c r="N27" s="793"/>
    </row>
    <row r="28" spans="1:17" ht="24.95" customHeight="1">
      <c r="A28" s="772" t="str">
        <f>+'POW-2015-01C-00_'!A41</f>
        <v>200(1)</v>
      </c>
      <c r="B28" s="1458" t="str">
        <f>+'POW-2015-01C-00_'!B41</f>
        <v>Aggregate Subbase Course</v>
      </c>
      <c r="C28" s="1458"/>
      <c r="D28" s="749">
        <f>+VLOOKUP(A28,SUMMARY,7,0)</f>
        <v>1551.95</v>
      </c>
      <c r="E28" s="749"/>
      <c r="F28" s="749" t="str">
        <f>+'POW-2015-01C-00_'!G41</f>
        <v>cum</v>
      </c>
      <c r="G28" s="773">
        <f>+'POW-2015-01C-00_'!N42</f>
        <v>1035926.63</v>
      </c>
      <c r="H28" s="773"/>
      <c r="I28" s="794">
        <f>G28/D28</f>
        <v>667.50000322175322</v>
      </c>
      <c r="J28" s="773"/>
      <c r="K28" s="803">
        <f>+'POW-2015-01C-00_'!S42</f>
        <v>841.05000805438317</v>
      </c>
      <c r="L28" s="802"/>
      <c r="M28" s="796">
        <f>+(G28/$G$36)*100</f>
        <v>13.279353935723259</v>
      </c>
      <c r="O28" s="373" t="b">
        <f>K28='200(1)'!I59</f>
        <v>0</v>
      </c>
    </row>
    <row r="29" spans="1:17" s="542" customFormat="1" ht="24.95" customHeight="1">
      <c r="A29" s="765"/>
      <c r="B29" s="1459" t="str">
        <f>+'POW-2015-01C-00_'!B43</f>
        <v>TOTAL OF PART D</v>
      </c>
      <c r="C29" s="1459"/>
      <c r="D29" s="766"/>
      <c r="E29" s="766"/>
      <c r="F29" s="766"/>
      <c r="G29" s="768">
        <f>+G28</f>
        <v>1035926.63</v>
      </c>
      <c r="H29" s="768"/>
      <c r="I29" s="768"/>
      <c r="J29" s="768"/>
      <c r="K29" s="768"/>
      <c r="L29" s="804"/>
      <c r="M29" s="768">
        <f>+M28</f>
        <v>13.279353935723259</v>
      </c>
      <c r="N29" s="789"/>
      <c r="O29" s="383"/>
      <c r="Q29" s="689"/>
    </row>
    <row r="30" spans="1:17" s="543" customFormat="1" ht="24.95" customHeight="1">
      <c r="A30" s="769" t="str">
        <f>+'POW-2015-01C-00_'!A45</f>
        <v>PART E</v>
      </c>
      <c r="B30" s="1452" t="str">
        <f>+'POW-2015-01C-00_'!B45</f>
        <v>SURFACE COURSES</v>
      </c>
      <c r="C30" s="1452"/>
      <c r="D30" s="770"/>
      <c r="E30" s="770"/>
      <c r="F30" s="771"/>
      <c r="G30" s="770"/>
      <c r="H30" s="770"/>
      <c r="I30" s="770"/>
      <c r="J30" s="770"/>
      <c r="K30" s="770"/>
      <c r="L30" s="800"/>
      <c r="M30" s="801"/>
      <c r="N30" s="793"/>
    </row>
    <row r="31" spans="1:17" ht="24.95" customHeight="1">
      <c r="A31" s="774" t="str">
        <f>+'POW-2015-01C-00_'!A46</f>
        <v>311(1)b1</v>
      </c>
      <c r="B31" s="1461" t="str">
        <f>+'POW-2015-01C-00_'!B46</f>
        <v>Portland Cement Concrete Pavement  (Unreinforced, 0.20m thick, 14 days)</v>
      </c>
      <c r="C31" s="1462"/>
      <c r="D31" s="775">
        <f>+VLOOKUP(A31,SUMMARY,7,0)</f>
        <v>4815</v>
      </c>
      <c r="E31" s="749"/>
      <c r="F31" s="749" t="str">
        <f>+'POW-2015-01C-00_'!G46</f>
        <v>sqm</v>
      </c>
      <c r="G31" s="773">
        <f>+'POW-2015-01C-00_'!N47</f>
        <v>4672524.1500000004</v>
      </c>
      <c r="H31" s="773"/>
      <c r="I31" s="794">
        <f>G31/D31</f>
        <v>970.41000000000008</v>
      </c>
      <c r="J31" s="773"/>
      <c r="K31" s="803">
        <f>+'POW-2015-01C-00_'!S47</f>
        <v>1222.7166002076842</v>
      </c>
      <c r="L31" s="802"/>
      <c r="M31" s="796">
        <f>+(G31/$G$36)*100</f>
        <v>59.896232188822566</v>
      </c>
      <c r="O31" s="373" t="b">
        <f>K31='311(1)b1'!I77</f>
        <v>0</v>
      </c>
    </row>
    <row r="32" spans="1:17" s="542" customFormat="1" ht="24.95" customHeight="1">
      <c r="A32" s="765"/>
      <c r="B32" s="1451" t="str">
        <f>+'POW-2015-01C-00_'!B48</f>
        <v>TOTAL OF PART E</v>
      </c>
      <c r="C32" s="1451"/>
      <c r="D32" s="766"/>
      <c r="E32" s="766"/>
      <c r="F32" s="766"/>
      <c r="G32" s="768">
        <f>+G31</f>
        <v>4672524.1500000004</v>
      </c>
      <c r="H32" s="768"/>
      <c r="I32" s="768"/>
      <c r="J32" s="768"/>
      <c r="K32" s="768"/>
      <c r="L32" s="804"/>
      <c r="M32" s="768">
        <f>+M31</f>
        <v>59.896232188822566</v>
      </c>
      <c r="N32" s="789"/>
      <c r="O32" s="383"/>
      <c r="Q32" s="689"/>
    </row>
    <row r="33" spans="1:17" s="543" customFormat="1" ht="24.95" customHeight="1">
      <c r="A33" s="769" t="str">
        <f>+'POW-2015-01C-00_'!A50</f>
        <v>PART F</v>
      </c>
      <c r="B33" s="1452" t="str">
        <f>+'POW-2015-01C-00_'!B50</f>
        <v>DRAINAGE AND SLOPE PROTECTION STRUCTURES</v>
      </c>
      <c r="C33" s="1452"/>
      <c r="D33" s="770"/>
      <c r="E33" s="770"/>
      <c r="F33" s="771"/>
      <c r="G33" s="770"/>
      <c r="H33" s="770"/>
      <c r="I33" s="770"/>
      <c r="J33" s="770"/>
      <c r="K33" s="770"/>
      <c r="L33" s="800"/>
      <c r="M33" s="801"/>
      <c r="N33" s="793"/>
    </row>
    <row r="34" spans="1:17" ht="24.95" customHeight="1">
      <c r="A34" s="774" t="str">
        <f>+'POW-2015-01C-00_'!A51</f>
        <v>506(1)</v>
      </c>
      <c r="B34" s="1461" t="str">
        <f>+'POW-2015-01C-00_'!B51</f>
        <v>Stone Masonry(Slope Protection)</v>
      </c>
      <c r="C34" s="1462"/>
      <c r="D34" s="775">
        <f>+BACKUP!D34</f>
        <v>336</v>
      </c>
      <c r="E34" s="749"/>
      <c r="F34" s="749" t="str">
        <f>+'POW-2015-01C-00_'!G51</f>
        <v>cum</v>
      </c>
      <c r="G34" s="773">
        <f>+'POW-2015-01C-00_'!N52</f>
        <v>1066877.28</v>
      </c>
      <c r="H34" s="773"/>
      <c r="I34" s="794">
        <f>G34/D34</f>
        <v>3175.23</v>
      </c>
      <c r="J34" s="773"/>
      <c r="K34" s="803">
        <f>+'POW-2015-01C-00_'!S52</f>
        <v>4000.789821428571</v>
      </c>
      <c r="L34" s="802"/>
      <c r="M34" s="796">
        <f>+(G34/$G$36)*100</f>
        <v>13.676104655309157</v>
      </c>
      <c r="O34" s="373" t="b">
        <f>K34='506(1)'!I65</f>
        <v>0</v>
      </c>
    </row>
    <row r="35" spans="1:17" s="542" customFormat="1" ht="24.95" customHeight="1">
      <c r="A35" s="776"/>
      <c r="B35" s="1463" t="str">
        <f>+'POW-2015-01C-00_'!B53</f>
        <v>TOTAL OF PART F</v>
      </c>
      <c r="C35" s="1463"/>
      <c r="D35" s="777"/>
      <c r="E35" s="777"/>
      <c r="F35" s="777"/>
      <c r="G35" s="778">
        <f>+G34</f>
        <v>1066877.28</v>
      </c>
      <c r="H35" s="778"/>
      <c r="I35" s="778"/>
      <c r="J35" s="778"/>
      <c r="K35" s="778"/>
      <c r="L35" s="807"/>
      <c r="M35" s="778">
        <f>+M34</f>
        <v>13.676104655309157</v>
      </c>
      <c r="N35" s="789"/>
      <c r="O35" s="383"/>
      <c r="Q35" s="689"/>
    </row>
    <row r="36" spans="1:17" s="542" customFormat="1" ht="24.95" customHeight="1">
      <c r="A36" s="779"/>
      <c r="B36" s="1451" t="s">
        <v>42</v>
      </c>
      <c r="C36" s="1451"/>
      <c r="D36" s="780"/>
      <c r="E36" s="780"/>
      <c r="F36" s="781"/>
      <c r="G36" s="782">
        <f>+G13+G20+G26+G29+G32+G35</f>
        <v>7801031.8500000006</v>
      </c>
      <c r="H36" s="782"/>
      <c r="I36" s="782"/>
      <c r="J36" s="782"/>
      <c r="K36" s="782"/>
      <c r="L36" s="782"/>
      <c r="M36" s="782">
        <f>+M13+M20+M26+M29+M32+M35</f>
        <v>100</v>
      </c>
      <c r="N36" s="789"/>
      <c r="O36" s="383"/>
      <c r="Q36" s="689"/>
    </row>
    <row r="37" spans="1:17" ht="16.5" customHeight="1"/>
    <row r="38" spans="1:17">
      <c r="G38" s="373" t="b">
        <f>G36='POW-2015-01C-00_'!N56</f>
        <v>1</v>
      </c>
    </row>
    <row r="41" spans="1:17" ht="14.25">
      <c r="A41" s="373"/>
    </row>
    <row r="42" spans="1:17" ht="14.25">
      <c r="A42" s="373"/>
    </row>
    <row r="43" spans="1:17" ht="14.25">
      <c r="A43" s="373"/>
    </row>
    <row r="44" spans="1:17" ht="14.25">
      <c r="A44" s="373"/>
    </row>
    <row r="45" spans="1:17" ht="14.25">
      <c r="A45" s="373"/>
    </row>
    <row r="46" spans="1:17" ht="14.25">
      <c r="A46" s="373"/>
    </row>
    <row r="47" spans="1:17" ht="14.25">
      <c r="A47" s="373"/>
    </row>
    <row r="48" spans="1:17" ht="14.25">
      <c r="A48" s="373"/>
    </row>
    <row r="49" spans="1:1" ht="14.25">
      <c r="A49" s="373"/>
    </row>
    <row r="50" spans="1:1" ht="14.25">
      <c r="A50" s="373"/>
    </row>
  </sheetData>
  <mergeCells count="39">
    <mergeCell ref="B34:C34"/>
    <mergeCell ref="B26:C26"/>
    <mergeCell ref="B14:C14"/>
    <mergeCell ref="B15:C15"/>
    <mergeCell ref="B36:C36"/>
    <mergeCell ref="B35:C35"/>
    <mergeCell ref="B17:C17"/>
    <mergeCell ref="B18:C18"/>
    <mergeCell ref="B19:C19"/>
    <mergeCell ref="B20:C20"/>
    <mergeCell ref="B21:C21"/>
    <mergeCell ref="B22:C22"/>
    <mergeCell ref="B23:C23"/>
    <mergeCell ref="B24:C24"/>
    <mergeCell ref="B25:C25"/>
    <mergeCell ref="B31:C31"/>
    <mergeCell ref="B32:C32"/>
    <mergeCell ref="B33:C33"/>
    <mergeCell ref="N8:N9"/>
    <mergeCell ref="B8:C10"/>
    <mergeCell ref="D8:E9"/>
    <mergeCell ref="K8:L9"/>
    <mergeCell ref="B11:C11"/>
    <mergeCell ref="B27:C27"/>
    <mergeCell ref="B28:C28"/>
    <mergeCell ref="B29:C29"/>
    <mergeCell ref="B30:C30"/>
    <mergeCell ref="B16:C16"/>
    <mergeCell ref="B12:C12"/>
    <mergeCell ref="B13:C13"/>
    <mergeCell ref="A3:M3"/>
    <mergeCell ref="A4:M4"/>
    <mergeCell ref="A7:M7"/>
    <mergeCell ref="G8:J8"/>
    <mergeCell ref="G9:H9"/>
    <mergeCell ref="I9:J9"/>
    <mergeCell ref="F8:F10"/>
    <mergeCell ref="M8:M9"/>
    <mergeCell ref="A8:A10"/>
  </mergeCells>
  <printOptions horizontalCentered="1"/>
  <pageMargins left="0.1181" right="0.1181" top="0.78739999999999999" bottom="0.39369999999999999" header="0.39369999999999999" footer="0"/>
  <pageSetup paperSize="9" scale="52" fitToWidth="0" fitToHeight="0" orientation="landscape" r:id="rId1"/>
  <headerFooter alignWithMargins="0"/>
  <colBreaks count="1" manualBreakCount="1">
    <brk id="15" man="1"/>
  </col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X113"/>
  <sheetViews>
    <sheetView view="pageBreakPreview" zoomScale="60" zoomScaleNormal="100" workbookViewId="0">
      <selection activeCell="B28" sqref="B28"/>
    </sheetView>
  </sheetViews>
  <sheetFormatPr defaultColWidth="9" defaultRowHeight="14.25" outlineLevelCol="1"/>
  <cols>
    <col min="1" max="1" width="5" style="10" customWidth="1"/>
    <col min="2" max="2" width="46.25" customWidth="1"/>
    <col min="3" max="3" width="21.125" customWidth="1"/>
    <col min="4" max="4" width="11.875" style="703" customWidth="1"/>
    <col min="5" max="5" width="2.75" customWidth="1"/>
    <col min="6" max="6" width="5" style="10" customWidth="1" outlineLevel="1"/>
    <col min="7" max="7" width="43.5" customWidth="1" outlineLevel="1"/>
    <col min="8" max="8" width="21.125" customWidth="1" outlineLevel="1"/>
    <col min="9" max="9" width="11.875" customWidth="1" outlineLevel="1"/>
    <col min="10" max="10" width="10.75" customWidth="1" outlineLevel="1"/>
    <col min="11" max="11" width="52.25" customWidth="1" outlineLevel="1"/>
    <col min="12" max="12" width="8.5" style="704" customWidth="1"/>
    <col min="13" max="13" width="7" style="374" customWidth="1" outlineLevel="1"/>
    <col min="14" max="14" width="7" style="705" customWidth="1" outlineLevel="1"/>
    <col min="15" max="15" width="8.125" customWidth="1"/>
    <col min="16" max="16" width="56" customWidth="1"/>
    <col min="17" max="17" width="10.625" style="10" customWidth="1"/>
    <col min="18" max="23" width="13.875" style="10" customWidth="1"/>
    <col min="24" max="24" width="17.125" customWidth="1"/>
    <col min="25" max="264" width="8.5" customWidth="1"/>
    <col min="265" max="265" width="5" customWidth="1"/>
    <col min="266" max="266" width="43.625" customWidth="1"/>
    <col min="267" max="267" width="17.25" customWidth="1"/>
    <col min="268" max="268" width="10" customWidth="1"/>
    <col min="269" max="269" width="2.75" customWidth="1"/>
    <col min="270" max="270" width="5" customWidth="1"/>
    <col min="271" max="271" width="43.625" customWidth="1"/>
    <col min="272" max="272" width="17.25" customWidth="1"/>
    <col min="273" max="273" width="10" customWidth="1"/>
    <col min="274" max="520" width="8.5" customWidth="1"/>
    <col min="521" max="521" width="5" customWidth="1"/>
    <col min="522" max="522" width="43.625" customWidth="1"/>
    <col min="523" max="523" width="17.25" customWidth="1"/>
    <col min="524" max="524" width="10" customWidth="1"/>
    <col min="525" max="525" width="2.75" customWidth="1"/>
    <col min="526" max="526" width="5" customWidth="1"/>
    <col min="527" max="527" width="43.625" customWidth="1"/>
    <col min="528" max="528" width="17.25" customWidth="1"/>
    <col min="529" max="529" width="10" customWidth="1"/>
    <col min="530" max="776" width="8.5" customWidth="1"/>
    <col min="777" max="777" width="5" customWidth="1"/>
    <col min="778" max="778" width="43.625" customWidth="1"/>
    <col min="779" max="779" width="17.25" customWidth="1"/>
    <col min="780" max="780" width="10" customWidth="1"/>
    <col min="781" max="781" width="2.75" customWidth="1"/>
    <col min="782" max="782" width="5" customWidth="1"/>
    <col min="783" max="783" width="43.625" customWidth="1"/>
    <col min="784" max="784" width="17.25" customWidth="1"/>
    <col min="785" max="785" width="10" customWidth="1"/>
    <col min="786" max="1024" width="8.5" customWidth="1"/>
    <col min="1025" max="1025" width="9" customWidth="1"/>
  </cols>
  <sheetData>
    <row r="1" spans="1:23" s="703" customFormat="1">
      <c r="A1" s="1250"/>
      <c r="B1" s="1250"/>
      <c r="F1" s="706"/>
      <c r="J1" s="703" t="s">
        <v>114</v>
      </c>
      <c r="K1" s="703" t="s">
        <v>115</v>
      </c>
      <c r="L1" s="737"/>
      <c r="M1" s="738"/>
      <c r="N1" s="739"/>
      <c r="Q1" s="706"/>
      <c r="R1" s="706"/>
      <c r="S1" s="706"/>
      <c r="T1" s="706"/>
      <c r="U1" s="706"/>
      <c r="V1" s="706"/>
      <c r="W1" s="706"/>
    </row>
    <row r="2" spans="1:23" s="703" customFormat="1" ht="15.75">
      <c r="A2" s="1464" t="str">
        <f>'POW-2015-01C-00_'!A2:R2</f>
        <v>CONSTRUCTION OF ROAD</v>
      </c>
      <c r="B2" s="1464"/>
      <c r="C2" s="1464"/>
      <c r="D2" s="1464"/>
      <c r="E2" s="1464"/>
      <c r="F2" s="1464"/>
      <c r="G2" s="1464"/>
      <c r="H2" s="1464"/>
      <c r="I2" s="1464"/>
      <c r="L2" s="737"/>
      <c r="M2" s="738"/>
      <c r="N2" s="739"/>
      <c r="Q2" s="706"/>
      <c r="R2" s="706"/>
      <c r="S2" s="706"/>
      <c r="T2" s="706"/>
      <c r="U2" s="706"/>
      <c r="V2" s="706"/>
      <c r="W2" s="706"/>
    </row>
    <row r="3" spans="1:23" s="703" customFormat="1" ht="15">
      <c r="A3" s="1465" t="str">
        <f>'POW-2015-01C-00_'!A3:R3</f>
        <v>BRGY. L. PIMENTEL, SAN LUIS, AURORA</v>
      </c>
      <c r="B3" s="1465"/>
      <c r="C3" s="1465"/>
      <c r="D3" s="1465"/>
      <c r="E3" s="1465"/>
      <c r="F3" s="1465"/>
      <c r="G3" s="1465"/>
      <c r="H3" s="1465"/>
      <c r="I3" s="1465"/>
      <c r="L3" s="737"/>
      <c r="M3" s="738"/>
      <c r="N3" s="739"/>
      <c r="Q3" s="706"/>
      <c r="R3" s="706"/>
      <c r="S3" s="706"/>
      <c r="T3" s="706"/>
      <c r="U3" s="706"/>
      <c r="V3" s="706"/>
      <c r="W3" s="706"/>
    </row>
    <row r="4" spans="1:23" s="703" customFormat="1" ht="15" thickBot="1">
      <c r="A4" s="706"/>
      <c r="B4" s="1404"/>
      <c r="C4" s="1404"/>
      <c r="D4" s="1404"/>
      <c r="E4" s="1404"/>
      <c r="F4" s="1404"/>
      <c r="G4" s="1404"/>
      <c r="H4" s="709"/>
      <c r="I4" s="740" t="s">
        <v>116</v>
      </c>
      <c r="L4" s="737"/>
      <c r="M4" s="738"/>
      <c r="N4" s="739"/>
      <c r="Q4" s="706"/>
      <c r="R4" s="706"/>
      <c r="S4" s="706"/>
      <c r="T4" s="706"/>
      <c r="U4" s="706"/>
      <c r="V4" s="706"/>
      <c r="W4" s="706"/>
    </row>
    <row r="5" spans="1:23" ht="20.25" customHeight="1" thickBot="1">
      <c r="A5" s="1466" t="s">
        <v>117</v>
      </c>
      <c r="B5" s="1466"/>
      <c r="C5" s="1466"/>
      <c r="D5" s="1466"/>
      <c r="E5" s="1467"/>
      <c r="F5" s="1467"/>
      <c r="G5" s="1467"/>
      <c r="H5" s="1467"/>
      <c r="I5" s="1467"/>
    </row>
    <row r="6" spans="1:23" s="543" customFormat="1" ht="32.25" customHeight="1">
      <c r="A6" s="710" t="s">
        <v>118</v>
      </c>
      <c r="B6" s="711" t="s">
        <v>119</v>
      </c>
      <c r="C6" s="711" t="s">
        <v>120</v>
      </c>
      <c r="D6" s="712" t="s">
        <v>121</v>
      </c>
      <c r="E6" s="713"/>
      <c r="F6" s="370" t="s">
        <v>118</v>
      </c>
      <c r="G6" s="298" t="s">
        <v>119</v>
      </c>
      <c r="H6" s="298" t="s">
        <v>120</v>
      </c>
      <c r="I6" s="741" t="s">
        <v>121</v>
      </c>
      <c r="L6" s="704"/>
      <c r="M6" s="1"/>
      <c r="N6" s="742"/>
      <c r="Q6" s="1"/>
      <c r="R6" s="1"/>
      <c r="S6" s="1"/>
      <c r="T6" s="1"/>
      <c r="U6" s="1"/>
      <c r="V6" s="1"/>
      <c r="W6" s="1"/>
    </row>
    <row r="7" spans="1:23" ht="16.5" customHeight="1">
      <c r="A7" s="714">
        <v>1</v>
      </c>
      <c r="B7" s="715" t="s">
        <v>122</v>
      </c>
      <c r="C7" s="716"/>
      <c r="D7" s="717">
        <v>1</v>
      </c>
      <c r="E7" s="374"/>
      <c r="F7" s="718">
        <v>31</v>
      </c>
      <c r="G7" s="588"/>
      <c r="H7" s="587"/>
      <c r="I7" s="743"/>
      <c r="P7" s="158"/>
      <c r="R7" s="158"/>
      <c r="S7" s="158"/>
    </row>
    <row r="8" spans="1:23" ht="16.5" customHeight="1">
      <c r="A8" s="714">
        <v>2</v>
      </c>
      <c r="B8" s="715" t="s">
        <v>1180</v>
      </c>
      <c r="C8" s="716" t="s">
        <v>124</v>
      </c>
      <c r="D8" s="717">
        <v>1</v>
      </c>
      <c r="E8" s="374"/>
      <c r="F8" s="718">
        <v>32</v>
      </c>
      <c r="G8" s="588"/>
      <c r="H8" s="587"/>
      <c r="I8" s="743"/>
      <c r="P8" s="158"/>
      <c r="R8" s="158"/>
      <c r="S8" s="158"/>
    </row>
    <row r="9" spans="1:23" ht="16.5" customHeight="1">
      <c r="A9" s="714">
        <v>3</v>
      </c>
      <c r="B9" s="715" t="s">
        <v>125</v>
      </c>
      <c r="C9" s="719" t="s">
        <v>126</v>
      </c>
      <c r="D9" s="717">
        <v>1</v>
      </c>
      <c r="E9" s="374"/>
      <c r="F9" s="718">
        <v>33</v>
      </c>
      <c r="G9" s="23"/>
      <c r="H9" s="587"/>
      <c r="I9" s="743"/>
      <c r="P9" s="158"/>
      <c r="R9" s="158"/>
    </row>
    <row r="10" spans="1:23" ht="16.5" customHeight="1">
      <c r="A10" s="714">
        <v>4</v>
      </c>
      <c r="B10" s="715" t="s">
        <v>127</v>
      </c>
      <c r="C10" s="719"/>
      <c r="D10" s="717">
        <v>1</v>
      </c>
      <c r="E10" s="374"/>
      <c r="F10" s="718">
        <v>34</v>
      </c>
      <c r="G10" s="23"/>
      <c r="H10" s="587"/>
      <c r="I10" s="743"/>
      <c r="P10" s="158"/>
      <c r="R10" s="158"/>
    </row>
    <row r="11" spans="1:23" ht="16.5" customHeight="1">
      <c r="A11" s="714">
        <v>5</v>
      </c>
      <c r="B11" s="715" t="s">
        <v>128</v>
      </c>
      <c r="C11" s="715"/>
      <c r="D11" s="717">
        <v>1</v>
      </c>
      <c r="E11" s="374"/>
      <c r="F11" s="718">
        <v>35</v>
      </c>
      <c r="G11" s="23"/>
      <c r="H11" s="587"/>
      <c r="I11" s="743"/>
      <c r="P11" s="158"/>
      <c r="R11" s="158"/>
    </row>
    <row r="12" spans="1:23" ht="16.5" customHeight="1">
      <c r="A12" s="714">
        <v>6</v>
      </c>
      <c r="B12" s="715" t="s">
        <v>129</v>
      </c>
      <c r="C12" s="719" t="s">
        <v>130</v>
      </c>
      <c r="D12" s="717">
        <v>1</v>
      </c>
      <c r="E12" s="374"/>
      <c r="F12" s="718">
        <v>36</v>
      </c>
      <c r="G12" s="23"/>
      <c r="H12" s="587"/>
      <c r="I12" s="743"/>
      <c r="P12" s="158"/>
      <c r="R12" s="158"/>
    </row>
    <row r="13" spans="1:23" ht="16.5" customHeight="1">
      <c r="A13" s="714">
        <v>7</v>
      </c>
      <c r="B13" s="715" t="s">
        <v>131</v>
      </c>
      <c r="C13" s="719" t="s">
        <v>132</v>
      </c>
      <c r="D13" s="717">
        <v>1</v>
      </c>
      <c r="E13" s="374"/>
      <c r="F13" s="718">
        <v>37</v>
      </c>
      <c r="G13" s="720"/>
      <c r="H13" s="587"/>
      <c r="I13" s="743"/>
      <c r="P13" s="158"/>
      <c r="R13" s="158"/>
      <c r="S13" s="158"/>
    </row>
    <row r="14" spans="1:23" ht="16.5" customHeight="1">
      <c r="A14" s="714">
        <v>8</v>
      </c>
      <c r="B14" s="715" t="s">
        <v>133</v>
      </c>
      <c r="C14" s="719"/>
      <c r="D14" s="717">
        <v>1</v>
      </c>
      <c r="E14" s="374"/>
      <c r="F14" s="718">
        <v>38</v>
      </c>
      <c r="G14" s="720"/>
      <c r="H14" s="587"/>
      <c r="I14" s="743"/>
      <c r="R14" s="158"/>
    </row>
    <row r="15" spans="1:23" ht="16.5" customHeight="1">
      <c r="A15" s="714">
        <v>9</v>
      </c>
      <c r="B15" s="715" t="s">
        <v>134</v>
      </c>
      <c r="C15" s="719" t="s">
        <v>135</v>
      </c>
      <c r="D15" s="717">
        <v>1</v>
      </c>
      <c r="E15" s="374"/>
      <c r="F15" s="718">
        <v>39</v>
      </c>
      <c r="G15" s="720"/>
      <c r="H15" s="587"/>
      <c r="I15" s="743"/>
      <c r="R15" s="158"/>
    </row>
    <row r="16" spans="1:23" ht="16.5" customHeight="1">
      <c r="A16" s="714">
        <v>10</v>
      </c>
      <c r="B16" s="715" t="s">
        <v>136</v>
      </c>
      <c r="C16" s="719" t="s">
        <v>137</v>
      </c>
      <c r="D16" s="717">
        <v>1</v>
      </c>
      <c r="E16" s="374"/>
      <c r="F16" s="718">
        <v>40</v>
      </c>
      <c r="G16" s="720"/>
      <c r="H16" s="587"/>
      <c r="I16" s="743"/>
      <c r="R16" s="158"/>
    </row>
    <row r="17" spans="1:19" ht="16.5" customHeight="1">
      <c r="A17" s="714">
        <v>11</v>
      </c>
      <c r="B17" s="715" t="s">
        <v>138</v>
      </c>
      <c r="C17" s="719"/>
      <c r="D17" s="717">
        <v>2</v>
      </c>
      <c r="E17" s="374"/>
      <c r="F17" s="718">
        <v>41</v>
      </c>
      <c r="G17" s="23"/>
      <c r="H17" s="587"/>
      <c r="I17" s="743"/>
      <c r="J17" s="158"/>
      <c r="R17" s="158"/>
    </row>
    <row r="18" spans="1:19" ht="16.5" customHeight="1">
      <c r="A18" s="714">
        <v>12</v>
      </c>
      <c r="B18" s="715" t="s">
        <v>139</v>
      </c>
      <c r="C18" s="719"/>
      <c r="D18" s="717">
        <v>2</v>
      </c>
      <c r="E18" s="374"/>
      <c r="F18" s="718">
        <v>42</v>
      </c>
      <c r="G18" s="23"/>
      <c r="H18" s="587"/>
      <c r="I18" s="743"/>
      <c r="R18" s="158"/>
    </row>
    <row r="19" spans="1:19" ht="16.5" customHeight="1">
      <c r="A19" s="714">
        <v>13</v>
      </c>
      <c r="B19" s="715" t="s">
        <v>140</v>
      </c>
      <c r="C19" s="719"/>
      <c r="D19" s="717">
        <v>1</v>
      </c>
      <c r="E19" s="374"/>
      <c r="F19" s="718">
        <v>43</v>
      </c>
      <c r="G19" s="720"/>
      <c r="H19" s="587"/>
      <c r="I19" s="743"/>
      <c r="R19" s="158"/>
    </row>
    <row r="20" spans="1:19" ht="16.5" customHeight="1">
      <c r="A20" s="714">
        <v>14</v>
      </c>
      <c r="B20" s="715" t="s">
        <v>141</v>
      </c>
      <c r="C20" s="719"/>
      <c r="D20" s="717">
        <v>1</v>
      </c>
      <c r="E20" s="374"/>
      <c r="F20" s="718">
        <v>44</v>
      </c>
      <c r="G20" s="720"/>
      <c r="H20" s="587"/>
      <c r="I20" s="743"/>
      <c r="R20" s="158"/>
    </row>
    <row r="21" spans="1:19" ht="16.5" customHeight="1">
      <c r="A21" s="714">
        <v>15</v>
      </c>
      <c r="B21" s="715" t="s">
        <v>142</v>
      </c>
      <c r="C21" s="719"/>
      <c r="D21" s="717">
        <v>1</v>
      </c>
      <c r="E21" s="374"/>
      <c r="F21" s="718">
        <v>45</v>
      </c>
      <c r="G21" s="720"/>
      <c r="H21" s="587"/>
      <c r="I21" s="743"/>
      <c r="R21" s="158"/>
    </row>
    <row r="22" spans="1:19" ht="16.5" customHeight="1">
      <c r="A22" s="714">
        <v>16</v>
      </c>
      <c r="B22" s="715" t="s">
        <v>143</v>
      </c>
      <c r="C22" s="634"/>
      <c r="D22" s="717">
        <v>1</v>
      </c>
      <c r="E22" s="374"/>
      <c r="F22" s="718">
        <v>46</v>
      </c>
      <c r="G22" s="720"/>
      <c r="H22" s="587"/>
      <c r="I22" s="743"/>
      <c r="R22" s="158"/>
    </row>
    <row r="23" spans="1:19" ht="16.5" customHeight="1">
      <c r="A23" s="714">
        <v>17</v>
      </c>
      <c r="B23" s="715" t="s">
        <v>144</v>
      </c>
      <c r="C23" s="634"/>
      <c r="D23" s="717">
        <v>1</v>
      </c>
      <c r="E23" s="374"/>
      <c r="F23" s="718">
        <v>47</v>
      </c>
      <c r="G23" s="720"/>
      <c r="H23" s="587"/>
      <c r="I23" s="743"/>
      <c r="R23" s="158"/>
      <c r="S23" s="158"/>
    </row>
    <row r="24" spans="1:19" ht="16.5" customHeight="1">
      <c r="A24" s="714">
        <v>18</v>
      </c>
      <c r="B24" s="715" t="s">
        <v>145</v>
      </c>
      <c r="C24" s="634"/>
      <c r="D24" s="717">
        <v>1</v>
      </c>
      <c r="E24" s="374"/>
      <c r="F24" s="718">
        <v>48</v>
      </c>
      <c r="G24" s="23"/>
      <c r="H24" s="587"/>
      <c r="I24" s="743"/>
      <c r="R24" s="158"/>
    </row>
    <row r="25" spans="1:19" ht="16.5" customHeight="1">
      <c r="A25" s="714">
        <v>19</v>
      </c>
      <c r="B25" s="715" t="s">
        <v>146</v>
      </c>
      <c r="C25" s="719" t="s">
        <v>147</v>
      </c>
      <c r="D25" s="717">
        <v>1</v>
      </c>
      <c r="E25" s="374"/>
      <c r="F25" s="718">
        <v>49</v>
      </c>
      <c r="G25" s="23"/>
      <c r="H25" s="587"/>
      <c r="I25" s="743"/>
      <c r="R25" s="158"/>
    </row>
    <row r="26" spans="1:19" ht="16.5" customHeight="1">
      <c r="A26" s="714">
        <v>20</v>
      </c>
      <c r="B26" s="715" t="s">
        <v>148</v>
      </c>
      <c r="C26" s="719" t="s">
        <v>149</v>
      </c>
      <c r="D26" s="717">
        <v>1</v>
      </c>
      <c r="E26" s="374"/>
      <c r="F26" s="718">
        <v>50</v>
      </c>
      <c r="G26" s="23"/>
      <c r="H26" s="180"/>
      <c r="I26" s="744"/>
      <c r="R26" s="158"/>
    </row>
    <row r="27" spans="1:19" ht="16.5" customHeight="1">
      <c r="A27" s="714">
        <v>21</v>
      </c>
      <c r="B27" s="715" t="s">
        <v>150</v>
      </c>
      <c r="C27" s="719" t="s">
        <v>151</v>
      </c>
      <c r="D27" s="717">
        <v>1</v>
      </c>
      <c r="E27" s="374"/>
      <c r="F27" s="718">
        <v>51</v>
      </c>
      <c r="G27" s="23"/>
      <c r="H27" s="180"/>
      <c r="I27" s="744"/>
      <c r="R27" s="158"/>
    </row>
    <row r="28" spans="1:19" ht="16.5" customHeight="1">
      <c r="A28" s="1159">
        <v>22</v>
      </c>
      <c r="B28" s="1160"/>
      <c r="C28" s="1161"/>
      <c r="D28" s="1162"/>
      <c r="E28" s="374"/>
      <c r="F28" s="718">
        <v>52</v>
      </c>
      <c r="G28" s="23"/>
      <c r="H28" s="180"/>
      <c r="I28" s="744"/>
      <c r="R28" s="158"/>
      <c r="S28" s="158"/>
    </row>
    <row r="29" spans="1:19" ht="16.5" customHeight="1">
      <c r="A29" s="714">
        <v>23</v>
      </c>
      <c r="B29" s="715"/>
      <c r="C29" s="634"/>
      <c r="D29" s="717"/>
      <c r="E29" s="374"/>
      <c r="F29" s="718">
        <v>53</v>
      </c>
      <c r="G29" s="23"/>
      <c r="H29" s="180"/>
      <c r="I29" s="744"/>
      <c r="R29" s="158"/>
    </row>
    <row r="30" spans="1:19" ht="16.5" customHeight="1">
      <c r="A30" s="714">
        <v>24</v>
      </c>
      <c r="B30" s="715"/>
      <c r="C30" s="634"/>
      <c r="D30" s="721"/>
      <c r="E30" s="374"/>
      <c r="F30" s="718">
        <v>54</v>
      </c>
      <c r="G30" s="23"/>
      <c r="H30" s="180"/>
      <c r="I30" s="744"/>
      <c r="R30" s="158"/>
    </row>
    <row r="31" spans="1:19" ht="16.5" customHeight="1">
      <c r="A31" s="714">
        <v>25</v>
      </c>
      <c r="B31" s="715"/>
      <c r="C31" s="634"/>
      <c r="D31" s="721"/>
      <c r="E31" s="374"/>
      <c r="F31" s="718">
        <v>55</v>
      </c>
      <c r="G31" s="23"/>
      <c r="H31" s="180"/>
      <c r="I31" s="744"/>
      <c r="R31" s="158"/>
    </row>
    <row r="32" spans="1:19" ht="16.5" customHeight="1">
      <c r="A32" s="714">
        <v>26</v>
      </c>
      <c r="B32" s="715"/>
      <c r="C32" s="634"/>
      <c r="D32" s="721"/>
      <c r="E32" s="374"/>
      <c r="F32" s="718">
        <v>56</v>
      </c>
      <c r="G32" s="23"/>
      <c r="H32" s="180"/>
      <c r="I32" s="744"/>
      <c r="R32" s="158"/>
    </row>
    <row r="33" spans="1:24" ht="16.5" customHeight="1">
      <c r="A33" s="714">
        <v>27</v>
      </c>
      <c r="B33" s="722"/>
      <c r="C33" s="634"/>
      <c r="D33" s="721"/>
      <c r="E33" s="374"/>
      <c r="F33" s="718">
        <v>57</v>
      </c>
      <c r="G33" s="23"/>
      <c r="H33" s="180"/>
      <c r="I33" s="744"/>
      <c r="R33" s="158"/>
      <c r="S33" s="158"/>
    </row>
    <row r="34" spans="1:24" ht="16.5" customHeight="1">
      <c r="A34" s="714">
        <v>28</v>
      </c>
      <c r="B34" s="722"/>
      <c r="C34" s="634"/>
      <c r="D34" s="721"/>
      <c r="E34" s="374"/>
      <c r="F34" s="718">
        <v>58</v>
      </c>
      <c r="G34" s="23"/>
      <c r="H34" s="23"/>
      <c r="I34" s="744"/>
      <c r="R34" s="158"/>
    </row>
    <row r="35" spans="1:24" ht="16.5" customHeight="1">
      <c r="A35" s="714">
        <v>29</v>
      </c>
      <c r="B35" s="722"/>
      <c r="C35" s="634"/>
      <c r="D35" s="721"/>
      <c r="E35" s="374"/>
      <c r="F35" s="718">
        <v>59</v>
      </c>
      <c r="G35" s="23"/>
      <c r="H35" s="180"/>
      <c r="I35" s="744"/>
      <c r="R35" s="158"/>
    </row>
    <row r="36" spans="1:24" ht="16.5" customHeight="1">
      <c r="A36" s="714">
        <v>30</v>
      </c>
      <c r="B36" s="722"/>
      <c r="C36" s="634"/>
      <c r="D36" s="721"/>
      <c r="E36" s="374"/>
      <c r="F36" s="718">
        <v>60</v>
      </c>
      <c r="G36" s="23"/>
      <c r="H36" s="723"/>
      <c r="I36" s="745"/>
      <c r="R36" s="158"/>
    </row>
    <row r="37" spans="1:24" s="5" customFormat="1" ht="15.75" thickBot="1">
      <c r="A37" s="724"/>
      <c r="B37" s="725" t="s">
        <v>152</v>
      </c>
      <c r="C37" s="726"/>
      <c r="D37" s="727">
        <f>+SUM(D7:D36)</f>
        <v>23</v>
      </c>
      <c r="E37" s="728"/>
      <c r="F37" s="353"/>
      <c r="G37" s="729" t="s">
        <v>152</v>
      </c>
      <c r="H37" s="730"/>
      <c r="I37" s="746">
        <f>+SUM(I7:I36)</f>
        <v>0</v>
      </c>
      <c r="J37"/>
      <c r="K37"/>
      <c r="L37" s="704"/>
      <c r="M37" s="374"/>
      <c r="N37" s="705"/>
      <c r="P37"/>
      <c r="Q37" s="10"/>
      <c r="R37" s="158"/>
      <c r="S37" s="10"/>
      <c r="T37" s="10"/>
      <c r="U37" s="10"/>
      <c r="V37" s="10"/>
      <c r="W37" s="10"/>
      <c r="X37"/>
    </row>
    <row r="38" spans="1:24" s="542" customFormat="1" ht="21" customHeight="1" thickBot="1">
      <c r="A38" s="731"/>
      <c r="B38" s="732"/>
      <c r="C38" s="732"/>
      <c r="D38" s="733"/>
      <c r="E38" s="734"/>
      <c r="F38" s="735"/>
      <c r="G38" s="734" t="s">
        <v>15</v>
      </c>
      <c r="H38" s="736"/>
      <c r="I38" s="747">
        <f>D37+I37</f>
        <v>23</v>
      </c>
      <c r="J38" s="373"/>
      <c r="L38" s="704"/>
      <c r="M38" s="374"/>
      <c r="N38" s="705"/>
      <c r="P38" s="373"/>
      <c r="Q38" s="10"/>
      <c r="R38" s="158"/>
      <c r="S38" s="10"/>
      <c r="T38" s="10"/>
      <c r="U38" s="10"/>
      <c r="V38" s="10"/>
      <c r="W38" s="10"/>
      <c r="X38" s="373"/>
    </row>
    <row r="39" spans="1:24">
      <c r="K39" s="23"/>
      <c r="M39" s="374" t="s">
        <v>31</v>
      </c>
      <c r="N39" s="705" t="s">
        <v>153</v>
      </c>
    </row>
    <row r="40" spans="1:24">
      <c r="J40" s="23" t="str">
        <f>+'100(3)a1'!F5</f>
        <v>100(3)a1</v>
      </c>
      <c r="K40" s="23" t="str">
        <f>+'100(3)a1'!C27</f>
        <v>Backhoe, SOLAR 220 LC-3 (0.80 m³,138 hp)</v>
      </c>
      <c r="L40" s="748">
        <f>M40</f>
        <v>1</v>
      </c>
      <c r="M40" s="587">
        <f>+'100(3)a1'!F27</f>
        <v>1</v>
      </c>
      <c r="N40" s="749">
        <f>+'100(3)a1'!G27</f>
        <v>0.25</v>
      </c>
      <c r="P40" s="23"/>
      <c r="Q40" s="180"/>
    </row>
    <row r="41" spans="1:24">
      <c r="J41" s="23" t="str">
        <f>+J40</f>
        <v>100(3)a1</v>
      </c>
      <c r="K41" s="23" t="str">
        <f>+'100(3)a1'!C28</f>
        <v>Dump Truck (12 yd³, 290 hp)</v>
      </c>
      <c r="L41" s="748">
        <f>M41</f>
        <v>1</v>
      </c>
      <c r="M41" s="587">
        <f>+'100(3)a1'!F27</f>
        <v>1</v>
      </c>
      <c r="N41" s="749">
        <f>+'100(3)a1'!G28</f>
        <v>0.17</v>
      </c>
      <c r="P41" s="23" t="s">
        <v>123</v>
      </c>
      <c r="Q41" s="180">
        <f t="shared" ref="Q41:Q59" si="0">SUMIF(K:K,P41,L:L)</f>
        <v>1</v>
      </c>
    </row>
    <row r="42" spans="1:24">
      <c r="J42" s="23" t="str">
        <f>+J41</f>
        <v>100(3)a1</v>
      </c>
      <c r="K42" s="23" t="str">
        <f>+'100(3)a1'!C29</f>
        <v>Chain Saw</v>
      </c>
      <c r="L42" s="748">
        <f>M42</f>
        <v>1</v>
      </c>
      <c r="M42" s="587">
        <f>+'100(3)a1'!F28</f>
        <v>1</v>
      </c>
      <c r="N42" s="749">
        <f>+'100(3)a1'!G29</f>
        <v>0.17</v>
      </c>
      <c r="P42" s="23" t="s">
        <v>125</v>
      </c>
      <c r="Q42" s="180">
        <f t="shared" si="0"/>
        <v>1</v>
      </c>
    </row>
    <row r="43" spans="1:24">
      <c r="J43" s="23" t="str">
        <f>+J42</f>
        <v>100(3)a1</v>
      </c>
      <c r="K43" s="23"/>
      <c r="L43" s="748"/>
      <c r="M43" s="587"/>
      <c r="N43" s="749"/>
      <c r="P43" s="23" t="s">
        <v>127</v>
      </c>
      <c r="Q43" s="180">
        <f t="shared" si="0"/>
        <v>1</v>
      </c>
    </row>
    <row r="44" spans="1:24">
      <c r="J44" s="23"/>
      <c r="K44" s="23"/>
      <c r="L44" s="748"/>
      <c r="M44" s="587"/>
      <c r="N44" s="749"/>
      <c r="P44" s="23" t="s">
        <v>128</v>
      </c>
      <c r="Q44" s="180">
        <f t="shared" si="0"/>
        <v>1</v>
      </c>
    </row>
    <row r="45" spans="1:24">
      <c r="J45" s="23"/>
      <c r="K45" s="23"/>
      <c r="L45" s="748"/>
      <c r="M45" s="587"/>
      <c r="N45" s="749"/>
      <c r="P45" s="23" t="s">
        <v>129</v>
      </c>
      <c r="Q45" s="180">
        <f t="shared" si="0"/>
        <v>1</v>
      </c>
    </row>
    <row r="46" spans="1:24">
      <c r="J46" s="23"/>
      <c r="K46" s="23"/>
      <c r="L46" s="748"/>
      <c r="M46" s="587"/>
      <c r="N46" s="749"/>
      <c r="P46" s="23" t="s">
        <v>131</v>
      </c>
      <c r="Q46" s="180">
        <f t="shared" si="0"/>
        <v>1</v>
      </c>
    </row>
    <row r="47" spans="1:24">
      <c r="J47" s="23"/>
      <c r="K47" s="23"/>
      <c r="L47" s="748"/>
      <c r="M47" s="587"/>
      <c r="N47" s="749"/>
      <c r="P47" s="23" t="s">
        <v>133</v>
      </c>
      <c r="Q47" s="180">
        <f t="shared" si="0"/>
        <v>1</v>
      </c>
    </row>
    <row r="48" spans="1:24">
      <c r="J48" s="23"/>
      <c r="K48" s="23"/>
      <c r="L48" s="748"/>
      <c r="M48" s="587"/>
      <c r="N48" s="749"/>
      <c r="P48" s="23" t="s">
        <v>134</v>
      </c>
      <c r="Q48" s="180">
        <f t="shared" si="0"/>
        <v>1</v>
      </c>
    </row>
    <row r="49" spans="10:17">
      <c r="J49" s="23"/>
      <c r="K49" s="23"/>
      <c r="L49" s="748"/>
      <c r="M49" s="587"/>
      <c r="N49" s="749"/>
      <c r="P49" s="23" t="s">
        <v>136</v>
      </c>
      <c r="Q49" s="180">
        <f t="shared" si="0"/>
        <v>1</v>
      </c>
    </row>
    <row r="50" spans="10:17">
      <c r="J50" s="23"/>
      <c r="K50" s="23"/>
      <c r="L50" s="748"/>
      <c r="M50" s="587"/>
      <c r="N50" s="749"/>
      <c r="P50" s="23" t="s">
        <v>138</v>
      </c>
      <c r="Q50" s="180">
        <f t="shared" si="0"/>
        <v>2</v>
      </c>
    </row>
    <row r="51" spans="10:17" ht="14.25" customHeight="1">
      <c r="J51" s="23"/>
      <c r="K51" s="23"/>
      <c r="L51" s="748"/>
      <c r="M51" s="587"/>
      <c r="N51" s="749"/>
      <c r="P51" s="23" t="s">
        <v>139</v>
      </c>
      <c r="Q51" s="180">
        <f t="shared" si="0"/>
        <v>2</v>
      </c>
    </row>
    <row r="52" spans="10:17" ht="14.25" customHeight="1">
      <c r="J52" s="23"/>
      <c r="K52" s="23"/>
      <c r="L52" s="748"/>
      <c r="M52" s="587"/>
      <c r="N52" s="749"/>
      <c r="P52" s="23" t="s">
        <v>140</v>
      </c>
      <c r="Q52" s="180">
        <f t="shared" si="0"/>
        <v>1</v>
      </c>
    </row>
    <row r="53" spans="10:17" ht="14.25" customHeight="1">
      <c r="J53" s="23" t="str">
        <f>+'102(2)'!F5</f>
        <v>102(2)</v>
      </c>
      <c r="K53" s="23" t="str">
        <f>+'102(2)'!C26</f>
        <v>Bulldozer, DX175 (167 hp)</v>
      </c>
      <c r="L53" s="748">
        <f>M53</f>
        <v>1</v>
      </c>
      <c r="M53" s="587">
        <f>+'102(2)'!F26</f>
        <v>1</v>
      </c>
      <c r="N53" s="749">
        <f>+'102(2)'!G26</f>
        <v>1</v>
      </c>
      <c r="P53" s="23" t="s">
        <v>141</v>
      </c>
      <c r="Q53" s="180">
        <f t="shared" si="0"/>
        <v>1</v>
      </c>
    </row>
    <row r="54" spans="10:17" ht="14.25" customHeight="1">
      <c r="J54" s="23" t="str">
        <f>+J53</f>
        <v>102(2)</v>
      </c>
      <c r="K54" s="23" t="str">
        <f>+'102(2)'!C27</f>
        <v>Payloader, LX80-2C (1.50m³, 110 hp)</v>
      </c>
      <c r="L54" s="748">
        <f>M54</f>
        <v>1</v>
      </c>
      <c r="M54" s="587">
        <f>+'102(2)'!F27</f>
        <v>1</v>
      </c>
      <c r="N54" s="749">
        <f>+'102(2)'!G27</f>
        <v>1</v>
      </c>
      <c r="P54" s="23" t="s">
        <v>142</v>
      </c>
      <c r="Q54" s="180">
        <f t="shared" si="0"/>
        <v>1</v>
      </c>
    </row>
    <row r="55" spans="10:17" ht="14.25" customHeight="1">
      <c r="J55" s="23" t="str">
        <f>+J54</f>
        <v>102(2)</v>
      </c>
      <c r="K55" s="23" t="str">
        <f>+'102(2)'!C28</f>
        <v>Payloader, LX80-2C (1.50m³, 110 hp) - at disposal area</v>
      </c>
      <c r="L55" s="748">
        <f>M55</f>
        <v>1</v>
      </c>
      <c r="M55" s="587">
        <f>+'102(2)'!F28</f>
        <v>1</v>
      </c>
      <c r="N55" s="749">
        <f>+'102(2)'!G28</f>
        <v>0.3</v>
      </c>
      <c r="P55" s="23" t="s">
        <v>143</v>
      </c>
      <c r="Q55" s="180">
        <f t="shared" si="0"/>
        <v>1</v>
      </c>
    </row>
    <row r="56" spans="10:17" ht="14.25" customHeight="1">
      <c r="J56" s="23" t="str">
        <f>+J55</f>
        <v>102(2)</v>
      </c>
      <c r="K56" s="23" t="str">
        <f>+'102(2)'!C30</f>
        <v>Backhoe, SOLAR 220 LC-3 (0.80 m³,138 hp)</v>
      </c>
      <c r="M56" s="587">
        <f>+'102(2)'!F30</f>
        <v>1</v>
      </c>
      <c r="N56" s="749">
        <f>+'102(2)'!G29</f>
        <v>1</v>
      </c>
      <c r="P56" s="23" t="s">
        <v>144</v>
      </c>
      <c r="Q56" s="180">
        <f t="shared" si="0"/>
        <v>1</v>
      </c>
    </row>
    <row r="57" spans="10:17" ht="14.25" customHeight="1">
      <c r="J57" s="23"/>
      <c r="K57" s="23"/>
      <c r="L57" s="748"/>
      <c r="M57" s="587"/>
      <c r="N57" s="749"/>
      <c r="P57" s="23" t="s">
        <v>145</v>
      </c>
      <c r="Q57" s="180">
        <f t="shared" si="0"/>
        <v>1</v>
      </c>
    </row>
    <row r="58" spans="10:17" ht="15" customHeight="1">
      <c r="J58" s="23"/>
      <c r="K58" s="23"/>
      <c r="L58" s="748"/>
      <c r="M58" s="587"/>
      <c r="N58" s="749"/>
      <c r="P58" s="23" t="s">
        <v>146</v>
      </c>
      <c r="Q58" s="180">
        <f t="shared" si="0"/>
        <v>1</v>
      </c>
    </row>
    <row r="59" spans="10:17" ht="14.25" customHeight="1">
      <c r="J59" s="23"/>
      <c r="K59" s="23"/>
      <c r="L59" s="748"/>
      <c r="M59" s="587"/>
      <c r="N59" s="749"/>
      <c r="P59" s="23" t="s">
        <v>148</v>
      </c>
      <c r="Q59" s="180">
        <f t="shared" si="0"/>
        <v>1</v>
      </c>
    </row>
    <row r="60" spans="10:17" ht="14.25" customHeight="1">
      <c r="J60" s="23"/>
      <c r="K60" s="23"/>
      <c r="L60" s="748"/>
      <c r="M60" s="587"/>
      <c r="N60" s="749"/>
      <c r="P60" s="23" t="s">
        <v>150</v>
      </c>
      <c r="Q60" s="180">
        <v>1</v>
      </c>
    </row>
    <row r="61" spans="10:17" ht="15" customHeight="1">
      <c r="J61" s="23"/>
      <c r="K61" s="23"/>
      <c r="L61" s="748"/>
      <c r="M61" s="587"/>
      <c r="N61" s="749"/>
      <c r="Q61" s="180"/>
    </row>
    <row r="62" spans="10:17" ht="15" customHeight="1">
      <c r="J62" s="23" t="str">
        <f>+'104(1)a'!F5</f>
        <v>104(1)a</v>
      </c>
      <c r="K62" s="23" t="str">
        <f>+'104(1)a'!C32</f>
        <v>Bulldozer, DX175 (167 hp)</v>
      </c>
      <c r="L62" s="748"/>
      <c r="M62" s="587">
        <f>+'104(1)a'!F32</f>
        <v>1</v>
      </c>
      <c r="N62" s="749">
        <f>+'104(1)a'!G32</f>
        <v>0.83</v>
      </c>
      <c r="Q62" s="180"/>
    </row>
    <row r="63" spans="10:17" ht="15" customHeight="1">
      <c r="J63" s="23" t="str">
        <f>+J62</f>
        <v>104(1)a</v>
      </c>
      <c r="K63" s="23" t="str">
        <f>+'104(1)a'!C33</f>
        <v>Payloader, LX80-2C (1.50m³, 110 hp)</v>
      </c>
      <c r="L63" s="748"/>
      <c r="M63" s="587">
        <f>+'104(1)a'!F33</f>
        <v>1</v>
      </c>
      <c r="N63" s="749">
        <f>+'104(1)a'!G33</f>
        <v>0.83</v>
      </c>
      <c r="Q63" s="180"/>
    </row>
    <row r="64" spans="10:17" ht="15" customHeight="1">
      <c r="J64" s="23" t="str">
        <f>+J63</f>
        <v>104(1)a</v>
      </c>
      <c r="K64" s="23" t="str">
        <f>+'104(1)a'!C34</f>
        <v>Dump Truck (12 yd³, 290 hp)</v>
      </c>
      <c r="L64" s="748"/>
      <c r="M64" s="587">
        <f>+'104(1)a'!F34</f>
        <v>2</v>
      </c>
      <c r="N64" s="749">
        <f>+'104(1)a'!G34</f>
        <v>0.83</v>
      </c>
      <c r="Q64" s="180"/>
    </row>
    <row r="65" spans="10:17" ht="15" customHeight="1">
      <c r="J65" s="23" t="str">
        <f>+J64</f>
        <v>104(1)a</v>
      </c>
      <c r="K65" s="23"/>
      <c r="L65" s="748"/>
      <c r="M65" s="587"/>
      <c r="N65" s="749"/>
      <c r="Q65" s="180"/>
    </row>
    <row r="66" spans="10:17" ht="15" customHeight="1">
      <c r="J66" s="23"/>
      <c r="K66" s="23"/>
      <c r="L66" s="748"/>
      <c r="M66" s="587"/>
      <c r="N66" s="749"/>
      <c r="Q66" s="180">
        <f>+SUM(Q40:Q64)</f>
        <v>22</v>
      </c>
    </row>
    <row r="67" spans="10:17" ht="15" customHeight="1">
      <c r="J67" s="23"/>
      <c r="K67" s="23" t="str">
        <f>+'104(1)a'!C37</f>
        <v>Motorized Road Grader, G710A (140 hp)</v>
      </c>
      <c r="L67" s="748">
        <f>M67</f>
        <v>1</v>
      </c>
      <c r="M67" s="587">
        <f>+'104(1)a'!F37</f>
        <v>1</v>
      </c>
      <c r="N67" s="749">
        <f>+'104(1)a'!G37</f>
        <v>1</v>
      </c>
      <c r="Q67" s="180"/>
    </row>
    <row r="68" spans="10:17" ht="15" customHeight="1">
      <c r="J68" s="23" t="str">
        <f>+J65</f>
        <v>104(1)a</v>
      </c>
      <c r="K68" s="23" t="str">
        <f>+'104(1)a'!C38</f>
        <v>Vibratory Roller, SD100DC (10mt, 125 hp)</v>
      </c>
      <c r="L68" s="748">
        <f>M68</f>
        <v>1</v>
      </c>
      <c r="M68" s="587">
        <f>+'104(1)a'!F38</f>
        <v>1</v>
      </c>
      <c r="N68" s="749">
        <f>+'104(1)a'!G38</f>
        <v>1</v>
      </c>
      <c r="Q68" s="180"/>
    </row>
    <row r="69" spans="10:17" ht="15" customHeight="1">
      <c r="J69" s="23" t="str">
        <f>+J68</f>
        <v>104(1)a</v>
      </c>
      <c r="K69" s="23" t="str">
        <f>+'104(1)a'!C39</f>
        <v>Water Truck/Pump (16000 L, 360 hp)</v>
      </c>
      <c r="L69" s="748">
        <v>1</v>
      </c>
      <c r="M69" s="587">
        <f>+'104(1)a'!F39</f>
        <v>1</v>
      </c>
      <c r="N69" s="749">
        <f>+'104(1)a'!G39</f>
        <v>0.25</v>
      </c>
      <c r="Q69" s="180"/>
    </row>
    <row r="70" spans="10:17" ht="15" customHeight="1">
      <c r="J70" s="23" t="str">
        <f>+J69</f>
        <v>104(1)a</v>
      </c>
      <c r="K70" s="23"/>
      <c r="L70" s="748"/>
      <c r="M70" s="587"/>
      <c r="N70" s="749"/>
      <c r="Q70" s="180"/>
    </row>
    <row r="71" spans="10:17" ht="15" customHeight="1">
      <c r="J71" s="23"/>
      <c r="K71" s="23"/>
      <c r="L71" s="748"/>
      <c r="M71" s="587"/>
      <c r="N71" s="749"/>
      <c r="Q71" s="180"/>
    </row>
    <row r="72" spans="10:17" ht="15" customHeight="1">
      <c r="J72" s="23" t="str">
        <f>+'104(2)a'!F5</f>
        <v>104(2)a</v>
      </c>
      <c r="K72" s="23" t="str">
        <f>+'104(2)a'!C26</f>
        <v>Motorized Road Grader, G710A (140 hp)</v>
      </c>
      <c r="L72" s="748"/>
      <c r="M72" s="587">
        <f>+'104(2)a'!F26</f>
        <v>1</v>
      </c>
      <c r="N72" s="749">
        <f>+'104(2)a'!G26</f>
        <v>1</v>
      </c>
      <c r="Q72" s="180"/>
    </row>
    <row r="73" spans="10:17" ht="15" customHeight="1">
      <c r="J73" s="23" t="str">
        <f>+J72</f>
        <v>104(2)a</v>
      </c>
      <c r="K73" s="23" t="str">
        <f>+'104(2)a'!C27</f>
        <v>Vibratory Roller, SD100DC (10mt, 125 hp)</v>
      </c>
      <c r="L73" s="748"/>
      <c r="M73" s="587">
        <f>+'104(2)a'!F27</f>
        <v>1</v>
      </c>
      <c r="N73" s="749">
        <f>+'104(2)a'!G27</f>
        <v>1</v>
      </c>
      <c r="Q73" s="180"/>
    </row>
    <row r="74" spans="10:17" ht="15" customHeight="1">
      <c r="J74" s="23" t="str">
        <f>+J73</f>
        <v>104(2)a</v>
      </c>
      <c r="K74" s="23" t="str">
        <f>+'104(2)a'!C28</f>
        <v>Water Truck/Pump (16000 L, 360 hp)</v>
      </c>
      <c r="L74" s="748"/>
      <c r="M74" s="587">
        <f>+'104(2)a'!F28</f>
        <v>1</v>
      </c>
      <c r="N74" s="749">
        <f>+'104(2)a'!G28</f>
        <v>0.25</v>
      </c>
      <c r="Q74" s="180"/>
    </row>
    <row r="75" spans="10:17">
      <c r="J75" s="23" t="str">
        <f>+J74</f>
        <v>104(2)a</v>
      </c>
      <c r="K75" s="23"/>
      <c r="L75" s="748"/>
      <c r="M75" s="587"/>
      <c r="N75" s="749"/>
      <c r="Q75" s="180"/>
    </row>
    <row r="76" spans="10:17">
      <c r="J76" s="23"/>
      <c r="K76" s="23"/>
      <c r="L76" s="748"/>
      <c r="M76" s="587"/>
      <c r="N76" s="749"/>
      <c r="Q76" s="180"/>
    </row>
    <row r="77" spans="10:17">
      <c r="J77" s="23" t="str">
        <f>+'105(1)a'!F5</f>
        <v>105(1)a</v>
      </c>
      <c r="K77" s="23" t="str">
        <f>+'105(1)a'!C26</f>
        <v>Motorized Road Grader, G710A (140 hp)</v>
      </c>
      <c r="L77" s="748"/>
      <c r="M77" s="587">
        <f>+'105(1)a'!F26</f>
        <v>1</v>
      </c>
      <c r="N77" s="749">
        <f>+'105(1)a'!G26</f>
        <v>1</v>
      </c>
      <c r="Q77" s="180"/>
    </row>
    <row r="78" spans="10:17">
      <c r="J78" s="23" t="str">
        <f>+J77</f>
        <v>105(1)a</v>
      </c>
      <c r="K78" s="23" t="str">
        <f>+'105(1)a'!C27</f>
        <v>Vibratory Roller, SD100DC (10mt, 125 hp)</v>
      </c>
      <c r="L78" s="748"/>
      <c r="M78" s="587">
        <f>+'105(1)a'!F27</f>
        <v>1</v>
      </c>
      <c r="N78" s="749">
        <f>+'105(1)a'!G27</f>
        <v>1</v>
      </c>
    </row>
    <row r="79" spans="10:17">
      <c r="J79" s="23" t="str">
        <f>+J78</f>
        <v>105(1)a</v>
      </c>
      <c r="K79" s="23" t="str">
        <f>+'105(1)a'!C28</f>
        <v>Water Truck/Pump (16000 L, 360 hp)</v>
      </c>
      <c r="L79" s="748"/>
      <c r="M79" s="587">
        <f>+'105(1)a'!F28</f>
        <v>1</v>
      </c>
      <c r="N79" s="749">
        <f>+'105(1)a'!G28</f>
        <v>0.25</v>
      </c>
    </row>
    <row r="80" spans="10:17">
      <c r="J80" s="23" t="str">
        <f>+J79</f>
        <v>105(1)a</v>
      </c>
      <c r="K80" s="23"/>
      <c r="L80" s="748"/>
      <c r="M80" s="587"/>
      <c r="N80" s="749"/>
    </row>
    <row r="81" spans="10:14">
      <c r="J81" s="23"/>
      <c r="K81" s="23"/>
      <c r="L81" s="748"/>
      <c r="M81" s="587"/>
      <c r="N81" s="749"/>
    </row>
    <row r="82" spans="10:14" ht="15" customHeight="1">
      <c r="J82" s="23" t="str">
        <f>+'200(1)'!F5</f>
        <v>200(1)</v>
      </c>
      <c r="K82" s="23" t="str">
        <f>+'200(1)'!C26</f>
        <v>Motorized Road Grader, G710A (140 hp)</v>
      </c>
      <c r="L82" s="748"/>
      <c r="M82" s="587">
        <f>+'200(1)'!F26</f>
        <v>1</v>
      </c>
      <c r="N82" s="749">
        <f>+'200(1)'!G26</f>
        <v>1</v>
      </c>
    </row>
    <row r="83" spans="10:14" ht="15" customHeight="1">
      <c r="J83" s="23" t="str">
        <f>+J82</f>
        <v>200(1)</v>
      </c>
      <c r="K83" s="23" t="str">
        <f>+'200(1)'!C27</f>
        <v>Vibratory Roller, SD100DC (10mt, 125 hp)</v>
      </c>
      <c r="L83" s="748"/>
      <c r="M83" s="587">
        <f>+'200(1)'!F27</f>
        <v>1</v>
      </c>
      <c r="N83" s="749">
        <f>+'200(1)'!G27</f>
        <v>1</v>
      </c>
    </row>
    <row r="84" spans="10:14" ht="15" customHeight="1">
      <c r="J84" s="23" t="str">
        <f>+J83</f>
        <v>200(1)</v>
      </c>
      <c r="K84" s="23" t="str">
        <f>+'200(1)'!C28</f>
        <v>Water Truck/Pump (16000 L, 360 hp)</v>
      </c>
      <c r="L84" s="748"/>
      <c r="M84" s="587">
        <f>+'200(1)'!F28</f>
        <v>1</v>
      </c>
      <c r="N84" s="749">
        <f>+'200(1)'!G28</f>
        <v>0.25</v>
      </c>
    </row>
    <row r="85" spans="10:14" ht="15" customHeight="1">
      <c r="J85" s="23" t="str">
        <f>+J84</f>
        <v>200(1)</v>
      </c>
      <c r="K85" s="23"/>
      <c r="L85" s="748"/>
      <c r="M85" s="587"/>
      <c r="N85" s="749"/>
    </row>
    <row r="86" spans="10:14" ht="15" customHeight="1">
      <c r="J86" s="23"/>
      <c r="K86" s="23"/>
      <c r="L86" s="748"/>
      <c r="M86" s="587"/>
      <c r="N86" s="749"/>
    </row>
    <row r="87" spans="10:14" ht="15" customHeight="1">
      <c r="J87" s="23" t="str">
        <f>+'311(1)b1'!F5</f>
        <v>311(1)b1</v>
      </c>
      <c r="K87" s="23" t="str">
        <f>+'311(1)b1'!C27</f>
        <v>Transit Mixer (175 hp)</v>
      </c>
      <c r="L87" s="748">
        <v>2</v>
      </c>
      <c r="M87" s="587">
        <f>+'311(1)b1'!F27</f>
        <v>4</v>
      </c>
      <c r="N87" s="749">
        <f>+'311(1)b1'!G27</f>
        <v>1</v>
      </c>
    </row>
    <row r="88" spans="10:14" ht="15" customHeight="1">
      <c r="J88" s="23" t="str">
        <f t="shared" ref="J88:J96" si="1">+J87</f>
        <v>311(1)b1</v>
      </c>
      <c r="K88" s="23" t="str">
        <f>+'311(1)b1'!C28</f>
        <v>Concrete Vibrator</v>
      </c>
      <c r="L88" s="748">
        <f>M88</f>
        <v>2</v>
      </c>
      <c r="M88" s="587">
        <f>+'311(1)b1'!F28</f>
        <v>2</v>
      </c>
      <c r="N88" s="749">
        <f>+'311(1)b1'!G28</f>
        <v>1</v>
      </c>
    </row>
    <row r="89" spans="10:14" ht="15" customHeight="1">
      <c r="J89" s="23" t="str">
        <f t="shared" si="1"/>
        <v>311(1)b1</v>
      </c>
      <c r="K89" s="23" t="str">
        <f>+'311(1)b1'!C29</f>
        <v>Concrete Batch Plant</v>
      </c>
      <c r="L89" s="748">
        <f>M89</f>
        <v>1</v>
      </c>
      <c r="M89" s="587">
        <f>+'311(1)b1'!F29</f>
        <v>1</v>
      </c>
      <c r="N89" s="749">
        <f>+'311(1)b1'!G29</f>
        <v>1</v>
      </c>
    </row>
    <row r="90" spans="10:14" ht="15" customHeight="1">
      <c r="J90" s="23" t="str">
        <f t="shared" si="1"/>
        <v>311(1)b1</v>
      </c>
      <c r="K90" s="23" t="str">
        <f>+'311(1)b1'!C30</f>
        <v>Payloader, LX80-2C (1.50m³, 110 hp)</v>
      </c>
      <c r="L90" s="748"/>
      <c r="M90" s="587">
        <f>+'311(1)b1'!F30</f>
        <v>1</v>
      </c>
      <c r="N90" s="749">
        <f>+'311(1)b1'!G30</f>
        <v>1</v>
      </c>
    </row>
    <row r="91" spans="10:14" ht="15" customHeight="1">
      <c r="J91" s="23" t="str">
        <f t="shared" si="1"/>
        <v>311(1)b1</v>
      </c>
      <c r="K91" s="23" t="str">
        <f>+'311(1)b1'!C31</f>
        <v>Concrete Screeder (5.50 hp)</v>
      </c>
      <c r="L91" s="748">
        <f>M91</f>
        <v>1</v>
      </c>
      <c r="M91" s="587">
        <f>+'311(1)b1'!F31</f>
        <v>1</v>
      </c>
      <c r="N91" s="749">
        <f>+'311(1)b1'!G31</f>
        <v>1</v>
      </c>
    </row>
    <row r="92" spans="10:14" ht="15" customHeight="1">
      <c r="J92" s="23" t="str">
        <f t="shared" si="1"/>
        <v>311(1)b1</v>
      </c>
      <c r="K92" s="23" t="str">
        <f>+'311(1)b1'!C32</f>
        <v>Water Truck/Pump (16000 L, 360 hp)</v>
      </c>
      <c r="L92" s="748"/>
      <c r="M92" s="587">
        <f>+'311(1)b1'!F32</f>
        <v>1</v>
      </c>
      <c r="N92" s="749">
        <f>+'311(1)b1'!G32</f>
        <v>1</v>
      </c>
    </row>
    <row r="93" spans="10:14" ht="15" customHeight="1">
      <c r="J93" s="23" t="str">
        <f t="shared" si="1"/>
        <v>311(1)b1</v>
      </c>
      <c r="K93" s="23" t="str">
        <f>+'311(1)b1'!C33</f>
        <v>Concrete Saw, 14" Blade ø (7.5 hp)</v>
      </c>
      <c r="L93" s="748">
        <f>M93</f>
        <v>1</v>
      </c>
      <c r="M93" s="587">
        <f>+'311(1)b1'!F33</f>
        <v>1</v>
      </c>
      <c r="N93" s="749">
        <f>+'311(1)b1'!G33</f>
        <v>1</v>
      </c>
    </row>
    <row r="94" spans="10:14">
      <c r="J94" s="23" t="str">
        <f t="shared" si="1"/>
        <v>311(1)b1</v>
      </c>
      <c r="K94" s="23" t="str">
        <f>+'311(1)b1'!C34</f>
        <v>Bar Cutter, Single Phase</v>
      </c>
      <c r="L94" s="748">
        <f>M94</f>
        <v>1</v>
      </c>
      <c r="M94" s="587">
        <f>+'311(1)b1'!F34</f>
        <v>1</v>
      </c>
      <c r="N94" s="749">
        <f>+'311(1)b1'!G34</f>
        <v>0.1</v>
      </c>
    </row>
    <row r="95" spans="10:14">
      <c r="J95" s="23" t="str">
        <f t="shared" si="1"/>
        <v>311(1)b1</v>
      </c>
      <c r="K95" s="23" t="str">
        <f>+'311(1)b1'!C35</f>
        <v>Joint Sealer</v>
      </c>
      <c r="L95" s="748">
        <f>M95</f>
        <v>1</v>
      </c>
      <c r="M95" s="587">
        <f>+'311(1)b1'!F35</f>
        <v>1</v>
      </c>
      <c r="N95" s="749">
        <f>+'311(1)b1'!G35</f>
        <v>0.1</v>
      </c>
    </row>
    <row r="96" spans="10:14">
      <c r="J96" s="23" t="str">
        <f t="shared" si="1"/>
        <v>311(1)b1</v>
      </c>
      <c r="K96" s="23"/>
      <c r="L96" s="748"/>
      <c r="M96" s="587"/>
      <c r="N96" s="749"/>
    </row>
    <row r="97" spans="10:14">
      <c r="J97" s="23"/>
      <c r="K97" s="23"/>
      <c r="L97" s="748"/>
      <c r="M97" s="587"/>
      <c r="N97" s="749"/>
    </row>
    <row r="98" spans="10:14">
      <c r="J98" s="23" t="str">
        <f>+'404(1)a'!F5</f>
        <v>404(1)a</v>
      </c>
      <c r="K98" s="23" t="str">
        <f>+'404(1)a'!C27</f>
        <v>Bar Cutter, Single Phase</v>
      </c>
      <c r="L98" s="748"/>
      <c r="M98" s="587">
        <f>+'404(1)a'!F27</f>
        <v>1</v>
      </c>
      <c r="N98" s="749">
        <f>+'404(1)a'!G27</f>
        <v>0.5</v>
      </c>
    </row>
    <row r="99" spans="10:14">
      <c r="J99" s="23" t="str">
        <f>+J98</f>
        <v>404(1)a</v>
      </c>
      <c r="K99" s="23" t="str">
        <f>+'404(1)a'!C28</f>
        <v>Bar Bender, Three Phase</v>
      </c>
      <c r="L99" s="748">
        <f>M99</f>
        <v>1</v>
      </c>
      <c r="M99" s="587">
        <f>+'404(1)a'!F28</f>
        <v>1</v>
      </c>
      <c r="N99" s="749">
        <f>+'404(1)a'!G28</f>
        <v>0.5</v>
      </c>
    </row>
    <row r="100" spans="10:14">
      <c r="J100" s="23" t="str">
        <f>+J99</f>
        <v>404(1)a</v>
      </c>
      <c r="K100" s="23" t="str">
        <f>+'404(1)a'!C29</f>
        <v>Cargo/Service Truck (9-10mt, 270 hp)</v>
      </c>
      <c r="L100" s="748">
        <f>M100</f>
        <v>1</v>
      </c>
      <c r="M100" s="587">
        <f>+'404(1)a'!F29</f>
        <v>1</v>
      </c>
      <c r="N100" s="749">
        <f>+'404(1)a'!G29</f>
        <v>0.15</v>
      </c>
    </row>
    <row r="101" spans="10:14">
      <c r="J101" s="23" t="str">
        <f>+J100</f>
        <v>404(1)a</v>
      </c>
      <c r="K101" s="23"/>
      <c r="L101" s="748"/>
      <c r="M101" s="587"/>
      <c r="N101" s="749"/>
    </row>
    <row r="102" spans="10:14">
      <c r="J102" s="23"/>
      <c r="K102" s="23"/>
      <c r="L102" s="748"/>
      <c r="M102" s="587"/>
      <c r="N102" s="749"/>
    </row>
    <row r="103" spans="10:14">
      <c r="J103" s="23" t="str">
        <f>+'405(1)a3'!F5</f>
        <v>405(1)a3</v>
      </c>
      <c r="K103" s="23" t="str">
        <f>+'405(1)a3'!C31</f>
        <v>One Bagger Mixer (4-6 ft³/min)</v>
      </c>
      <c r="L103" s="748">
        <f>M103</f>
        <v>1</v>
      </c>
      <c r="M103" s="587">
        <f>+'405(1)a3'!F31</f>
        <v>1</v>
      </c>
      <c r="N103" s="749">
        <f>+'405(1)a3'!G31</f>
        <v>1</v>
      </c>
    </row>
    <row r="104" spans="10:14">
      <c r="J104" s="23" t="str">
        <f>+J103</f>
        <v>405(1)a3</v>
      </c>
      <c r="K104" s="23" t="str">
        <f>+'405(1)a3'!C32</f>
        <v>Concrete Vibrator</v>
      </c>
      <c r="L104" s="748"/>
      <c r="M104" s="587">
        <f>+'405(1)a3'!F32</f>
        <v>1</v>
      </c>
      <c r="N104" s="749">
        <f>+'405(1)a3'!G32</f>
        <v>1</v>
      </c>
    </row>
    <row r="105" spans="10:14">
      <c r="J105" s="23" t="str">
        <f>+J104</f>
        <v>405(1)a3</v>
      </c>
      <c r="K105" s="23" t="str">
        <f>+'405(1)a3'!C33</f>
        <v>Water Truck/Pump (16000 L, 360 hp)</v>
      </c>
      <c r="L105" s="748"/>
      <c r="M105" s="587">
        <f>+'405(1)a3'!F33</f>
        <v>1</v>
      </c>
      <c r="N105" s="749">
        <f>+'405(1)a3'!G33</f>
        <v>0.1</v>
      </c>
    </row>
    <row r="106" spans="10:14">
      <c r="J106" s="23" t="str">
        <f>+J105</f>
        <v>405(1)a3</v>
      </c>
      <c r="K106" s="23"/>
      <c r="L106" s="748"/>
      <c r="M106" s="587"/>
      <c r="N106" s="749"/>
    </row>
    <row r="107" spans="10:14">
      <c r="J107" s="23"/>
      <c r="K107" s="23"/>
      <c r="L107" s="748"/>
      <c r="M107" s="587"/>
      <c r="N107" s="749"/>
    </row>
    <row r="108" spans="10:14">
      <c r="J108" s="23"/>
      <c r="K108" s="23"/>
      <c r="L108" s="748"/>
      <c r="M108" s="587"/>
      <c r="N108" s="749"/>
    </row>
    <row r="109" spans="10:14">
      <c r="J109" s="23"/>
      <c r="K109" s="23"/>
      <c r="L109" s="748"/>
      <c r="M109" s="587"/>
      <c r="N109" s="749"/>
    </row>
    <row r="110" spans="10:14" ht="14.25" customHeight="1">
      <c r="J110" s="23"/>
      <c r="K110" s="23"/>
      <c r="L110" s="748"/>
      <c r="M110" s="587"/>
      <c r="N110" s="749"/>
    </row>
    <row r="111" spans="10:14">
      <c r="J111" s="23"/>
      <c r="K111" s="23"/>
    </row>
    <row r="112" spans="10:14">
      <c r="J112" s="23"/>
      <c r="K112" s="23"/>
      <c r="L112" s="748"/>
      <c r="M112" s="587"/>
      <c r="N112" s="749"/>
    </row>
    <row r="113" spans="10:14">
      <c r="J113" s="23"/>
      <c r="L113" s="748">
        <f>+SUM(L40:L112)</f>
        <v>21</v>
      </c>
      <c r="M113" s="587"/>
      <c r="N113" s="749"/>
    </row>
  </sheetData>
  <sortState xmlns:xlrd2="http://schemas.microsoft.com/office/spreadsheetml/2017/richdata2" ref="P41:Q60">
    <sortCondition ref="Q41:Q60"/>
  </sortState>
  <mergeCells count="5">
    <mergeCell ref="A1:B1"/>
    <mergeCell ref="A2:I2"/>
    <mergeCell ref="A3:I3"/>
    <mergeCell ref="B4:G4"/>
    <mergeCell ref="A5:I5"/>
  </mergeCells>
  <printOptions horizontalCentered="1"/>
  <pageMargins left="0" right="0" top="0.78739999999999999" bottom="0.39369999999999999" header="0.39369999999999999" footer="0"/>
  <pageSetup paperSize="9" scale="78" fitToWidth="0" fitToHeight="0" orientation="landscape"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FF0000"/>
  </sheetPr>
  <dimension ref="A1:AMJ58"/>
  <sheetViews>
    <sheetView view="pageBreakPreview" topLeftCell="A21" zoomScale="52" zoomScaleNormal="70" zoomScaleSheetLayoutView="52" workbookViewId="0">
      <selection activeCell="R25" sqref="R25"/>
    </sheetView>
  </sheetViews>
  <sheetFormatPr defaultColWidth="9" defaultRowHeight="15"/>
  <cols>
    <col min="1" max="1" width="13.75" style="296" customWidth="1"/>
    <col min="2" max="2" width="1.5" style="373" customWidth="1"/>
    <col min="3" max="3" width="66.125" style="373" customWidth="1"/>
    <col min="4" max="4" width="16.875" style="373" customWidth="1"/>
    <col min="5" max="5" width="10.875" style="383" customWidth="1"/>
    <col min="6" max="6" width="13.75" style="599" customWidth="1"/>
    <col min="7" max="7" width="9.5" style="373" customWidth="1"/>
    <col min="8" max="8" width="17.875" style="1176" hidden="1" customWidth="1"/>
    <col min="9" max="9" width="19.75" style="1233" customWidth="1"/>
    <col min="10" max="10" width="20.125" style="1194" hidden="1" customWidth="1"/>
    <col min="11" max="11" width="19.125" style="1233" customWidth="1"/>
    <col min="12" max="12" width="17" style="1209" hidden="1" customWidth="1"/>
    <col min="13" max="13" width="22.5" style="1240" customWidth="1"/>
    <col min="14" max="14" width="21.125" style="600" customWidth="1"/>
    <col min="15" max="15" width="5.625" style="601" customWidth="1"/>
    <col min="16" max="17" width="19.125" style="602" customWidth="1"/>
    <col min="18" max="18" width="22.5" style="603" customWidth="1"/>
    <col min="19" max="19" width="15.75" style="373" customWidth="1"/>
    <col min="20" max="20" width="18" style="373" customWidth="1"/>
    <col min="21" max="21" width="11" style="373" customWidth="1"/>
    <col min="22" max="22" width="5.875" style="373" customWidth="1"/>
    <col min="23" max="23" width="22.25" style="373" customWidth="1"/>
    <col min="24" max="24" width="4.75" style="373" customWidth="1"/>
    <col min="25" max="25" width="25.75" style="373" customWidth="1"/>
    <col min="26" max="255" width="8.5" style="373" customWidth="1"/>
    <col min="256" max="256" width="10.875" style="373" customWidth="1"/>
    <col min="257" max="257" width="1.5" style="373" customWidth="1"/>
    <col min="258" max="258" width="86.125" style="373" customWidth="1"/>
    <col min="259" max="259" width="8" style="373" customWidth="1"/>
    <col min="260" max="260" width="12.25" style="373" customWidth="1"/>
    <col min="261" max="261" width="9.5" style="373" customWidth="1"/>
    <col min="262" max="262" width="10.75" style="373" hidden="1" customWidth="1"/>
    <col min="263" max="263" width="20.5" style="373" customWidth="1"/>
    <col min="264" max="264" width="10.75" style="373" hidden="1" customWidth="1"/>
    <col min="265" max="265" width="19.125" style="373" customWidth="1"/>
    <col min="266" max="266" width="10.75" style="373" hidden="1" customWidth="1"/>
    <col min="267" max="267" width="22.5" style="373" customWidth="1"/>
    <col min="268" max="268" width="20.5" style="373" customWidth="1"/>
    <col min="269" max="269" width="21.125" style="373" customWidth="1"/>
    <col min="270" max="270" width="5" style="373" customWidth="1"/>
    <col min="271" max="272" width="19.125" style="373" customWidth="1"/>
    <col min="273" max="273" width="23.75" style="373" customWidth="1"/>
    <col min="274" max="274" width="21.125" style="373" customWidth="1"/>
    <col min="275" max="275" width="15.5" style="373" customWidth="1"/>
    <col min="276" max="276" width="12.625" style="373" customWidth="1"/>
    <col min="277" max="511" width="8.5" style="373" customWidth="1"/>
    <col min="512" max="512" width="10.875" style="373" customWidth="1"/>
    <col min="513" max="513" width="1.5" style="373" customWidth="1"/>
    <col min="514" max="514" width="86.125" style="373" customWidth="1"/>
    <col min="515" max="515" width="8" style="373" customWidth="1"/>
    <col min="516" max="516" width="12.25" style="373" customWidth="1"/>
    <col min="517" max="517" width="9.5" style="373" customWidth="1"/>
    <col min="518" max="518" width="10.75" style="373" hidden="1" customWidth="1"/>
    <col min="519" max="519" width="20.5" style="373" customWidth="1"/>
    <col min="520" max="520" width="10.75" style="373" hidden="1" customWidth="1"/>
    <col min="521" max="521" width="19.125" style="373" customWidth="1"/>
    <col min="522" max="522" width="10.75" style="373" hidden="1" customWidth="1"/>
    <col min="523" max="523" width="22.5" style="373" customWidth="1"/>
    <col min="524" max="524" width="20.5" style="373" customWidth="1"/>
    <col min="525" max="525" width="21.125" style="373" customWidth="1"/>
    <col min="526" max="526" width="5" style="373" customWidth="1"/>
    <col min="527" max="528" width="19.125" style="373" customWidth="1"/>
    <col min="529" max="529" width="23.75" style="373" customWidth="1"/>
    <col min="530" max="530" width="21.125" style="373" customWidth="1"/>
    <col min="531" max="531" width="15.5" style="373" customWidth="1"/>
    <col min="532" max="532" width="12.625" style="373" customWidth="1"/>
    <col min="533" max="767" width="8.5" style="373" customWidth="1"/>
    <col min="768" max="768" width="10.875" style="373" customWidth="1"/>
    <col min="769" max="769" width="1.5" style="373" customWidth="1"/>
    <col min="770" max="770" width="86.125" style="373" customWidth="1"/>
    <col min="771" max="771" width="8" style="373" customWidth="1"/>
    <col min="772" max="772" width="12.25" style="373" customWidth="1"/>
    <col min="773" max="773" width="9.5" style="373" customWidth="1"/>
    <col min="774" max="774" width="10.75" style="373" hidden="1" customWidth="1"/>
    <col min="775" max="775" width="20.5" style="373" customWidth="1"/>
    <col min="776" max="776" width="10.75" style="373" hidden="1" customWidth="1"/>
    <col min="777" max="777" width="19.125" style="373" customWidth="1"/>
    <col min="778" max="778" width="10.75" style="373" hidden="1" customWidth="1"/>
    <col min="779" max="779" width="22.5" style="373" customWidth="1"/>
    <col min="780" max="780" width="20.5" style="373" customWidth="1"/>
    <col min="781" max="781" width="21.125" style="373" customWidth="1"/>
    <col min="782" max="782" width="5" style="373" customWidth="1"/>
    <col min="783" max="784" width="19.125" style="373" customWidth="1"/>
    <col min="785" max="785" width="23.75" style="373" customWidth="1"/>
    <col min="786" max="786" width="21.125" style="373" customWidth="1"/>
    <col min="787" max="787" width="15.5" style="373" customWidth="1"/>
    <col min="788" max="788" width="12.625" style="373" customWidth="1"/>
    <col min="789" max="1023" width="8.5" style="373" customWidth="1"/>
    <col min="1024" max="1024" width="10.875" style="373" customWidth="1"/>
    <col min="1025" max="1025" width="9" customWidth="1"/>
  </cols>
  <sheetData>
    <row r="1" spans="1:25" s="396" customFormat="1" ht="23.25">
      <c r="A1" s="604"/>
      <c r="C1" s="596"/>
      <c r="D1" s="596"/>
      <c r="E1" s="383"/>
      <c r="F1" s="599"/>
      <c r="H1" s="1176"/>
      <c r="I1" s="1233"/>
      <c r="J1" s="1194"/>
      <c r="K1" s="1233"/>
      <c r="L1" s="1209"/>
      <c r="M1" s="1240"/>
      <c r="N1" s="600"/>
      <c r="O1" s="640"/>
      <c r="P1" s="602"/>
      <c r="Q1" s="1226"/>
      <c r="R1" s="677"/>
    </row>
    <row r="2" spans="1:25" s="596" customFormat="1" ht="21.95" customHeight="1">
      <c r="A2" s="1253" t="str">
        <f>+BACKUP!B1</f>
        <v>CONSTRUCTION OF ROAD</v>
      </c>
      <c r="B2" s="1253"/>
      <c r="C2" s="1253"/>
      <c r="D2" s="1253"/>
      <c r="E2" s="1253"/>
      <c r="F2" s="1253"/>
      <c r="G2" s="1253"/>
      <c r="H2" s="1253"/>
      <c r="I2" s="1253"/>
      <c r="J2" s="1253"/>
      <c r="K2" s="1253"/>
      <c r="L2" s="1253"/>
      <c r="M2" s="1253"/>
      <c r="N2" s="1253"/>
      <c r="O2" s="1253"/>
      <c r="P2" s="1253"/>
      <c r="Q2" s="1253"/>
      <c r="R2" s="1253"/>
    </row>
    <row r="3" spans="1:25" s="596" customFormat="1" ht="21.95" customHeight="1">
      <c r="A3" s="1254" t="str">
        <f>+BACKUP!B2</f>
        <v>BRGY. L. PIMENTEL, SAN LUIS, AURORA</v>
      </c>
      <c r="B3" s="1254"/>
      <c r="C3" s="1254"/>
      <c r="D3" s="1254"/>
      <c r="E3" s="1254"/>
      <c r="F3" s="1254"/>
      <c r="G3" s="1254"/>
      <c r="H3" s="1254"/>
      <c r="I3" s="1254"/>
      <c r="J3" s="1254"/>
      <c r="K3" s="1254"/>
      <c r="L3" s="1254"/>
      <c r="M3" s="1254"/>
      <c r="N3" s="1254"/>
      <c r="O3" s="1254"/>
      <c r="P3" s="1254"/>
      <c r="Q3" s="1254"/>
      <c r="R3" s="1254"/>
    </row>
    <row r="4" spans="1:25" s="596" customFormat="1" ht="7.5" customHeight="1">
      <c r="A4" s="605"/>
      <c r="B4" s="605"/>
      <c r="C4" s="605"/>
      <c r="D4" s="605"/>
      <c r="E4" s="607"/>
      <c r="F4" s="608"/>
      <c r="G4" s="606"/>
      <c r="H4" s="1184"/>
      <c r="I4" s="1234"/>
      <c r="J4" s="1195"/>
      <c r="K4" s="1234"/>
      <c r="L4" s="1210"/>
      <c r="M4" s="1241"/>
      <c r="N4" s="641"/>
      <c r="O4" s="642"/>
      <c r="P4" s="643"/>
      <c r="Q4" s="643"/>
      <c r="R4" s="677"/>
    </row>
    <row r="5" spans="1:25" s="596" customFormat="1" ht="7.5" customHeight="1">
      <c r="A5" s="605"/>
      <c r="B5" s="605"/>
      <c r="C5" s="605"/>
      <c r="D5" s="605"/>
      <c r="E5" s="607"/>
      <c r="F5" s="608"/>
      <c r="G5" s="606"/>
      <c r="H5" s="1184"/>
      <c r="I5" s="1234"/>
      <c r="J5" s="1195"/>
      <c r="K5" s="1234"/>
      <c r="L5" s="1210"/>
      <c r="M5" s="1241"/>
      <c r="N5" s="641"/>
      <c r="O5" s="642"/>
      <c r="P5" s="643"/>
      <c r="Q5" s="643"/>
      <c r="R5" s="677"/>
    </row>
    <row r="6" spans="1:25" s="596" customFormat="1" ht="25.5" customHeight="1">
      <c r="A6" s="605"/>
      <c r="B6" s="605"/>
      <c r="C6" s="609"/>
      <c r="D6" s="605"/>
      <c r="E6" s="607"/>
      <c r="F6" s="608"/>
      <c r="G6" s="606"/>
      <c r="H6" s="1184"/>
      <c r="I6" s="1234"/>
      <c r="J6" s="1195"/>
      <c r="K6" s="1234"/>
      <c r="L6" s="1210"/>
      <c r="M6" s="1241"/>
      <c r="N6" s="641"/>
      <c r="O6" s="642"/>
      <c r="P6" s="643"/>
      <c r="Q6" s="643"/>
      <c r="R6" s="677"/>
    </row>
    <row r="7" spans="1:25" s="596" customFormat="1" ht="26.25" customHeight="1">
      <c r="A7" s="605"/>
      <c r="B7" s="605"/>
      <c r="C7" s="609"/>
      <c r="D7" s="605"/>
      <c r="E7" s="610"/>
      <c r="F7" s="611"/>
      <c r="G7" s="606"/>
      <c r="H7" s="1185"/>
      <c r="I7" s="1235"/>
      <c r="J7" s="1196"/>
      <c r="K7" s="1235"/>
      <c r="L7" s="1211"/>
      <c r="M7" s="1242"/>
      <c r="N7" s="644"/>
      <c r="O7" s="645"/>
      <c r="P7" s="646"/>
      <c r="Q7" s="1468" t="s">
        <v>154</v>
      </c>
      <c r="R7" s="1468"/>
      <c r="X7" s="678"/>
      <c r="Y7" s="697"/>
    </row>
    <row r="8" spans="1:25" s="543" customFormat="1" ht="25.5" customHeight="1">
      <c r="A8" s="1469" t="s">
        <v>155</v>
      </c>
      <c r="B8" s="1470"/>
      <c r="C8" s="1470"/>
      <c r="D8" s="1470"/>
      <c r="E8" s="1470"/>
      <c r="F8" s="1470"/>
      <c r="G8" s="1470"/>
      <c r="H8" s="1470"/>
      <c r="I8" s="1470"/>
      <c r="J8" s="1470"/>
      <c r="K8" s="1470"/>
      <c r="L8" s="1470"/>
      <c r="M8" s="1470"/>
      <c r="N8" s="1470"/>
      <c r="O8" s="1470"/>
      <c r="P8" s="1470"/>
      <c r="Q8" s="1470"/>
      <c r="R8" s="1471"/>
      <c r="W8" s="679" t="s">
        <v>156</v>
      </c>
      <c r="X8" s="680" t="s">
        <v>157</v>
      </c>
      <c r="Y8" s="698">
        <f>SUM(R39,R44,R49)</f>
        <v>8169422.0899999999</v>
      </c>
    </row>
    <row r="9" spans="1:25" s="597" customFormat="1" ht="23.25" customHeight="1">
      <c r="A9" s="1479" t="s">
        <v>4</v>
      </c>
      <c r="B9" s="1454" t="s">
        <v>5</v>
      </c>
      <c r="C9" s="1454"/>
      <c r="D9" s="1454"/>
      <c r="E9" s="1484" t="s">
        <v>11</v>
      </c>
      <c r="F9" s="1474" t="s">
        <v>158</v>
      </c>
      <c r="G9" s="1454" t="s">
        <v>31</v>
      </c>
      <c r="H9" s="1472" t="s">
        <v>111</v>
      </c>
      <c r="I9" s="1472"/>
      <c r="J9" s="1472"/>
      <c r="K9" s="1472"/>
      <c r="L9" s="1472"/>
      <c r="M9" s="1472"/>
      <c r="N9" s="1472"/>
      <c r="O9" s="1473" t="s">
        <v>7</v>
      </c>
      <c r="P9" s="1473"/>
      <c r="Q9" s="1492" t="s">
        <v>159</v>
      </c>
      <c r="R9" s="1493" t="s">
        <v>10</v>
      </c>
      <c r="S9" s="1494" t="s">
        <v>160</v>
      </c>
      <c r="T9" s="1495"/>
      <c r="W9" s="679" t="s">
        <v>161</v>
      </c>
      <c r="X9" s="680" t="s">
        <v>157</v>
      </c>
      <c r="Y9" s="698"/>
    </row>
    <row r="10" spans="1:25" s="597" customFormat="1" ht="20.25" customHeight="1">
      <c r="A10" s="1479"/>
      <c r="B10" s="1454"/>
      <c r="C10" s="1454"/>
      <c r="D10" s="1454"/>
      <c r="E10" s="1484"/>
      <c r="F10" s="1474"/>
      <c r="G10" s="1454"/>
      <c r="H10" s="1177" t="s">
        <v>162</v>
      </c>
      <c r="I10" s="1236" t="s">
        <v>163</v>
      </c>
      <c r="J10" s="1197" t="s">
        <v>164</v>
      </c>
      <c r="K10" s="1236" t="s">
        <v>165</v>
      </c>
      <c r="L10" s="1212" t="s">
        <v>166</v>
      </c>
      <c r="M10" s="1236" t="s">
        <v>167</v>
      </c>
      <c r="N10" s="647" t="s">
        <v>15</v>
      </c>
      <c r="O10" s="648" t="s">
        <v>11</v>
      </c>
      <c r="P10" s="649" t="s">
        <v>12</v>
      </c>
      <c r="Q10" s="1492"/>
      <c r="R10" s="1493"/>
      <c r="S10" s="1494"/>
      <c r="T10" s="1495"/>
      <c r="W10" s="679" t="s">
        <v>168</v>
      </c>
      <c r="X10" s="680" t="s">
        <v>157</v>
      </c>
      <c r="Y10" s="699">
        <f>SUM(R54)</f>
        <v>1344265.38</v>
      </c>
    </row>
    <row r="11" spans="1:25" s="598" customFormat="1" ht="19.5" customHeight="1">
      <c r="A11" s="612" t="s">
        <v>169</v>
      </c>
      <c r="B11" s="1475" t="s">
        <v>170</v>
      </c>
      <c r="C11" s="1475"/>
      <c r="D11" s="613"/>
      <c r="E11" s="614"/>
      <c r="F11" s="614"/>
      <c r="G11" s="615"/>
      <c r="H11" s="1178"/>
      <c r="I11" s="1237"/>
      <c r="J11" s="1198"/>
      <c r="K11" s="1237"/>
      <c r="L11" s="1213"/>
      <c r="M11" s="1243"/>
      <c r="N11" s="650"/>
      <c r="O11" s="651"/>
      <c r="P11" s="652"/>
      <c r="Q11" s="652"/>
      <c r="R11" s="681"/>
      <c r="W11" s="682"/>
      <c r="X11" s="683"/>
      <c r="Y11" s="700">
        <f>+SUM(Y8:Y10)</f>
        <v>9513687.4699999988</v>
      </c>
    </row>
    <row r="12" spans="1:25" ht="19.5" customHeight="1">
      <c r="A12" s="1478" t="str">
        <f>+'A_1_1_(3)'!F5</f>
        <v>A.1.1 (3)</v>
      </c>
      <c r="B12" s="1477" t="str">
        <f>+'A_1_1_(3)'!G5</f>
        <v>Construction of Field Office for the Engineer</v>
      </c>
      <c r="C12" s="1477"/>
      <c r="D12" s="319" t="s">
        <v>13</v>
      </c>
      <c r="E12" s="616"/>
      <c r="F12" s="617"/>
      <c r="G12" s="1488" t="str">
        <f>+'A_1_1_(3)'!F6</f>
        <v>ls</v>
      </c>
      <c r="H12" s="1186"/>
      <c r="I12" s="653"/>
      <c r="J12" s="1199"/>
      <c r="K12" s="653"/>
      <c r="L12" s="1214"/>
      <c r="M12" s="1244"/>
      <c r="N12" s="654"/>
      <c r="O12" s="655"/>
      <c r="P12" s="656"/>
      <c r="Q12" s="656"/>
      <c r="R12" s="684"/>
      <c r="S12" s="685"/>
      <c r="U12" s="393">
        <f>+H13+J13+L13</f>
        <v>48948.07</v>
      </c>
      <c r="W12" s="543"/>
      <c r="X12" s="1"/>
      <c r="Y12" s="699">
        <f>+R51-R15-R28</f>
        <v>-286312.53000000003</v>
      </c>
    </row>
    <row r="13" spans="1:25" ht="19.5" customHeight="1">
      <c r="A13" s="1478"/>
      <c r="B13" s="1477"/>
      <c r="C13" s="1477"/>
      <c r="D13" s="319" t="s">
        <v>14</v>
      </c>
      <c r="E13" s="616">
        <f>+(N13/$N$56)*100</f>
        <v>0.62745635373864028</v>
      </c>
      <c r="F13" s="618">
        <f>+VLOOKUP(A12,SUMMARY,7,0)</f>
        <v>1</v>
      </c>
      <c r="G13" s="1488"/>
      <c r="H13" s="1186">
        <f>+'A_1_1_(3)'!K59</f>
        <v>45446.47</v>
      </c>
      <c r="I13" s="653">
        <f>+F13*H13</f>
        <v>45446.47</v>
      </c>
      <c r="J13" s="1199">
        <f>+'A_1_1_(3)'!K19</f>
        <v>3501.6</v>
      </c>
      <c r="K13" s="653">
        <f>+F13*J13</f>
        <v>3501.6</v>
      </c>
      <c r="L13" s="1214">
        <f>+'A_1_1_(3)'!K27</f>
        <v>0</v>
      </c>
      <c r="M13" s="1244">
        <f>+F13*L13</f>
        <v>0</v>
      </c>
      <c r="N13" s="657">
        <f>+ROUND(I13+K13+M13,2)</f>
        <v>48948.07</v>
      </c>
      <c r="O13" s="655">
        <f>+'A_1_1_(3)'!H65+'A_1_1_(3)'!H67</f>
        <v>0.2</v>
      </c>
      <c r="P13" s="653">
        <f>+ROUND(N13*O13,2)</f>
        <v>9789.61</v>
      </c>
      <c r="Q13" s="656">
        <f>+ROUND((N13+P13)*0.05,2)</f>
        <v>2936.88</v>
      </c>
      <c r="R13" s="686">
        <f>+ROUND(N13+P13+Q13,2)</f>
        <v>61674.559999999998</v>
      </c>
      <c r="S13" s="685">
        <f>+R13/F13</f>
        <v>61674.559999999998</v>
      </c>
      <c r="U13" s="393" t="e">
        <f>+#REF!+#REF!+#REF!</f>
        <v>#REF!</v>
      </c>
      <c r="X13" s="1"/>
      <c r="Y13" s="700" t="b">
        <f>+Y11=Y12</f>
        <v>0</v>
      </c>
    </row>
    <row r="14" spans="1:25" s="542" customFormat="1" ht="19.5" customHeight="1">
      <c r="A14" s="1480"/>
      <c r="B14" s="1476" t="s">
        <v>171</v>
      </c>
      <c r="C14" s="1476"/>
      <c r="D14" s="619" t="s">
        <v>13</v>
      </c>
      <c r="E14" s="620"/>
      <c r="F14" s="621"/>
      <c r="G14" s="1489"/>
      <c r="H14" s="1180"/>
      <c r="I14" s="653"/>
      <c r="J14" s="1200"/>
      <c r="K14" s="653"/>
      <c r="L14" s="1215"/>
      <c r="M14" s="1245"/>
      <c r="N14" s="658"/>
      <c r="O14" s="659"/>
      <c r="P14" s="660"/>
      <c r="Q14" s="1227"/>
      <c r="R14" s="687"/>
      <c r="S14" s="688"/>
      <c r="T14" s="689"/>
      <c r="U14" s="393">
        <f t="shared" ref="U14:U21" si="0">+H15+J15+L15</f>
        <v>0</v>
      </c>
      <c r="Y14" s="701"/>
    </row>
    <row r="15" spans="1:25" s="542" customFormat="1" ht="19.5" customHeight="1">
      <c r="A15" s="1480"/>
      <c r="B15" s="1476"/>
      <c r="C15" s="1476"/>
      <c r="D15" s="622" t="s">
        <v>14</v>
      </c>
      <c r="E15" s="623">
        <f>+E13</f>
        <v>0.62745635373864028</v>
      </c>
      <c r="F15" s="624"/>
      <c r="G15" s="1489"/>
      <c r="H15" s="1181"/>
      <c r="I15" s="661">
        <f>+I13</f>
        <v>45446.47</v>
      </c>
      <c r="J15" s="1201"/>
      <c r="K15" s="661">
        <f>+K13</f>
        <v>3501.6</v>
      </c>
      <c r="L15" s="1216"/>
      <c r="M15" s="661">
        <f>+M13</f>
        <v>0</v>
      </c>
      <c r="N15" s="661">
        <f>+N13</f>
        <v>48948.07</v>
      </c>
      <c r="O15" s="662"/>
      <c r="P15" s="661">
        <f>+P13</f>
        <v>9789.61</v>
      </c>
      <c r="Q15" s="1228">
        <f>+Q13</f>
        <v>2936.88</v>
      </c>
      <c r="R15" s="690">
        <f>+R13</f>
        <v>61674.559999999998</v>
      </c>
      <c r="S15" s="688"/>
      <c r="U15" s="393">
        <f t="shared" si="0"/>
        <v>0</v>
      </c>
      <c r="Y15" s="702"/>
    </row>
    <row r="16" spans="1:25" s="598" customFormat="1" ht="19.5" customHeight="1">
      <c r="A16" s="625" t="s">
        <v>172</v>
      </c>
      <c r="B16" s="1475" t="s">
        <v>173</v>
      </c>
      <c r="C16" s="1475"/>
      <c r="D16" s="626"/>
      <c r="E16" s="627"/>
      <c r="F16" s="628"/>
      <c r="G16" s="629"/>
      <c r="H16" s="1182"/>
      <c r="I16" s="1238"/>
      <c r="J16" s="1202"/>
      <c r="K16" s="1238"/>
      <c r="L16" s="1217"/>
      <c r="M16" s="1246"/>
      <c r="N16" s="663"/>
      <c r="O16" s="664"/>
      <c r="P16" s="663"/>
      <c r="Q16" s="1229"/>
      <c r="R16" s="691"/>
      <c r="U16" s="394">
        <f t="shared" si="0"/>
        <v>0</v>
      </c>
    </row>
    <row r="17" spans="1:21" ht="19.5" customHeight="1">
      <c r="A17" s="1478" t="str">
        <f>+'B_5(dp)'!F5</f>
        <v>B.5</v>
      </c>
      <c r="B17" s="1477" t="str">
        <f>+'B_5(dp)'!G5</f>
        <v>Project Billboard/ Signboard (DPWH)</v>
      </c>
      <c r="C17" s="1477"/>
      <c r="D17" s="319" t="s">
        <v>13</v>
      </c>
      <c r="E17" s="616"/>
      <c r="F17" s="617"/>
      <c r="G17" s="1488" t="str">
        <f>+'B_5(dp)'!F6</f>
        <v>ea</v>
      </c>
      <c r="H17" s="1186"/>
      <c r="I17" s="653"/>
      <c r="J17" s="1199"/>
      <c r="K17" s="653"/>
      <c r="L17" s="1214"/>
      <c r="M17" s="1244"/>
      <c r="N17" s="657"/>
      <c r="O17" s="655"/>
      <c r="P17" s="653"/>
      <c r="Q17" s="656"/>
      <c r="R17" s="686"/>
      <c r="S17" s="685"/>
      <c r="U17" s="393">
        <f t="shared" si="0"/>
        <v>3416.02</v>
      </c>
    </row>
    <row r="18" spans="1:21" ht="19.5" customHeight="1">
      <c r="A18" s="1478"/>
      <c r="B18" s="1477"/>
      <c r="C18" s="1477"/>
      <c r="D18" s="319" t="s">
        <v>14</v>
      </c>
      <c r="E18" s="616">
        <f>+(N18/$N$56)*100</f>
        <v>8.7578670762637631E-2</v>
      </c>
      <c r="F18" s="618">
        <f>+SOQ!G15</f>
        <v>2</v>
      </c>
      <c r="G18" s="1488"/>
      <c r="H18" s="1186">
        <f>+'B_5(dp)'!K48</f>
        <v>2934.55</v>
      </c>
      <c r="I18" s="653">
        <f>+F18*H18</f>
        <v>5869.1</v>
      </c>
      <c r="J18" s="1199">
        <f>+'B_5(dp)'!K19</f>
        <v>437.7</v>
      </c>
      <c r="K18" s="653">
        <f>+F18*J18</f>
        <v>875.4</v>
      </c>
      <c r="L18" s="1214">
        <f>+'B_5(dp)'!K29</f>
        <v>43.77</v>
      </c>
      <c r="M18" s="1244">
        <f>+(F18*L18)</f>
        <v>87.54</v>
      </c>
      <c r="N18" s="657">
        <f>+ROUND(I18+K18+M18,2)</f>
        <v>6832.04</v>
      </c>
      <c r="O18" s="655">
        <f>+'B_5(dp)'!H54+'B_5(dp)'!H56</f>
        <v>0.2</v>
      </c>
      <c r="P18" s="653">
        <f>+ROUND(N18*O18,2)</f>
        <v>1366.41</v>
      </c>
      <c r="Q18" s="656">
        <f>+ROUND((N18+P18)*0.05,2)</f>
        <v>409.92</v>
      </c>
      <c r="R18" s="686">
        <f>+ROUND(N18+P18+Q18,2)</f>
        <v>8608.3700000000008</v>
      </c>
      <c r="S18" s="685">
        <f>+R18/F18</f>
        <v>4304.1850000000004</v>
      </c>
      <c r="U18" s="393">
        <f t="shared" si="0"/>
        <v>0</v>
      </c>
    </row>
    <row r="19" spans="1:21" ht="19.5" customHeight="1">
      <c r="A19" s="1478" t="str">
        <f>+'B_5_(coa)'!F5</f>
        <v>B.5</v>
      </c>
      <c r="B19" s="1477" t="str">
        <f>+'B_5_(coa)'!G5</f>
        <v>Project Billboard/ Signboard (COA)</v>
      </c>
      <c r="C19" s="1477"/>
      <c r="D19" s="319" t="s">
        <v>13</v>
      </c>
      <c r="E19" s="616"/>
      <c r="F19" s="617"/>
      <c r="G19" s="1488" t="str">
        <f>+'B_5_(coa)'!F6</f>
        <v>ea</v>
      </c>
      <c r="H19" s="1186"/>
      <c r="I19" s="653"/>
      <c r="J19" s="1199"/>
      <c r="K19" s="653"/>
      <c r="L19" s="1214"/>
      <c r="M19" s="1244"/>
      <c r="N19" s="657"/>
      <c r="O19" s="655"/>
      <c r="P19" s="653"/>
      <c r="Q19" s="656"/>
      <c r="R19" s="686"/>
      <c r="S19" s="685"/>
      <c r="U19" s="393">
        <f t="shared" si="0"/>
        <v>6832.04</v>
      </c>
    </row>
    <row r="20" spans="1:21" ht="19.5" customHeight="1">
      <c r="A20" s="1478"/>
      <c r="B20" s="1477"/>
      <c r="C20" s="1477"/>
      <c r="D20" s="319" t="s">
        <v>14</v>
      </c>
      <c r="E20" s="616">
        <f>+(N20/$N$56)*100</f>
        <v>8.7578670762637631E-2</v>
      </c>
      <c r="F20" s="618">
        <f>+SOQ!G16</f>
        <v>1</v>
      </c>
      <c r="G20" s="1488"/>
      <c r="H20" s="1186">
        <f>+'B_5_(coa)'!K48</f>
        <v>5869.1</v>
      </c>
      <c r="I20" s="653">
        <f>+F20*H20</f>
        <v>5869.1</v>
      </c>
      <c r="J20" s="1199">
        <f>+'B_5_(coa)'!K19</f>
        <v>875.4</v>
      </c>
      <c r="K20" s="653">
        <f>+F20*J20</f>
        <v>875.4</v>
      </c>
      <c r="L20" s="1214">
        <f>+'B_5_(coa)'!K29</f>
        <v>87.54</v>
      </c>
      <c r="M20" s="1244">
        <f>+F20*L20</f>
        <v>87.54</v>
      </c>
      <c r="N20" s="657">
        <f>+ROUND(I20+K20+M20,2)</f>
        <v>6832.04</v>
      </c>
      <c r="O20" s="655">
        <f>+'B_5_(coa)'!H54+'B_5_(coa)'!H56</f>
        <v>0.2</v>
      </c>
      <c r="P20" s="653">
        <f>+ROUND(N20*O20,2)</f>
        <v>1366.41</v>
      </c>
      <c r="Q20" s="656">
        <f>+ROUND((N20+P20)*0.05,2)</f>
        <v>409.92</v>
      </c>
      <c r="R20" s="686">
        <f>+ROUND(N20+P20+Q20,2)</f>
        <v>8608.3700000000008</v>
      </c>
      <c r="S20" s="685">
        <f>+R20/F20</f>
        <v>8608.3700000000008</v>
      </c>
      <c r="U20" s="393">
        <f t="shared" si="0"/>
        <v>0</v>
      </c>
    </row>
    <row r="21" spans="1:21" ht="19.5" customHeight="1">
      <c r="A21" s="1478" t="str">
        <f>+'B_7(2)'!F5</f>
        <v>B.7 (2)</v>
      </c>
      <c r="B21" s="1477" t="str">
        <f>+'B_7(2)'!G5</f>
        <v>Occupational Safety and Health Program</v>
      </c>
      <c r="C21" s="1477"/>
      <c r="D21" s="319" t="s">
        <v>13</v>
      </c>
      <c r="E21" s="616"/>
      <c r="F21" s="617"/>
      <c r="G21" s="1488" t="str">
        <f>+'B_7(2)'!F6</f>
        <v>ls</v>
      </c>
      <c r="H21" s="1186"/>
      <c r="I21" s="653"/>
      <c r="J21" s="1199"/>
      <c r="K21" s="653"/>
      <c r="L21" s="1214"/>
      <c r="M21" s="1244"/>
      <c r="N21" s="657"/>
      <c r="O21" s="655"/>
      <c r="P21" s="653"/>
      <c r="Q21" s="656"/>
      <c r="R21" s="686"/>
      <c r="S21" s="685"/>
      <c r="U21" s="393">
        <f t="shared" si="0"/>
        <v>109314.5</v>
      </c>
    </row>
    <row r="22" spans="1:21" ht="19.5" customHeight="1">
      <c r="A22" s="1478"/>
      <c r="B22" s="1477"/>
      <c r="C22" s="1477"/>
      <c r="D22" s="319" t="s">
        <v>14</v>
      </c>
      <c r="E22" s="616">
        <f>+(N22/$N$56)*100</f>
        <v>1.4012825752018945</v>
      </c>
      <c r="F22" s="618">
        <f>+VLOOKUP(A21,SUMMARY,7,0)</f>
        <v>1</v>
      </c>
      <c r="G22" s="1488"/>
      <c r="H22" s="1186">
        <f>+'B_7(2)'!K63</f>
        <v>29750.9</v>
      </c>
      <c r="I22" s="653">
        <f>+(F22*H22)</f>
        <v>29750.9</v>
      </c>
      <c r="J22" s="1199">
        <f>+'B_7(2)'!K19</f>
        <v>71597.2</v>
      </c>
      <c r="K22" s="653">
        <f>+F22*J22</f>
        <v>71597.2</v>
      </c>
      <c r="L22" s="1214">
        <f>+'B_7(2)'!K31</f>
        <v>7966.4</v>
      </c>
      <c r="M22" s="1244">
        <f>(F22*L22)</f>
        <v>7966.4</v>
      </c>
      <c r="N22" s="657">
        <f>+ROUND(I22+K22+M22,2)</f>
        <v>109314.5</v>
      </c>
      <c r="O22" s="655">
        <f>+'B_7(2)'!H69+'B_7(2)'!H71</f>
        <v>0.08</v>
      </c>
      <c r="P22" s="653">
        <f>+ROUND(N22*O22,2)</f>
        <v>8745.16</v>
      </c>
      <c r="Q22" s="656">
        <f>+ROUND((N22+P22)*0.05,2)</f>
        <v>5902.98</v>
      </c>
      <c r="R22" s="686">
        <f>+ROUND(N22+P22+Q22,2)</f>
        <v>123962.64</v>
      </c>
      <c r="S22" s="685">
        <f>+R22/F22</f>
        <v>123962.64</v>
      </c>
      <c r="U22" s="393" t="e">
        <f>+#REF!+#REF!+#REF!</f>
        <v>#REF!</v>
      </c>
    </row>
    <row r="23" spans="1:21" ht="19.5" customHeight="1">
      <c r="A23" s="1478" t="str">
        <f>+'B_8(2)'!F5</f>
        <v>B.8(2)</v>
      </c>
      <c r="B23" s="1477" t="str">
        <f>+'B_8(2)'!G5</f>
        <v>Road Works Safety and Traffic Management</v>
      </c>
      <c r="C23" s="1477"/>
      <c r="D23" s="319" t="s">
        <v>13</v>
      </c>
      <c r="E23" s="616"/>
      <c r="F23" s="617"/>
      <c r="G23" s="1488" t="str">
        <f>+'B_8(2)'!F6</f>
        <v>ls</v>
      </c>
      <c r="H23" s="1186"/>
      <c r="I23" s="653"/>
      <c r="J23" s="1199"/>
      <c r="K23" s="653"/>
      <c r="L23" s="1214"/>
      <c r="M23" s="1244"/>
      <c r="N23" s="657"/>
      <c r="O23" s="655"/>
      <c r="P23" s="653"/>
      <c r="Q23" s="656"/>
      <c r="R23" s="686"/>
      <c r="S23" s="685"/>
      <c r="U23" s="393">
        <f>+H24+J24+L24</f>
        <v>11559.6</v>
      </c>
    </row>
    <row r="24" spans="1:21" ht="19.5" customHeight="1">
      <c r="A24" s="1478"/>
      <c r="B24" s="1477"/>
      <c r="C24" s="1477"/>
      <c r="D24" s="319" t="s">
        <v>14</v>
      </c>
      <c r="E24" s="616">
        <f>+(N24/$N$56)*100</f>
        <v>0.14818039744319209</v>
      </c>
      <c r="F24" s="618">
        <f>+VLOOKUP(A23,SUMMARY,7,0)</f>
        <v>1</v>
      </c>
      <c r="G24" s="1488"/>
      <c r="H24" s="1186">
        <f>+'B_8(2)'!K45</f>
        <v>11559.6</v>
      </c>
      <c r="I24" s="653">
        <f>+F24*H24</f>
        <v>11559.6</v>
      </c>
      <c r="J24" s="1199">
        <f>+'B_8(2)'!K15</f>
        <v>0</v>
      </c>
      <c r="K24" s="653">
        <f>+F24*J24</f>
        <v>0</v>
      </c>
      <c r="L24" s="1214">
        <f>+'B_8(2)'!K23</f>
        <v>0</v>
      </c>
      <c r="M24" s="1244">
        <f>+F24*L24</f>
        <v>0</v>
      </c>
      <c r="N24" s="657">
        <f>+ROUND(I24+K24+M24,2)</f>
        <v>11559.6</v>
      </c>
      <c r="O24" s="655">
        <f>+'B_8(2)'!H51+'B_8(2)'!H53</f>
        <v>0.08</v>
      </c>
      <c r="P24" s="653">
        <f>+ROUND(N24*O24,2)</f>
        <v>924.77</v>
      </c>
      <c r="Q24" s="656">
        <f>+ROUND((N24+P24)*0.05,2)</f>
        <v>624.22</v>
      </c>
      <c r="R24" s="686">
        <f>+ROUND(N24+P24+Q24,2)</f>
        <v>13108.59</v>
      </c>
      <c r="S24" s="685">
        <f>+R24/F24</f>
        <v>13108.59</v>
      </c>
      <c r="U24" s="393" t="e">
        <f>+#REF!+#REF!+#REF!</f>
        <v>#REF!</v>
      </c>
    </row>
    <row r="25" spans="1:21" ht="19.5" customHeight="1">
      <c r="A25" s="1478" t="str">
        <f>+B_9!F5</f>
        <v>B.9</v>
      </c>
      <c r="B25" s="1477" t="str">
        <f>+B_9!G5</f>
        <v>Mobilization/ Demobilization</v>
      </c>
      <c r="C25" s="1477"/>
      <c r="D25" s="319" t="s">
        <v>13</v>
      </c>
      <c r="E25" s="616"/>
      <c r="F25" s="617"/>
      <c r="G25" s="1488" t="str">
        <f>+B_9!F6</f>
        <v>ls</v>
      </c>
      <c r="H25" s="1186"/>
      <c r="I25" s="653" t="s">
        <v>18</v>
      </c>
      <c r="J25" s="1199"/>
      <c r="K25" s="653"/>
      <c r="L25" s="1214"/>
      <c r="M25" s="1244"/>
      <c r="N25" s="657"/>
      <c r="O25" s="655"/>
      <c r="P25" s="653"/>
      <c r="Q25" s="656"/>
      <c r="R25" s="686"/>
      <c r="S25" s="685"/>
      <c r="U25" s="393">
        <f>+H26+J26+L26</f>
        <v>67000</v>
      </c>
    </row>
    <row r="26" spans="1:21" ht="19.5" customHeight="1">
      <c r="A26" s="1478"/>
      <c r="B26" s="1477"/>
      <c r="C26" s="1477"/>
      <c r="D26" s="319" t="s">
        <v>14</v>
      </c>
      <c r="E26" s="616">
        <f>+(N26/$N$56)*100</f>
        <v>0.85886074160817572</v>
      </c>
      <c r="F26" s="618">
        <f>+VLOOKUP(A25,SUMMARY,7,0)</f>
        <v>1</v>
      </c>
      <c r="G26" s="1488"/>
      <c r="H26" s="1186">
        <f>+B_9!K45</f>
        <v>0</v>
      </c>
      <c r="I26" s="653">
        <f>+F26*H26</f>
        <v>0</v>
      </c>
      <c r="J26" s="1199">
        <f>+B_9!K15</f>
        <v>0</v>
      </c>
      <c r="K26" s="653">
        <f>+F26*J26</f>
        <v>0</v>
      </c>
      <c r="L26" s="1214">
        <f>+B_9!K31</f>
        <v>67000</v>
      </c>
      <c r="M26" s="1244">
        <f>+F26*L26</f>
        <v>67000</v>
      </c>
      <c r="N26" s="657">
        <f>+ROUND(I26+K26+M26,2)</f>
        <v>67000</v>
      </c>
      <c r="O26" s="655">
        <f>+B_9!H51+B_9!H53</f>
        <v>0</v>
      </c>
      <c r="P26" s="653">
        <f>+ROUND(N26*O26,2)</f>
        <v>0</v>
      </c>
      <c r="Q26" s="656">
        <f>+ROUND((N26+P26)*0.05,2)</f>
        <v>3350</v>
      </c>
      <c r="R26" s="686">
        <f>+ROUND(N26+P26+Q26,2)</f>
        <v>70350</v>
      </c>
      <c r="S26" s="685">
        <f>+R26/F26</f>
        <v>70350</v>
      </c>
      <c r="U26" s="393">
        <f>+H27+J27+L27</f>
        <v>0</v>
      </c>
    </row>
    <row r="27" spans="1:21" s="542" customFormat="1" ht="19.5" customHeight="1" thickBot="1">
      <c r="A27" s="1480"/>
      <c r="B27" s="1476" t="s">
        <v>174</v>
      </c>
      <c r="C27" s="1476"/>
      <c r="D27" s="619" t="s">
        <v>13</v>
      </c>
      <c r="E27" s="620"/>
      <c r="F27" s="621"/>
      <c r="G27" s="1489"/>
      <c r="H27" s="1180"/>
      <c r="I27" s="653"/>
      <c r="J27" s="1200"/>
      <c r="K27" s="653"/>
      <c r="L27" s="1215"/>
      <c r="M27" s="1245"/>
      <c r="N27" s="665"/>
      <c r="O27" s="659"/>
      <c r="P27" s="660"/>
      <c r="Q27" s="1227"/>
      <c r="R27" s="687"/>
      <c r="S27" s="688"/>
      <c r="T27" s="689"/>
      <c r="U27" s="393">
        <f>+H28+J28+L28</f>
        <v>0</v>
      </c>
    </row>
    <row r="28" spans="1:21" s="542" customFormat="1" ht="19.5" customHeight="1" thickBot="1">
      <c r="A28" s="1480"/>
      <c r="B28" s="1476"/>
      <c r="C28" s="1476"/>
      <c r="D28" s="622" t="s">
        <v>14</v>
      </c>
      <c r="E28" s="623">
        <f>+SUM(E17:E26)</f>
        <v>2.5834810557785373</v>
      </c>
      <c r="F28" s="624"/>
      <c r="G28" s="1489"/>
      <c r="H28" s="1181"/>
      <c r="I28" s="661">
        <f>+SUM(I17:I26)</f>
        <v>53048.700000000004</v>
      </c>
      <c r="J28" s="1201"/>
      <c r="K28" s="661">
        <f>+SUM(K17:K26)</f>
        <v>73348</v>
      </c>
      <c r="L28" s="1216"/>
      <c r="M28" s="1247">
        <f>SUM(M17:M26)</f>
        <v>75141.48</v>
      </c>
      <c r="N28" s="666">
        <f>+SUM(N17:N26)</f>
        <v>201538.18</v>
      </c>
      <c r="O28" s="667"/>
      <c r="P28" s="661">
        <f>+SUM(P17:P26)</f>
        <v>12402.75</v>
      </c>
      <c r="Q28" s="1228">
        <f>+SUM(Q17:Q26)</f>
        <v>10697.04</v>
      </c>
      <c r="R28" s="690">
        <f>+SUM(R17:R26)</f>
        <v>224637.97</v>
      </c>
      <c r="S28" s="688"/>
      <c r="T28" s="1183">
        <f>(10000000-R28-200000)/2</f>
        <v>4787681.0149999997</v>
      </c>
      <c r="U28" s="393" t="e">
        <f>+#REF!+#REF!+#REF!</f>
        <v>#REF!</v>
      </c>
    </row>
    <row r="29" spans="1:21" s="598" customFormat="1" ht="19.5" customHeight="1">
      <c r="A29" s="625" t="s">
        <v>175</v>
      </c>
      <c r="B29" s="1475" t="s">
        <v>176</v>
      </c>
      <c r="C29" s="1475"/>
      <c r="D29" s="626"/>
      <c r="E29" s="627"/>
      <c r="F29" s="628"/>
      <c r="G29" s="629"/>
      <c r="H29" s="1182"/>
      <c r="I29" s="1238"/>
      <c r="J29" s="1202"/>
      <c r="K29" s="1238"/>
      <c r="L29" s="1217"/>
      <c r="M29" s="1246"/>
      <c r="N29" s="663"/>
      <c r="O29" s="664"/>
      <c r="P29" s="663"/>
      <c r="Q29" s="1229"/>
      <c r="R29" s="691"/>
      <c r="U29" s="394" t="e">
        <f>+#REF!+#REF!+#REF!</f>
        <v>#REF!</v>
      </c>
    </row>
    <row r="30" spans="1:21" ht="19.5" hidden="1" customHeight="1">
      <c r="A30" s="1478" t="str">
        <f>+'100(3)a1'!F5</f>
        <v>100(3)a1</v>
      </c>
      <c r="B30" s="1487" t="str">
        <f>+'100(3)a1'!G5</f>
        <v>Individual Removal of Trees (150-300 mm dia., Small)</v>
      </c>
      <c r="C30" s="1487"/>
      <c r="D30" s="319" t="s">
        <v>13</v>
      </c>
      <c r="E30" s="616"/>
      <c r="F30" s="617"/>
      <c r="G30" s="1488" t="str">
        <f>+'100(3)a1'!F6</f>
        <v>ea</v>
      </c>
      <c r="H30" s="1186"/>
      <c r="I30" s="653"/>
      <c r="J30" s="1199"/>
      <c r="K30" s="653"/>
      <c r="L30" s="1214"/>
      <c r="M30" s="1244"/>
      <c r="N30" s="657"/>
      <c r="O30" s="655"/>
      <c r="P30" s="653"/>
      <c r="Q30" s="656"/>
      <c r="R30" s="686"/>
      <c r="S30" s="685"/>
      <c r="U30" s="393">
        <f>+H31+J31+L31</f>
        <v>1747.39</v>
      </c>
    </row>
    <row r="31" spans="1:21" ht="19.5" hidden="1" customHeight="1">
      <c r="A31" s="1478"/>
      <c r="B31" s="1487"/>
      <c r="C31" s="1487"/>
      <c r="D31" s="319" t="s">
        <v>14</v>
      </c>
      <c r="E31" s="616">
        <f>+(N31/$N$56)*100</f>
        <v>0</v>
      </c>
      <c r="F31" s="618">
        <f>+VLOOKUP(A30,SUMMARY,7,0)</f>
        <v>0</v>
      </c>
      <c r="G31" s="1488"/>
      <c r="H31" s="1186">
        <f>+'100(3)a1'!K48</f>
        <v>480</v>
      </c>
      <c r="I31" s="653">
        <f>+F31*H31</f>
        <v>0</v>
      </c>
      <c r="J31" s="1199">
        <f>+'100(3)a1'!K19</f>
        <v>103.69</v>
      </c>
      <c r="K31" s="653">
        <f>+F31*J31</f>
        <v>0</v>
      </c>
      <c r="L31" s="1214">
        <f>+'100(3)a1'!K32</f>
        <v>1163.7</v>
      </c>
      <c r="M31" s="1244">
        <f>+F31*L31</f>
        <v>0</v>
      </c>
      <c r="N31" s="657">
        <f>+ROUND(I31+K31+M31,2)</f>
        <v>0</v>
      </c>
      <c r="O31" s="655">
        <f>+'100(3)a1'!H54+'100(3)a1'!H56</f>
        <v>0.2</v>
      </c>
      <c r="P31" s="653">
        <f>+ROUND(N31*O31,2)</f>
        <v>0</v>
      </c>
      <c r="Q31" s="656">
        <f>+ROUND((N31+P31)*0.05,2)</f>
        <v>0</v>
      </c>
      <c r="R31" s="686">
        <f>+ROUND(N31+P31+Q31,2)</f>
        <v>0</v>
      </c>
      <c r="S31" s="685" t="e">
        <f>+R31/F31</f>
        <v>#DIV/0!</v>
      </c>
      <c r="U31" s="393" t="e">
        <f>+#REF!+#REF!+#REF!</f>
        <v>#REF!</v>
      </c>
    </row>
    <row r="32" spans="1:21" ht="19.5" customHeight="1">
      <c r="A32" s="1478" t="str">
        <f>+'102(2)'!F5</f>
        <v>102(2)</v>
      </c>
      <c r="B32" s="1487" t="str">
        <f>+'102(2)'!G5</f>
        <v>Surplus Common Excavation</v>
      </c>
      <c r="C32" s="1487"/>
      <c r="D32" s="319" t="s">
        <v>13</v>
      </c>
      <c r="E32" s="616"/>
      <c r="F32" s="617"/>
      <c r="G32" s="1488" t="str">
        <f>+'102(2)'!F6</f>
        <v>cum</v>
      </c>
      <c r="H32" s="1186"/>
      <c r="I32" s="653"/>
      <c r="J32" s="1199"/>
      <c r="K32" s="653"/>
      <c r="L32" s="1214"/>
      <c r="M32" s="1244"/>
      <c r="N32" s="657"/>
      <c r="O32" s="655"/>
      <c r="P32" s="653"/>
      <c r="Q32" s="656"/>
      <c r="R32" s="686"/>
      <c r="S32" s="685"/>
      <c r="U32" s="393">
        <f>+H33+J33+L33</f>
        <v>230.38</v>
      </c>
    </row>
    <row r="33" spans="1:1024" ht="19.5" customHeight="1">
      <c r="A33" s="1478"/>
      <c r="B33" s="1487"/>
      <c r="C33" s="1487"/>
      <c r="D33" s="319" t="s">
        <v>14</v>
      </c>
      <c r="E33" s="616">
        <f>+(N33/$N$56)*100</f>
        <v>2.3627069283148736</v>
      </c>
      <c r="F33" s="618">
        <f>+VLOOKUP(A32,SUMMARY,7,0)</f>
        <v>800.05000000000018</v>
      </c>
      <c r="G33" s="1488"/>
      <c r="H33" s="1186">
        <f>+'102(2)'!K46</f>
        <v>0</v>
      </c>
      <c r="I33" s="653">
        <f>+F33*H33</f>
        <v>0</v>
      </c>
      <c r="J33" s="1199">
        <f>+'102(2)'!K18</f>
        <v>2.93</v>
      </c>
      <c r="K33" s="653">
        <f>+ROUND((F33*J33),2)</f>
        <v>2344.15</v>
      </c>
      <c r="L33" s="1214">
        <f>+'102(2)'!K32</f>
        <v>227.45</v>
      </c>
      <c r="M33" s="1244">
        <f>+ROUND((F33*L33),2)</f>
        <v>181971.37</v>
      </c>
      <c r="N33" s="657">
        <f>+ROUND(I33+K33+M33,2)</f>
        <v>184315.51999999999</v>
      </c>
      <c r="O33" s="655">
        <f>+'102(2)'!H52+'102(2)'!H54</f>
        <v>0.2</v>
      </c>
      <c r="P33" s="653">
        <f>+ROUND(N33*O33,2)</f>
        <v>36863.1</v>
      </c>
      <c r="Q33" s="656">
        <f>+ROUND((N33+P33)*0.05,2)</f>
        <v>11058.93</v>
      </c>
      <c r="R33" s="686">
        <f>+ROUND(N33+P33+Q33,2)</f>
        <v>232237.55</v>
      </c>
      <c r="S33" s="685">
        <f>+R33/F33</f>
        <v>290.2787950753077</v>
      </c>
      <c r="U33" s="393" t="e">
        <f>+#REF!+#REF!+#REF!</f>
        <v>#REF!</v>
      </c>
    </row>
    <row r="34" spans="1:1024" ht="19.149999999999999" customHeight="1">
      <c r="A34" s="1478" t="str">
        <f>'104(2)a'!F5</f>
        <v>104(2)a</v>
      </c>
      <c r="B34" s="1477" t="str">
        <f>'104(2)a'!G5</f>
        <v>Embankment from Borrow (Common Soil)</v>
      </c>
      <c r="C34" s="1477"/>
      <c r="D34" s="319" t="s">
        <v>13</v>
      </c>
      <c r="E34" s="616"/>
      <c r="F34" s="618"/>
      <c r="G34" s="1488" t="str">
        <f>+'104(1)a'!F6</f>
        <v>cum</v>
      </c>
      <c r="H34" s="1187"/>
      <c r="I34" s="657"/>
      <c r="J34" s="1203"/>
      <c r="K34" s="657"/>
      <c r="L34" s="1218"/>
      <c r="M34" s="1248"/>
      <c r="N34" s="657"/>
      <c r="O34" s="655"/>
      <c r="P34" s="657"/>
      <c r="Q34" s="1230"/>
      <c r="R34" s="686"/>
      <c r="S34" s="685"/>
      <c r="U34" s="393">
        <f>+H35+J35+L35</f>
        <v>552</v>
      </c>
    </row>
    <row r="35" spans="1:1024" s="1175" customFormat="1" ht="19.5" customHeight="1">
      <c r="A35" s="1478"/>
      <c r="B35" s="1477"/>
      <c r="C35" s="1477"/>
      <c r="D35" s="319" t="s">
        <v>14</v>
      </c>
      <c r="E35" s="616">
        <f>+(N35/$N$56)*100</f>
        <v>6.0066638492188691</v>
      </c>
      <c r="F35" s="618">
        <f>+VLOOKUP(A34,SUMMARY,7,0)</f>
        <v>848.88</v>
      </c>
      <c r="G35" s="1488"/>
      <c r="H35" s="1187">
        <f>'104(2)a'!K46</f>
        <v>425</v>
      </c>
      <c r="I35" s="657">
        <f>+F35*H35</f>
        <v>360774</v>
      </c>
      <c r="J35" s="1203">
        <f>'104(2)a'!K18</f>
        <v>4.68</v>
      </c>
      <c r="K35" s="657">
        <f>(F35*J35)</f>
        <v>3972.7583999999997</v>
      </c>
      <c r="L35" s="1218">
        <f>'104(2)a'!K30</f>
        <v>122.32</v>
      </c>
      <c r="M35" s="1248">
        <f>+(F35*L35)</f>
        <v>103835.00159999999</v>
      </c>
      <c r="N35" s="657">
        <f>+ROUND(I35+K35+M35,2)</f>
        <v>468581.76</v>
      </c>
      <c r="O35" s="655">
        <f>+'104(1)a'!H61+'104(1)a'!H63</f>
        <v>0.2</v>
      </c>
      <c r="P35" s="657">
        <f>+ROUND(N35*O35,2)</f>
        <v>93716.35</v>
      </c>
      <c r="Q35" s="1230">
        <f>+ROUND((N35+P35)*0.05,2)</f>
        <v>28114.91</v>
      </c>
      <c r="R35" s="686">
        <f>+ROUND(N35+P35+Q35,2)</f>
        <v>590413.02</v>
      </c>
      <c r="S35" s="1172">
        <f>+R35/F35</f>
        <v>695.52000282725476</v>
      </c>
      <c r="T35" s="1173"/>
      <c r="U35" s="1174" t="e">
        <f>+#REF!+#REF!+#REF!</f>
        <v>#REF!</v>
      </c>
      <c r="V35" s="1173"/>
      <c r="W35" s="1173"/>
      <c r="X35" s="1173"/>
      <c r="Y35" s="1173"/>
      <c r="Z35" s="1173"/>
      <c r="AA35" s="1173"/>
      <c r="AB35" s="1173"/>
      <c r="AC35" s="1173"/>
      <c r="AD35" s="1173"/>
      <c r="AE35" s="1173"/>
      <c r="AF35" s="1173"/>
      <c r="AG35" s="1173"/>
      <c r="AH35" s="1173"/>
      <c r="AI35" s="1173"/>
      <c r="AJ35" s="1173"/>
      <c r="AK35" s="1173"/>
      <c r="AL35" s="1173"/>
      <c r="AM35" s="1173"/>
      <c r="AN35" s="1173"/>
      <c r="AO35" s="1173"/>
      <c r="AP35" s="1173"/>
      <c r="AQ35" s="1173"/>
      <c r="AR35" s="1173"/>
      <c r="AS35" s="1173"/>
      <c r="AT35" s="1173"/>
      <c r="AU35" s="1173"/>
      <c r="AV35" s="1173"/>
      <c r="AW35" s="1173"/>
      <c r="AX35" s="1173"/>
      <c r="AY35" s="1173"/>
      <c r="AZ35" s="1173"/>
      <c r="BA35" s="1173"/>
      <c r="BB35" s="1173"/>
      <c r="BC35" s="1173"/>
      <c r="BD35" s="1173"/>
      <c r="BE35" s="1173"/>
      <c r="BF35" s="1173"/>
      <c r="BG35" s="1173"/>
      <c r="BH35" s="1173"/>
      <c r="BI35" s="1173"/>
      <c r="BJ35" s="1173"/>
      <c r="BK35" s="1173"/>
      <c r="BL35" s="1173"/>
      <c r="BM35" s="1173"/>
      <c r="BN35" s="1173"/>
      <c r="BO35" s="1173"/>
      <c r="BP35" s="1173"/>
      <c r="BQ35" s="1173"/>
      <c r="BR35" s="1173"/>
      <c r="BS35" s="1173"/>
      <c r="BT35" s="1173"/>
      <c r="BU35" s="1173"/>
      <c r="BV35" s="1173"/>
      <c r="BW35" s="1173"/>
      <c r="BX35" s="1173"/>
      <c r="BY35" s="1173"/>
      <c r="BZ35" s="1173"/>
      <c r="CA35" s="1173"/>
      <c r="CB35" s="1173"/>
      <c r="CC35" s="1173"/>
      <c r="CD35" s="1173"/>
      <c r="CE35" s="1173"/>
      <c r="CF35" s="1173"/>
      <c r="CG35" s="1173"/>
      <c r="CH35" s="1173"/>
      <c r="CI35" s="1173"/>
      <c r="CJ35" s="1173"/>
      <c r="CK35" s="1173"/>
      <c r="CL35" s="1173"/>
      <c r="CM35" s="1173"/>
      <c r="CN35" s="1173"/>
      <c r="CO35" s="1173"/>
      <c r="CP35" s="1173"/>
      <c r="CQ35" s="1173"/>
      <c r="CR35" s="1173"/>
      <c r="CS35" s="1173"/>
      <c r="CT35" s="1173"/>
      <c r="CU35" s="1173"/>
      <c r="CV35" s="1173"/>
      <c r="CW35" s="1173"/>
      <c r="CX35" s="1173"/>
      <c r="CY35" s="1173"/>
      <c r="CZ35" s="1173"/>
      <c r="DA35" s="1173"/>
      <c r="DB35" s="1173"/>
      <c r="DC35" s="1173"/>
      <c r="DD35" s="1173"/>
      <c r="DE35" s="1173"/>
      <c r="DF35" s="1173"/>
      <c r="DG35" s="1173"/>
      <c r="DH35" s="1173"/>
      <c r="DI35" s="1173"/>
      <c r="DJ35" s="1173"/>
      <c r="DK35" s="1173"/>
      <c r="DL35" s="1173"/>
      <c r="DM35" s="1173"/>
      <c r="DN35" s="1173"/>
      <c r="DO35" s="1173"/>
      <c r="DP35" s="1173"/>
      <c r="DQ35" s="1173"/>
      <c r="DR35" s="1173"/>
      <c r="DS35" s="1173"/>
      <c r="DT35" s="1173"/>
      <c r="DU35" s="1173"/>
      <c r="DV35" s="1173"/>
      <c r="DW35" s="1173"/>
      <c r="DX35" s="1173"/>
      <c r="DY35" s="1173"/>
      <c r="DZ35" s="1173"/>
      <c r="EA35" s="1173"/>
      <c r="EB35" s="1173"/>
      <c r="EC35" s="1173"/>
      <c r="ED35" s="1173"/>
      <c r="EE35" s="1173"/>
      <c r="EF35" s="1173"/>
      <c r="EG35" s="1173"/>
      <c r="EH35" s="1173"/>
      <c r="EI35" s="1173"/>
      <c r="EJ35" s="1173"/>
      <c r="EK35" s="1173"/>
      <c r="EL35" s="1173"/>
      <c r="EM35" s="1173"/>
      <c r="EN35" s="1173"/>
      <c r="EO35" s="1173"/>
      <c r="EP35" s="1173"/>
      <c r="EQ35" s="1173"/>
      <c r="ER35" s="1173"/>
      <c r="ES35" s="1173"/>
      <c r="ET35" s="1173"/>
      <c r="EU35" s="1173"/>
      <c r="EV35" s="1173"/>
      <c r="EW35" s="1173"/>
      <c r="EX35" s="1173"/>
      <c r="EY35" s="1173"/>
      <c r="EZ35" s="1173"/>
      <c r="FA35" s="1173"/>
      <c r="FB35" s="1173"/>
      <c r="FC35" s="1173"/>
      <c r="FD35" s="1173"/>
      <c r="FE35" s="1173"/>
      <c r="FF35" s="1173"/>
      <c r="FG35" s="1173"/>
      <c r="FH35" s="1173"/>
      <c r="FI35" s="1173"/>
      <c r="FJ35" s="1173"/>
      <c r="FK35" s="1173"/>
      <c r="FL35" s="1173"/>
      <c r="FM35" s="1173"/>
      <c r="FN35" s="1173"/>
      <c r="FO35" s="1173"/>
      <c r="FP35" s="1173"/>
      <c r="FQ35" s="1173"/>
      <c r="FR35" s="1173"/>
      <c r="FS35" s="1173"/>
      <c r="FT35" s="1173"/>
      <c r="FU35" s="1173"/>
      <c r="FV35" s="1173"/>
      <c r="FW35" s="1173"/>
      <c r="FX35" s="1173"/>
      <c r="FY35" s="1173"/>
      <c r="FZ35" s="1173"/>
      <c r="GA35" s="1173"/>
      <c r="GB35" s="1173"/>
      <c r="GC35" s="1173"/>
      <c r="GD35" s="1173"/>
      <c r="GE35" s="1173"/>
      <c r="GF35" s="1173"/>
      <c r="GG35" s="1173"/>
      <c r="GH35" s="1173"/>
      <c r="GI35" s="1173"/>
      <c r="GJ35" s="1173"/>
      <c r="GK35" s="1173"/>
      <c r="GL35" s="1173"/>
      <c r="GM35" s="1173"/>
      <c r="GN35" s="1173"/>
      <c r="GO35" s="1173"/>
      <c r="GP35" s="1173"/>
      <c r="GQ35" s="1173"/>
      <c r="GR35" s="1173"/>
      <c r="GS35" s="1173"/>
      <c r="GT35" s="1173"/>
      <c r="GU35" s="1173"/>
      <c r="GV35" s="1173"/>
      <c r="GW35" s="1173"/>
      <c r="GX35" s="1173"/>
      <c r="GY35" s="1173"/>
      <c r="GZ35" s="1173"/>
      <c r="HA35" s="1173"/>
      <c r="HB35" s="1173"/>
      <c r="HC35" s="1173"/>
      <c r="HD35" s="1173"/>
      <c r="HE35" s="1173"/>
      <c r="HF35" s="1173"/>
      <c r="HG35" s="1173"/>
      <c r="HH35" s="1173"/>
      <c r="HI35" s="1173"/>
      <c r="HJ35" s="1173"/>
      <c r="HK35" s="1173"/>
      <c r="HL35" s="1173"/>
      <c r="HM35" s="1173"/>
      <c r="HN35" s="1173"/>
      <c r="HO35" s="1173"/>
      <c r="HP35" s="1173"/>
      <c r="HQ35" s="1173"/>
      <c r="HR35" s="1173"/>
      <c r="HS35" s="1173"/>
      <c r="HT35" s="1173"/>
      <c r="HU35" s="1173"/>
      <c r="HV35" s="1173"/>
      <c r="HW35" s="1173"/>
      <c r="HX35" s="1173"/>
      <c r="HY35" s="1173"/>
      <c r="HZ35" s="1173"/>
      <c r="IA35" s="1173"/>
      <c r="IB35" s="1173"/>
      <c r="IC35" s="1173"/>
      <c r="ID35" s="1173"/>
      <c r="IE35" s="1173"/>
      <c r="IF35" s="1173"/>
      <c r="IG35" s="1173"/>
      <c r="IH35" s="1173"/>
      <c r="II35" s="1173"/>
      <c r="IJ35" s="1173"/>
      <c r="IK35" s="1173"/>
      <c r="IL35" s="1173"/>
      <c r="IM35" s="1173"/>
      <c r="IN35" s="1173"/>
      <c r="IO35" s="1173"/>
      <c r="IP35" s="1173"/>
      <c r="IQ35" s="1173"/>
      <c r="IR35" s="1173"/>
      <c r="IS35" s="1173"/>
      <c r="IT35" s="1173"/>
      <c r="IU35" s="1173"/>
      <c r="IV35" s="1173"/>
      <c r="IW35" s="1173"/>
      <c r="IX35" s="1173"/>
      <c r="IY35" s="1173"/>
      <c r="IZ35" s="1173"/>
      <c r="JA35" s="1173"/>
      <c r="JB35" s="1173"/>
      <c r="JC35" s="1173"/>
      <c r="JD35" s="1173"/>
      <c r="JE35" s="1173"/>
      <c r="JF35" s="1173"/>
      <c r="JG35" s="1173"/>
      <c r="JH35" s="1173"/>
      <c r="JI35" s="1173"/>
      <c r="JJ35" s="1173"/>
      <c r="JK35" s="1173"/>
      <c r="JL35" s="1173"/>
      <c r="JM35" s="1173"/>
      <c r="JN35" s="1173"/>
      <c r="JO35" s="1173"/>
      <c r="JP35" s="1173"/>
      <c r="JQ35" s="1173"/>
      <c r="JR35" s="1173"/>
      <c r="JS35" s="1173"/>
      <c r="JT35" s="1173"/>
      <c r="JU35" s="1173"/>
      <c r="JV35" s="1173"/>
      <c r="JW35" s="1173"/>
      <c r="JX35" s="1173"/>
      <c r="JY35" s="1173"/>
      <c r="JZ35" s="1173"/>
      <c r="KA35" s="1173"/>
      <c r="KB35" s="1173"/>
      <c r="KC35" s="1173"/>
      <c r="KD35" s="1173"/>
      <c r="KE35" s="1173"/>
      <c r="KF35" s="1173"/>
      <c r="KG35" s="1173"/>
      <c r="KH35" s="1173"/>
      <c r="KI35" s="1173"/>
      <c r="KJ35" s="1173"/>
      <c r="KK35" s="1173"/>
      <c r="KL35" s="1173"/>
      <c r="KM35" s="1173"/>
      <c r="KN35" s="1173"/>
      <c r="KO35" s="1173"/>
      <c r="KP35" s="1173"/>
      <c r="KQ35" s="1173"/>
      <c r="KR35" s="1173"/>
      <c r="KS35" s="1173"/>
      <c r="KT35" s="1173"/>
      <c r="KU35" s="1173"/>
      <c r="KV35" s="1173"/>
      <c r="KW35" s="1173"/>
      <c r="KX35" s="1173"/>
      <c r="KY35" s="1173"/>
      <c r="KZ35" s="1173"/>
      <c r="LA35" s="1173"/>
      <c r="LB35" s="1173"/>
      <c r="LC35" s="1173"/>
      <c r="LD35" s="1173"/>
      <c r="LE35" s="1173"/>
      <c r="LF35" s="1173"/>
      <c r="LG35" s="1173"/>
      <c r="LH35" s="1173"/>
      <c r="LI35" s="1173"/>
      <c r="LJ35" s="1173"/>
      <c r="LK35" s="1173"/>
      <c r="LL35" s="1173"/>
      <c r="LM35" s="1173"/>
      <c r="LN35" s="1173"/>
      <c r="LO35" s="1173"/>
      <c r="LP35" s="1173"/>
      <c r="LQ35" s="1173"/>
      <c r="LR35" s="1173"/>
      <c r="LS35" s="1173"/>
      <c r="LT35" s="1173"/>
      <c r="LU35" s="1173"/>
      <c r="LV35" s="1173"/>
      <c r="LW35" s="1173"/>
      <c r="LX35" s="1173"/>
      <c r="LY35" s="1173"/>
      <c r="LZ35" s="1173"/>
      <c r="MA35" s="1173"/>
      <c r="MB35" s="1173"/>
      <c r="MC35" s="1173"/>
      <c r="MD35" s="1173"/>
      <c r="ME35" s="1173"/>
      <c r="MF35" s="1173"/>
      <c r="MG35" s="1173"/>
      <c r="MH35" s="1173"/>
      <c r="MI35" s="1173"/>
      <c r="MJ35" s="1173"/>
      <c r="MK35" s="1173"/>
      <c r="ML35" s="1173"/>
      <c r="MM35" s="1173"/>
      <c r="MN35" s="1173"/>
      <c r="MO35" s="1173"/>
      <c r="MP35" s="1173"/>
      <c r="MQ35" s="1173"/>
      <c r="MR35" s="1173"/>
      <c r="MS35" s="1173"/>
      <c r="MT35" s="1173"/>
      <c r="MU35" s="1173"/>
      <c r="MV35" s="1173"/>
      <c r="MW35" s="1173"/>
      <c r="MX35" s="1173"/>
      <c r="MY35" s="1173"/>
      <c r="MZ35" s="1173"/>
      <c r="NA35" s="1173"/>
      <c r="NB35" s="1173"/>
      <c r="NC35" s="1173"/>
      <c r="ND35" s="1173"/>
      <c r="NE35" s="1173"/>
      <c r="NF35" s="1173"/>
      <c r="NG35" s="1173"/>
      <c r="NH35" s="1173"/>
      <c r="NI35" s="1173"/>
      <c r="NJ35" s="1173"/>
      <c r="NK35" s="1173"/>
      <c r="NL35" s="1173"/>
      <c r="NM35" s="1173"/>
      <c r="NN35" s="1173"/>
      <c r="NO35" s="1173"/>
      <c r="NP35" s="1173"/>
      <c r="NQ35" s="1173"/>
      <c r="NR35" s="1173"/>
      <c r="NS35" s="1173"/>
      <c r="NT35" s="1173"/>
      <c r="NU35" s="1173"/>
      <c r="NV35" s="1173"/>
      <c r="NW35" s="1173"/>
      <c r="NX35" s="1173"/>
      <c r="NY35" s="1173"/>
      <c r="NZ35" s="1173"/>
      <c r="OA35" s="1173"/>
      <c r="OB35" s="1173"/>
      <c r="OC35" s="1173"/>
      <c r="OD35" s="1173"/>
      <c r="OE35" s="1173"/>
      <c r="OF35" s="1173"/>
      <c r="OG35" s="1173"/>
      <c r="OH35" s="1173"/>
      <c r="OI35" s="1173"/>
      <c r="OJ35" s="1173"/>
      <c r="OK35" s="1173"/>
      <c r="OL35" s="1173"/>
      <c r="OM35" s="1173"/>
      <c r="ON35" s="1173"/>
      <c r="OO35" s="1173"/>
      <c r="OP35" s="1173"/>
      <c r="OQ35" s="1173"/>
      <c r="OR35" s="1173"/>
      <c r="OS35" s="1173"/>
      <c r="OT35" s="1173"/>
      <c r="OU35" s="1173"/>
      <c r="OV35" s="1173"/>
      <c r="OW35" s="1173"/>
      <c r="OX35" s="1173"/>
      <c r="OY35" s="1173"/>
      <c r="OZ35" s="1173"/>
      <c r="PA35" s="1173"/>
      <c r="PB35" s="1173"/>
      <c r="PC35" s="1173"/>
      <c r="PD35" s="1173"/>
      <c r="PE35" s="1173"/>
      <c r="PF35" s="1173"/>
      <c r="PG35" s="1173"/>
      <c r="PH35" s="1173"/>
      <c r="PI35" s="1173"/>
      <c r="PJ35" s="1173"/>
      <c r="PK35" s="1173"/>
      <c r="PL35" s="1173"/>
      <c r="PM35" s="1173"/>
      <c r="PN35" s="1173"/>
      <c r="PO35" s="1173"/>
      <c r="PP35" s="1173"/>
      <c r="PQ35" s="1173"/>
      <c r="PR35" s="1173"/>
      <c r="PS35" s="1173"/>
      <c r="PT35" s="1173"/>
      <c r="PU35" s="1173"/>
      <c r="PV35" s="1173"/>
      <c r="PW35" s="1173"/>
      <c r="PX35" s="1173"/>
      <c r="PY35" s="1173"/>
      <c r="PZ35" s="1173"/>
      <c r="QA35" s="1173"/>
      <c r="QB35" s="1173"/>
      <c r="QC35" s="1173"/>
      <c r="QD35" s="1173"/>
      <c r="QE35" s="1173"/>
      <c r="QF35" s="1173"/>
      <c r="QG35" s="1173"/>
      <c r="QH35" s="1173"/>
      <c r="QI35" s="1173"/>
      <c r="QJ35" s="1173"/>
      <c r="QK35" s="1173"/>
      <c r="QL35" s="1173"/>
      <c r="QM35" s="1173"/>
      <c r="QN35" s="1173"/>
      <c r="QO35" s="1173"/>
      <c r="QP35" s="1173"/>
      <c r="QQ35" s="1173"/>
      <c r="QR35" s="1173"/>
      <c r="QS35" s="1173"/>
      <c r="QT35" s="1173"/>
      <c r="QU35" s="1173"/>
      <c r="QV35" s="1173"/>
      <c r="QW35" s="1173"/>
      <c r="QX35" s="1173"/>
      <c r="QY35" s="1173"/>
      <c r="QZ35" s="1173"/>
      <c r="RA35" s="1173"/>
      <c r="RB35" s="1173"/>
      <c r="RC35" s="1173"/>
      <c r="RD35" s="1173"/>
      <c r="RE35" s="1173"/>
      <c r="RF35" s="1173"/>
      <c r="RG35" s="1173"/>
      <c r="RH35" s="1173"/>
      <c r="RI35" s="1173"/>
      <c r="RJ35" s="1173"/>
      <c r="RK35" s="1173"/>
      <c r="RL35" s="1173"/>
      <c r="RM35" s="1173"/>
      <c r="RN35" s="1173"/>
      <c r="RO35" s="1173"/>
      <c r="RP35" s="1173"/>
      <c r="RQ35" s="1173"/>
      <c r="RR35" s="1173"/>
      <c r="RS35" s="1173"/>
      <c r="RT35" s="1173"/>
      <c r="RU35" s="1173"/>
      <c r="RV35" s="1173"/>
      <c r="RW35" s="1173"/>
      <c r="RX35" s="1173"/>
      <c r="RY35" s="1173"/>
      <c r="RZ35" s="1173"/>
      <c r="SA35" s="1173"/>
      <c r="SB35" s="1173"/>
      <c r="SC35" s="1173"/>
      <c r="SD35" s="1173"/>
      <c r="SE35" s="1173"/>
      <c r="SF35" s="1173"/>
      <c r="SG35" s="1173"/>
      <c r="SH35" s="1173"/>
      <c r="SI35" s="1173"/>
      <c r="SJ35" s="1173"/>
      <c r="SK35" s="1173"/>
      <c r="SL35" s="1173"/>
      <c r="SM35" s="1173"/>
      <c r="SN35" s="1173"/>
      <c r="SO35" s="1173"/>
      <c r="SP35" s="1173"/>
      <c r="SQ35" s="1173"/>
      <c r="SR35" s="1173"/>
      <c r="SS35" s="1173"/>
      <c r="ST35" s="1173"/>
      <c r="SU35" s="1173"/>
      <c r="SV35" s="1173"/>
      <c r="SW35" s="1173"/>
      <c r="SX35" s="1173"/>
      <c r="SY35" s="1173"/>
      <c r="SZ35" s="1173"/>
      <c r="TA35" s="1173"/>
      <c r="TB35" s="1173"/>
      <c r="TC35" s="1173"/>
      <c r="TD35" s="1173"/>
      <c r="TE35" s="1173"/>
      <c r="TF35" s="1173"/>
      <c r="TG35" s="1173"/>
      <c r="TH35" s="1173"/>
      <c r="TI35" s="1173"/>
      <c r="TJ35" s="1173"/>
      <c r="TK35" s="1173"/>
      <c r="TL35" s="1173"/>
      <c r="TM35" s="1173"/>
      <c r="TN35" s="1173"/>
      <c r="TO35" s="1173"/>
      <c r="TP35" s="1173"/>
      <c r="TQ35" s="1173"/>
      <c r="TR35" s="1173"/>
      <c r="TS35" s="1173"/>
      <c r="TT35" s="1173"/>
      <c r="TU35" s="1173"/>
      <c r="TV35" s="1173"/>
      <c r="TW35" s="1173"/>
      <c r="TX35" s="1173"/>
      <c r="TY35" s="1173"/>
      <c r="TZ35" s="1173"/>
      <c r="UA35" s="1173"/>
      <c r="UB35" s="1173"/>
      <c r="UC35" s="1173"/>
      <c r="UD35" s="1173"/>
      <c r="UE35" s="1173"/>
      <c r="UF35" s="1173"/>
      <c r="UG35" s="1173"/>
      <c r="UH35" s="1173"/>
      <c r="UI35" s="1173"/>
      <c r="UJ35" s="1173"/>
      <c r="UK35" s="1173"/>
      <c r="UL35" s="1173"/>
      <c r="UM35" s="1173"/>
      <c r="UN35" s="1173"/>
      <c r="UO35" s="1173"/>
      <c r="UP35" s="1173"/>
      <c r="UQ35" s="1173"/>
      <c r="UR35" s="1173"/>
      <c r="US35" s="1173"/>
      <c r="UT35" s="1173"/>
      <c r="UU35" s="1173"/>
      <c r="UV35" s="1173"/>
      <c r="UW35" s="1173"/>
      <c r="UX35" s="1173"/>
      <c r="UY35" s="1173"/>
      <c r="UZ35" s="1173"/>
      <c r="VA35" s="1173"/>
      <c r="VB35" s="1173"/>
      <c r="VC35" s="1173"/>
      <c r="VD35" s="1173"/>
      <c r="VE35" s="1173"/>
      <c r="VF35" s="1173"/>
      <c r="VG35" s="1173"/>
      <c r="VH35" s="1173"/>
      <c r="VI35" s="1173"/>
      <c r="VJ35" s="1173"/>
      <c r="VK35" s="1173"/>
      <c r="VL35" s="1173"/>
      <c r="VM35" s="1173"/>
      <c r="VN35" s="1173"/>
      <c r="VO35" s="1173"/>
      <c r="VP35" s="1173"/>
      <c r="VQ35" s="1173"/>
      <c r="VR35" s="1173"/>
      <c r="VS35" s="1173"/>
      <c r="VT35" s="1173"/>
      <c r="VU35" s="1173"/>
      <c r="VV35" s="1173"/>
      <c r="VW35" s="1173"/>
      <c r="VX35" s="1173"/>
      <c r="VY35" s="1173"/>
      <c r="VZ35" s="1173"/>
      <c r="WA35" s="1173"/>
      <c r="WB35" s="1173"/>
      <c r="WC35" s="1173"/>
      <c r="WD35" s="1173"/>
      <c r="WE35" s="1173"/>
      <c r="WF35" s="1173"/>
      <c r="WG35" s="1173"/>
      <c r="WH35" s="1173"/>
      <c r="WI35" s="1173"/>
      <c r="WJ35" s="1173"/>
      <c r="WK35" s="1173"/>
      <c r="WL35" s="1173"/>
      <c r="WM35" s="1173"/>
      <c r="WN35" s="1173"/>
      <c r="WO35" s="1173"/>
      <c r="WP35" s="1173"/>
      <c r="WQ35" s="1173"/>
      <c r="WR35" s="1173"/>
      <c r="WS35" s="1173"/>
      <c r="WT35" s="1173"/>
      <c r="WU35" s="1173"/>
      <c r="WV35" s="1173"/>
      <c r="WW35" s="1173"/>
      <c r="WX35" s="1173"/>
      <c r="WY35" s="1173"/>
      <c r="WZ35" s="1173"/>
      <c r="XA35" s="1173"/>
      <c r="XB35" s="1173"/>
      <c r="XC35" s="1173"/>
      <c r="XD35" s="1173"/>
      <c r="XE35" s="1173"/>
      <c r="XF35" s="1173"/>
      <c r="XG35" s="1173"/>
      <c r="XH35" s="1173"/>
      <c r="XI35" s="1173"/>
      <c r="XJ35" s="1173"/>
      <c r="XK35" s="1173"/>
      <c r="XL35" s="1173"/>
      <c r="XM35" s="1173"/>
      <c r="XN35" s="1173"/>
      <c r="XO35" s="1173"/>
      <c r="XP35" s="1173"/>
      <c r="XQ35" s="1173"/>
      <c r="XR35" s="1173"/>
      <c r="XS35" s="1173"/>
      <c r="XT35" s="1173"/>
      <c r="XU35" s="1173"/>
      <c r="XV35" s="1173"/>
      <c r="XW35" s="1173"/>
      <c r="XX35" s="1173"/>
      <c r="XY35" s="1173"/>
      <c r="XZ35" s="1173"/>
      <c r="YA35" s="1173"/>
      <c r="YB35" s="1173"/>
      <c r="YC35" s="1173"/>
      <c r="YD35" s="1173"/>
      <c r="YE35" s="1173"/>
      <c r="YF35" s="1173"/>
      <c r="YG35" s="1173"/>
      <c r="YH35" s="1173"/>
      <c r="YI35" s="1173"/>
      <c r="YJ35" s="1173"/>
      <c r="YK35" s="1173"/>
      <c r="YL35" s="1173"/>
      <c r="YM35" s="1173"/>
      <c r="YN35" s="1173"/>
      <c r="YO35" s="1173"/>
      <c r="YP35" s="1173"/>
      <c r="YQ35" s="1173"/>
      <c r="YR35" s="1173"/>
      <c r="YS35" s="1173"/>
      <c r="YT35" s="1173"/>
      <c r="YU35" s="1173"/>
      <c r="YV35" s="1173"/>
      <c r="YW35" s="1173"/>
      <c r="YX35" s="1173"/>
      <c r="YY35" s="1173"/>
      <c r="YZ35" s="1173"/>
      <c r="ZA35" s="1173"/>
      <c r="ZB35" s="1173"/>
      <c r="ZC35" s="1173"/>
      <c r="ZD35" s="1173"/>
      <c r="ZE35" s="1173"/>
      <c r="ZF35" s="1173"/>
      <c r="ZG35" s="1173"/>
      <c r="ZH35" s="1173"/>
      <c r="ZI35" s="1173"/>
      <c r="ZJ35" s="1173"/>
      <c r="ZK35" s="1173"/>
      <c r="ZL35" s="1173"/>
      <c r="ZM35" s="1173"/>
      <c r="ZN35" s="1173"/>
      <c r="ZO35" s="1173"/>
      <c r="ZP35" s="1173"/>
      <c r="ZQ35" s="1173"/>
      <c r="ZR35" s="1173"/>
      <c r="ZS35" s="1173"/>
      <c r="ZT35" s="1173"/>
      <c r="ZU35" s="1173"/>
      <c r="ZV35" s="1173"/>
      <c r="ZW35" s="1173"/>
      <c r="ZX35" s="1173"/>
      <c r="ZY35" s="1173"/>
      <c r="ZZ35" s="1173"/>
      <c r="AAA35" s="1173"/>
      <c r="AAB35" s="1173"/>
      <c r="AAC35" s="1173"/>
      <c r="AAD35" s="1173"/>
      <c r="AAE35" s="1173"/>
      <c r="AAF35" s="1173"/>
      <c r="AAG35" s="1173"/>
      <c r="AAH35" s="1173"/>
      <c r="AAI35" s="1173"/>
      <c r="AAJ35" s="1173"/>
      <c r="AAK35" s="1173"/>
      <c r="AAL35" s="1173"/>
      <c r="AAM35" s="1173"/>
      <c r="AAN35" s="1173"/>
      <c r="AAO35" s="1173"/>
      <c r="AAP35" s="1173"/>
      <c r="AAQ35" s="1173"/>
      <c r="AAR35" s="1173"/>
      <c r="AAS35" s="1173"/>
      <c r="AAT35" s="1173"/>
      <c r="AAU35" s="1173"/>
      <c r="AAV35" s="1173"/>
      <c r="AAW35" s="1173"/>
      <c r="AAX35" s="1173"/>
      <c r="AAY35" s="1173"/>
      <c r="AAZ35" s="1173"/>
      <c r="ABA35" s="1173"/>
      <c r="ABB35" s="1173"/>
      <c r="ABC35" s="1173"/>
      <c r="ABD35" s="1173"/>
      <c r="ABE35" s="1173"/>
      <c r="ABF35" s="1173"/>
      <c r="ABG35" s="1173"/>
      <c r="ABH35" s="1173"/>
      <c r="ABI35" s="1173"/>
      <c r="ABJ35" s="1173"/>
      <c r="ABK35" s="1173"/>
      <c r="ABL35" s="1173"/>
      <c r="ABM35" s="1173"/>
      <c r="ABN35" s="1173"/>
      <c r="ABO35" s="1173"/>
      <c r="ABP35" s="1173"/>
      <c r="ABQ35" s="1173"/>
      <c r="ABR35" s="1173"/>
      <c r="ABS35" s="1173"/>
      <c r="ABT35" s="1173"/>
      <c r="ABU35" s="1173"/>
      <c r="ABV35" s="1173"/>
      <c r="ABW35" s="1173"/>
      <c r="ABX35" s="1173"/>
      <c r="ABY35" s="1173"/>
      <c r="ABZ35" s="1173"/>
      <c r="ACA35" s="1173"/>
      <c r="ACB35" s="1173"/>
      <c r="ACC35" s="1173"/>
      <c r="ACD35" s="1173"/>
      <c r="ACE35" s="1173"/>
      <c r="ACF35" s="1173"/>
      <c r="ACG35" s="1173"/>
      <c r="ACH35" s="1173"/>
      <c r="ACI35" s="1173"/>
      <c r="ACJ35" s="1173"/>
      <c r="ACK35" s="1173"/>
      <c r="ACL35" s="1173"/>
      <c r="ACM35" s="1173"/>
      <c r="ACN35" s="1173"/>
      <c r="ACO35" s="1173"/>
      <c r="ACP35" s="1173"/>
      <c r="ACQ35" s="1173"/>
      <c r="ACR35" s="1173"/>
      <c r="ACS35" s="1173"/>
      <c r="ACT35" s="1173"/>
      <c r="ACU35" s="1173"/>
      <c r="ACV35" s="1173"/>
      <c r="ACW35" s="1173"/>
      <c r="ACX35" s="1173"/>
      <c r="ACY35" s="1173"/>
      <c r="ACZ35" s="1173"/>
      <c r="ADA35" s="1173"/>
      <c r="ADB35" s="1173"/>
      <c r="ADC35" s="1173"/>
      <c r="ADD35" s="1173"/>
      <c r="ADE35" s="1173"/>
      <c r="ADF35" s="1173"/>
      <c r="ADG35" s="1173"/>
      <c r="ADH35" s="1173"/>
      <c r="ADI35" s="1173"/>
      <c r="ADJ35" s="1173"/>
      <c r="ADK35" s="1173"/>
      <c r="ADL35" s="1173"/>
      <c r="ADM35" s="1173"/>
      <c r="ADN35" s="1173"/>
      <c r="ADO35" s="1173"/>
      <c r="ADP35" s="1173"/>
      <c r="ADQ35" s="1173"/>
      <c r="ADR35" s="1173"/>
      <c r="ADS35" s="1173"/>
      <c r="ADT35" s="1173"/>
      <c r="ADU35" s="1173"/>
      <c r="ADV35" s="1173"/>
      <c r="ADW35" s="1173"/>
      <c r="ADX35" s="1173"/>
      <c r="ADY35" s="1173"/>
      <c r="ADZ35" s="1173"/>
      <c r="AEA35" s="1173"/>
      <c r="AEB35" s="1173"/>
      <c r="AEC35" s="1173"/>
      <c r="AED35" s="1173"/>
      <c r="AEE35" s="1173"/>
      <c r="AEF35" s="1173"/>
      <c r="AEG35" s="1173"/>
      <c r="AEH35" s="1173"/>
      <c r="AEI35" s="1173"/>
      <c r="AEJ35" s="1173"/>
      <c r="AEK35" s="1173"/>
      <c r="AEL35" s="1173"/>
      <c r="AEM35" s="1173"/>
      <c r="AEN35" s="1173"/>
      <c r="AEO35" s="1173"/>
      <c r="AEP35" s="1173"/>
      <c r="AEQ35" s="1173"/>
      <c r="AER35" s="1173"/>
      <c r="AES35" s="1173"/>
      <c r="AET35" s="1173"/>
      <c r="AEU35" s="1173"/>
      <c r="AEV35" s="1173"/>
      <c r="AEW35" s="1173"/>
      <c r="AEX35" s="1173"/>
      <c r="AEY35" s="1173"/>
      <c r="AEZ35" s="1173"/>
      <c r="AFA35" s="1173"/>
      <c r="AFB35" s="1173"/>
      <c r="AFC35" s="1173"/>
      <c r="AFD35" s="1173"/>
      <c r="AFE35" s="1173"/>
      <c r="AFF35" s="1173"/>
      <c r="AFG35" s="1173"/>
      <c r="AFH35" s="1173"/>
      <c r="AFI35" s="1173"/>
      <c r="AFJ35" s="1173"/>
      <c r="AFK35" s="1173"/>
      <c r="AFL35" s="1173"/>
      <c r="AFM35" s="1173"/>
      <c r="AFN35" s="1173"/>
      <c r="AFO35" s="1173"/>
      <c r="AFP35" s="1173"/>
      <c r="AFQ35" s="1173"/>
      <c r="AFR35" s="1173"/>
      <c r="AFS35" s="1173"/>
      <c r="AFT35" s="1173"/>
      <c r="AFU35" s="1173"/>
      <c r="AFV35" s="1173"/>
      <c r="AFW35" s="1173"/>
      <c r="AFX35" s="1173"/>
      <c r="AFY35" s="1173"/>
      <c r="AFZ35" s="1173"/>
      <c r="AGA35" s="1173"/>
      <c r="AGB35" s="1173"/>
      <c r="AGC35" s="1173"/>
      <c r="AGD35" s="1173"/>
      <c r="AGE35" s="1173"/>
      <c r="AGF35" s="1173"/>
      <c r="AGG35" s="1173"/>
      <c r="AGH35" s="1173"/>
      <c r="AGI35" s="1173"/>
      <c r="AGJ35" s="1173"/>
      <c r="AGK35" s="1173"/>
      <c r="AGL35" s="1173"/>
      <c r="AGM35" s="1173"/>
      <c r="AGN35" s="1173"/>
      <c r="AGO35" s="1173"/>
      <c r="AGP35" s="1173"/>
      <c r="AGQ35" s="1173"/>
      <c r="AGR35" s="1173"/>
      <c r="AGS35" s="1173"/>
      <c r="AGT35" s="1173"/>
      <c r="AGU35" s="1173"/>
      <c r="AGV35" s="1173"/>
      <c r="AGW35" s="1173"/>
      <c r="AGX35" s="1173"/>
      <c r="AGY35" s="1173"/>
      <c r="AGZ35" s="1173"/>
      <c r="AHA35" s="1173"/>
      <c r="AHB35" s="1173"/>
      <c r="AHC35" s="1173"/>
      <c r="AHD35" s="1173"/>
      <c r="AHE35" s="1173"/>
      <c r="AHF35" s="1173"/>
      <c r="AHG35" s="1173"/>
      <c r="AHH35" s="1173"/>
      <c r="AHI35" s="1173"/>
      <c r="AHJ35" s="1173"/>
      <c r="AHK35" s="1173"/>
      <c r="AHL35" s="1173"/>
      <c r="AHM35" s="1173"/>
      <c r="AHN35" s="1173"/>
      <c r="AHO35" s="1173"/>
      <c r="AHP35" s="1173"/>
      <c r="AHQ35" s="1173"/>
      <c r="AHR35" s="1173"/>
      <c r="AHS35" s="1173"/>
      <c r="AHT35" s="1173"/>
      <c r="AHU35" s="1173"/>
      <c r="AHV35" s="1173"/>
      <c r="AHW35" s="1173"/>
      <c r="AHX35" s="1173"/>
      <c r="AHY35" s="1173"/>
      <c r="AHZ35" s="1173"/>
      <c r="AIA35" s="1173"/>
      <c r="AIB35" s="1173"/>
      <c r="AIC35" s="1173"/>
      <c r="AID35" s="1173"/>
      <c r="AIE35" s="1173"/>
      <c r="AIF35" s="1173"/>
      <c r="AIG35" s="1173"/>
      <c r="AIH35" s="1173"/>
      <c r="AII35" s="1173"/>
      <c r="AIJ35" s="1173"/>
      <c r="AIK35" s="1173"/>
      <c r="AIL35" s="1173"/>
      <c r="AIM35" s="1173"/>
      <c r="AIN35" s="1173"/>
      <c r="AIO35" s="1173"/>
      <c r="AIP35" s="1173"/>
      <c r="AIQ35" s="1173"/>
      <c r="AIR35" s="1173"/>
      <c r="AIS35" s="1173"/>
      <c r="AIT35" s="1173"/>
      <c r="AIU35" s="1173"/>
      <c r="AIV35" s="1173"/>
      <c r="AIW35" s="1173"/>
      <c r="AIX35" s="1173"/>
      <c r="AIY35" s="1173"/>
      <c r="AIZ35" s="1173"/>
      <c r="AJA35" s="1173"/>
      <c r="AJB35" s="1173"/>
      <c r="AJC35" s="1173"/>
      <c r="AJD35" s="1173"/>
      <c r="AJE35" s="1173"/>
      <c r="AJF35" s="1173"/>
      <c r="AJG35" s="1173"/>
      <c r="AJH35" s="1173"/>
      <c r="AJI35" s="1173"/>
      <c r="AJJ35" s="1173"/>
      <c r="AJK35" s="1173"/>
      <c r="AJL35" s="1173"/>
      <c r="AJM35" s="1173"/>
      <c r="AJN35" s="1173"/>
      <c r="AJO35" s="1173"/>
      <c r="AJP35" s="1173"/>
      <c r="AJQ35" s="1173"/>
      <c r="AJR35" s="1173"/>
      <c r="AJS35" s="1173"/>
      <c r="AJT35" s="1173"/>
      <c r="AJU35" s="1173"/>
      <c r="AJV35" s="1173"/>
      <c r="AJW35" s="1173"/>
      <c r="AJX35" s="1173"/>
      <c r="AJY35" s="1173"/>
      <c r="AJZ35" s="1173"/>
      <c r="AKA35" s="1173"/>
      <c r="AKB35" s="1173"/>
      <c r="AKC35" s="1173"/>
      <c r="AKD35" s="1173"/>
      <c r="AKE35" s="1173"/>
      <c r="AKF35" s="1173"/>
      <c r="AKG35" s="1173"/>
      <c r="AKH35" s="1173"/>
      <c r="AKI35" s="1173"/>
      <c r="AKJ35" s="1173"/>
      <c r="AKK35" s="1173"/>
      <c r="AKL35" s="1173"/>
      <c r="AKM35" s="1173"/>
      <c r="AKN35" s="1173"/>
      <c r="AKO35" s="1173"/>
      <c r="AKP35" s="1173"/>
      <c r="AKQ35" s="1173"/>
      <c r="AKR35" s="1173"/>
      <c r="AKS35" s="1173"/>
      <c r="AKT35" s="1173"/>
      <c r="AKU35" s="1173"/>
      <c r="AKV35" s="1173"/>
      <c r="AKW35" s="1173"/>
      <c r="AKX35" s="1173"/>
      <c r="AKY35" s="1173"/>
      <c r="AKZ35" s="1173"/>
      <c r="ALA35" s="1173"/>
      <c r="ALB35" s="1173"/>
      <c r="ALC35" s="1173"/>
      <c r="ALD35" s="1173"/>
      <c r="ALE35" s="1173"/>
      <c r="ALF35" s="1173"/>
      <c r="ALG35" s="1173"/>
      <c r="ALH35" s="1173"/>
      <c r="ALI35" s="1173"/>
      <c r="ALJ35" s="1173"/>
      <c r="ALK35" s="1173"/>
      <c r="ALL35" s="1173"/>
      <c r="ALM35" s="1173"/>
      <c r="ALN35" s="1173"/>
      <c r="ALO35" s="1173"/>
      <c r="ALP35" s="1173"/>
      <c r="ALQ35" s="1173"/>
      <c r="ALR35" s="1173"/>
      <c r="ALS35" s="1173"/>
      <c r="ALT35" s="1173"/>
      <c r="ALU35" s="1173"/>
      <c r="ALV35" s="1173"/>
      <c r="ALW35" s="1173"/>
      <c r="ALX35" s="1173"/>
      <c r="ALY35" s="1173"/>
      <c r="ALZ35" s="1173"/>
      <c r="AMA35" s="1173"/>
      <c r="AMB35" s="1173"/>
      <c r="AMC35" s="1173"/>
      <c r="AMD35" s="1173"/>
      <c r="AME35" s="1173"/>
      <c r="AMF35" s="1173"/>
      <c r="AMG35" s="1173"/>
      <c r="AMH35" s="1173"/>
      <c r="AMI35" s="1173"/>
      <c r="AMJ35" s="1173"/>
    </row>
    <row r="36" spans="1:1024" ht="19.5" customHeight="1">
      <c r="A36" s="1478" t="str">
        <f>+'105(1)a'!F5</f>
        <v>105(1)a</v>
      </c>
      <c r="B36" s="1477" t="str">
        <f>+'105(1)a'!G5</f>
        <v>Subgrade Preparation (Common Material)</v>
      </c>
      <c r="C36" s="1477"/>
      <c r="D36" s="319" t="s">
        <v>13</v>
      </c>
      <c r="E36" s="616"/>
      <c r="F36" s="617"/>
      <c r="G36" s="1488" t="str">
        <f>+'105(1)a'!F6</f>
        <v>sqm</v>
      </c>
      <c r="H36" s="1186"/>
      <c r="I36" s="653"/>
      <c r="J36" s="1199"/>
      <c r="K36" s="653"/>
      <c r="L36" s="1214"/>
      <c r="M36" s="1244"/>
      <c r="N36" s="657"/>
      <c r="O36" s="655"/>
      <c r="P36" s="653"/>
      <c r="Q36" s="656"/>
      <c r="R36" s="686"/>
      <c r="S36" s="685"/>
      <c r="U36" s="393">
        <f>+H37+J37+L37</f>
        <v>21.17</v>
      </c>
    </row>
    <row r="37" spans="1:1024" ht="19.5" customHeight="1">
      <c r="A37" s="1478"/>
      <c r="B37" s="1477"/>
      <c r="C37" s="1477"/>
      <c r="D37" s="319" t="s">
        <v>14</v>
      </c>
      <c r="E37" s="616">
        <f>+(N37/$N$56)*100</f>
        <v>1.5680010330941025</v>
      </c>
      <c r="F37" s="618">
        <f>+VLOOKUP(A36,SUMMARY,7,0)</f>
        <v>5778</v>
      </c>
      <c r="G37" s="1488"/>
      <c r="H37" s="1186">
        <f>+'105(1)a'!K44</f>
        <v>0</v>
      </c>
      <c r="I37" s="653">
        <f>+F37*H37</f>
        <v>0</v>
      </c>
      <c r="J37" s="1199">
        <f>+'105(1)a'!K18</f>
        <v>0.78</v>
      </c>
      <c r="K37" s="653">
        <f>+F37*J37</f>
        <v>4506.84</v>
      </c>
      <c r="L37" s="1214">
        <f>+'105(1)a'!K30</f>
        <v>20.39</v>
      </c>
      <c r="M37" s="1244">
        <f>+F37*L37</f>
        <v>117813.42</v>
      </c>
      <c r="N37" s="657">
        <f>+ROUND(I37+K37+M37,2)</f>
        <v>122320.26</v>
      </c>
      <c r="O37" s="655">
        <f>+'105(1)a'!H50+'105(1)a'!H52</f>
        <v>0.2</v>
      </c>
      <c r="P37" s="653">
        <f>+ROUND(N37*O37,2)</f>
        <v>24464.05</v>
      </c>
      <c r="Q37" s="656">
        <f>+ROUND((N37+P37)*0.05,2)</f>
        <v>7339.22</v>
      </c>
      <c r="R37" s="686">
        <f>+ROUND(N37+P37+Q37,2)</f>
        <v>154123.53</v>
      </c>
      <c r="S37" s="685">
        <f>+R37/F37</f>
        <v>26.674200415368638</v>
      </c>
      <c r="U37" s="393" t="e">
        <f>+#REF!+#REF!+#REF!</f>
        <v>#REF!</v>
      </c>
    </row>
    <row r="38" spans="1:1024" s="542" customFormat="1" ht="19.5" customHeight="1">
      <c r="A38" s="1480"/>
      <c r="B38" s="1476" t="s">
        <v>177</v>
      </c>
      <c r="C38" s="1476"/>
      <c r="D38" s="619" t="s">
        <v>13</v>
      </c>
      <c r="E38" s="620"/>
      <c r="F38" s="621"/>
      <c r="G38" s="1489"/>
      <c r="H38" s="1180"/>
      <c r="I38" s="653"/>
      <c r="J38" s="1200"/>
      <c r="K38" s="653"/>
      <c r="L38" s="1215"/>
      <c r="M38" s="1245"/>
      <c r="N38" s="658"/>
      <c r="O38" s="659"/>
      <c r="P38" s="660"/>
      <c r="Q38" s="1227"/>
      <c r="R38" s="687"/>
      <c r="S38" s="688"/>
      <c r="T38" s="689"/>
      <c r="U38" s="393">
        <f>+H39+J39+L39</f>
        <v>0</v>
      </c>
    </row>
    <row r="39" spans="1:1024" s="542" customFormat="1" ht="19.5" customHeight="1">
      <c r="A39" s="1480"/>
      <c r="B39" s="1476"/>
      <c r="C39" s="1476"/>
      <c r="D39" s="622" t="s">
        <v>14</v>
      </c>
      <c r="E39" s="623">
        <f>+SUM(E33:E37)</f>
        <v>9.9373718106278446</v>
      </c>
      <c r="F39" s="624"/>
      <c r="G39" s="1489"/>
      <c r="H39" s="1181"/>
      <c r="I39" s="661">
        <f>+SUM(I30:I37)</f>
        <v>360774</v>
      </c>
      <c r="J39" s="1201"/>
      <c r="K39" s="661">
        <f>+SUM(K33:K37)</f>
        <v>10823.7484</v>
      </c>
      <c r="L39" s="1216"/>
      <c r="M39" s="661">
        <f>SUM(M33:M37)</f>
        <v>403619.79159999994</v>
      </c>
      <c r="N39" s="661">
        <f>+SUM(N33:N37)</f>
        <v>775217.54</v>
      </c>
      <c r="O39" s="662"/>
      <c r="P39" s="661">
        <f>+SUM(P33:P37)</f>
        <v>155043.5</v>
      </c>
      <c r="Q39" s="1228">
        <f>+SUM(Q33:Q37)</f>
        <v>46513.06</v>
      </c>
      <c r="R39" s="690">
        <f>+SUM(R33:R37)</f>
        <v>976774.10000000009</v>
      </c>
      <c r="S39" s="688"/>
      <c r="U39" s="393" t="e">
        <f>+#REF!+#REF!+#REF!</f>
        <v>#REF!</v>
      </c>
    </row>
    <row r="40" spans="1:1024" s="598" customFormat="1" ht="19.5" customHeight="1">
      <c r="A40" s="625" t="s">
        <v>178</v>
      </c>
      <c r="B40" s="1475" t="s">
        <v>179</v>
      </c>
      <c r="C40" s="1475"/>
      <c r="D40" s="626"/>
      <c r="E40" s="627"/>
      <c r="F40" s="628"/>
      <c r="G40" s="629"/>
      <c r="H40" s="1188"/>
      <c r="I40" s="663"/>
      <c r="J40" s="1204"/>
      <c r="K40" s="663"/>
      <c r="L40" s="1219"/>
      <c r="M40" s="1246"/>
      <c r="N40" s="663"/>
      <c r="O40" s="664"/>
      <c r="P40" s="663"/>
      <c r="Q40" s="1229"/>
      <c r="R40" s="691"/>
      <c r="U40" s="394">
        <f>+H41+J41+L41</f>
        <v>0</v>
      </c>
    </row>
    <row r="41" spans="1:1024" ht="19.5" customHeight="1">
      <c r="A41" s="1478" t="str">
        <f>+'200(1)'!F5</f>
        <v>200(1)</v>
      </c>
      <c r="B41" s="1477" t="str">
        <f>+'200(1)'!G5</f>
        <v>Aggregate Subbase Course</v>
      </c>
      <c r="C41" s="1477"/>
      <c r="D41" s="319" t="s">
        <v>13</v>
      </c>
      <c r="E41" s="616"/>
      <c r="F41" s="617"/>
      <c r="G41" s="1488" t="str">
        <f>+'200(1)'!F6</f>
        <v>cum</v>
      </c>
      <c r="H41" s="1186"/>
      <c r="I41" s="653"/>
      <c r="J41" s="1199"/>
      <c r="K41" s="653"/>
      <c r="L41" s="1214"/>
      <c r="M41" s="1244"/>
      <c r="N41" s="657"/>
      <c r="O41" s="655"/>
      <c r="P41" s="653"/>
      <c r="Q41" s="656"/>
      <c r="R41" s="686"/>
      <c r="S41" s="685"/>
      <c r="U41" s="393">
        <f>+H42+J42+L42</f>
        <v>667.5</v>
      </c>
    </row>
    <row r="42" spans="1:1024" ht="19.5" customHeight="1">
      <c r="A42" s="1478"/>
      <c r="B42" s="1477"/>
      <c r="C42" s="1477"/>
      <c r="D42" s="319" t="s">
        <v>14</v>
      </c>
      <c r="E42" s="616">
        <f>+(N42/$N$56)*100</f>
        <v>13.279353935723259</v>
      </c>
      <c r="F42" s="618">
        <f>+VLOOKUP(A41,SUMMARY,7,0)</f>
        <v>1551.95</v>
      </c>
      <c r="G42" s="1488"/>
      <c r="H42" s="1186">
        <f>+'200(1)'!K47</f>
        <v>540.5</v>
      </c>
      <c r="I42" s="653">
        <f>+F42*H42</f>
        <v>838828.97499999998</v>
      </c>
      <c r="J42" s="1199">
        <f>+'200(1)'!K18</f>
        <v>4.68</v>
      </c>
      <c r="K42" s="653">
        <f>+ROUND((F42*J42),2)</f>
        <v>7263.13</v>
      </c>
      <c r="L42" s="1214">
        <f>+'200(1)'!K30</f>
        <v>122.32000000000005</v>
      </c>
      <c r="M42" s="1244">
        <f>+ROUND((F42*L42),2)</f>
        <v>189834.52</v>
      </c>
      <c r="N42" s="657">
        <f>+ROUND(I42+K42+M42,2)</f>
        <v>1035926.63</v>
      </c>
      <c r="O42" s="655">
        <f>+'200(1)'!H53+'200(1)'!H55</f>
        <v>0.2</v>
      </c>
      <c r="P42" s="653">
        <f>+ROUND(N42*O42,2)</f>
        <v>207185.33</v>
      </c>
      <c r="Q42" s="656">
        <f>+ROUND((N42+P42)*0.05,2)</f>
        <v>62155.6</v>
      </c>
      <c r="R42" s="686">
        <f>+ROUND(N42+P42+Q42,2)</f>
        <v>1305267.56</v>
      </c>
      <c r="S42" s="685">
        <f>+R42/F42</f>
        <v>841.05000805438317</v>
      </c>
      <c r="U42" s="393" t="e">
        <f>+#REF!+#REF!+#REF!</f>
        <v>#REF!</v>
      </c>
    </row>
    <row r="43" spans="1:1024" s="542" customFormat="1" ht="19.5" customHeight="1">
      <c r="A43" s="1480"/>
      <c r="B43" s="1476" t="s">
        <v>180</v>
      </c>
      <c r="C43" s="1476"/>
      <c r="D43" s="619" t="s">
        <v>13</v>
      </c>
      <c r="E43" s="620"/>
      <c r="F43" s="621"/>
      <c r="G43" s="1489"/>
      <c r="H43" s="1180"/>
      <c r="I43" s="653"/>
      <c r="J43" s="1200"/>
      <c r="K43" s="653"/>
      <c r="L43" s="1215"/>
      <c r="M43" s="1245"/>
      <c r="N43" s="658"/>
      <c r="O43" s="659"/>
      <c r="P43" s="660"/>
      <c r="Q43" s="1227"/>
      <c r="R43" s="687"/>
      <c r="S43" s="688"/>
      <c r="T43" s="689"/>
      <c r="U43" s="393">
        <f>+H44+J44+L44</f>
        <v>0</v>
      </c>
    </row>
    <row r="44" spans="1:1024" s="542" customFormat="1" ht="19.5" customHeight="1">
      <c r="A44" s="1480"/>
      <c r="B44" s="1476"/>
      <c r="C44" s="1476"/>
      <c r="D44" s="622" t="s">
        <v>14</v>
      </c>
      <c r="E44" s="623">
        <f>+E42</f>
        <v>13.279353935723259</v>
      </c>
      <c r="F44" s="624"/>
      <c r="G44" s="1489"/>
      <c r="H44" s="1181"/>
      <c r="I44" s="661">
        <f>+(I42)</f>
        <v>838828.97499999998</v>
      </c>
      <c r="J44" s="1201"/>
      <c r="K44" s="661">
        <f>K42</f>
        <v>7263.13</v>
      </c>
      <c r="L44" s="1220"/>
      <c r="M44" s="661">
        <f>M42</f>
        <v>189834.52</v>
      </c>
      <c r="N44" s="661">
        <f>+N42</f>
        <v>1035926.63</v>
      </c>
      <c r="O44" s="662"/>
      <c r="P44" s="661">
        <f>+P42</f>
        <v>207185.33</v>
      </c>
      <c r="Q44" s="1228">
        <f>+Q42</f>
        <v>62155.6</v>
      </c>
      <c r="R44" s="690">
        <f>+R42</f>
        <v>1305267.56</v>
      </c>
      <c r="S44" s="688"/>
      <c r="U44" s="393" t="e">
        <f>+#REF!+#REF!+#REF!</f>
        <v>#REF!</v>
      </c>
    </row>
    <row r="45" spans="1:1024" s="598" customFormat="1" ht="19.5" customHeight="1">
      <c r="A45" s="625" t="s">
        <v>181</v>
      </c>
      <c r="B45" s="1475" t="s">
        <v>182</v>
      </c>
      <c r="C45" s="1475"/>
      <c r="D45" s="626"/>
      <c r="E45" s="627"/>
      <c r="F45" s="628"/>
      <c r="G45" s="629"/>
      <c r="H45" s="1188"/>
      <c r="I45" s="663"/>
      <c r="J45" s="1204"/>
      <c r="K45" s="663"/>
      <c r="L45" s="1219"/>
      <c r="M45" s="1246"/>
      <c r="N45" s="663"/>
      <c r="O45" s="664"/>
      <c r="P45" s="663"/>
      <c r="Q45" s="1229"/>
      <c r="R45" s="691"/>
      <c r="U45" s="394">
        <f>+H46+J46+L46</f>
        <v>0</v>
      </c>
    </row>
    <row r="46" spans="1:1024" ht="19.5" customHeight="1">
      <c r="A46" s="1478" t="str">
        <f>+'311(1)b1'!F5</f>
        <v>311(1)b1</v>
      </c>
      <c r="B46" s="1487" t="str">
        <f>+'311(1)b1'!G5</f>
        <v>Portland Cement Concrete Pavement  (Unreinforced, 0.20m thick, 14 days)</v>
      </c>
      <c r="C46" s="1487"/>
      <c r="D46" s="319" t="s">
        <v>13</v>
      </c>
      <c r="E46" s="616"/>
      <c r="F46" s="617"/>
      <c r="G46" s="1488" t="str">
        <f>+'311(1)b1'!F6</f>
        <v>sqm</v>
      </c>
      <c r="H46" s="1186"/>
      <c r="I46" s="653"/>
      <c r="J46" s="1199"/>
      <c r="K46" s="653"/>
      <c r="L46" s="1214"/>
      <c r="M46" s="1244"/>
      <c r="N46" s="657"/>
      <c r="O46" s="655"/>
      <c r="P46" s="653"/>
      <c r="Q46" s="656"/>
      <c r="R46" s="686"/>
      <c r="S46" s="685"/>
      <c r="U46" s="393">
        <f>+H47+J47+L47</f>
        <v>970.41</v>
      </c>
    </row>
    <row r="47" spans="1:1024" ht="19.5" customHeight="1">
      <c r="A47" s="1478"/>
      <c r="B47" s="1487"/>
      <c r="C47" s="1487"/>
      <c r="D47" s="319" t="s">
        <v>14</v>
      </c>
      <c r="E47" s="616">
        <f>+(N47/$N$56)*100</f>
        <v>59.896232188822566</v>
      </c>
      <c r="F47" s="618">
        <f>+VLOOKUP(A46,SUMMARY,7,0)</f>
        <v>4815</v>
      </c>
      <c r="G47" s="1488"/>
      <c r="H47" s="1179">
        <f>+'311(1)b1'!K65</f>
        <v>732.78</v>
      </c>
      <c r="I47" s="653">
        <f>F47*H47</f>
        <v>3528335.6999999997</v>
      </c>
      <c r="J47" s="1199">
        <f>+'311(1)b1'!K19</f>
        <v>14.56</v>
      </c>
      <c r="K47" s="653">
        <f>+F47*J47</f>
        <v>70106.400000000009</v>
      </c>
      <c r="L47" s="1214">
        <f>+'311(1)b1'!K38</f>
        <v>223.07000000000005</v>
      </c>
      <c r="M47" s="1244">
        <f>+F47*L47</f>
        <v>1074082.0500000003</v>
      </c>
      <c r="N47" s="657">
        <f>+ROUND(I47+K47+M47,2)</f>
        <v>4672524.1500000004</v>
      </c>
      <c r="O47" s="655">
        <f>+'311(1)b1'!H71+'311(1)b1'!H73</f>
        <v>0.2</v>
      </c>
      <c r="P47" s="653">
        <f>+ROUND(N47*O47,2)</f>
        <v>934504.83</v>
      </c>
      <c r="Q47" s="656">
        <f>+ROUND((N47+P47)*0.05,2)</f>
        <v>280351.45</v>
      </c>
      <c r="R47" s="686">
        <f>+ROUND(N47+P47+Q47,2)</f>
        <v>5887380.4299999997</v>
      </c>
      <c r="S47" s="685">
        <f>+R47/F47</f>
        <v>1222.7166002076842</v>
      </c>
      <c r="U47" s="393" t="e">
        <f>+#REF!+#REF!+#REF!</f>
        <v>#REF!</v>
      </c>
    </row>
    <row r="48" spans="1:1024" ht="19.5" customHeight="1">
      <c r="A48" s="1480"/>
      <c r="B48" s="1497" t="s">
        <v>183</v>
      </c>
      <c r="C48" s="1497"/>
      <c r="D48" s="630" t="s">
        <v>13</v>
      </c>
      <c r="E48" s="631"/>
      <c r="F48" s="632"/>
      <c r="G48" s="1489"/>
      <c r="H48" s="1189"/>
      <c r="I48" s="668"/>
      <c r="J48" s="1205"/>
      <c r="K48" s="668"/>
      <c r="L48" s="1221"/>
      <c r="M48" s="1249"/>
      <c r="N48" s="669"/>
      <c r="O48" s="670"/>
      <c r="P48" s="668"/>
      <c r="Q48" s="1231"/>
      <c r="R48" s="692"/>
      <c r="S48" s="685"/>
      <c r="U48" s="393">
        <f>+H49+J49+L49</f>
        <v>223.07000000000005</v>
      </c>
    </row>
    <row r="49" spans="1:21" ht="19.5" customHeight="1">
      <c r="A49" s="1480"/>
      <c r="B49" s="1497"/>
      <c r="C49" s="1497"/>
      <c r="D49" s="622" t="s">
        <v>14</v>
      </c>
      <c r="E49" s="623">
        <f>+E47</f>
        <v>59.896232188822566</v>
      </c>
      <c r="F49" s="633"/>
      <c r="G49" s="1489"/>
      <c r="H49" s="1190"/>
      <c r="I49" s="661">
        <f>I47</f>
        <v>3528335.6999999997</v>
      </c>
      <c r="J49" s="1201"/>
      <c r="K49" s="661">
        <f>K47</f>
        <v>70106.400000000009</v>
      </c>
      <c r="L49" s="1222">
        <f>+L47</f>
        <v>223.07000000000005</v>
      </c>
      <c r="M49" s="661">
        <f>+M47</f>
        <v>1074082.0500000003</v>
      </c>
      <c r="N49" s="661">
        <f>+N47</f>
        <v>4672524.1500000004</v>
      </c>
      <c r="O49" s="671"/>
      <c r="P49" s="661">
        <f>+P47</f>
        <v>934504.83</v>
      </c>
      <c r="Q49" s="1228">
        <f>+Q47</f>
        <v>280351.45</v>
      </c>
      <c r="R49" s="690">
        <f>+R47</f>
        <v>5887380.4299999997</v>
      </c>
      <c r="S49" s="685"/>
      <c r="U49" s="393">
        <f>+H50+J50+L50</f>
        <v>0</v>
      </c>
    </row>
    <row r="50" spans="1:21" s="598" customFormat="1" ht="19.5" customHeight="1">
      <c r="A50" s="625" t="s">
        <v>184</v>
      </c>
      <c r="B50" s="1475" t="s">
        <v>185</v>
      </c>
      <c r="C50" s="1475"/>
      <c r="D50" s="626"/>
      <c r="E50" s="627"/>
      <c r="F50" s="628"/>
      <c r="G50" s="629"/>
      <c r="H50" s="1188"/>
      <c r="I50" s="663"/>
      <c r="J50" s="1204"/>
      <c r="K50" s="663"/>
      <c r="L50" s="1219"/>
      <c r="M50" s="1246"/>
      <c r="N50" s="663"/>
      <c r="O50" s="664"/>
      <c r="P50" s="663"/>
      <c r="Q50" s="1229"/>
      <c r="R50" s="691"/>
      <c r="U50" s="394">
        <f>+H51+J51+L51</f>
        <v>0</v>
      </c>
    </row>
    <row r="51" spans="1:21" ht="19.5" customHeight="1">
      <c r="A51" s="1478" t="str">
        <f>'ABC-2015-02A-00'!A41</f>
        <v>506(1)</v>
      </c>
      <c r="B51" s="1487" t="str">
        <f>+'506(1)'!G5</f>
        <v>Stone Masonry(Slope Protection)</v>
      </c>
      <c r="C51" s="1487"/>
      <c r="D51" s="319" t="s">
        <v>13</v>
      </c>
      <c r="E51" s="616"/>
      <c r="F51" s="617"/>
      <c r="G51" s="1488" t="str">
        <f>+'506(1)'!F6</f>
        <v>cum</v>
      </c>
      <c r="H51" s="1186"/>
      <c r="I51" s="653"/>
      <c r="J51" s="1199"/>
      <c r="K51" s="653"/>
      <c r="L51" s="1214"/>
      <c r="M51" s="1244"/>
      <c r="N51" s="657"/>
      <c r="O51" s="655"/>
      <c r="P51" s="653"/>
      <c r="Q51" s="656"/>
      <c r="R51" s="686"/>
      <c r="S51" s="685"/>
      <c r="U51" s="393">
        <f>+H52+J52+L52</f>
        <v>3175.23</v>
      </c>
    </row>
    <row r="52" spans="1:21" ht="19.5" customHeight="1">
      <c r="A52" s="1478"/>
      <c r="B52" s="1487"/>
      <c r="C52" s="1487"/>
      <c r="D52" s="319" t="s">
        <v>14</v>
      </c>
      <c r="E52" s="616">
        <f>+(N52/$N$56)*100</f>
        <v>13.676104655309157</v>
      </c>
      <c r="F52" s="618">
        <f>+VLOOKUP(A51,SUMMARY,7,0)</f>
        <v>336</v>
      </c>
      <c r="G52" s="1488"/>
      <c r="H52" s="1179">
        <f>+'506(1)'!I53</f>
        <v>2343.0550000000003</v>
      </c>
      <c r="I52" s="653">
        <f>F52*H52</f>
        <v>787266.4800000001</v>
      </c>
      <c r="J52" s="1199">
        <f>+'506(1)'!K19</f>
        <v>477.96875</v>
      </c>
      <c r="K52" s="653">
        <f>+F52*J52</f>
        <v>160597.5</v>
      </c>
      <c r="L52" s="1214">
        <f>+'506(1)'!K32</f>
        <v>354.20624999999973</v>
      </c>
      <c r="M52" s="1244">
        <f>+F52*L52</f>
        <v>119013.2999999999</v>
      </c>
      <c r="N52" s="657">
        <f>+ROUND(I52+K52+M52,2)</f>
        <v>1066877.28</v>
      </c>
      <c r="O52" s="655">
        <f>+'506(1)'!H59+'506(1)'!H61</f>
        <v>0.2</v>
      </c>
      <c r="P52" s="653">
        <f>+ROUND(N52*O52,2)</f>
        <v>213375.46</v>
      </c>
      <c r="Q52" s="656">
        <f>+ROUND((N52+P52)*0.05,2)</f>
        <v>64012.639999999999</v>
      </c>
      <c r="R52" s="686">
        <f>+ROUNDUP(N52+P52+Q52,2)</f>
        <v>1344265.38</v>
      </c>
      <c r="S52" s="685">
        <f>+R52/F52</f>
        <v>4000.789821428571</v>
      </c>
      <c r="U52" s="393" t="e">
        <f>+#REF!+#REF!+#REF!</f>
        <v>#REF!</v>
      </c>
    </row>
    <row r="53" spans="1:21" ht="19.5" customHeight="1">
      <c r="A53" s="1480"/>
      <c r="B53" s="1497" t="s">
        <v>186</v>
      </c>
      <c r="C53" s="1497"/>
      <c r="D53" s="619" t="s">
        <v>13</v>
      </c>
      <c r="E53" s="616"/>
      <c r="F53" s="617"/>
      <c r="G53" s="1489"/>
      <c r="H53" s="1186"/>
      <c r="I53" s="653"/>
      <c r="J53" s="1199"/>
      <c r="K53" s="653"/>
      <c r="L53" s="1214"/>
      <c r="M53" s="1244"/>
      <c r="N53" s="657"/>
      <c r="O53" s="655"/>
      <c r="P53" s="653"/>
      <c r="Q53" s="656"/>
      <c r="R53" s="686"/>
      <c r="S53" s="685"/>
      <c r="U53" s="393">
        <f>+H54+J54+L54</f>
        <v>354.20624999999973</v>
      </c>
    </row>
    <row r="54" spans="1:21" ht="19.5" customHeight="1">
      <c r="A54" s="1481"/>
      <c r="B54" s="1498"/>
      <c r="C54" s="1498"/>
      <c r="D54" s="1128" t="s">
        <v>14</v>
      </c>
      <c r="E54" s="1129">
        <f>+E52</f>
        <v>13.676104655309157</v>
      </c>
      <c r="F54" s="1130"/>
      <c r="G54" s="1496"/>
      <c r="H54" s="1191"/>
      <c r="I54" s="1131">
        <f>I52</f>
        <v>787266.4800000001</v>
      </c>
      <c r="J54" s="1206"/>
      <c r="K54" s="1131">
        <f>+K52</f>
        <v>160597.5</v>
      </c>
      <c r="L54" s="1223">
        <f>+L52</f>
        <v>354.20624999999973</v>
      </c>
      <c r="M54" s="1131">
        <f>M52</f>
        <v>119013.2999999999</v>
      </c>
      <c r="N54" s="1131">
        <f>+N52</f>
        <v>1066877.28</v>
      </c>
      <c r="O54" s="1132"/>
      <c r="P54" s="1131">
        <f>+P52</f>
        <v>213375.46</v>
      </c>
      <c r="Q54" s="1232">
        <f>+Q52</f>
        <v>64012.639999999999</v>
      </c>
      <c r="R54" s="1133">
        <f>+R52</f>
        <v>1344265.38</v>
      </c>
      <c r="S54" s="685"/>
      <c r="U54" s="393">
        <f>+H55+J55+L55</f>
        <v>0</v>
      </c>
    </row>
    <row r="55" spans="1:21" s="373" customFormat="1" ht="19.5" customHeight="1" thickBot="1">
      <c r="A55" s="1482"/>
      <c r="B55" s="1485" t="s">
        <v>42</v>
      </c>
      <c r="C55" s="1485"/>
      <c r="D55" s="630" t="s">
        <v>13</v>
      </c>
      <c r="E55" s="635"/>
      <c r="F55" s="636"/>
      <c r="G55" s="1490"/>
      <c r="H55" s="1192"/>
      <c r="I55" s="668"/>
      <c r="J55" s="1207"/>
      <c r="K55" s="668"/>
      <c r="L55" s="1224"/>
      <c r="M55" s="1249"/>
      <c r="N55" s="672"/>
      <c r="O55" s="673"/>
      <c r="P55" s="674"/>
      <c r="Q55" s="636"/>
      <c r="R55" s="693"/>
      <c r="S55" s="694"/>
      <c r="U55" s="695">
        <f>+H56+J56+L56</f>
        <v>0</v>
      </c>
    </row>
    <row r="56" spans="1:21" s="373" customFormat="1" ht="19.5" customHeight="1">
      <c r="A56" s="1483"/>
      <c r="B56" s="1486"/>
      <c r="C56" s="1486"/>
      <c r="D56" s="637" t="s">
        <v>14</v>
      </c>
      <c r="E56" s="638">
        <f>+E15+E28+E39+E44+E49+E54</f>
        <v>100</v>
      </c>
      <c r="F56" s="639"/>
      <c r="G56" s="1491"/>
      <c r="H56" s="1193"/>
      <c r="I56" s="1239">
        <f>+I15+I28+I39+I44+I49+I54</f>
        <v>5613700.3250000002</v>
      </c>
      <c r="J56" s="1208"/>
      <c r="K56" s="1239">
        <f>+K15+K28+K39+K44+K49+K54</f>
        <v>325640.37840000005</v>
      </c>
      <c r="L56" s="1225"/>
      <c r="M56" s="1239">
        <f>+M15+M28+M39+M44+M49+M54</f>
        <v>1861691.1416</v>
      </c>
      <c r="N56" s="675">
        <f>+N15+N28+N39+N44+N49+N54</f>
        <v>7801031.8500000006</v>
      </c>
      <c r="O56" s="676"/>
      <c r="P56" s="675">
        <f>+P15+P28+P39+P44+P49+P54</f>
        <v>1532301.48</v>
      </c>
      <c r="Q56" s="676">
        <f>+Q15+Q28+Q39+Q44+Q49+Q54</f>
        <v>466666.67000000004</v>
      </c>
      <c r="R56" s="696">
        <f>+R15+R28+R39+R44+R49+R54</f>
        <v>9800000</v>
      </c>
      <c r="S56" s="694"/>
      <c r="U56" s="695">
        <f>+H57+J57+L57</f>
        <v>0</v>
      </c>
    </row>
    <row r="58" spans="1:21">
      <c r="I58" s="1233">
        <f>+'POW-2015-01-00_'!O41</f>
        <v>9999999.9949999992</v>
      </c>
    </row>
  </sheetData>
  <mergeCells count="80">
    <mergeCell ref="B48:C49"/>
    <mergeCell ref="B53:C54"/>
    <mergeCell ref="B23:C24"/>
    <mergeCell ref="B25:C26"/>
    <mergeCell ref="B27:C28"/>
    <mergeCell ref="G55:G56"/>
    <mergeCell ref="Q9:Q10"/>
    <mergeCell ref="R9:R10"/>
    <mergeCell ref="S9:T10"/>
    <mergeCell ref="G46:G47"/>
    <mergeCell ref="G48:G49"/>
    <mergeCell ref="G51:G52"/>
    <mergeCell ref="G53:G54"/>
    <mergeCell ref="G34:G35"/>
    <mergeCell ref="G36:G37"/>
    <mergeCell ref="G38:G39"/>
    <mergeCell ref="G41:G42"/>
    <mergeCell ref="G43:G44"/>
    <mergeCell ref="G23:G24"/>
    <mergeCell ref="G25:G26"/>
    <mergeCell ref="G27:G28"/>
    <mergeCell ref="G30:G31"/>
    <mergeCell ref="G32:G33"/>
    <mergeCell ref="G12:G13"/>
    <mergeCell ref="G14:G15"/>
    <mergeCell ref="G17:G18"/>
    <mergeCell ref="G19:G20"/>
    <mergeCell ref="G21:G22"/>
    <mergeCell ref="A53:A54"/>
    <mergeCell ref="A55:A56"/>
    <mergeCell ref="E9:E10"/>
    <mergeCell ref="B55:C56"/>
    <mergeCell ref="B46:C47"/>
    <mergeCell ref="B51:C52"/>
    <mergeCell ref="B41:C42"/>
    <mergeCell ref="B30:C31"/>
    <mergeCell ref="B32:C33"/>
    <mergeCell ref="B34:C35"/>
    <mergeCell ref="B36:C37"/>
    <mergeCell ref="B38:C39"/>
    <mergeCell ref="A41:A42"/>
    <mergeCell ref="A43:A44"/>
    <mergeCell ref="A46:A47"/>
    <mergeCell ref="A48:A49"/>
    <mergeCell ref="A51:A52"/>
    <mergeCell ref="B50:C50"/>
    <mergeCell ref="A9:A10"/>
    <mergeCell ref="A12:A13"/>
    <mergeCell ref="A14:A15"/>
    <mergeCell ref="A17:A18"/>
    <mergeCell ref="A19:A20"/>
    <mergeCell ref="A21:A22"/>
    <mergeCell ref="A23:A24"/>
    <mergeCell ref="A25:A26"/>
    <mergeCell ref="A27:A28"/>
    <mergeCell ref="A30:A31"/>
    <mergeCell ref="A32:A33"/>
    <mergeCell ref="A34:A35"/>
    <mergeCell ref="A36:A37"/>
    <mergeCell ref="A38:A39"/>
    <mergeCell ref="B11:C11"/>
    <mergeCell ref="B16:C16"/>
    <mergeCell ref="B29:C29"/>
    <mergeCell ref="B40:C40"/>
    <mergeCell ref="B45:C45"/>
    <mergeCell ref="B43:C44"/>
    <mergeCell ref="B14:C15"/>
    <mergeCell ref="B17:C18"/>
    <mergeCell ref="B19:C20"/>
    <mergeCell ref="B21:C22"/>
    <mergeCell ref="B12:C13"/>
    <mergeCell ref="A2:R2"/>
    <mergeCell ref="A3:R3"/>
    <mergeCell ref="Q7:R7"/>
    <mergeCell ref="A8:R8"/>
    <mergeCell ref="H9:N9"/>
    <mergeCell ref="O9:P9"/>
    <mergeCell ref="F9:F10"/>
    <mergeCell ref="G9:G10"/>
    <mergeCell ref="B9:D10"/>
  </mergeCells>
  <printOptions horizontalCentered="1"/>
  <pageMargins left="0.1181" right="0.1181" top="0.59019999999999995" bottom="0.39369999999999999" header="0.19650000000000001" footer="0"/>
  <pageSetup paperSize="9" scale="45" fitToWidth="0" fitToHeight="0" orientation="landscape" r:id="rId1"/>
  <headerFooter alignWithMargins="0"/>
  <ignoredErrors>
    <ignoredError sqref="M54" formula="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J145"/>
  <sheetViews>
    <sheetView view="pageBreakPreview" topLeftCell="A77" zoomScale="70" zoomScaleNormal="100" zoomScaleSheetLayoutView="70" workbookViewId="0">
      <pane xSplit="1" topLeftCell="B1" activePane="topRight" state="frozen"/>
      <selection activeCell="A67" sqref="A67"/>
      <selection pane="topRight" activeCell="I110" sqref="I110"/>
    </sheetView>
  </sheetViews>
  <sheetFormatPr defaultColWidth="9" defaultRowHeight="15" outlineLevelRow="1"/>
  <cols>
    <col min="1" max="1" width="19.25" style="544" customWidth="1"/>
    <col min="2" max="5" width="14.625" style="544" customWidth="1"/>
    <col min="6" max="6" width="15.5" style="544" customWidth="1"/>
    <col min="7" max="8" width="14.625" style="544" hidden="1" customWidth="1"/>
    <col min="9" max="14" width="14.625" style="544" customWidth="1"/>
    <col min="15" max="15" width="39.125" style="544" customWidth="1"/>
    <col min="16" max="16" width="12.75" style="544" customWidth="1"/>
    <col min="17" max="17" width="11" style="544" customWidth="1"/>
    <col min="18" max="18" width="15.25" style="544" customWidth="1"/>
    <col min="19" max="1024" width="11" style="544" customWidth="1"/>
    <col min="1025" max="1025" width="9" customWidth="1"/>
  </cols>
  <sheetData>
    <row r="1" spans="1:1024">
      <c r="A1" s="171" t="s">
        <v>187</v>
      </c>
      <c r="B1" s="158" t="s">
        <v>188</v>
      </c>
      <c r="C1" s="158"/>
      <c r="D1" s="10"/>
      <c r="E1" s="10"/>
      <c r="F1" s="10"/>
      <c r="G1" s="10"/>
      <c r="H1" s="10"/>
      <c r="I1" s="10"/>
      <c r="J1" s="10"/>
      <c r="K1" s="10"/>
      <c r="L1" s="10"/>
      <c r="M1" s="10"/>
      <c r="N1" s="10"/>
      <c r="O1" s="10"/>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c r="A2" s="171" t="s">
        <v>189</v>
      </c>
      <c r="B2" s="158" t="s">
        <v>190</v>
      </c>
      <c r="C2" s="158"/>
      <c r="D2" s="10"/>
      <c r="E2" s="10"/>
      <c r="F2" s="1166" t="s">
        <v>231</v>
      </c>
      <c r="G2" s="1166" t="s">
        <v>1181</v>
      </c>
      <c r="H2" s="1166" t="s">
        <v>50</v>
      </c>
      <c r="I2" s="10"/>
      <c r="J2" s="10"/>
      <c r="K2" s="10"/>
      <c r="L2" s="10"/>
      <c r="M2" s="10"/>
      <c r="N2" s="10"/>
      <c r="O2" s="10"/>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c r="A3" s="171" t="s">
        <v>191</v>
      </c>
      <c r="B3" s="1127" t="s">
        <v>1173</v>
      </c>
      <c r="C3" s="545">
        <v>0</v>
      </c>
      <c r="D3" s="545" t="s">
        <v>58</v>
      </c>
      <c r="E3" s="545">
        <f>A84</f>
        <v>741</v>
      </c>
      <c r="F3" s="159">
        <f>+E3-C3</f>
        <v>741</v>
      </c>
      <c r="G3" s="547">
        <v>2</v>
      </c>
      <c r="H3" s="159">
        <f>+F3*G3</f>
        <v>1482</v>
      </c>
      <c r="I3" s="171"/>
      <c r="J3" s="10"/>
      <c r="K3" s="10"/>
      <c r="L3" s="10"/>
      <c r="M3" s="10"/>
      <c r="N3" s="10"/>
      <c r="O3" s="10"/>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c r="A4" s="171"/>
      <c r="B4" s="1127" t="s">
        <v>1174</v>
      </c>
      <c r="C4" s="545">
        <f>A86</f>
        <v>0</v>
      </c>
      <c r="D4" s="545" t="s">
        <v>58</v>
      </c>
      <c r="E4" s="545">
        <f>A98</f>
        <v>222</v>
      </c>
      <c r="F4" s="159">
        <f>+E4-C4</f>
        <v>222</v>
      </c>
      <c r="G4" s="547">
        <v>2</v>
      </c>
      <c r="H4" s="159">
        <f>+F4*G4</f>
        <v>444</v>
      </c>
      <c r="I4" s="171"/>
      <c r="J4" s="10"/>
      <c r="K4" s="10"/>
      <c r="L4" s="10"/>
      <c r="M4" s="10"/>
      <c r="N4" s="10"/>
      <c r="O4" s="10"/>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c r="A5" s="171"/>
      <c r="B5" s="545"/>
      <c r="C5" s="10"/>
      <c r="D5" s="545"/>
      <c r="E5" s="546"/>
      <c r="F5" s="184">
        <f>+SUM(F3:F4)</f>
        <v>963</v>
      </c>
      <c r="G5" s="548"/>
      <c r="H5" s="184">
        <f>+SUM(H3:H4)</f>
        <v>1926</v>
      </c>
      <c r="I5" s="158"/>
      <c r="J5" s="10"/>
      <c r="K5" s="10"/>
      <c r="L5" s="10"/>
      <c r="M5" s="10"/>
      <c r="N5" s="10"/>
      <c r="O5" s="10"/>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c r="A6" s="5" t="s">
        <v>193</v>
      </c>
      <c r="B6" s="1164">
        <f>+F5/1000</f>
        <v>0.96299999999999997</v>
      </c>
      <c r="C6" s="171" t="s">
        <v>194</v>
      </c>
      <c r="D6" s="545"/>
      <c r="E6" s="545"/>
      <c r="F6" s="545"/>
      <c r="G6" s="10"/>
      <c r="H6" s="10"/>
      <c r="I6" s="10"/>
      <c r="J6" s="10"/>
      <c r="K6" s="10"/>
      <c r="L6" s="10"/>
      <c r="M6" s="10"/>
      <c r="N6" s="10"/>
      <c r="O6" s="10"/>
      <c r="P6" s="10"/>
      <c r="Q6" s="10"/>
      <c r="R6" s="10"/>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c r="A7" s="5" t="s">
        <v>195</v>
      </c>
      <c r="B7" s="1165">
        <f>+H5/1000</f>
        <v>1.9259999999999999</v>
      </c>
      <c r="C7" s="171" t="s">
        <v>196</v>
      </c>
      <c r="D7" s="549"/>
      <c r="E7" s="10"/>
      <c r="F7" s="10"/>
      <c r="G7" s="10"/>
      <c r="H7" s="12"/>
      <c r="I7" s="12"/>
      <c r="J7" s="12"/>
      <c r="K7" s="12"/>
      <c r="L7" s="12"/>
      <c r="M7" s="12"/>
      <c r="N7" s="12"/>
      <c r="O7" s="12"/>
      <c r="P7" s="12"/>
      <c r="Q7" s="12"/>
      <c r="R7" s="12"/>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c r="A8" s="171"/>
      <c r="B8" s="545"/>
      <c r="C8" s="10"/>
      <c r="D8" s="545"/>
      <c r="E8" s="550"/>
      <c r="F8" s="340"/>
      <c r="G8" s="551"/>
      <c r="H8" s="171"/>
      <c r="I8" s="10"/>
      <c r="J8" s="10"/>
      <c r="K8" s="10"/>
      <c r="L8" s="10"/>
      <c r="M8" s="10"/>
      <c r="N8" s="10"/>
      <c r="O8" s="10"/>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idden="1">
      <c r="A9" s="552">
        <v>1</v>
      </c>
      <c r="B9" s="552">
        <v>2</v>
      </c>
      <c r="C9" s="552">
        <v>3</v>
      </c>
      <c r="D9" s="552">
        <v>4</v>
      </c>
      <c r="E9" s="552">
        <v>5</v>
      </c>
      <c r="F9" s="552">
        <v>6</v>
      </c>
      <c r="G9" s="551"/>
      <c r="H9" s="171"/>
      <c r="I9" s="10"/>
      <c r="J9" s="10"/>
      <c r="K9" s="10"/>
      <c r="L9" s="10"/>
      <c r="M9" s="10"/>
      <c r="N9" s="10"/>
      <c r="O9" s="10"/>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15.75">
      <c r="A10" s="511" t="s">
        <v>197</v>
      </c>
      <c r="B10" s="553"/>
      <c r="C10" s="553"/>
      <c r="D10" s="553"/>
      <c r="E10" s="553"/>
      <c r="F10" s="553"/>
      <c r="G10" s="553"/>
      <c r="H10" s="553"/>
      <c r="I10" s="553"/>
      <c r="J10" s="553"/>
      <c r="K10" s="10"/>
      <c r="L10" s="10"/>
      <c r="M10" s="10"/>
      <c r="N10" s="10"/>
      <c r="O10" s="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542" customFormat="1" outlineLevel="1">
      <c r="A11" s="554"/>
      <c r="B11" s="554"/>
      <c r="C11" s="554"/>
      <c r="D11" s="554"/>
      <c r="E11" s="296"/>
      <c r="F11" s="296"/>
      <c r="G11" s="296"/>
      <c r="H11" s="296"/>
      <c r="I11" s="296"/>
      <c r="J11" s="296"/>
    </row>
    <row r="12" spans="1:1024" s="542" customFormat="1" hidden="1" outlineLevel="1">
      <c r="A12" s="296" t="s">
        <v>198</v>
      </c>
      <c r="B12" s="555" t="str">
        <f>+'POW-2015-01C-00_'!B30</f>
        <v>Individual Removal of Trees (150-300 mm dia., Small)</v>
      </c>
      <c r="C12" s="296"/>
      <c r="D12" s="296"/>
      <c r="E12" s="296"/>
      <c r="F12" s="296"/>
      <c r="G12" s="296"/>
      <c r="H12" s="296"/>
      <c r="I12" s="296"/>
      <c r="J12" s="296"/>
      <c r="K12" s="542" t="s">
        <v>43</v>
      </c>
    </row>
    <row r="13" spans="1:1024" s="542" customFormat="1" hidden="1" outlineLevel="1">
      <c r="A13" s="296" t="str">
        <f>+'POW-2015-01C-00_'!A30</f>
        <v>100(3)a1</v>
      </c>
      <c r="B13" s="10" t="s">
        <v>199</v>
      </c>
      <c r="C13" s="10" t="s">
        <v>157</v>
      </c>
      <c r="D13" s="556">
        <f>P106</f>
        <v>0</v>
      </c>
      <c r="E13" s="557" t="str">
        <f>+'POW-2015-01C-00_'!G30</f>
        <v>ea</v>
      </c>
      <c r="F13" s="296"/>
      <c r="G13" s="296"/>
      <c r="H13" s="296"/>
      <c r="I13" s="296"/>
      <c r="J13" s="296"/>
      <c r="K13" s="577" t="s">
        <v>200</v>
      </c>
      <c r="L13" s="577"/>
      <c r="M13" s="577"/>
      <c r="N13" s="577"/>
      <c r="O13" s="577"/>
      <c r="P13" s="577"/>
    </row>
    <row r="14" spans="1:1024" s="542" customFormat="1" hidden="1" outlineLevel="1">
      <c r="A14" s="554"/>
      <c r="B14" s="554"/>
      <c r="C14" s="554"/>
      <c r="D14" s="554"/>
      <c r="E14" s="296"/>
      <c r="F14" s="296"/>
      <c r="G14" s="296"/>
      <c r="H14" s="296"/>
      <c r="I14" s="296"/>
      <c r="J14" s="296"/>
      <c r="K14" s="577"/>
      <c r="L14" s="577"/>
      <c r="M14" s="577"/>
      <c r="N14" s="577"/>
      <c r="O14" s="577"/>
      <c r="P14" s="577"/>
    </row>
    <row r="15" spans="1:1024" s="542" customFormat="1" outlineLevel="1">
      <c r="A15" s="296" t="s">
        <v>198</v>
      </c>
      <c r="B15" s="555" t="str">
        <f>+'POW-2015-01C-00_'!B32</f>
        <v>Surplus Common Excavation</v>
      </c>
      <c r="C15" s="296"/>
      <c r="D15" s="296"/>
      <c r="E15" s="296"/>
      <c r="F15" s="296"/>
      <c r="G15" s="296"/>
      <c r="H15" s="296"/>
      <c r="I15" s="296"/>
      <c r="J15" s="296"/>
      <c r="K15" s="577" t="s">
        <v>201</v>
      </c>
      <c r="L15" s="577"/>
      <c r="M15" s="577"/>
      <c r="N15" s="577"/>
      <c r="O15" s="577"/>
      <c r="P15" s="577"/>
    </row>
    <row r="16" spans="1:1024" s="542" customFormat="1" outlineLevel="1">
      <c r="A16" s="296" t="str">
        <f>+'POW-2015-01C-00_'!A32</f>
        <v>102(2)</v>
      </c>
      <c r="B16" s="10" t="s">
        <v>202</v>
      </c>
      <c r="C16" s="10" t="s">
        <v>157</v>
      </c>
      <c r="D16" s="556">
        <f>D106</f>
        <v>800.05000000000018</v>
      </c>
      <c r="E16" s="557" t="str">
        <f>+'POW-2015-01C-00_'!G32</f>
        <v>cum</v>
      </c>
      <c r="F16" s="296"/>
      <c r="G16" s="296"/>
      <c r="H16" s="296"/>
      <c r="I16" s="296"/>
      <c r="J16" s="296"/>
      <c r="K16" s="577"/>
      <c r="L16" s="577"/>
      <c r="M16" s="577"/>
      <c r="N16" s="577"/>
      <c r="O16" s="577"/>
      <c r="P16" s="577"/>
    </row>
    <row r="17" spans="1:15" s="542" customFormat="1" outlineLevel="1">
      <c r="A17" s="296"/>
      <c r="B17" s="382" t="s">
        <v>203</v>
      </c>
      <c r="C17" s="10" t="s">
        <v>157</v>
      </c>
      <c r="D17" s="326">
        <f>+D106</f>
        <v>800.05000000000018</v>
      </c>
      <c r="E17" s="558" t="s">
        <v>204</v>
      </c>
      <c r="F17" s="296"/>
      <c r="G17" s="296"/>
      <c r="H17" s="296"/>
      <c r="I17" s="296"/>
      <c r="J17" s="296"/>
      <c r="K17" s="577" t="s">
        <v>205</v>
      </c>
    </row>
    <row r="18" spans="1:15" s="542" customFormat="1" outlineLevel="1">
      <c r="A18" s="296"/>
      <c r="B18" s="382" t="s">
        <v>206</v>
      </c>
      <c r="C18" s="10" t="s">
        <v>157</v>
      </c>
      <c r="D18" s="326">
        <f>D21</f>
        <v>848.88</v>
      </c>
      <c r="E18" s="558" t="s">
        <v>204</v>
      </c>
      <c r="F18" s="558" t="s">
        <v>207</v>
      </c>
      <c r="G18" s="296"/>
      <c r="H18" s="296"/>
      <c r="I18" s="296"/>
      <c r="J18" s="296"/>
      <c r="K18" s="577"/>
      <c r="L18" s="577"/>
      <c r="M18" s="577"/>
      <c r="N18" s="577"/>
      <c r="O18" s="577"/>
    </row>
    <row r="19" spans="1:15" s="542" customFormat="1" outlineLevel="1">
      <c r="A19" s="296"/>
      <c r="B19" s="10"/>
      <c r="C19" s="10"/>
      <c r="D19" s="559"/>
      <c r="E19" s="557"/>
      <c r="F19" s="296"/>
      <c r="G19" s="296"/>
      <c r="H19" s="296"/>
      <c r="I19" s="296"/>
      <c r="J19" s="296"/>
      <c r="K19" s="577" t="s">
        <v>208</v>
      </c>
      <c r="L19" s="577"/>
      <c r="M19" s="577"/>
      <c r="N19" s="577"/>
      <c r="O19" s="577"/>
    </row>
    <row r="20" spans="1:15" s="542" customFormat="1" outlineLevel="1">
      <c r="A20" s="296" t="s">
        <v>198</v>
      </c>
      <c r="B20" s="555" t="str">
        <f>+'POW-2015-01C-00_'!B34</f>
        <v>Embankment from Borrow (Common Soil)</v>
      </c>
      <c r="C20" s="296"/>
      <c r="D20" s="296"/>
      <c r="E20" s="296"/>
      <c r="F20" s="296"/>
      <c r="G20" s="296"/>
      <c r="H20" s="296"/>
      <c r="I20" s="296"/>
      <c r="J20" s="296"/>
      <c r="K20" s="577"/>
      <c r="L20" s="577"/>
      <c r="M20" s="577"/>
      <c r="N20" s="577"/>
      <c r="O20" s="577"/>
    </row>
    <row r="21" spans="1:15" s="542" customFormat="1" outlineLevel="1">
      <c r="A21" s="296" t="str">
        <f>+'POW-2015-01C-00_'!A34</f>
        <v>104(2)a</v>
      </c>
      <c r="B21" s="10" t="s">
        <v>202</v>
      </c>
      <c r="C21" s="10" t="s">
        <v>157</v>
      </c>
      <c r="D21" s="556">
        <f>+ROUND(F106,2)</f>
        <v>848.88</v>
      </c>
      <c r="E21" s="557" t="str">
        <f>+'POW-2015-01C-00_'!G34</f>
        <v>cum</v>
      </c>
      <c r="F21" s="296"/>
      <c r="G21" s="296"/>
      <c r="H21" s="296"/>
      <c r="I21" s="296"/>
      <c r="J21" s="296"/>
      <c r="K21" s="577" t="s">
        <v>209</v>
      </c>
      <c r="L21" s="577"/>
      <c r="M21" s="577"/>
      <c r="N21" s="577"/>
      <c r="O21" s="577"/>
    </row>
    <row r="22" spans="1:15" s="542" customFormat="1" outlineLevel="1">
      <c r="A22" s="296"/>
      <c r="B22" s="296"/>
      <c r="C22" s="296"/>
      <c r="D22" s="296"/>
      <c r="E22" s="296"/>
      <c r="F22" s="296"/>
      <c r="G22" s="296"/>
      <c r="H22" s="296"/>
      <c r="I22" s="296"/>
      <c r="J22" s="296"/>
      <c r="L22" s="577"/>
      <c r="M22" s="577"/>
      <c r="N22" s="577"/>
      <c r="O22" s="577"/>
    </row>
    <row r="23" spans="1:15" s="542" customFormat="1" outlineLevel="1">
      <c r="A23" s="296" t="s">
        <v>198</v>
      </c>
      <c r="B23" s="555" t="str">
        <f>+'POW-2015-01C-00_'!B36</f>
        <v>Subgrade Preparation (Common Material)</v>
      </c>
      <c r="C23" s="296"/>
      <c r="D23" s="296"/>
      <c r="E23" s="296"/>
      <c r="F23" s="296"/>
      <c r="G23" s="296"/>
      <c r="H23" s="296"/>
      <c r="I23" s="296"/>
      <c r="J23" s="296"/>
      <c r="K23" s="578" t="s">
        <v>210</v>
      </c>
    </row>
    <row r="24" spans="1:15" s="542" customFormat="1" outlineLevel="1">
      <c r="A24" s="296" t="str">
        <f>+'POW-2015-01C-00_'!A36</f>
        <v>105(1)a</v>
      </c>
      <c r="B24" s="10" t="s">
        <v>211</v>
      </c>
      <c r="C24" s="10" t="s">
        <v>157</v>
      </c>
      <c r="D24" s="556">
        <f>+ROUND(J106,2)</f>
        <v>5778</v>
      </c>
      <c r="E24" s="557" t="str">
        <f>+'POW-2015-01C-00_'!G36</f>
        <v>sqm</v>
      </c>
      <c r="F24" s="296"/>
      <c r="G24" s="296"/>
      <c r="H24" s="296"/>
      <c r="I24" s="296"/>
      <c r="J24" s="296"/>
    </row>
    <row r="25" spans="1:15" s="373" customFormat="1" outlineLevel="1">
      <c r="A25" s="374"/>
      <c r="B25" s="1501"/>
      <c r="C25" s="1501"/>
      <c r="D25" s="1501"/>
      <c r="E25" s="1501"/>
      <c r="F25" s="560"/>
      <c r="G25" s="561"/>
      <c r="H25" s="326"/>
      <c r="K25" s="558" t="s">
        <v>1176</v>
      </c>
      <c r="L25" s="374"/>
      <c r="M25" s="374"/>
      <c r="N25" s="374"/>
      <c r="O25" s="374"/>
    </row>
    <row r="26" spans="1:15" s="542" customFormat="1" outlineLevel="1">
      <c r="A26" s="296" t="s">
        <v>198</v>
      </c>
      <c r="B26" s="555" t="str">
        <f>+'POW-2015-01C-00_'!B41</f>
        <v>Aggregate Subbase Course</v>
      </c>
      <c r="C26" s="296"/>
      <c r="D26" s="296"/>
      <c r="E26" s="296"/>
      <c r="F26" s="296"/>
      <c r="G26" s="296"/>
      <c r="H26" s="296"/>
      <c r="I26" s="296"/>
      <c r="J26" s="296"/>
    </row>
    <row r="27" spans="1:15" s="542" customFormat="1" outlineLevel="1">
      <c r="A27" s="296" t="str">
        <f>+'POW-2015-01C-00_'!A41</f>
        <v>200(1)</v>
      </c>
      <c r="B27" s="10" t="s">
        <v>202</v>
      </c>
      <c r="C27" s="10" t="s">
        <v>157</v>
      </c>
      <c r="D27" s="556">
        <f>+ROUND(L106,2)</f>
        <v>1551.95</v>
      </c>
      <c r="E27" s="557" t="str">
        <f>+'POW-2015-01C-00_'!G41</f>
        <v>cum</v>
      </c>
      <c r="F27" s="296"/>
      <c r="G27" s="296"/>
      <c r="H27" s="296"/>
      <c r="I27" s="296"/>
      <c r="J27" s="296"/>
    </row>
    <row r="28" spans="1:15" s="373" customFormat="1" outlineLevel="1">
      <c r="A28" s="374"/>
      <c r="B28" s="1501"/>
      <c r="C28" s="1501"/>
      <c r="D28" s="1501"/>
      <c r="E28" s="1501"/>
      <c r="F28" s="560"/>
      <c r="G28" s="561"/>
      <c r="H28" s="326"/>
      <c r="K28" s="374"/>
      <c r="L28" s="374"/>
      <c r="M28" s="374"/>
      <c r="N28" s="374"/>
      <c r="O28" s="374"/>
    </row>
    <row r="29" spans="1:15" s="542" customFormat="1" outlineLevel="1">
      <c r="A29" s="296" t="s">
        <v>198</v>
      </c>
      <c r="B29" s="555" t="str">
        <f>+'POW-2015-01C-00_'!B46</f>
        <v>Portland Cement Concrete Pavement  (Unreinforced, 0.20m thick, 14 days)</v>
      </c>
      <c r="C29" s="296"/>
      <c r="D29" s="296"/>
      <c r="E29" s="296"/>
      <c r="F29" s="296"/>
      <c r="G29" s="296"/>
      <c r="H29" s="296"/>
      <c r="I29" s="296"/>
      <c r="J29" s="296"/>
    </row>
    <row r="30" spans="1:15" s="542" customFormat="1" outlineLevel="1">
      <c r="A30" s="296" t="str">
        <f>+'POW-2015-01C-00_'!A46</f>
        <v>311(1)b1</v>
      </c>
      <c r="B30" s="10" t="s">
        <v>211</v>
      </c>
      <c r="C30" s="10" t="s">
        <v>157</v>
      </c>
      <c r="D30" s="556">
        <f>+ROUND(D31,2)</f>
        <v>4815</v>
      </c>
      <c r="E30" s="557" t="str">
        <f>+'POW-2015-01C-00_'!G46</f>
        <v>sqm</v>
      </c>
      <c r="F30" s="296"/>
      <c r="G30" s="296"/>
      <c r="H30" s="296"/>
      <c r="I30" s="374"/>
      <c r="J30" s="296"/>
    </row>
    <row r="31" spans="1:15" s="542" customFormat="1" outlineLevel="1">
      <c r="A31" s="296"/>
      <c r="B31" s="382" t="s">
        <v>212</v>
      </c>
      <c r="C31" s="10" t="s">
        <v>157</v>
      </c>
      <c r="D31" s="326">
        <f>+N106</f>
        <v>4815</v>
      </c>
      <c r="E31" s="558" t="s">
        <v>213</v>
      </c>
      <c r="F31" s="558" t="s">
        <v>214</v>
      </c>
      <c r="G31" s="296"/>
      <c r="H31" s="296"/>
      <c r="I31" s="374"/>
      <c r="J31" s="296"/>
    </row>
    <row r="32" spans="1:15" s="542" customFormat="1" outlineLevel="1">
      <c r="A32" s="296"/>
      <c r="B32" s="382"/>
      <c r="C32" s="10"/>
      <c r="D32" s="326"/>
      <c r="E32" s="558"/>
      <c r="F32" s="558"/>
      <c r="G32" s="296"/>
      <c r="H32" s="296"/>
      <c r="I32" s="374"/>
      <c r="J32" s="296"/>
    </row>
    <row r="33" spans="1:16" s="542" customFormat="1" outlineLevel="1">
      <c r="A33" s="296" t="s">
        <v>198</v>
      </c>
      <c r="B33" s="555" t="str">
        <f>'POW-2015-01C-00_'!B51</f>
        <v>Stone Masonry(Slope Protection)</v>
      </c>
      <c r="C33" s="296"/>
      <c r="D33" s="296"/>
      <c r="E33" s="296"/>
      <c r="F33" s="296"/>
      <c r="G33" s="296"/>
      <c r="H33" s="296"/>
      <c r="I33" s="296"/>
      <c r="J33" s="296"/>
    </row>
    <row r="34" spans="1:16" s="542" customFormat="1" outlineLevel="1">
      <c r="A34" s="296" t="str">
        <f>'POW-2015-01C-00_'!A51</f>
        <v>506(1)</v>
      </c>
      <c r="B34" s="10" t="s">
        <v>202</v>
      </c>
      <c r="C34" s="10" t="s">
        <v>157</v>
      </c>
      <c r="D34" s="562">
        <f>+ROUND(I145,2)</f>
        <v>336</v>
      </c>
      <c r="E34" s="563" t="str">
        <f>+'506(1)'!F6</f>
        <v>cum</v>
      </c>
      <c r="F34" s="296"/>
      <c r="G34" s="296"/>
      <c r="H34" s="296"/>
      <c r="I34" s="296"/>
      <c r="J34" s="296"/>
    </row>
    <row r="35" spans="1:16" s="542" customFormat="1" outlineLevel="1">
      <c r="A35" s="296"/>
      <c r="B35" s="10"/>
      <c r="C35" s="10"/>
      <c r="D35" s="564"/>
      <c r="E35" s="563"/>
      <c r="F35" s="296"/>
      <c r="G35" s="296"/>
      <c r="H35" s="296"/>
      <c r="I35" s="296"/>
      <c r="J35" s="296"/>
    </row>
    <row r="36" spans="1:16" s="542" customFormat="1" outlineLevel="1">
      <c r="A36" s="296"/>
      <c r="B36" s="10"/>
      <c r="C36" s="10"/>
      <c r="D36" s="564"/>
      <c r="E36" s="563"/>
      <c r="F36" s="296"/>
      <c r="G36" s="296"/>
      <c r="H36" s="296"/>
      <c r="I36" s="296"/>
      <c r="J36" s="296"/>
    </row>
    <row r="37" spans="1:16" s="542" customFormat="1" outlineLevel="1">
      <c r="A37" s="296"/>
      <c r="B37" s="10"/>
      <c r="C37" s="10"/>
      <c r="D37" s="564"/>
      <c r="E37" s="563"/>
      <c r="F37" s="296"/>
      <c r="G37" s="296"/>
      <c r="H37" s="296"/>
      <c r="I37" s="296"/>
      <c r="J37" s="296"/>
    </row>
    <row r="38" spans="1:16" s="542" customFormat="1" outlineLevel="1">
      <c r="A38" s="1502" t="str">
        <f>+'POW-2015-01-00_'!A48:E48</f>
        <v xml:space="preserve">WINLOVE A. ESTEVES
</v>
      </c>
      <c r="B38" s="1502"/>
      <c r="C38" s="10"/>
      <c r="D38" s="1503" t="str">
        <f>+'POW-2015-01-00_'!H48</f>
        <v>MARK ANGELO E. SURIL</v>
      </c>
      <c r="E38" s="1503"/>
      <c r="F38" s="296"/>
      <c r="G38" s="296"/>
      <c r="H38" s="296"/>
      <c r="I38" s="296"/>
      <c r="J38" s="296"/>
    </row>
    <row r="39" spans="1:16" s="542" customFormat="1" outlineLevel="1">
      <c r="A39" s="1499" t="str">
        <f>+'POW-2015-01-00_'!A49:E49</f>
        <v>Engineer II</v>
      </c>
      <c r="B39" s="1499"/>
      <c r="C39" s="10"/>
      <c r="D39" s="1504" t="str">
        <f>+'POW-2015-01-00_'!H49</f>
        <v>Engineer II</v>
      </c>
      <c r="E39" s="1504"/>
      <c r="F39" s="296"/>
      <c r="G39" s="296"/>
      <c r="H39" s="296"/>
      <c r="I39" s="296"/>
      <c r="J39" s="296"/>
    </row>
    <row r="40" spans="1:16" s="542" customFormat="1" outlineLevel="1">
      <c r="A40" s="1507" t="str">
        <f>+'POW-2015-01-00_'!A50:E50</f>
        <v>Planning and Design Section</v>
      </c>
      <c r="B40" s="1507"/>
      <c r="C40" s="10"/>
      <c r="D40" s="1508" t="str">
        <f>+'POW-2015-01-00_'!H50</f>
        <v>Planning and Design Section</v>
      </c>
      <c r="E40" s="1508"/>
      <c r="F40" s="296"/>
      <c r="G40" s="296"/>
      <c r="H40" s="296"/>
      <c r="I40" s="296"/>
      <c r="J40" s="296"/>
    </row>
    <row r="41" spans="1:16" s="542" customFormat="1">
      <c r="A41" s="296"/>
      <c r="B41" s="10"/>
      <c r="C41" s="10"/>
      <c r="D41" s="559"/>
      <c r="E41" s="557"/>
      <c r="F41" s="296"/>
      <c r="G41" s="296"/>
      <c r="H41" s="296"/>
      <c r="I41" s="296"/>
      <c r="J41" s="296"/>
    </row>
    <row r="42" spans="1:16" ht="15.75">
      <c r="A42" s="565" t="s">
        <v>216</v>
      </c>
      <c r="B42" s="566"/>
      <c r="C42" s="566"/>
      <c r="D42" s="567"/>
      <c r="E42" s="566"/>
      <c r="F42" s="567"/>
      <c r="G42" s="566"/>
      <c r="H42" s="567"/>
      <c r="I42" s="579"/>
      <c r="J42" s="579"/>
      <c r="K42" s="580"/>
      <c r="L42" s="566"/>
      <c r="M42" s="581"/>
      <c r="N42" s="582"/>
      <c r="O42" s="583"/>
    </row>
    <row r="43" spans="1:16">
      <c r="A43" s="1505" t="s">
        <v>217</v>
      </c>
      <c r="B43" s="1506" t="s">
        <v>218</v>
      </c>
      <c r="C43" s="569" t="s">
        <v>219</v>
      </c>
      <c r="D43" s="570" t="str">
        <f>+A16</f>
        <v>102(2)</v>
      </c>
      <c r="E43" s="569" t="s">
        <v>219</v>
      </c>
      <c r="F43" s="570" t="str">
        <f>+A21</f>
        <v>104(2)a</v>
      </c>
      <c r="G43" s="569" t="s">
        <v>219</v>
      </c>
      <c r="H43" s="570" t="e">
        <f>+#REF!</f>
        <v>#REF!</v>
      </c>
      <c r="I43" s="569" t="s">
        <v>219</v>
      </c>
      <c r="J43" s="570" t="str">
        <f>+A24</f>
        <v>105(1)a</v>
      </c>
      <c r="K43" s="569" t="s">
        <v>219</v>
      </c>
      <c r="L43" s="570" t="str">
        <f>+A27</f>
        <v>200(1)</v>
      </c>
      <c r="M43" s="569" t="s">
        <v>219</v>
      </c>
      <c r="N43" s="584" t="str">
        <f>+A30</f>
        <v>311(1)b1</v>
      </c>
      <c r="O43" s="568" t="s">
        <v>220</v>
      </c>
    </row>
    <row r="44" spans="1:16" ht="27.75">
      <c r="A44" s="1505"/>
      <c r="B44" s="1506"/>
      <c r="C44" s="571" t="s">
        <v>221</v>
      </c>
      <c r="D44" s="572" t="s">
        <v>222</v>
      </c>
      <c r="E44" s="571" t="s">
        <v>221</v>
      </c>
      <c r="F44" s="572" t="s">
        <v>222</v>
      </c>
      <c r="G44" s="571" t="s">
        <v>221</v>
      </c>
      <c r="H44" s="572" t="s">
        <v>222</v>
      </c>
      <c r="I44" s="571" t="s">
        <v>223</v>
      </c>
      <c r="J44" s="572" t="s">
        <v>224</v>
      </c>
      <c r="K44" s="571" t="s">
        <v>221</v>
      </c>
      <c r="L44" s="572" t="s">
        <v>222</v>
      </c>
      <c r="M44" s="571" t="s">
        <v>223</v>
      </c>
      <c r="N44" s="585" t="s">
        <v>224</v>
      </c>
      <c r="O44" s="568"/>
    </row>
    <row r="45" spans="1:16">
      <c r="A45" s="1047" t="s">
        <v>1173</v>
      </c>
      <c r="B45" s="1045"/>
      <c r="C45" s="571"/>
      <c r="D45" s="572"/>
      <c r="E45" s="571"/>
      <c r="F45" s="572"/>
      <c r="G45" s="571"/>
      <c r="H45" s="572"/>
      <c r="I45" s="571"/>
      <c r="J45" s="572"/>
      <c r="K45" s="571"/>
      <c r="L45" s="572"/>
      <c r="M45" s="571"/>
      <c r="N45" s="585"/>
      <c r="O45" s="1045"/>
    </row>
    <row r="46" spans="1:16" outlineLevel="1">
      <c r="A46" s="573">
        <v>0</v>
      </c>
      <c r="B46" s="572"/>
      <c r="C46" s="574">
        <v>3.44</v>
      </c>
      <c r="D46" s="575"/>
      <c r="E46" s="574">
        <v>0</v>
      </c>
      <c r="F46" s="575"/>
      <c r="G46" s="574"/>
      <c r="H46" s="575"/>
      <c r="I46" s="574">
        <v>6</v>
      </c>
      <c r="J46" s="575"/>
      <c r="K46" s="574">
        <v>1.65</v>
      </c>
      <c r="L46" s="575"/>
      <c r="M46" s="574">
        <v>5</v>
      </c>
      <c r="N46" s="586"/>
      <c r="O46" s="587"/>
    </row>
    <row r="47" spans="1:16" outlineLevel="1">
      <c r="A47" s="573">
        <v>20</v>
      </c>
      <c r="B47" s="576">
        <f t="shared" ref="B47:B98" si="0">+A47-A46</f>
        <v>20</v>
      </c>
      <c r="C47" s="574">
        <v>0.63</v>
      </c>
      <c r="D47" s="575">
        <f t="shared" ref="D47:D78" si="1">+((C46+C47)/2)*B47</f>
        <v>40.700000000000003</v>
      </c>
      <c r="E47" s="574">
        <v>0</v>
      </c>
      <c r="F47" s="575">
        <f t="shared" ref="F47:F78" si="2">+((E46+E47)/2)*B47</f>
        <v>0</v>
      </c>
      <c r="G47" s="574"/>
      <c r="H47" s="575"/>
      <c r="I47" s="574">
        <v>6</v>
      </c>
      <c r="J47" s="575">
        <f t="shared" ref="J47:J78" si="3">+((I46+I47)/2)*B47</f>
        <v>120</v>
      </c>
      <c r="K47" s="574">
        <v>1.65</v>
      </c>
      <c r="L47" s="575">
        <f t="shared" ref="L47:L78" si="4">+((K46+K47)/2)*B47</f>
        <v>33</v>
      </c>
      <c r="M47" s="574">
        <v>5</v>
      </c>
      <c r="N47" s="575">
        <f t="shared" ref="N47:N78" si="5">+((M46+M47)/2)*B47</f>
        <v>100</v>
      </c>
      <c r="O47" s="587"/>
      <c r="P47" s="544">
        <v>0</v>
      </c>
    </row>
    <row r="48" spans="1:16" outlineLevel="1">
      <c r="A48" s="573">
        <v>40</v>
      </c>
      <c r="B48" s="576">
        <f t="shared" si="0"/>
        <v>20</v>
      </c>
      <c r="C48" s="574">
        <v>1.17</v>
      </c>
      <c r="D48" s="575">
        <f t="shared" si="1"/>
        <v>18</v>
      </c>
      <c r="E48" s="574">
        <v>0</v>
      </c>
      <c r="F48" s="575">
        <f t="shared" si="2"/>
        <v>0</v>
      </c>
      <c r="G48" s="574"/>
      <c r="H48" s="575"/>
      <c r="I48" s="574">
        <v>6</v>
      </c>
      <c r="J48" s="575">
        <f t="shared" si="3"/>
        <v>120</v>
      </c>
      <c r="K48" s="574">
        <v>1.65</v>
      </c>
      <c r="L48" s="575">
        <f t="shared" si="4"/>
        <v>33</v>
      </c>
      <c r="M48" s="574">
        <v>5</v>
      </c>
      <c r="N48" s="575">
        <f t="shared" si="5"/>
        <v>100</v>
      </c>
      <c r="O48" s="587"/>
      <c r="P48" s="544">
        <v>0</v>
      </c>
    </row>
    <row r="49" spans="1:17" outlineLevel="1">
      <c r="A49" s="573">
        <v>60</v>
      </c>
      <c r="B49" s="576">
        <f t="shared" si="0"/>
        <v>20</v>
      </c>
      <c r="C49" s="574">
        <v>1.23</v>
      </c>
      <c r="D49" s="575">
        <f t="shared" si="1"/>
        <v>24</v>
      </c>
      <c r="E49" s="574">
        <v>0</v>
      </c>
      <c r="F49" s="575">
        <f t="shared" si="2"/>
        <v>0</v>
      </c>
      <c r="G49" s="574"/>
      <c r="H49" s="575"/>
      <c r="I49" s="574">
        <v>6</v>
      </c>
      <c r="J49" s="575">
        <f t="shared" si="3"/>
        <v>120</v>
      </c>
      <c r="K49" s="574">
        <v>1.65</v>
      </c>
      <c r="L49" s="575">
        <f t="shared" si="4"/>
        <v>33</v>
      </c>
      <c r="M49" s="574">
        <v>5</v>
      </c>
      <c r="N49" s="575">
        <f t="shared" si="5"/>
        <v>100</v>
      </c>
      <c r="O49" s="587"/>
      <c r="P49" s="544">
        <v>0</v>
      </c>
    </row>
    <row r="50" spans="1:17" outlineLevel="1">
      <c r="A50" s="573">
        <v>80</v>
      </c>
      <c r="B50" s="576">
        <f t="shared" si="0"/>
        <v>20</v>
      </c>
      <c r="C50" s="574">
        <v>0.6</v>
      </c>
      <c r="D50" s="575">
        <f t="shared" si="1"/>
        <v>18.3</v>
      </c>
      <c r="E50" s="574">
        <v>0</v>
      </c>
      <c r="F50" s="575">
        <f t="shared" si="2"/>
        <v>0</v>
      </c>
      <c r="G50" s="574"/>
      <c r="H50" s="575"/>
      <c r="I50" s="574">
        <v>6</v>
      </c>
      <c r="J50" s="575">
        <f t="shared" si="3"/>
        <v>120</v>
      </c>
      <c r="K50" s="574">
        <v>1.65</v>
      </c>
      <c r="L50" s="575">
        <f t="shared" si="4"/>
        <v>33</v>
      </c>
      <c r="M50" s="574">
        <v>5</v>
      </c>
      <c r="N50" s="575">
        <f t="shared" si="5"/>
        <v>100</v>
      </c>
      <c r="O50" s="587"/>
      <c r="P50" s="544">
        <v>0</v>
      </c>
    </row>
    <row r="51" spans="1:17" outlineLevel="1">
      <c r="A51" s="573">
        <v>100</v>
      </c>
      <c r="B51" s="576">
        <f t="shared" si="0"/>
        <v>20</v>
      </c>
      <c r="C51" s="574">
        <v>0.27</v>
      </c>
      <c r="D51" s="575">
        <f t="shared" si="1"/>
        <v>8.6999999999999993</v>
      </c>
      <c r="E51" s="574">
        <v>0</v>
      </c>
      <c r="F51" s="575">
        <f t="shared" si="2"/>
        <v>0</v>
      </c>
      <c r="G51" s="574"/>
      <c r="H51" s="575"/>
      <c r="I51" s="574">
        <v>6</v>
      </c>
      <c r="J51" s="575">
        <f t="shared" si="3"/>
        <v>120</v>
      </c>
      <c r="K51" s="574">
        <v>1.65</v>
      </c>
      <c r="L51" s="575">
        <f t="shared" si="4"/>
        <v>33</v>
      </c>
      <c r="M51" s="574">
        <v>5</v>
      </c>
      <c r="N51" s="575">
        <f t="shared" si="5"/>
        <v>100</v>
      </c>
      <c r="O51" s="587"/>
      <c r="P51" s="544">
        <v>0</v>
      </c>
    </row>
    <row r="52" spans="1:17" outlineLevel="1">
      <c r="A52" s="573">
        <v>120</v>
      </c>
      <c r="B52" s="576">
        <f t="shared" si="0"/>
        <v>20</v>
      </c>
      <c r="C52" s="574">
        <v>0.37</v>
      </c>
      <c r="D52" s="575">
        <f t="shared" si="1"/>
        <v>6.4</v>
      </c>
      <c r="E52" s="574">
        <v>0</v>
      </c>
      <c r="F52" s="575">
        <f t="shared" si="2"/>
        <v>0</v>
      </c>
      <c r="G52" s="574"/>
      <c r="H52" s="575"/>
      <c r="I52" s="574">
        <v>6</v>
      </c>
      <c r="J52" s="575">
        <f t="shared" si="3"/>
        <v>120</v>
      </c>
      <c r="K52" s="574">
        <v>1.65</v>
      </c>
      <c r="L52" s="575">
        <f t="shared" si="4"/>
        <v>33</v>
      </c>
      <c r="M52" s="574">
        <v>5</v>
      </c>
      <c r="N52" s="575">
        <f t="shared" si="5"/>
        <v>100</v>
      </c>
      <c r="O52" s="587"/>
      <c r="P52" s="544">
        <v>0</v>
      </c>
    </row>
    <row r="53" spans="1:17" outlineLevel="1">
      <c r="A53" s="573">
        <v>140</v>
      </c>
      <c r="B53" s="576">
        <f t="shared" si="0"/>
        <v>20</v>
      </c>
      <c r="C53" s="574">
        <v>0.21</v>
      </c>
      <c r="D53" s="575">
        <f t="shared" si="1"/>
        <v>5.8</v>
      </c>
      <c r="E53" s="574">
        <v>0</v>
      </c>
      <c r="F53" s="575">
        <f t="shared" si="2"/>
        <v>0</v>
      </c>
      <c r="G53" s="574"/>
      <c r="H53" s="575"/>
      <c r="I53" s="574">
        <v>6</v>
      </c>
      <c r="J53" s="575">
        <f t="shared" si="3"/>
        <v>120</v>
      </c>
      <c r="K53" s="574">
        <v>1.65</v>
      </c>
      <c r="L53" s="575">
        <f t="shared" si="4"/>
        <v>33</v>
      </c>
      <c r="M53" s="574">
        <v>5</v>
      </c>
      <c r="N53" s="575">
        <f t="shared" si="5"/>
        <v>100</v>
      </c>
      <c r="O53" s="587"/>
      <c r="P53" s="544">
        <v>0</v>
      </c>
    </row>
    <row r="54" spans="1:17" outlineLevel="1">
      <c r="A54" s="573">
        <v>160</v>
      </c>
      <c r="B54" s="576">
        <f t="shared" si="0"/>
        <v>20</v>
      </c>
      <c r="C54" s="574">
        <v>0</v>
      </c>
      <c r="D54" s="575">
        <f t="shared" si="1"/>
        <v>2.1</v>
      </c>
      <c r="E54" s="574">
        <v>0.76</v>
      </c>
      <c r="F54" s="575">
        <f t="shared" si="2"/>
        <v>7.6</v>
      </c>
      <c r="G54" s="574"/>
      <c r="H54" s="575"/>
      <c r="I54" s="574">
        <v>6</v>
      </c>
      <c r="J54" s="575">
        <f t="shared" si="3"/>
        <v>120</v>
      </c>
      <c r="K54" s="574">
        <v>1.65</v>
      </c>
      <c r="L54" s="575">
        <f t="shared" si="4"/>
        <v>33</v>
      </c>
      <c r="M54" s="574">
        <v>5</v>
      </c>
      <c r="N54" s="575">
        <f t="shared" si="5"/>
        <v>100</v>
      </c>
      <c r="O54" s="587"/>
      <c r="P54" s="544">
        <v>0</v>
      </c>
    </row>
    <row r="55" spans="1:17" outlineLevel="1">
      <c r="A55" s="573">
        <v>180</v>
      </c>
      <c r="B55" s="576">
        <f t="shared" si="0"/>
        <v>20</v>
      </c>
      <c r="C55" s="574">
        <v>0</v>
      </c>
      <c r="D55" s="575">
        <f t="shared" si="1"/>
        <v>0</v>
      </c>
      <c r="E55" s="574">
        <v>0.56000000000000005</v>
      </c>
      <c r="F55" s="575">
        <f t="shared" si="2"/>
        <v>13.200000000000001</v>
      </c>
      <c r="G55" s="574"/>
      <c r="H55" s="575"/>
      <c r="I55" s="574">
        <v>6</v>
      </c>
      <c r="J55" s="575">
        <f t="shared" si="3"/>
        <v>120</v>
      </c>
      <c r="K55" s="574">
        <v>1.65</v>
      </c>
      <c r="L55" s="575">
        <f t="shared" si="4"/>
        <v>33</v>
      </c>
      <c r="M55" s="574">
        <v>5</v>
      </c>
      <c r="N55" s="575">
        <f t="shared" si="5"/>
        <v>100</v>
      </c>
      <c r="O55" s="587"/>
      <c r="P55" s="544">
        <v>0</v>
      </c>
    </row>
    <row r="56" spans="1:17" outlineLevel="1">
      <c r="A56" s="573">
        <v>200</v>
      </c>
      <c r="B56" s="576">
        <f t="shared" si="0"/>
        <v>20</v>
      </c>
      <c r="C56" s="574">
        <v>0.08</v>
      </c>
      <c r="D56" s="575">
        <f t="shared" si="1"/>
        <v>0.8</v>
      </c>
      <c r="E56" s="574">
        <v>0.03</v>
      </c>
      <c r="F56" s="575">
        <f t="shared" si="2"/>
        <v>5.9</v>
      </c>
      <c r="G56" s="574"/>
      <c r="H56" s="575"/>
      <c r="I56" s="574">
        <v>6</v>
      </c>
      <c r="J56" s="575">
        <f t="shared" si="3"/>
        <v>120</v>
      </c>
      <c r="K56" s="574">
        <v>1.65</v>
      </c>
      <c r="L56" s="575">
        <f t="shared" si="4"/>
        <v>33</v>
      </c>
      <c r="M56" s="574">
        <v>5</v>
      </c>
      <c r="N56" s="575">
        <f t="shared" si="5"/>
        <v>100</v>
      </c>
      <c r="O56" s="587"/>
      <c r="P56" s="544">
        <v>0</v>
      </c>
    </row>
    <row r="57" spans="1:17" outlineLevel="1">
      <c r="A57" s="573">
        <v>220</v>
      </c>
      <c r="B57" s="576">
        <f t="shared" si="0"/>
        <v>20</v>
      </c>
      <c r="C57" s="574">
        <v>1.42</v>
      </c>
      <c r="D57" s="575">
        <f t="shared" si="1"/>
        <v>15</v>
      </c>
      <c r="E57" s="574">
        <v>0</v>
      </c>
      <c r="F57" s="575">
        <f t="shared" si="2"/>
        <v>0.3</v>
      </c>
      <c r="G57" s="574"/>
      <c r="H57" s="575"/>
      <c r="I57" s="574">
        <v>6</v>
      </c>
      <c r="J57" s="575">
        <f t="shared" si="3"/>
        <v>120</v>
      </c>
      <c r="K57" s="574">
        <v>1.65</v>
      </c>
      <c r="L57" s="575">
        <f t="shared" si="4"/>
        <v>33</v>
      </c>
      <c r="M57" s="574">
        <v>5</v>
      </c>
      <c r="N57" s="575">
        <f t="shared" si="5"/>
        <v>100</v>
      </c>
      <c r="O57" s="587"/>
      <c r="P57" s="544">
        <v>0</v>
      </c>
    </row>
    <row r="58" spans="1:17" outlineLevel="1">
      <c r="A58" s="573">
        <v>240</v>
      </c>
      <c r="B58" s="576">
        <f t="shared" si="0"/>
        <v>20</v>
      </c>
      <c r="C58" s="574">
        <v>0.27</v>
      </c>
      <c r="D58" s="575">
        <f t="shared" si="1"/>
        <v>16.899999999999999</v>
      </c>
      <c r="E58" s="574">
        <v>0.28000000000000003</v>
      </c>
      <c r="F58" s="575">
        <f t="shared" si="2"/>
        <v>2.8000000000000003</v>
      </c>
      <c r="G58" s="574"/>
      <c r="H58" s="575"/>
      <c r="I58" s="574">
        <v>6</v>
      </c>
      <c r="J58" s="575">
        <f t="shared" si="3"/>
        <v>120</v>
      </c>
      <c r="K58" s="574">
        <v>1.65</v>
      </c>
      <c r="L58" s="575">
        <f t="shared" si="4"/>
        <v>33</v>
      </c>
      <c r="M58" s="574">
        <v>5</v>
      </c>
      <c r="N58" s="575">
        <f t="shared" si="5"/>
        <v>100</v>
      </c>
      <c r="O58" s="587"/>
      <c r="P58" s="544">
        <v>0</v>
      </c>
    </row>
    <row r="59" spans="1:17" outlineLevel="1">
      <c r="A59" s="573">
        <v>260</v>
      </c>
      <c r="B59" s="576">
        <f t="shared" si="0"/>
        <v>20</v>
      </c>
      <c r="C59" s="574">
        <v>0.16</v>
      </c>
      <c r="D59" s="575">
        <f t="shared" si="1"/>
        <v>4.3000000000000007</v>
      </c>
      <c r="E59" s="574">
        <v>0.19</v>
      </c>
      <c r="F59" s="575">
        <f t="shared" si="2"/>
        <v>4.7</v>
      </c>
      <c r="G59" s="574"/>
      <c r="H59" s="575"/>
      <c r="I59" s="574">
        <v>6</v>
      </c>
      <c r="J59" s="575">
        <f t="shared" si="3"/>
        <v>120</v>
      </c>
      <c r="K59" s="574">
        <v>1.65</v>
      </c>
      <c r="L59" s="575">
        <f t="shared" si="4"/>
        <v>33</v>
      </c>
      <c r="M59" s="574">
        <v>5</v>
      </c>
      <c r="N59" s="575">
        <f t="shared" si="5"/>
        <v>100</v>
      </c>
      <c r="O59" s="587"/>
      <c r="P59" s="544">
        <v>0</v>
      </c>
    </row>
    <row r="60" spans="1:17" outlineLevel="1">
      <c r="A60" s="573">
        <v>280</v>
      </c>
      <c r="B60" s="576">
        <f t="shared" si="0"/>
        <v>20</v>
      </c>
      <c r="C60" s="574">
        <v>0</v>
      </c>
      <c r="D60" s="575">
        <f t="shared" si="1"/>
        <v>1.6</v>
      </c>
      <c r="E60" s="574">
        <v>0.61</v>
      </c>
      <c r="F60" s="575">
        <f t="shared" si="2"/>
        <v>8</v>
      </c>
      <c r="G60" s="574"/>
      <c r="H60" s="575"/>
      <c r="I60" s="574">
        <v>6</v>
      </c>
      <c r="J60" s="575">
        <f t="shared" si="3"/>
        <v>120</v>
      </c>
      <c r="K60" s="574">
        <v>1.65</v>
      </c>
      <c r="L60" s="575">
        <f t="shared" si="4"/>
        <v>33</v>
      </c>
      <c r="M60" s="574">
        <v>5</v>
      </c>
      <c r="N60" s="575">
        <f t="shared" si="5"/>
        <v>100</v>
      </c>
      <c r="O60" s="587"/>
      <c r="P60" s="544">
        <v>0</v>
      </c>
    </row>
    <row r="61" spans="1:17" outlineLevel="1">
      <c r="A61" s="573">
        <v>300</v>
      </c>
      <c r="B61" s="576">
        <f t="shared" si="0"/>
        <v>20</v>
      </c>
      <c r="C61" s="574">
        <v>0.44</v>
      </c>
      <c r="D61" s="575">
        <f t="shared" si="1"/>
        <v>4.4000000000000004</v>
      </c>
      <c r="E61" s="574">
        <v>0</v>
      </c>
      <c r="F61" s="575">
        <f t="shared" si="2"/>
        <v>6.1</v>
      </c>
      <c r="G61" s="574"/>
      <c r="H61" s="575"/>
      <c r="I61" s="574">
        <v>6</v>
      </c>
      <c r="J61" s="575">
        <f t="shared" si="3"/>
        <v>120</v>
      </c>
      <c r="K61" s="574">
        <v>1.65</v>
      </c>
      <c r="L61" s="575">
        <f t="shared" si="4"/>
        <v>33</v>
      </c>
      <c r="M61" s="574">
        <v>5</v>
      </c>
      <c r="N61" s="575">
        <f t="shared" si="5"/>
        <v>100</v>
      </c>
      <c r="O61" s="587"/>
      <c r="P61" s="544">
        <v>0</v>
      </c>
    </row>
    <row r="62" spans="1:17" outlineLevel="1">
      <c r="A62" s="573">
        <v>320</v>
      </c>
      <c r="B62" s="576">
        <f t="shared" si="0"/>
        <v>20</v>
      </c>
      <c r="C62" s="574">
        <v>0.19</v>
      </c>
      <c r="D62" s="575">
        <f t="shared" si="1"/>
        <v>6.3</v>
      </c>
      <c r="E62" s="574">
        <v>0</v>
      </c>
      <c r="F62" s="575">
        <f t="shared" si="2"/>
        <v>0</v>
      </c>
      <c r="G62" s="574"/>
      <c r="H62" s="575"/>
      <c r="I62" s="574">
        <v>6</v>
      </c>
      <c r="J62" s="575">
        <f t="shared" si="3"/>
        <v>120</v>
      </c>
      <c r="K62" s="574">
        <v>1.65</v>
      </c>
      <c r="L62" s="575">
        <f t="shared" si="4"/>
        <v>33</v>
      </c>
      <c r="M62" s="574">
        <v>5</v>
      </c>
      <c r="N62" s="575">
        <f t="shared" si="5"/>
        <v>100</v>
      </c>
      <c r="O62" s="587"/>
      <c r="P62" s="544">
        <v>0</v>
      </c>
      <c r="Q62" s="544">
        <v>3</v>
      </c>
    </row>
    <row r="63" spans="1:17" outlineLevel="1">
      <c r="A63" s="573">
        <v>340</v>
      </c>
      <c r="B63" s="576">
        <f t="shared" si="0"/>
        <v>20</v>
      </c>
      <c r="C63" s="574">
        <v>0</v>
      </c>
      <c r="D63" s="575">
        <f t="shared" si="1"/>
        <v>1.9</v>
      </c>
      <c r="E63" s="574">
        <v>0.71</v>
      </c>
      <c r="F63" s="575">
        <f t="shared" si="2"/>
        <v>7.1</v>
      </c>
      <c r="G63" s="574"/>
      <c r="H63" s="575"/>
      <c r="I63" s="574">
        <v>6</v>
      </c>
      <c r="J63" s="575">
        <f t="shared" si="3"/>
        <v>120</v>
      </c>
      <c r="K63" s="574">
        <v>1.65</v>
      </c>
      <c r="L63" s="575">
        <f t="shared" si="4"/>
        <v>33</v>
      </c>
      <c r="M63" s="574">
        <v>5</v>
      </c>
      <c r="N63" s="575">
        <f t="shared" si="5"/>
        <v>100</v>
      </c>
      <c r="O63" s="587"/>
      <c r="P63" s="544">
        <v>0</v>
      </c>
    </row>
    <row r="64" spans="1:17" outlineLevel="1">
      <c r="A64" s="573">
        <v>360</v>
      </c>
      <c r="B64" s="576">
        <f t="shared" si="0"/>
        <v>20</v>
      </c>
      <c r="C64" s="574">
        <v>0</v>
      </c>
      <c r="D64" s="575">
        <f t="shared" si="1"/>
        <v>0</v>
      </c>
      <c r="E64" s="574">
        <v>1.6</v>
      </c>
      <c r="F64" s="575">
        <f t="shared" si="2"/>
        <v>23.1</v>
      </c>
      <c r="G64" s="574"/>
      <c r="H64" s="575"/>
      <c r="I64" s="574">
        <v>6</v>
      </c>
      <c r="J64" s="575">
        <f t="shared" si="3"/>
        <v>120</v>
      </c>
      <c r="K64" s="574">
        <v>1.65</v>
      </c>
      <c r="L64" s="575">
        <f t="shared" si="4"/>
        <v>33</v>
      </c>
      <c r="M64" s="574">
        <v>5</v>
      </c>
      <c r="N64" s="575">
        <f t="shared" si="5"/>
        <v>100</v>
      </c>
      <c r="O64" s="587"/>
      <c r="P64" s="544">
        <v>0</v>
      </c>
    </row>
    <row r="65" spans="1:16" outlineLevel="1">
      <c r="A65" s="573">
        <v>380</v>
      </c>
      <c r="B65" s="576">
        <f t="shared" si="0"/>
        <v>20</v>
      </c>
      <c r="C65" s="574">
        <v>0</v>
      </c>
      <c r="D65" s="575">
        <f t="shared" si="1"/>
        <v>0</v>
      </c>
      <c r="E65" s="574">
        <v>1.35</v>
      </c>
      <c r="F65" s="575">
        <f t="shared" si="2"/>
        <v>29.5</v>
      </c>
      <c r="G65" s="574"/>
      <c r="H65" s="575"/>
      <c r="I65" s="574">
        <v>6</v>
      </c>
      <c r="J65" s="575">
        <f t="shared" si="3"/>
        <v>120</v>
      </c>
      <c r="K65" s="574">
        <v>1.65</v>
      </c>
      <c r="L65" s="575">
        <f t="shared" si="4"/>
        <v>33</v>
      </c>
      <c r="M65" s="574">
        <v>5</v>
      </c>
      <c r="N65" s="575">
        <f t="shared" si="5"/>
        <v>100</v>
      </c>
      <c r="O65" s="587"/>
      <c r="P65" s="544">
        <v>0</v>
      </c>
    </row>
    <row r="66" spans="1:16" outlineLevel="1">
      <c r="A66" s="573">
        <v>400</v>
      </c>
      <c r="B66" s="576">
        <f t="shared" si="0"/>
        <v>20</v>
      </c>
      <c r="C66" s="574">
        <v>0</v>
      </c>
      <c r="D66" s="575">
        <f t="shared" si="1"/>
        <v>0</v>
      </c>
      <c r="E66" s="574">
        <v>0.75</v>
      </c>
      <c r="F66" s="575">
        <f t="shared" si="2"/>
        <v>21</v>
      </c>
      <c r="G66" s="574"/>
      <c r="H66" s="575"/>
      <c r="I66" s="574">
        <v>6</v>
      </c>
      <c r="J66" s="575">
        <f t="shared" si="3"/>
        <v>120</v>
      </c>
      <c r="K66" s="574">
        <v>1.65</v>
      </c>
      <c r="L66" s="575">
        <f t="shared" si="4"/>
        <v>33</v>
      </c>
      <c r="M66" s="574">
        <v>5</v>
      </c>
      <c r="N66" s="575">
        <f t="shared" si="5"/>
        <v>100</v>
      </c>
      <c r="O66" s="587"/>
      <c r="P66" s="544">
        <v>0</v>
      </c>
    </row>
    <row r="67" spans="1:16" outlineLevel="1">
      <c r="A67" s="573">
        <v>420</v>
      </c>
      <c r="B67" s="576">
        <f t="shared" si="0"/>
        <v>20</v>
      </c>
      <c r="C67" s="574">
        <v>0.52</v>
      </c>
      <c r="D67" s="575">
        <f t="shared" si="1"/>
        <v>5.2</v>
      </c>
      <c r="E67" s="574">
        <v>0</v>
      </c>
      <c r="F67" s="575">
        <f t="shared" si="2"/>
        <v>7.5</v>
      </c>
      <c r="G67" s="574"/>
      <c r="H67" s="575"/>
      <c r="I67" s="574">
        <v>6</v>
      </c>
      <c r="J67" s="575">
        <f t="shared" si="3"/>
        <v>120</v>
      </c>
      <c r="K67" s="574">
        <v>1.65</v>
      </c>
      <c r="L67" s="575">
        <f t="shared" si="4"/>
        <v>33</v>
      </c>
      <c r="M67" s="574">
        <v>5</v>
      </c>
      <c r="N67" s="575">
        <f t="shared" si="5"/>
        <v>100</v>
      </c>
      <c r="O67" s="587"/>
      <c r="P67" s="544">
        <v>0</v>
      </c>
    </row>
    <row r="68" spans="1:16" outlineLevel="1">
      <c r="A68" s="573">
        <v>440</v>
      </c>
      <c r="B68" s="576">
        <f t="shared" si="0"/>
        <v>20</v>
      </c>
      <c r="C68" s="574">
        <v>1.74</v>
      </c>
      <c r="D68" s="575">
        <f t="shared" si="1"/>
        <v>22.599999999999998</v>
      </c>
      <c r="E68" s="574">
        <v>0</v>
      </c>
      <c r="F68" s="575">
        <f t="shared" si="2"/>
        <v>0</v>
      </c>
      <c r="G68" s="574"/>
      <c r="H68" s="575"/>
      <c r="I68" s="574">
        <v>6</v>
      </c>
      <c r="J68" s="575">
        <f t="shared" si="3"/>
        <v>120</v>
      </c>
      <c r="K68" s="574">
        <v>1.65</v>
      </c>
      <c r="L68" s="575">
        <f t="shared" si="4"/>
        <v>33</v>
      </c>
      <c r="M68" s="574">
        <v>5</v>
      </c>
      <c r="N68" s="575">
        <f t="shared" si="5"/>
        <v>100</v>
      </c>
      <c r="O68" s="587"/>
      <c r="P68" s="544">
        <v>0</v>
      </c>
    </row>
    <row r="69" spans="1:16" outlineLevel="1">
      <c r="A69" s="573">
        <v>460</v>
      </c>
      <c r="B69" s="576">
        <f t="shared" si="0"/>
        <v>20</v>
      </c>
      <c r="C69" s="574">
        <v>3.96</v>
      </c>
      <c r="D69" s="575">
        <f t="shared" si="1"/>
        <v>57</v>
      </c>
      <c r="E69" s="574">
        <v>0</v>
      </c>
      <c r="F69" s="575">
        <f t="shared" si="2"/>
        <v>0</v>
      </c>
      <c r="G69" s="574"/>
      <c r="H69" s="575"/>
      <c r="I69" s="574">
        <v>6</v>
      </c>
      <c r="J69" s="575">
        <f t="shared" si="3"/>
        <v>120</v>
      </c>
      <c r="K69" s="574">
        <v>1.65</v>
      </c>
      <c r="L69" s="575">
        <f t="shared" si="4"/>
        <v>33</v>
      </c>
      <c r="M69" s="574">
        <v>5</v>
      </c>
      <c r="N69" s="575">
        <f t="shared" si="5"/>
        <v>100</v>
      </c>
      <c r="O69" s="587"/>
      <c r="P69" s="544">
        <v>0</v>
      </c>
    </row>
    <row r="70" spans="1:16" outlineLevel="1">
      <c r="A70" s="573">
        <v>480</v>
      </c>
      <c r="B70" s="576">
        <f t="shared" si="0"/>
        <v>20</v>
      </c>
      <c r="C70" s="574">
        <v>5.72</v>
      </c>
      <c r="D70" s="575">
        <f t="shared" si="1"/>
        <v>96.8</v>
      </c>
      <c r="E70" s="574">
        <v>0</v>
      </c>
      <c r="F70" s="575">
        <f t="shared" si="2"/>
        <v>0</v>
      </c>
      <c r="G70" s="574"/>
      <c r="H70" s="575"/>
      <c r="I70" s="574">
        <v>6</v>
      </c>
      <c r="J70" s="575">
        <f t="shared" si="3"/>
        <v>120</v>
      </c>
      <c r="K70" s="574">
        <v>1.65</v>
      </c>
      <c r="L70" s="575">
        <f t="shared" si="4"/>
        <v>33</v>
      </c>
      <c r="M70" s="574">
        <v>5</v>
      </c>
      <c r="N70" s="575">
        <f t="shared" si="5"/>
        <v>100</v>
      </c>
      <c r="O70" s="587"/>
      <c r="P70" s="544">
        <v>0</v>
      </c>
    </row>
    <row r="71" spans="1:16" outlineLevel="1">
      <c r="A71" s="573">
        <v>500</v>
      </c>
      <c r="B71" s="576">
        <f t="shared" si="0"/>
        <v>20</v>
      </c>
      <c r="C71" s="574">
        <v>5.45</v>
      </c>
      <c r="D71" s="575">
        <f t="shared" si="1"/>
        <v>111.7</v>
      </c>
      <c r="E71" s="574">
        <v>0</v>
      </c>
      <c r="F71" s="575">
        <f t="shared" si="2"/>
        <v>0</v>
      </c>
      <c r="G71" s="574"/>
      <c r="H71" s="575"/>
      <c r="I71" s="574">
        <v>6</v>
      </c>
      <c r="J71" s="575">
        <f t="shared" si="3"/>
        <v>120</v>
      </c>
      <c r="K71" s="574">
        <v>1.65</v>
      </c>
      <c r="L71" s="575">
        <f t="shared" si="4"/>
        <v>33</v>
      </c>
      <c r="M71" s="574">
        <v>5</v>
      </c>
      <c r="N71" s="575">
        <f t="shared" si="5"/>
        <v>100</v>
      </c>
      <c r="O71" s="587"/>
      <c r="P71" s="544">
        <v>0</v>
      </c>
    </row>
    <row r="72" spans="1:16" outlineLevel="1">
      <c r="A72" s="573">
        <v>520</v>
      </c>
      <c r="B72" s="576">
        <f t="shared" si="0"/>
        <v>20</v>
      </c>
      <c r="C72" s="574">
        <v>5.68</v>
      </c>
      <c r="D72" s="575">
        <f t="shared" si="1"/>
        <v>111.29999999999998</v>
      </c>
      <c r="E72" s="574">
        <v>0</v>
      </c>
      <c r="F72" s="575">
        <f t="shared" si="2"/>
        <v>0</v>
      </c>
      <c r="G72" s="574"/>
      <c r="H72" s="575"/>
      <c r="I72" s="574">
        <v>6</v>
      </c>
      <c r="J72" s="575">
        <f t="shared" si="3"/>
        <v>120</v>
      </c>
      <c r="K72" s="574">
        <v>1.65</v>
      </c>
      <c r="L72" s="575">
        <f t="shared" si="4"/>
        <v>33</v>
      </c>
      <c r="M72" s="574">
        <v>5</v>
      </c>
      <c r="N72" s="575">
        <f t="shared" si="5"/>
        <v>100</v>
      </c>
      <c r="O72" s="587"/>
      <c r="P72" s="544">
        <v>0</v>
      </c>
    </row>
    <row r="73" spans="1:16" outlineLevel="1">
      <c r="A73" s="573">
        <v>540</v>
      </c>
      <c r="B73" s="576">
        <f t="shared" si="0"/>
        <v>20</v>
      </c>
      <c r="C73" s="574">
        <v>2.68</v>
      </c>
      <c r="D73" s="575">
        <f t="shared" si="1"/>
        <v>83.6</v>
      </c>
      <c r="E73" s="574">
        <v>0</v>
      </c>
      <c r="F73" s="575">
        <f t="shared" si="2"/>
        <v>0</v>
      </c>
      <c r="G73" s="574"/>
      <c r="H73" s="575"/>
      <c r="I73" s="574">
        <v>6</v>
      </c>
      <c r="J73" s="575">
        <f t="shared" si="3"/>
        <v>120</v>
      </c>
      <c r="K73" s="574">
        <v>1.65</v>
      </c>
      <c r="L73" s="575">
        <f t="shared" si="4"/>
        <v>33</v>
      </c>
      <c r="M73" s="574">
        <v>5</v>
      </c>
      <c r="N73" s="575">
        <f t="shared" si="5"/>
        <v>100</v>
      </c>
      <c r="O73" s="587"/>
      <c r="P73" s="544">
        <v>0</v>
      </c>
    </row>
    <row r="74" spans="1:16" outlineLevel="1">
      <c r="A74" s="573">
        <v>560</v>
      </c>
      <c r="B74" s="576">
        <f t="shared" si="0"/>
        <v>20</v>
      </c>
      <c r="C74" s="574">
        <v>1.57</v>
      </c>
      <c r="D74" s="575">
        <f t="shared" si="1"/>
        <v>42.5</v>
      </c>
      <c r="E74" s="574">
        <v>0</v>
      </c>
      <c r="F74" s="575">
        <f t="shared" si="2"/>
        <v>0</v>
      </c>
      <c r="G74" s="574"/>
      <c r="H74" s="575"/>
      <c r="I74" s="574">
        <v>6</v>
      </c>
      <c r="J74" s="575">
        <f t="shared" si="3"/>
        <v>120</v>
      </c>
      <c r="K74" s="574">
        <v>1.65</v>
      </c>
      <c r="L74" s="575">
        <f t="shared" si="4"/>
        <v>33</v>
      </c>
      <c r="M74" s="574">
        <v>5</v>
      </c>
      <c r="N74" s="575">
        <f t="shared" si="5"/>
        <v>100</v>
      </c>
      <c r="O74" s="587"/>
      <c r="P74" s="544">
        <v>0</v>
      </c>
    </row>
    <row r="75" spans="1:16" outlineLevel="1">
      <c r="A75" s="573">
        <v>580</v>
      </c>
      <c r="B75" s="576">
        <f t="shared" si="0"/>
        <v>20</v>
      </c>
      <c r="C75" s="574">
        <v>0</v>
      </c>
      <c r="D75" s="575">
        <f t="shared" si="1"/>
        <v>15.700000000000001</v>
      </c>
      <c r="E75" s="574">
        <v>0.41</v>
      </c>
      <c r="F75" s="575">
        <f t="shared" si="2"/>
        <v>4.0999999999999996</v>
      </c>
      <c r="G75" s="574"/>
      <c r="H75" s="575"/>
      <c r="I75" s="574">
        <v>6</v>
      </c>
      <c r="J75" s="575">
        <f t="shared" si="3"/>
        <v>120</v>
      </c>
      <c r="K75" s="574">
        <v>1.65</v>
      </c>
      <c r="L75" s="575">
        <f t="shared" si="4"/>
        <v>33</v>
      </c>
      <c r="M75" s="574">
        <v>5</v>
      </c>
      <c r="N75" s="575">
        <f t="shared" si="5"/>
        <v>100</v>
      </c>
      <c r="O75" s="587"/>
      <c r="P75" s="544">
        <v>0</v>
      </c>
    </row>
    <row r="76" spans="1:16" outlineLevel="1">
      <c r="A76" s="573">
        <v>600</v>
      </c>
      <c r="B76" s="576">
        <f t="shared" si="0"/>
        <v>20</v>
      </c>
      <c r="C76" s="574">
        <v>0.02</v>
      </c>
      <c r="D76" s="575">
        <f t="shared" si="1"/>
        <v>0.2</v>
      </c>
      <c r="E76" s="574">
        <v>0.34</v>
      </c>
      <c r="F76" s="575">
        <f t="shared" si="2"/>
        <v>7.5</v>
      </c>
      <c r="G76" s="574"/>
      <c r="H76" s="575"/>
      <c r="I76" s="574">
        <v>6</v>
      </c>
      <c r="J76" s="575">
        <f t="shared" si="3"/>
        <v>120</v>
      </c>
      <c r="K76" s="574">
        <v>1.65</v>
      </c>
      <c r="L76" s="575">
        <f t="shared" si="4"/>
        <v>33</v>
      </c>
      <c r="M76" s="574">
        <v>5</v>
      </c>
      <c r="N76" s="575">
        <f t="shared" si="5"/>
        <v>100</v>
      </c>
      <c r="O76" s="587"/>
      <c r="P76" s="544">
        <v>0</v>
      </c>
    </row>
    <row r="77" spans="1:16" outlineLevel="1">
      <c r="A77" s="573">
        <v>620</v>
      </c>
      <c r="B77" s="576">
        <f t="shared" si="0"/>
        <v>20</v>
      </c>
      <c r="C77" s="574">
        <v>0</v>
      </c>
      <c r="D77" s="575">
        <f t="shared" si="1"/>
        <v>0.2</v>
      </c>
      <c r="E77" s="574">
        <v>0.37</v>
      </c>
      <c r="F77" s="575">
        <f t="shared" si="2"/>
        <v>7.1</v>
      </c>
      <c r="G77" s="574"/>
      <c r="H77" s="575"/>
      <c r="I77" s="574">
        <v>6</v>
      </c>
      <c r="J77" s="575">
        <f t="shared" si="3"/>
        <v>120</v>
      </c>
      <c r="K77" s="574">
        <v>1.65</v>
      </c>
      <c r="L77" s="575">
        <f t="shared" si="4"/>
        <v>33</v>
      </c>
      <c r="M77" s="574">
        <v>5</v>
      </c>
      <c r="N77" s="575">
        <f t="shared" si="5"/>
        <v>100</v>
      </c>
      <c r="O77" s="587"/>
      <c r="P77" s="544">
        <v>0</v>
      </c>
    </row>
    <row r="78" spans="1:16" outlineLevel="1">
      <c r="A78" s="573">
        <v>640</v>
      </c>
      <c r="B78" s="576">
        <f t="shared" si="0"/>
        <v>20</v>
      </c>
      <c r="C78" s="574">
        <v>0.45</v>
      </c>
      <c r="D78" s="575">
        <f t="shared" si="1"/>
        <v>4.5</v>
      </c>
      <c r="E78" s="574">
        <v>0</v>
      </c>
      <c r="F78" s="575">
        <f t="shared" si="2"/>
        <v>3.7</v>
      </c>
      <c r="G78" s="574"/>
      <c r="H78" s="575"/>
      <c r="I78" s="574">
        <v>6</v>
      </c>
      <c r="J78" s="575">
        <f t="shared" si="3"/>
        <v>120</v>
      </c>
      <c r="K78" s="574">
        <v>1.65</v>
      </c>
      <c r="L78" s="575">
        <f t="shared" si="4"/>
        <v>33</v>
      </c>
      <c r="M78" s="574">
        <v>5</v>
      </c>
      <c r="N78" s="575">
        <f t="shared" si="5"/>
        <v>100</v>
      </c>
      <c r="O78" s="588"/>
      <c r="P78" s="544">
        <v>0</v>
      </c>
    </row>
    <row r="79" spans="1:16" outlineLevel="1">
      <c r="A79" s="573">
        <v>660</v>
      </c>
      <c r="B79" s="576">
        <f t="shared" si="0"/>
        <v>20</v>
      </c>
      <c r="C79" s="574">
        <v>0.1</v>
      </c>
      <c r="D79" s="575">
        <f t="shared" ref="D79:D104" si="6">+((C78+C79)/2)*B79</f>
        <v>5.5</v>
      </c>
      <c r="E79" s="574">
        <v>0.08</v>
      </c>
      <c r="F79" s="575">
        <f t="shared" ref="F79:F104" si="7">+((E78+E79)/2)*B79</f>
        <v>0.8</v>
      </c>
      <c r="G79" s="574"/>
      <c r="H79" s="575"/>
      <c r="I79" s="574">
        <v>6</v>
      </c>
      <c r="J79" s="575">
        <f t="shared" ref="J79:J104" si="8">+((I78+I79)/2)*B79</f>
        <v>120</v>
      </c>
      <c r="K79" s="574">
        <v>1.65</v>
      </c>
      <c r="L79" s="575">
        <f t="shared" ref="L79:L104" si="9">+((K78+K79)/2)*B79</f>
        <v>33</v>
      </c>
      <c r="M79" s="574">
        <v>5</v>
      </c>
      <c r="N79" s="575">
        <f t="shared" ref="N79:N104" si="10">+((M78+M79)/2)*B79</f>
        <v>100</v>
      </c>
      <c r="O79" s="587"/>
      <c r="P79" s="544">
        <v>0</v>
      </c>
    </row>
    <row r="80" spans="1:16" outlineLevel="1">
      <c r="A80" s="573">
        <v>680</v>
      </c>
      <c r="B80" s="576">
        <f t="shared" si="0"/>
        <v>20</v>
      </c>
      <c r="C80" s="574">
        <v>0</v>
      </c>
      <c r="D80" s="575">
        <f t="shared" si="6"/>
        <v>1</v>
      </c>
      <c r="E80" s="574">
        <v>0.6</v>
      </c>
      <c r="F80" s="575">
        <f t="shared" si="7"/>
        <v>6.7999999999999989</v>
      </c>
      <c r="G80" s="574"/>
      <c r="H80" s="575"/>
      <c r="I80" s="574">
        <v>6</v>
      </c>
      <c r="J80" s="575">
        <f t="shared" si="8"/>
        <v>120</v>
      </c>
      <c r="K80" s="574">
        <v>1.65</v>
      </c>
      <c r="L80" s="575">
        <f t="shared" si="9"/>
        <v>33</v>
      </c>
      <c r="M80" s="574">
        <v>5</v>
      </c>
      <c r="N80" s="575">
        <f t="shared" si="10"/>
        <v>100</v>
      </c>
      <c r="O80" s="587"/>
      <c r="P80" s="544">
        <v>0</v>
      </c>
    </row>
    <row r="81" spans="1:16" outlineLevel="1">
      <c r="A81" s="573">
        <v>700</v>
      </c>
      <c r="B81" s="576">
        <f t="shared" si="0"/>
        <v>20</v>
      </c>
      <c r="C81" s="574">
        <v>0</v>
      </c>
      <c r="D81" s="575">
        <f t="shared" si="6"/>
        <v>0</v>
      </c>
      <c r="E81" s="574">
        <v>0.34</v>
      </c>
      <c r="F81" s="575">
        <f t="shared" si="7"/>
        <v>9.3999999999999986</v>
      </c>
      <c r="G81" s="574"/>
      <c r="H81" s="575"/>
      <c r="I81" s="574">
        <v>6</v>
      </c>
      <c r="J81" s="575">
        <f t="shared" si="8"/>
        <v>120</v>
      </c>
      <c r="K81" s="574">
        <v>1.65</v>
      </c>
      <c r="L81" s="575">
        <f t="shared" si="9"/>
        <v>33</v>
      </c>
      <c r="M81" s="574">
        <v>5</v>
      </c>
      <c r="N81" s="575">
        <f t="shared" si="10"/>
        <v>100</v>
      </c>
      <c r="O81" s="587"/>
      <c r="P81" s="544">
        <v>0</v>
      </c>
    </row>
    <row r="82" spans="1:16" outlineLevel="1">
      <c r="A82" s="573">
        <v>720</v>
      </c>
      <c r="B82" s="576">
        <f t="shared" si="0"/>
        <v>20</v>
      </c>
      <c r="C82" s="574">
        <v>0.48</v>
      </c>
      <c r="D82" s="575">
        <f t="shared" si="6"/>
        <v>4.8</v>
      </c>
      <c r="E82" s="574">
        <v>0</v>
      </c>
      <c r="F82" s="575">
        <f t="shared" si="7"/>
        <v>3.4000000000000004</v>
      </c>
      <c r="G82" s="574"/>
      <c r="H82" s="575"/>
      <c r="I82" s="574">
        <v>6</v>
      </c>
      <c r="J82" s="575">
        <f t="shared" si="8"/>
        <v>120</v>
      </c>
      <c r="K82" s="574">
        <v>1.65</v>
      </c>
      <c r="L82" s="575">
        <f t="shared" si="9"/>
        <v>33</v>
      </c>
      <c r="M82" s="574">
        <v>5</v>
      </c>
      <c r="N82" s="575">
        <f t="shared" si="10"/>
        <v>100</v>
      </c>
      <c r="O82" s="587"/>
      <c r="P82" s="544">
        <v>0</v>
      </c>
    </row>
    <row r="83" spans="1:16" outlineLevel="1">
      <c r="A83" s="573">
        <v>740</v>
      </c>
      <c r="B83" s="576">
        <f t="shared" si="0"/>
        <v>20</v>
      </c>
      <c r="C83" s="574">
        <v>0.6</v>
      </c>
      <c r="D83" s="575">
        <f t="shared" si="6"/>
        <v>10.8</v>
      </c>
      <c r="E83" s="574">
        <v>0.48</v>
      </c>
      <c r="F83" s="575">
        <f t="shared" si="7"/>
        <v>4.8</v>
      </c>
      <c r="G83" s="574"/>
      <c r="H83" s="575"/>
      <c r="I83" s="574">
        <v>6</v>
      </c>
      <c r="J83" s="575">
        <f t="shared" si="8"/>
        <v>120</v>
      </c>
      <c r="K83" s="574">
        <v>1.65</v>
      </c>
      <c r="L83" s="575">
        <f t="shared" si="9"/>
        <v>33</v>
      </c>
      <c r="M83" s="574">
        <v>5</v>
      </c>
      <c r="N83" s="575">
        <f t="shared" si="10"/>
        <v>100</v>
      </c>
      <c r="O83" s="587"/>
      <c r="P83" s="544">
        <v>0</v>
      </c>
    </row>
    <row r="84" spans="1:16" outlineLevel="1">
      <c r="A84" s="573">
        <v>741</v>
      </c>
      <c r="B84" s="576">
        <f t="shared" si="0"/>
        <v>1</v>
      </c>
      <c r="C84" s="574">
        <v>0.6</v>
      </c>
      <c r="D84" s="575">
        <f t="shared" si="6"/>
        <v>0.6</v>
      </c>
      <c r="E84" s="574">
        <v>0.48</v>
      </c>
      <c r="F84" s="575">
        <f t="shared" si="7"/>
        <v>0.48</v>
      </c>
      <c r="G84" s="574"/>
      <c r="H84" s="575"/>
      <c r="I84" s="574">
        <v>6</v>
      </c>
      <c r="J84" s="575">
        <f t="shared" si="8"/>
        <v>6</v>
      </c>
      <c r="K84" s="574">
        <v>1.65</v>
      </c>
      <c r="L84" s="575">
        <f t="shared" si="9"/>
        <v>1.65</v>
      </c>
      <c r="M84" s="574">
        <v>5</v>
      </c>
      <c r="N84" s="575">
        <f t="shared" si="10"/>
        <v>5</v>
      </c>
      <c r="O84" s="587"/>
      <c r="P84" s="544">
        <v>0</v>
      </c>
    </row>
    <row r="85" spans="1:16" outlineLevel="1">
      <c r="A85" s="1046" t="s">
        <v>1174</v>
      </c>
      <c r="B85" s="576"/>
      <c r="C85" s="574"/>
      <c r="D85" s="575"/>
      <c r="E85" s="574"/>
      <c r="F85" s="575"/>
      <c r="G85" s="574"/>
      <c r="H85" s="575"/>
      <c r="I85" s="574"/>
      <c r="J85" s="575"/>
      <c r="K85" s="574">
        <v>1.65</v>
      </c>
      <c r="L85" s="575"/>
      <c r="M85" s="574"/>
      <c r="N85" s="575"/>
      <c r="O85" s="587"/>
      <c r="P85" s="544">
        <v>0</v>
      </c>
    </row>
    <row r="86" spans="1:16" outlineLevel="1">
      <c r="A86" s="573">
        <v>0</v>
      </c>
      <c r="B86" s="576"/>
      <c r="C86" s="574">
        <v>3.42</v>
      </c>
      <c r="D86" s="575"/>
      <c r="E86" s="574">
        <v>0</v>
      </c>
      <c r="F86" s="575"/>
      <c r="G86" s="574"/>
      <c r="H86" s="575"/>
      <c r="I86" s="574">
        <v>6</v>
      </c>
      <c r="J86" s="575"/>
      <c r="K86" s="574">
        <v>1.65</v>
      </c>
      <c r="L86" s="575"/>
      <c r="M86" s="574">
        <v>5</v>
      </c>
      <c r="N86" s="575"/>
      <c r="O86" s="587"/>
      <c r="P86" s="544">
        <v>0</v>
      </c>
    </row>
    <row r="87" spans="1:16" outlineLevel="1">
      <c r="A87" s="573">
        <v>20</v>
      </c>
      <c r="B87" s="576">
        <f t="shared" si="0"/>
        <v>20</v>
      </c>
      <c r="C87" s="574">
        <v>0</v>
      </c>
      <c r="D87" s="575">
        <f t="shared" si="6"/>
        <v>34.200000000000003</v>
      </c>
      <c r="E87" s="574">
        <v>6.84</v>
      </c>
      <c r="F87" s="575">
        <f t="shared" si="7"/>
        <v>68.400000000000006</v>
      </c>
      <c r="G87" s="574"/>
      <c r="H87" s="575"/>
      <c r="I87" s="574">
        <v>6</v>
      </c>
      <c r="J87" s="575">
        <f t="shared" si="8"/>
        <v>120</v>
      </c>
      <c r="K87" s="574">
        <v>1.36</v>
      </c>
      <c r="L87" s="575">
        <f t="shared" si="9"/>
        <v>30.099999999999998</v>
      </c>
      <c r="M87" s="574">
        <v>5</v>
      </c>
      <c r="N87" s="575">
        <f t="shared" si="10"/>
        <v>100</v>
      </c>
      <c r="O87" s="587"/>
      <c r="P87" s="544">
        <v>0</v>
      </c>
    </row>
    <row r="88" spans="1:16" outlineLevel="1">
      <c r="A88" s="573">
        <v>40</v>
      </c>
      <c r="B88" s="576">
        <f t="shared" si="0"/>
        <v>20</v>
      </c>
      <c r="C88" s="574">
        <v>0</v>
      </c>
      <c r="D88" s="575">
        <f t="shared" si="6"/>
        <v>0</v>
      </c>
      <c r="E88" s="574">
        <v>6.85</v>
      </c>
      <c r="F88" s="575">
        <f t="shared" si="7"/>
        <v>136.9</v>
      </c>
      <c r="G88" s="574"/>
      <c r="H88" s="575"/>
      <c r="I88" s="574">
        <v>6</v>
      </c>
      <c r="J88" s="575">
        <f t="shared" si="8"/>
        <v>120</v>
      </c>
      <c r="K88" s="574">
        <v>1.36</v>
      </c>
      <c r="L88" s="575">
        <f t="shared" si="9"/>
        <v>27.200000000000003</v>
      </c>
      <c r="M88" s="574">
        <v>5</v>
      </c>
      <c r="N88" s="575">
        <f t="shared" si="10"/>
        <v>100</v>
      </c>
      <c r="O88" s="587"/>
      <c r="P88" s="544">
        <v>0</v>
      </c>
    </row>
    <row r="89" spans="1:16" outlineLevel="1">
      <c r="A89" s="573">
        <v>60</v>
      </c>
      <c r="B89" s="576">
        <f t="shared" si="0"/>
        <v>20</v>
      </c>
      <c r="C89" s="574">
        <v>0</v>
      </c>
      <c r="D89" s="575">
        <f t="shared" si="6"/>
        <v>0</v>
      </c>
      <c r="E89" s="574">
        <v>5.32</v>
      </c>
      <c r="F89" s="575">
        <f t="shared" si="7"/>
        <v>121.7</v>
      </c>
      <c r="G89" s="574"/>
      <c r="H89" s="575"/>
      <c r="I89" s="574">
        <v>6</v>
      </c>
      <c r="J89" s="575">
        <f t="shared" si="8"/>
        <v>120</v>
      </c>
      <c r="K89" s="574">
        <v>1.36</v>
      </c>
      <c r="L89" s="575">
        <f t="shared" si="9"/>
        <v>27.200000000000003</v>
      </c>
      <c r="M89" s="574">
        <v>5</v>
      </c>
      <c r="N89" s="575">
        <f t="shared" si="10"/>
        <v>100</v>
      </c>
      <c r="O89" s="587"/>
      <c r="P89" s="544">
        <v>0</v>
      </c>
    </row>
    <row r="90" spans="1:16" outlineLevel="1">
      <c r="A90" s="573">
        <v>80</v>
      </c>
      <c r="B90" s="576">
        <f t="shared" si="0"/>
        <v>20</v>
      </c>
      <c r="C90" s="574">
        <v>0</v>
      </c>
      <c r="D90" s="575">
        <f t="shared" si="6"/>
        <v>0</v>
      </c>
      <c r="E90" s="574">
        <v>3.88</v>
      </c>
      <c r="F90" s="575">
        <f t="shared" si="7"/>
        <v>92</v>
      </c>
      <c r="G90" s="574"/>
      <c r="H90" s="575"/>
      <c r="I90" s="574">
        <v>6</v>
      </c>
      <c r="J90" s="575">
        <f t="shared" si="8"/>
        <v>120</v>
      </c>
      <c r="K90" s="574">
        <v>1.36</v>
      </c>
      <c r="L90" s="575">
        <f t="shared" si="9"/>
        <v>27.200000000000003</v>
      </c>
      <c r="M90" s="574">
        <v>5</v>
      </c>
      <c r="N90" s="575">
        <f t="shared" si="10"/>
        <v>100</v>
      </c>
      <c r="O90" s="587"/>
      <c r="P90" s="544">
        <v>0</v>
      </c>
    </row>
    <row r="91" spans="1:16" outlineLevel="1">
      <c r="A91" s="573">
        <v>100</v>
      </c>
      <c r="B91" s="576">
        <f t="shared" si="0"/>
        <v>20</v>
      </c>
      <c r="C91" s="574">
        <v>0</v>
      </c>
      <c r="D91" s="575">
        <f t="shared" si="6"/>
        <v>0</v>
      </c>
      <c r="E91" s="574">
        <v>1.99</v>
      </c>
      <c r="F91" s="575">
        <f t="shared" si="7"/>
        <v>58.7</v>
      </c>
      <c r="G91" s="574"/>
      <c r="H91" s="575"/>
      <c r="I91" s="574">
        <v>6</v>
      </c>
      <c r="J91" s="575">
        <f t="shared" si="8"/>
        <v>120</v>
      </c>
      <c r="K91" s="574">
        <v>1.51</v>
      </c>
      <c r="L91" s="575">
        <f t="shared" si="9"/>
        <v>28.700000000000003</v>
      </c>
      <c r="M91" s="574">
        <v>5</v>
      </c>
      <c r="N91" s="575">
        <f t="shared" si="10"/>
        <v>100</v>
      </c>
      <c r="O91" s="587"/>
      <c r="P91" s="544">
        <v>0</v>
      </c>
    </row>
    <row r="92" spans="1:16" outlineLevel="1">
      <c r="A92" s="573">
        <v>120</v>
      </c>
      <c r="B92" s="576">
        <f t="shared" si="0"/>
        <v>20</v>
      </c>
      <c r="C92" s="574">
        <v>0</v>
      </c>
      <c r="D92" s="575">
        <f t="shared" si="6"/>
        <v>0</v>
      </c>
      <c r="E92" s="574">
        <v>0.91</v>
      </c>
      <c r="F92" s="575">
        <f t="shared" si="7"/>
        <v>29</v>
      </c>
      <c r="G92" s="574"/>
      <c r="H92" s="575"/>
      <c r="I92" s="574">
        <v>6</v>
      </c>
      <c r="J92" s="575">
        <f t="shared" si="8"/>
        <v>120</v>
      </c>
      <c r="K92" s="574">
        <v>1.65</v>
      </c>
      <c r="L92" s="575">
        <f t="shared" si="9"/>
        <v>31.6</v>
      </c>
      <c r="M92" s="574">
        <v>5</v>
      </c>
      <c r="N92" s="575">
        <f t="shared" si="10"/>
        <v>100</v>
      </c>
      <c r="O92" s="587"/>
      <c r="P92" s="544">
        <v>0</v>
      </c>
    </row>
    <row r="93" spans="1:16" outlineLevel="1">
      <c r="A93" s="573">
        <v>140</v>
      </c>
      <c r="B93" s="576">
        <f t="shared" si="0"/>
        <v>20</v>
      </c>
      <c r="C93" s="574">
        <v>0</v>
      </c>
      <c r="D93" s="575">
        <f t="shared" si="6"/>
        <v>0</v>
      </c>
      <c r="E93" s="574">
        <v>1.4</v>
      </c>
      <c r="F93" s="575">
        <f t="shared" si="7"/>
        <v>23.1</v>
      </c>
      <c r="G93" s="574"/>
      <c r="H93" s="575"/>
      <c r="I93" s="574">
        <v>6</v>
      </c>
      <c r="J93" s="575">
        <f t="shared" si="8"/>
        <v>120</v>
      </c>
      <c r="K93" s="574">
        <v>1.65</v>
      </c>
      <c r="L93" s="575">
        <f t="shared" si="9"/>
        <v>33</v>
      </c>
      <c r="M93" s="574">
        <v>5</v>
      </c>
      <c r="N93" s="575">
        <f t="shared" si="10"/>
        <v>100</v>
      </c>
      <c r="O93" s="587"/>
      <c r="P93" s="544">
        <v>0</v>
      </c>
    </row>
    <row r="94" spans="1:16" outlineLevel="1">
      <c r="A94" s="573">
        <v>160</v>
      </c>
      <c r="B94" s="576">
        <f t="shared" si="0"/>
        <v>20</v>
      </c>
      <c r="C94" s="574">
        <v>0</v>
      </c>
      <c r="D94" s="575">
        <f t="shared" si="6"/>
        <v>0</v>
      </c>
      <c r="E94" s="574">
        <v>2.34</v>
      </c>
      <c r="F94" s="575">
        <f t="shared" si="7"/>
        <v>37.4</v>
      </c>
      <c r="G94" s="574"/>
      <c r="H94" s="575"/>
      <c r="I94" s="574">
        <v>6</v>
      </c>
      <c r="J94" s="575">
        <f t="shared" si="8"/>
        <v>120</v>
      </c>
      <c r="K94" s="574">
        <v>1.38</v>
      </c>
      <c r="L94" s="575">
        <f t="shared" si="9"/>
        <v>30.299999999999997</v>
      </c>
      <c r="M94" s="574">
        <v>5</v>
      </c>
      <c r="N94" s="575">
        <f t="shared" si="10"/>
        <v>100</v>
      </c>
      <c r="O94" s="587"/>
      <c r="P94" s="544">
        <v>0</v>
      </c>
    </row>
    <row r="95" spans="1:16" outlineLevel="1">
      <c r="A95" s="573">
        <v>180</v>
      </c>
      <c r="B95" s="576">
        <f t="shared" si="0"/>
        <v>20</v>
      </c>
      <c r="C95" s="574">
        <v>0</v>
      </c>
      <c r="D95" s="575">
        <f t="shared" si="6"/>
        <v>0</v>
      </c>
      <c r="E95" s="574">
        <v>2.83</v>
      </c>
      <c r="F95" s="575">
        <f t="shared" si="7"/>
        <v>51.7</v>
      </c>
      <c r="G95" s="574"/>
      <c r="H95" s="575"/>
      <c r="I95" s="574">
        <v>6</v>
      </c>
      <c r="J95" s="575">
        <f t="shared" si="8"/>
        <v>120</v>
      </c>
      <c r="K95" s="574">
        <v>1.37</v>
      </c>
      <c r="L95" s="575">
        <f t="shared" si="9"/>
        <v>27.5</v>
      </c>
      <c r="M95" s="574">
        <v>5</v>
      </c>
      <c r="N95" s="575">
        <f t="shared" si="10"/>
        <v>100</v>
      </c>
      <c r="O95" s="587"/>
      <c r="P95" s="544">
        <v>0</v>
      </c>
    </row>
    <row r="96" spans="1:16" ht="16.149999999999999" customHeight="1" outlineLevel="1">
      <c r="A96" s="573">
        <v>200</v>
      </c>
      <c r="B96" s="576">
        <f t="shared" si="0"/>
        <v>20</v>
      </c>
      <c r="C96" s="574">
        <v>0</v>
      </c>
      <c r="D96" s="575">
        <f t="shared" si="6"/>
        <v>0</v>
      </c>
      <c r="E96" s="574">
        <v>0.84</v>
      </c>
      <c r="F96" s="575">
        <f t="shared" si="7"/>
        <v>36.700000000000003</v>
      </c>
      <c r="G96" s="574"/>
      <c r="H96" s="575"/>
      <c r="I96" s="574">
        <v>6</v>
      </c>
      <c r="J96" s="575">
        <f t="shared" si="8"/>
        <v>120</v>
      </c>
      <c r="K96" s="574">
        <v>1.65</v>
      </c>
      <c r="L96" s="575">
        <f t="shared" si="9"/>
        <v>30.2</v>
      </c>
      <c r="M96" s="574">
        <v>5</v>
      </c>
      <c r="N96" s="575">
        <f t="shared" si="10"/>
        <v>100</v>
      </c>
      <c r="O96" s="587"/>
      <c r="P96" s="544">
        <v>0</v>
      </c>
    </row>
    <row r="97" spans="1:18" outlineLevel="1">
      <c r="A97" s="573">
        <v>220</v>
      </c>
      <c r="B97" s="576">
        <f t="shared" si="0"/>
        <v>20</v>
      </c>
      <c r="C97" s="574">
        <v>1.47</v>
      </c>
      <c r="D97" s="575">
        <f t="shared" si="6"/>
        <v>14.7</v>
      </c>
      <c r="E97" s="574">
        <v>0</v>
      </c>
      <c r="F97" s="575">
        <f t="shared" si="7"/>
        <v>8.4</v>
      </c>
      <c r="G97" s="574"/>
      <c r="H97" s="575"/>
      <c r="I97" s="574">
        <v>6</v>
      </c>
      <c r="J97" s="575">
        <f t="shared" si="8"/>
        <v>120</v>
      </c>
      <c r="K97" s="574">
        <v>1.65</v>
      </c>
      <c r="L97" s="575">
        <f t="shared" si="9"/>
        <v>33</v>
      </c>
      <c r="M97" s="574">
        <v>5</v>
      </c>
      <c r="N97" s="575">
        <f t="shared" si="10"/>
        <v>100</v>
      </c>
      <c r="O97" s="587"/>
      <c r="P97" s="544">
        <v>0</v>
      </c>
    </row>
    <row r="98" spans="1:18" outlineLevel="1">
      <c r="A98" s="573">
        <v>222</v>
      </c>
      <c r="B98" s="576">
        <f t="shared" si="0"/>
        <v>2</v>
      </c>
      <c r="C98" s="574">
        <v>0.48</v>
      </c>
      <c r="D98" s="575">
        <f t="shared" si="6"/>
        <v>1.95</v>
      </c>
      <c r="E98" s="574">
        <v>0</v>
      </c>
      <c r="F98" s="575">
        <f t="shared" si="7"/>
        <v>0</v>
      </c>
      <c r="G98" s="574"/>
      <c r="H98" s="575"/>
      <c r="I98" s="574">
        <v>6</v>
      </c>
      <c r="J98" s="575">
        <f t="shared" si="8"/>
        <v>12</v>
      </c>
      <c r="K98" s="574">
        <v>1.65</v>
      </c>
      <c r="L98" s="575">
        <f t="shared" si="9"/>
        <v>3.3</v>
      </c>
      <c r="M98" s="574">
        <v>5</v>
      </c>
      <c r="N98" s="575">
        <f t="shared" si="10"/>
        <v>10</v>
      </c>
      <c r="O98" s="587"/>
      <c r="P98" s="544">
        <v>0</v>
      </c>
    </row>
    <row r="99" spans="1:18" hidden="1" outlineLevel="1">
      <c r="A99" s="573">
        <v>260</v>
      </c>
      <c r="B99" s="576">
        <v>0</v>
      </c>
      <c r="C99" s="574">
        <v>0</v>
      </c>
      <c r="D99" s="575">
        <f t="shared" si="6"/>
        <v>0</v>
      </c>
      <c r="E99" s="574">
        <v>0.37</v>
      </c>
      <c r="F99" s="575">
        <f t="shared" si="7"/>
        <v>0</v>
      </c>
      <c r="G99" s="574"/>
      <c r="H99" s="575"/>
      <c r="I99" s="574">
        <v>6</v>
      </c>
      <c r="J99" s="575">
        <f t="shared" si="8"/>
        <v>0</v>
      </c>
      <c r="K99" s="574">
        <v>1.65</v>
      </c>
      <c r="L99" s="575">
        <f t="shared" si="9"/>
        <v>0</v>
      </c>
      <c r="M99" s="574">
        <v>5</v>
      </c>
      <c r="N99" s="575">
        <f t="shared" si="10"/>
        <v>0</v>
      </c>
      <c r="O99" s="587"/>
      <c r="P99" s="544">
        <v>0</v>
      </c>
    </row>
    <row r="100" spans="1:18" hidden="1" outlineLevel="1">
      <c r="A100" s="573">
        <v>280</v>
      </c>
      <c r="B100" s="576">
        <v>0</v>
      </c>
      <c r="C100" s="574">
        <v>1.23</v>
      </c>
      <c r="D100" s="575">
        <f t="shared" si="6"/>
        <v>0</v>
      </c>
      <c r="E100" s="574">
        <v>0</v>
      </c>
      <c r="F100" s="575">
        <f t="shared" si="7"/>
        <v>0</v>
      </c>
      <c r="G100" s="574"/>
      <c r="H100" s="575"/>
      <c r="I100" s="574">
        <v>6</v>
      </c>
      <c r="J100" s="575">
        <f t="shared" si="8"/>
        <v>0</v>
      </c>
      <c r="K100" s="574">
        <v>1.65</v>
      </c>
      <c r="L100" s="575">
        <f t="shared" si="9"/>
        <v>0</v>
      </c>
      <c r="M100" s="574">
        <v>5</v>
      </c>
      <c r="N100" s="575">
        <f t="shared" si="10"/>
        <v>0</v>
      </c>
      <c r="O100" s="587"/>
      <c r="P100" s="544">
        <v>0</v>
      </c>
    </row>
    <row r="101" spans="1:18" hidden="1" outlineLevel="1">
      <c r="A101" s="573">
        <v>300</v>
      </c>
      <c r="B101" s="576">
        <v>0</v>
      </c>
      <c r="C101" s="574">
        <v>1.96</v>
      </c>
      <c r="D101" s="575">
        <f t="shared" si="6"/>
        <v>0</v>
      </c>
      <c r="E101" s="574">
        <v>0</v>
      </c>
      <c r="F101" s="575">
        <f t="shared" si="7"/>
        <v>0</v>
      </c>
      <c r="G101" s="574"/>
      <c r="H101" s="575"/>
      <c r="I101" s="574">
        <v>6</v>
      </c>
      <c r="J101" s="575">
        <f t="shared" si="8"/>
        <v>0</v>
      </c>
      <c r="K101" s="574">
        <v>1.65</v>
      </c>
      <c r="L101" s="575">
        <f t="shared" si="9"/>
        <v>0</v>
      </c>
      <c r="M101" s="574">
        <v>5</v>
      </c>
      <c r="N101" s="575">
        <f t="shared" si="10"/>
        <v>0</v>
      </c>
      <c r="O101" s="587"/>
      <c r="P101" s="544">
        <v>0</v>
      </c>
    </row>
    <row r="102" spans="1:18" hidden="1" outlineLevel="1">
      <c r="A102" s="573">
        <v>320</v>
      </c>
      <c r="B102" s="576">
        <v>0</v>
      </c>
      <c r="C102" s="574">
        <v>0</v>
      </c>
      <c r="D102" s="575">
        <f t="shared" si="6"/>
        <v>0</v>
      </c>
      <c r="E102" s="574">
        <v>3.42</v>
      </c>
      <c r="F102" s="575">
        <f t="shared" si="7"/>
        <v>0</v>
      </c>
      <c r="G102" s="574"/>
      <c r="H102" s="575"/>
      <c r="I102" s="574">
        <v>6</v>
      </c>
      <c r="J102" s="575">
        <f t="shared" si="8"/>
        <v>0</v>
      </c>
      <c r="K102" s="574">
        <v>1.65</v>
      </c>
      <c r="L102" s="575">
        <f t="shared" si="9"/>
        <v>0</v>
      </c>
      <c r="M102" s="574">
        <v>5</v>
      </c>
      <c r="N102" s="575">
        <f t="shared" si="10"/>
        <v>0</v>
      </c>
      <c r="O102" s="587"/>
      <c r="P102" s="544">
        <v>0</v>
      </c>
    </row>
    <row r="103" spans="1:18" hidden="1" outlineLevel="1">
      <c r="A103" s="573">
        <v>340</v>
      </c>
      <c r="B103" s="576">
        <v>0</v>
      </c>
      <c r="C103" s="574">
        <v>0</v>
      </c>
      <c r="D103" s="575">
        <f t="shared" si="6"/>
        <v>0</v>
      </c>
      <c r="E103" s="574">
        <v>1.71</v>
      </c>
      <c r="F103" s="575">
        <f t="shared" si="7"/>
        <v>0</v>
      </c>
      <c r="G103" s="574"/>
      <c r="H103" s="575"/>
      <c r="I103" s="574">
        <v>6</v>
      </c>
      <c r="J103" s="575">
        <f t="shared" si="8"/>
        <v>0</v>
      </c>
      <c r="K103" s="574">
        <v>1.65</v>
      </c>
      <c r="L103" s="575">
        <f t="shared" si="9"/>
        <v>0</v>
      </c>
      <c r="M103" s="574">
        <v>5</v>
      </c>
      <c r="N103" s="575">
        <f t="shared" si="10"/>
        <v>0</v>
      </c>
      <c r="O103" s="587"/>
      <c r="P103" s="544">
        <v>0</v>
      </c>
    </row>
    <row r="104" spans="1:18" hidden="1" outlineLevel="1">
      <c r="A104" s="573">
        <v>351.35</v>
      </c>
      <c r="B104" s="576">
        <v>0</v>
      </c>
      <c r="C104" s="574">
        <v>1.28</v>
      </c>
      <c r="D104" s="575">
        <f t="shared" si="6"/>
        <v>0</v>
      </c>
      <c r="E104" s="574">
        <v>0</v>
      </c>
      <c r="F104" s="575">
        <f t="shared" si="7"/>
        <v>0</v>
      </c>
      <c r="G104" s="574"/>
      <c r="H104" s="575"/>
      <c r="I104" s="574">
        <v>6</v>
      </c>
      <c r="J104" s="575">
        <f t="shared" si="8"/>
        <v>0</v>
      </c>
      <c r="K104" s="574">
        <v>1.65</v>
      </c>
      <c r="L104" s="575">
        <f t="shared" si="9"/>
        <v>0</v>
      </c>
      <c r="M104" s="574">
        <v>5</v>
      </c>
      <c r="N104" s="575">
        <f t="shared" si="10"/>
        <v>0</v>
      </c>
      <c r="O104" s="588"/>
      <c r="P104" s="544">
        <v>0</v>
      </c>
    </row>
    <row r="105" spans="1:18" ht="9" customHeight="1">
      <c r="A105" s="573"/>
      <c r="B105" s="410"/>
      <c r="C105" s="574"/>
      <c r="D105" s="575"/>
      <c r="E105" s="574"/>
      <c r="F105" s="575"/>
      <c r="G105" s="574"/>
      <c r="H105" s="575"/>
      <c r="I105" s="574"/>
      <c r="J105" s="575"/>
      <c r="K105" s="574"/>
      <c r="L105" s="575"/>
      <c r="M105" s="574"/>
      <c r="N105" s="586"/>
      <c r="O105" s="593"/>
      <c r="P105" s="544">
        <v>0</v>
      </c>
    </row>
    <row r="106" spans="1:18" ht="15.75">
      <c r="A106" s="166" t="s">
        <v>15</v>
      </c>
      <c r="B106" s="167">
        <f>SUM(B46:B98)</f>
        <v>963</v>
      </c>
      <c r="C106" s="167"/>
      <c r="D106" s="167">
        <f>SUM(D46:D98)</f>
        <v>800.05000000000018</v>
      </c>
      <c r="E106" s="167"/>
      <c r="F106" s="167">
        <f>SUM(F46:F98)</f>
        <v>848.88000000000022</v>
      </c>
      <c r="G106" s="167"/>
      <c r="H106" s="167"/>
      <c r="I106" s="167"/>
      <c r="J106" s="167">
        <f>SUM(J46:J98)</f>
        <v>5778</v>
      </c>
      <c r="K106" s="167"/>
      <c r="L106" s="167">
        <f>SUM(L46:L98)</f>
        <v>1551.95</v>
      </c>
      <c r="M106" s="167"/>
      <c r="N106" s="167">
        <f>SUM(N46:N98)</f>
        <v>4815</v>
      </c>
      <c r="O106" s="594"/>
      <c r="P106" s="544">
        <f>SUM(P46:P105)</f>
        <v>0</v>
      </c>
      <c r="R106" s="595">
        <f>+'POW-2015-01-00_'!AH42</f>
        <v>0</v>
      </c>
    </row>
    <row r="107" spans="1:18" s="373" customFormat="1" ht="14.25">
      <c r="A107" s="382"/>
      <c r="B107" s="382"/>
      <c r="C107" s="374"/>
      <c r="D107" s="589"/>
      <c r="E107" s="590"/>
      <c r="F107" s="560"/>
      <c r="G107" s="326"/>
      <c r="H107" s="326"/>
      <c r="K107" s="374"/>
      <c r="L107" s="374"/>
      <c r="M107" s="374"/>
      <c r="N107" s="374"/>
      <c r="O107" s="374"/>
    </row>
    <row r="108" spans="1:18" s="373" customFormat="1" ht="14.25">
      <c r="A108" s="382"/>
      <c r="B108" s="382"/>
      <c r="C108" s="374"/>
      <c r="D108" s="589"/>
      <c r="E108" s="590"/>
      <c r="F108" s="560"/>
      <c r="G108" s="326"/>
      <c r="H108" s="326"/>
      <c r="K108" s="374"/>
      <c r="L108" s="374"/>
      <c r="M108" s="374"/>
      <c r="N108" s="374"/>
      <c r="O108" s="374"/>
    </row>
    <row r="109" spans="1:18" s="373" customFormat="1" ht="14.25">
      <c r="A109" s="558" t="str">
        <f>+'POW-2015-01-00_'!A45</f>
        <v>Prepared by:</v>
      </c>
      <c r="B109" s="382"/>
      <c r="C109" s="374"/>
      <c r="D109" s="589"/>
      <c r="E109" s="590" t="str">
        <f>+'POW-2015-01-00_'!H45</f>
        <v>Checked/Submitted by:</v>
      </c>
      <c r="F109" s="560"/>
      <c r="G109" s="326"/>
      <c r="H109" s="326"/>
      <c r="K109" s="374"/>
      <c r="L109" s="374"/>
      <c r="M109" s="374"/>
      <c r="N109" s="374"/>
      <c r="O109" s="374"/>
    </row>
    <row r="110" spans="1:18" s="373" customFormat="1" ht="43.5" customHeight="1">
      <c r="A110" s="382"/>
      <c r="B110" s="382"/>
      <c r="C110" s="374"/>
      <c r="D110" s="589"/>
      <c r="E110" s="590"/>
      <c r="F110" s="560"/>
      <c r="G110" s="326"/>
      <c r="H110" s="326"/>
      <c r="K110" s="374"/>
      <c r="L110" s="374"/>
      <c r="M110" s="374"/>
      <c r="N110" s="374"/>
      <c r="O110" s="374"/>
    </row>
    <row r="111" spans="1:18" s="373" customFormat="1">
      <c r="A111" s="1509" t="str">
        <f>+'POW-2015-01-00_'!A48:E48</f>
        <v xml:space="preserve">WINLOVE A. ESTEVES
</v>
      </c>
      <c r="B111" s="1509"/>
      <c r="C111" s="374"/>
      <c r="D111" s="589"/>
      <c r="E111" s="1510" t="str">
        <f>+'POW-2015-01-00_'!H48</f>
        <v>MARK ANGELO E. SURIL</v>
      </c>
      <c r="F111" s="1510"/>
      <c r="G111" s="326"/>
      <c r="H111" s="326"/>
      <c r="K111" s="374"/>
      <c r="L111" s="374"/>
      <c r="M111" s="374"/>
      <c r="N111" s="374"/>
      <c r="O111" s="374"/>
    </row>
    <row r="112" spans="1:18" s="373" customFormat="1" ht="14.25">
      <c r="A112" s="1499" t="str">
        <f>+'POW-2015-01-00_'!A49:E49</f>
        <v>Engineer II</v>
      </c>
      <c r="B112" s="1499"/>
      <c r="C112" s="374"/>
      <c r="D112" s="589"/>
      <c r="E112" s="1500" t="str">
        <f>+'POW-2015-01-00_'!H49</f>
        <v>Engineer II</v>
      </c>
      <c r="F112" s="1500"/>
      <c r="G112" s="326"/>
      <c r="H112" s="326"/>
      <c r="K112" s="374"/>
      <c r="L112" s="374"/>
      <c r="M112" s="374"/>
      <c r="N112" s="374"/>
      <c r="O112" s="374"/>
    </row>
    <row r="113" spans="1:1024" s="373" customFormat="1" ht="14.25">
      <c r="A113" s="1507" t="str">
        <f>+'POW-2015-01-00_'!A50:E50</f>
        <v>Planning and Design Section</v>
      </c>
      <c r="B113" s="1507"/>
      <c r="C113" s="374"/>
      <c r="D113" s="589"/>
      <c r="E113" s="1514" t="str">
        <f>+'POW-2015-01-00_'!H50</f>
        <v>Planning and Design Section</v>
      </c>
      <c r="F113" s="1514"/>
      <c r="G113" s="326"/>
      <c r="H113" s="326"/>
      <c r="K113" s="374"/>
      <c r="L113" s="374"/>
      <c r="M113" s="374"/>
      <c r="N113" s="374"/>
      <c r="O113" s="374"/>
    </row>
    <row r="114" spans="1:1024" s="373" customFormat="1" ht="14.25">
      <c r="A114" s="382"/>
      <c r="B114" s="382"/>
      <c r="C114" s="374"/>
      <c r="D114" s="589"/>
      <c r="E114" s="590"/>
      <c r="F114" s="560"/>
      <c r="G114" s="326"/>
      <c r="H114" s="326"/>
      <c r="K114" s="374"/>
      <c r="L114" s="374"/>
      <c r="M114" s="374"/>
      <c r="N114" s="374"/>
      <c r="O114" s="374"/>
    </row>
    <row r="115" spans="1:1024" s="373" customFormat="1" ht="14.25">
      <c r="A115" s="382"/>
      <c r="B115" s="382"/>
      <c r="C115" s="374"/>
      <c r="D115" s="589">
        <v>0</v>
      </c>
      <c r="E115" s="590"/>
      <c r="F115" s="560"/>
      <c r="G115" s="326"/>
      <c r="H115" s="326"/>
      <c r="K115" s="374"/>
      <c r="L115" s="374"/>
      <c r="M115" s="374"/>
      <c r="N115" s="374"/>
      <c r="O115" s="374"/>
    </row>
    <row r="116" spans="1:1024" s="373" customFormat="1" ht="14.25">
      <c r="A116" s="382"/>
      <c r="B116" s="382"/>
      <c r="C116" s="374"/>
      <c r="D116" s="589"/>
      <c r="E116" s="590"/>
      <c r="F116" s="560"/>
      <c r="G116" s="326"/>
      <c r="H116" s="326"/>
      <c r="K116" s="374"/>
      <c r="L116" s="374"/>
      <c r="M116" s="374"/>
      <c r="N116" s="374"/>
      <c r="O116" s="374"/>
    </row>
    <row r="118" spans="1:1024" ht="15.75" thickBot="1"/>
    <row r="119" spans="1:1024" s="543" customFormat="1" ht="24.95" customHeight="1">
      <c r="A119" s="1057" t="str">
        <f>+A30</f>
        <v>311(1)b1</v>
      </c>
      <c r="B119" s="1058" t="str">
        <f>+B29</f>
        <v>Portland Cement Concrete Pavement  (Unreinforced, 0.20m thick, 14 days)</v>
      </c>
      <c r="C119" s="1059"/>
      <c r="D119" s="1059"/>
      <c r="E119" s="1059"/>
      <c r="F119" s="1060"/>
      <c r="G119" s="1059"/>
      <c r="H119" s="1061"/>
    </row>
    <row r="120" spans="1:1024" ht="35.1" customHeight="1" outlineLevel="1">
      <c r="A120" s="1515" t="s">
        <v>225</v>
      </c>
      <c r="B120" s="1516"/>
      <c r="C120" s="1516"/>
      <c r="D120" s="591" t="s">
        <v>226</v>
      </c>
      <c r="E120" s="591" t="s">
        <v>227</v>
      </c>
      <c r="F120" s="591" t="s">
        <v>228</v>
      </c>
      <c r="G120" s="592" t="s">
        <v>229</v>
      </c>
      <c r="H120" s="1062" t="s">
        <v>220</v>
      </c>
    </row>
    <row r="121" spans="1:1024" ht="18.600000000000001" customHeight="1" outlineLevel="1">
      <c r="A121" s="1063" t="s">
        <v>1173</v>
      </c>
      <c r="B121" s="1048"/>
      <c r="C121" s="1048"/>
      <c r="D121" s="591"/>
      <c r="E121" s="591"/>
      <c r="F121" s="591"/>
      <c r="G121" s="592"/>
      <c r="H121" s="1062"/>
    </row>
    <row r="122" spans="1:1024" ht="18" customHeight="1" outlineLevel="1">
      <c r="A122" s="1064">
        <f>+A46</f>
        <v>0</v>
      </c>
      <c r="B122" s="1049" t="s">
        <v>192</v>
      </c>
      <c r="C122" s="1050">
        <f>+A84</f>
        <v>741</v>
      </c>
      <c r="D122" s="1051">
        <f>+C122-A122</f>
        <v>741</v>
      </c>
      <c r="E122" s="1049">
        <v>5</v>
      </c>
      <c r="F122" s="1049">
        <v>0.2</v>
      </c>
      <c r="G122" s="1051">
        <f>+D122*E122</f>
        <v>3705</v>
      </c>
      <c r="H122" s="1065"/>
    </row>
    <row r="123" spans="1:1024" s="715" customFormat="1" ht="18" customHeight="1" outlineLevel="1">
      <c r="A123" s="1074" t="s">
        <v>1174</v>
      </c>
      <c r="B123" s="1053"/>
      <c r="C123" s="1052"/>
      <c r="D123" s="1054"/>
      <c r="E123" s="1053"/>
      <c r="F123" s="1053"/>
      <c r="G123" s="1054"/>
      <c r="H123" s="1066"/>
      <c r="I123" s="544"/>
      <c r="J123" s="544"/>
      <c r="K123" s="544"/>
      <c r="L123" s="544"/>
      <c r="M123" s="544"/>
      <c r="N123" s="544"/>
      <c r="O123" s="544"/>
      <c r="P123" s="544"/>
      <c r="Q123" s="544"/>
      <c r="R123" s="544"/>
      <c r="S123" s="544"/>
      <c r="T123" s="544"/>
      <c r="U123" s="544"/>
      <c r="V123" s="544"/>
      <c r="W123" s="544"/>
      <c r="X123" s="544"/>
      <c r="Y123" s="544"/>
      <c r="Z123" s="544"/>
      <c r="AA123" s="544"/>
      <c r="AB123" s="544"/>
      <c r="AC123" s="544"/>
      <c r="AD123" s="544"/>
      <c r="AE123" s="544"/>
      <c r="AF123" s="544"/>
      <c r="AG123" s="544"/>
      <c r="AH123" s="544"/>
      <c r="AI123" s="544"/>
      <c r="AJ123" s="544"/>
      <c r="AK123" s="544"/>
      <c r="AL123" s="544"/>
      <c r="AM123" s="544"/>
      <c r="AN123" s="544"/>
      <c r="AO123" s="544"/>
      <c r="AP123" s="544"/>
      <c r="AQ123" s="544"/>
      <c r="AR123" s="544"/>
      <c r="AS123" s="544"/>
      <c r="AT123" s="544"/>
      <c r="AU123" s="544"/>
      <c r="AV123" s="544"/>
      <c r="AW123" s="544"/>
      <c r="AX123" s="544"/>
      <c r="AY123" s="544"/>
      <c r="AZ123" s="544"/>
      <c r="BA123" s="544"/>
      <c r="BB123" s="544"/>
      <c r="BC123" s="1056"/>
      <c r="BD123" s="1055"/>
      <c r="BE123" s="1055"/>
      <c r="BF123" s="1055"/>
      <c r="BG123" s="1055"/>
      <c r="BH123" s="1055"/>
      <c r="BI123" s="1055"/>
      <c r="BJ123" s="1055"/>
      <c r="BK123" s="1055"/>
      <c r="BL123" s="1055"/>
      <c r="BM123" s="1055"/>
      <c r="BN123" s="1055"/>
      <c r="BO123" s="1055"/>
      <c r="BP123" s="1055"/>
      <c r="BQ123" s="1055"/>
      <c r="BR123" s="1055"/>
      <c r="BS123" s="1055"/>
      <c r="BT123" s="1055"/>
      <c r="BU123" s="1055"/>
      <c r="BV123" s="1055"/>
      <c r="BW123" s="1055"/>
      <c r="BX123" s="1055"/>
      <c r="BY123" s="1055"/>
      <c r="BZ123" s="1055"/>
      <c r="CA123" s="1055"/>
      <c r="CB123" s="1055"/>
      <c r="CC123" s="1055"/>
      <c r="CD123" s="1055"/>
      <c r="CE123" s="1055"/>
      <c r="CF123" s="1055"/>
      <c r="CG123" s="1055"/>
      <c r="CH123" s="1055"/>
      <c r="CI123" s="1055"/>
      <c r="CJ123" s="1055"/>
      <c r="CK123" s="1055"/>
      <c r="CL123" s="1055"/>
      <c r="CM123" s="1055"/>
      <c r="CN123" s="1055"/>
      <c r="CO123" s="1055"/>
      <c r="CP123" s="1055"/>
      <c r="CQ123" s="1055"/>
      <c r="CR123" s="1055"/>
      <c r="CS123" s="1055"/>
      <c r="CT123" s="1055"/>
      <c r="CU123" s="1055"/>
      <c r="CV123" s="1055"/>
      <c r="CW123" s="1055"/>
      <c r="CX123" s="1055"/>
      <c r="CY123" s="1055"/>
      <c r="CZ123" s="1055"/>
      <c r="DA123" s="1055"/>
      <c r="DB123" s="1055"/>
      <c r="DC123" s="1055"/>
      <c r="DD123" s="1055"/>
      <c r="DE123" s="1055"/>
      <c r="DF123" s="1055"/>
      <c r="DG123" s="1055"/>
      <c r="DH123" s="1055"/>
      <c r="DI123" s="1055"/>
      <c r="DJ123" s="1055"/>
      <c r="DK123" s="1055"/>
      <c r="DL123" s="1055"/>
      <c r="DM123" s="1055"/>
      <c r="DN123" s="1055"/>
      <c r="DO123" s="1055"/>
      <c r="DP123" s="1055"/>
      <c r="DQ123" s="1055"/>
      <c r="DR123" s="1055"/>
      <c r="DS123" s="1055"/>
      <c r="DT123" s="1055"/>
      <c r="DU123" s="1055"/>
      <c r="DV123" s="1055"/>
      <c r="DW123" s="1055"/>
      <c r="DX123" s="1055"/>
      <c r="DY123" s="1055"/>
      <c r="DZ123" s="1055"/>
      <c r="EA123" s="1055"/>
      <c r="EB123" s="1055"/>
      <c r="EC123" s="1055"/>
      <c r="ED123" s="1055"/>
      <c r="EE123" s="1055"/>
      <c r="EF123" s="1055"/>
      <c r="EG123" s="1055"/>
      <c r="EH123" s="1055"/>
      <c r="EI123" s="1055"/>
      <c r="EJ123" s="1055"/>
      <c r="EK123" s="1055"/>
      <c r="EL123" s="1055"/>
      <c r="EM123" s="1055"/>
      <c r="EN123" s="1055"/>
      <c r="EO123" s="1055"/>
      <c r="EP123" s="1055"/>
      <c r="EQ123" s="1055"/>
      <c r="ER123" s="1055"/>
      <c r="ES123" s="1055"/>
      <c r="ET123" s="1055"/>
      <c r="EU123" s="1055"/>
      <c r="EV123" s="1055"/>
      <c r="EW123" s="1055"/>
      <c r="EX123" s="1055"/>
      <c r="EY123" s="1055"/>
      <c r="EZ123" s="1055"/>
      <c r="FA123" s="1055"/>
      <c r="FB123" s="1055"/>
      <c r="FC123" s="1055"/>
      <c r="FD123" s="1055"/>
      <c r="FE123" s="1055"/>
      <c r="FF123" s="1055"/>
      <c r="FG123" s="1055"/>
      <c r="FH123" s="1055"/>
      <c r="FI123" s="1055"/>
      <c r="FJ123" s="1055"/>
      <c r="FK123" s="1055"/>
      <c r="FL123" s="1055"/>
      <c r="FM123" s="1055"/>
      <c r="FN123" s="1055"/>
      <c r="FO123" s="1055"/>
      <c r="FP123" s="1055"/>
      <c r="FQ123" s="1055"/>
      <c r="FR123" s="1055"/>
      <c r="FS123" s="1055"/>
      <c r="FT123" s="1055"/>
      <c r="FU123" s="1055"/>
      <c r="FV123" s="1055"/>
      <c r="FW123" s="1055"/>
      <c r="FX123" s="1055"/>
      <c r="FY123" s="1055"/>
      <c r="FZ123" s="1055"/>
      <c r="GA123" s="1055"/>
      <c r="GB123" s="1055"/>
      <c r="GC123" s="1055"/>
      <c r="GD123" s="1055"/>
      <c r="GE123" s="1055"/>
      <c r="GF123" s="1055"/>
      <c r="GG123" s="1055"/>
      <c r="GH123" s="1055"/>
      <c r="GI123" s="1055"/>
      <c r="GJ123" s="1055"/>
      <c r="GK123" s="1055"/>
      <c r="GL123" s="1055"/>
      <c r="GM123" s="1055"/>
      <c r="GN123" s="1055"/>
      <c r="GO123" s="1055"/>
      <c r="GP123" s="1055"/>
      <c r="GQ123" s="1055"/>
      <c r="GR123" s="1055"/>
      <c r="GS123" s="1055"/>
      <c r="GT123" s="1055"/>
      <c r="GU123" s="1055"/>
      <c r="GV123" s="1055"/>
      <c r="GW123" s="1055"/>
      <c r="GX123" s="1055"/>
      <c r="GY123" s="1055"/>
      <c r="GZ123" s="1055"/>
      <c r="HA123" s="1055"/>
      <c r="HB123" s="1055"/>
      <c r="HC123" s="1055"/>
      <c r="HD123" s="1055"/>
      <c r="HE123" s="1055"/>
      <c r="HF123" s="1055"/>
      <c r="HG123" s="1055"/>
      <c r="HH123" s="1055"/>
      <c r="HI123" s="1055"/>
      <c r="HJ123" s="1055"/>
      <c r="HK123" s="1055"/>
      <c r="HL123" s="1055"/>
      <c r="HM123" s="1055"/>
      <c r="HN123" s="1055"/>
      <c r="HO123" s="1055"/>
      <c r="HP123" s="1055"/>
      <c r="HQ123" s="1055"/>
      <c r="HR123" s="1055"/>
      <c r="HS123" s="1055"/>
      <c r="HT123" s="1055"/>
      <c r="HU123" s="1055"/>
      <c r="HV123" s="1055"/>
      <c r="HW123" s="1055"/>
      <c r="HX123" s="1055"/>
      <c r="HY123" s="1055"/>
      <c r="HZ123" s="1055"/>
      <c r="IA123" s="1055"/>
      <c r="IB123" s="1055"/>
      <c r="IC123" s="1055"/>
      <c r="ID123" s="1055"/>
      <c r="IE123" s="1055"/>
      <c r="IF123" s="1055"/>
      <c r="IG123" s="1055"/>
      <c r="IH123" s="1055"/>
      <c r="II123" s="1055"/>
      <c r="IJ123" s="1055"/>
      <c r="IK123" s="1055"/>
      <c r="IL123" s="1055"/>
      <c r="IM123" s="1055"/>
      <c r="IN123" s="1055"/>
      <c r="IO123" s="1055"/>
      <c r="IP123" s="1055"/>
      <c r="IQ123" s="1055"/>
      <c r="IR123" s="1055"/>
      <c r="IS123" s="1055"/>
      <c r="IT123" s="1055"/>
      <c r="IU123" s="1055"/>
      <c r="IV123" s="1055"/>
      <c r="IW123" s="1055"/>
      <c r="IX123" s="1055"/>
      <c r="IY123" s="1055"/>
      <c r="IZ123" s="1055"/>
      <c r="JA123" s="1055"/>
      <c r="JB123" s="1055"/>
      <c r="JC123" s="1055"/>
      <c r="JD123" s="1055"/>
      <c r="JE123" s="1055"/>
      <c r="JF123" s="1055"/>
      <c r="JG123" s="1055"/>
      <c r="JH123" s="1055"/>
      <c r="JI123" s="1055"/>
      <c r="JJ123" s="1055"/>
      <c r="JK123" s="1055"/>
      <c r="JL123" s="1055"/>
      <c r="JM123" s="1055"/>
      <c r="JN123" s="1055"/>
      <c r="JO123" s="1055"/>
      <c r="JP123" s="1055"/>
      <c r="JQ123" s="1055"/>
      <c r="JR123" s="1055"/>
      <c r="JS123" s="1055"/>
      <c r="JT123" s="1055"/>
      <c r="JU123" s="1055"/>
      <c r="JV123" s="1055"/>
      <c r="JW123" s="1055"/>
      <c r="JX123" s="1055"/>
      <c r="JY123" s="1055"/>
      <c r="JZ123" s="1055"/>
      <c r="KA123" s="1055"/>
      <c r="KB123" s="1055"/>
      <c r="KC123" s="1055"/>
      <c r="KD123" s="1055"/>
      <c r="KE123" s="1055"/>
      <c r="KF123" s="1055"/>
      <c r="KG123" s="1055"/>
      <c r="KH123" s="1055"/>
      <c r="KI123" s="1055"/>
      <c r="KJ123" s="1055"/>
      <c r="KK123" s="1055"/>
      <c r="KL123" s="1055"/>
      <c r="KM123" s="1055"/>
      <c r="KN123" s="1055"/>
      <c r="KO123" s="1055"/>
      <c r="KP123" s="1055"/>
      <c r="KQ123" s="1055"/>
      <c r="KR123" s="1055"/>
      <c r="KS123" s="1055"/>
      <c r="KT123" s="1055"/>
      <c r="KU123" s="1055"/>
      <c r="KV123" s="1055"/>
      <c r="KW123" s="1055"/>
      <c r="KX123" s="1055"/>
      <c r="KY123" s="1055"/>
      <c r="KZ123" s="1055"/>
      <c r="LA123" s="1055"/>
      <c r="LB123" s="1055"/>
      <c r="LC123" s="1055"/>
      <c r="LD123" s="1055"/>
      <c r="LE123" s="1055"/>
      <c r="LF123" s="1055"/>
      <c r="LG123" s="1055"/>
      <c r="LH123" s="1055"/>
      <c r="LI123" s="1055"/>
      <c r="LJ123" s="1055"/>
      <c r="LK123" s="1055"/>
      <c r="LL123" s="1055"/>
      <c r="LM123" s="1055"/>
      <c r="LN123" s="1055"/>
      <c r="LO123" s="1055"/>
      <c r="LP123" s="1055"/>
      <c r="LQ123" s="1055"/>
      <c r="LR123" s="1055"/>
      <c r="LS123" s="1055"/>
      <c r="LT123" s="1055"/>
      <c r="LU123" s="1055"/>
      <c r="LV123" s="1055"/>
      <c r="LW123" s="1055"/>
      <c r="LX123" s="1055"/>
      <c r="LY123" s="1055"/>
      <c r="LZ123" s="1055"/>
      <c r="MA123" s="1055"/>
      <c r="MB123" s="1055"/>
      <c r="MC123" s="1055"/>
      <c r="MD123" s="1055"/>
      <c r="ME123" s="1055"/>
      <c r="MF123" s="1055"/>
      <c r="MG123" s="1055"/>
      <c r="MH123" s="1055"/>
      <c r="MI123" s="1055"/>
      <c r="MJ123" s="1055"/>
      <c r="MK123" s="1055"/>
      <c r="ML123" s="1055"/>
      <c r="MM123" s="1055"/>
      <c r="MN123" s="1055"/>
      <c r="MO123" s="1055"/>
      <c r="MP123" s="1055"/>
      <c r="MQ123" s="1055"/>
      <c r="MR123" s="1055"/>
      <c r="MS123" s="1055"/>
      <c r="MT123" s="1055"/>
      <c r="MU123" s="1055"/>
      <c r="MV123" s="1055"/>
      <c r="MW123" s="1055"/>
      <c r="MX123" s="1055"/>
      <c r="MY123" s="1055"/>
      <c r="MZ123" s="1055"/>
      <c r="NA123" s="1055"/>
      <c r="NB123" s="1055"/>
      <c r="NC123" s="1055"/>
      <c r="ND123" s="1055"/>
      <c r="NE123" s="1055"/>
      <c r="NF123" s="1055"/>
      <c r="NG123" s="1055"/>
      <c r="NH123" s="1055"/>
      <c r="NI123" s="1055"/>
      <c r="NJ123" s="1055"/>
      <c r="NK123" s="1055"/>
      <c r="NL123" s="1055"/>
      <c r="NM123" s="1055"/>
      <c r="NN123" s="1055"/>
      <c r="NO123" s="1055"/>
      <c r="NP123" s="1055"/>
      <c r="NQ123" s="1055"/>
      <c r="NR123" s="1055"/>
      <c r="NS123" s="1055"/>
      <c r="NT123" s="1055"/>
      <c r="NU123" s="1055"/>
      <c r="NV123" s="1055"/>
      <c r="NW123" s="1055"/>
      <c r="NX123" s="1055"/>
      <c r="NY123" s="1055"/>
      <c r="NZ123" s="1055"/>
      <c r="OA123" s="1055"/>
      <c r="OB123" s="1055"/>
      <c r="OC123" s="1055"/>
      <c r="OD123" s="1055"/>
      <c r="OE123" s="1055"/>
      <c r="OF123" s="1055"/>
      <c r="OG123" s="1055"/>
      <c r="OH123" s="1055"/>
      <c r="OI123" s="1055"/>
      <c r="OJ123" s="1055"/>
      <c r="OK123" s="1055"/>
      <c r="OL123" s="1055"/>
      <c r="OM123" s="1055"/>
      <c r="ON123" s="1055"/>
      <c r="OO123" s="1055"/>
      <c r="OP123" s="1055"/>
      <c r="OQ123" s="1055"/>
      <c r="OR123" s="1055"/>
      <c r="OS123" s="1055"/>
      <c r="OT123" s="1055"/>
      <c r="OU123" s="1055"/>
      <c r="OV123" s="1055"/>
      <c r="OW123" s="1055"/>
      <c r="OX123" s="1055"/>
      <c r="OY123" s="1055"/>
      <c r="OZ123" s="1055"/>
      <c r="PA123" s="1055"/>
      <c r="PB123" s="1055"/>
      <c r="PC123" s="1055"/>
      <c r="PD123" s="1055"/>
      <c r="PE123" s="1055"/>
      <c r="PF123" s="1055"/>
      <c r="PG123" s="1055"/>
      <c r="PH123" s="1055"/>
      <c r="PI123" s="1055"/>
      <c r="PJ123" s="1055"/>
      <c r="PK123" s="1055"/>
      <c r="PL123" s="1055"/>
      <c r="PM123" s="1055"/>
      <c r="PN123" s="1055"/>
      <c r="PO123" s="1055"/>
      <c r="PP123" s="1055"/>
      <c r="PQ123" s="1055"/>
      <c r="PR123" s="1055"/>
      <c r="PS123" s="1055"/>
      <c r="PT123" s="1055"/>
      <c r="PU123" s="1055"/>
      <c r="PV123" s="1055"/>
      <c r="PW123" s="1055"/>
      <c r="PX123" s="1055"/>
      <c r="PY123" s="1055"/>
      <c r="PZ123" s="1055"/>
      <c r="QA123" s="1055"/>
      <c r="QB123" s="1055"/>
      <c r="QC123" s="1055"/>
      <c r="QD123" s="1055"/>
      <c r="QE123" s="1055"/>
      <c r="QF123" s="1055"/>
      <c r="QG123" s="1055"/>
      <c r="QH123" s="1055"/>
      <c r="QI123" s="1055"/>
      <c r="QJ123" s="1055"/>
      <c r="QK123" s="1055"/>
      <c r="QL123" s="1055"/>
      <c r="QM123" s="1055"/>
      <c r="QN123" s="1055"/>
      <c r="QO123" s="1055"/>
      <c r="QP123" s="1055"/>
      <c r="QQ123" s="1055"/>
      <c r="QR123" s="1055"/>
      <c r="QS123" s="1055"/>
      <c r="QT123" s="1055"/>
      <c r="QU123" s="1055"/>
      <c r="QV123" s="1055"/>
      <c r="QW123" s="1055"/>
      <c r="QX123" s="1055"/>
      <c r="QY123" s="1055"/>
      <c r="QZ123" s="1055"/>
      <c r="RA123" s="1055"/>
      <c r="RB123" s="1055"/>
      <c r="RC123" s="1055"/>
      <c r="RD123" s="1055"/>
      <c r="RE123" s="1055"/>
      <c r="RF123" s="1055"/>
      <c r="RG123" s="1055"/>
      <c r="RH123" s="1055"/>
      <c r="RI123" s="1055"/>
      <c r="RJ123" s="1055"/>
      <c r="RK123" s="1055"/>
      <c r="RL123" s="1055"/>
      <c r="RM123" s="1055"/>
      <c r="RN123" s="1055"/>
      <c r="RO123" s="1055"/>
      <c r="RP123" s="1055"/>
      <c r="RQ123" s="1055"/>
      <c r="RR123" s="1055"/>
      <c r="RS123" s="1055"/>
      <c r="RT123" s="1055"/>
      <c r="RU123" s="1055"/>
      <c r="RV123" s="1055"/>
      <c r="RW123" s="1055"/>
      <c r="RX123" s="1055"/>
      <c r="RY123" s="1055"/>
      <c r="RZ123" s="1055"/>
      <c r="SA123" s="1055"/>
      <c r="SB123" s="1055"/>
      <c r="SC123" s="1055"/>
      <c r="SD123" s="1055"/>
      <c r="SE123" s="1055"/>
      <c r="SF123" s="1055"/>
      <c r="SG123" s="1055"/>
      <c r="SH123" s="1055"/>
      <c r="SI123" s="1055"/>
      <c r="SJ123" s="1055"/>
      <c r="SK123" s="1055"/>
      <c r="SL123" s="1055"/>
      <c r="SM123" s="1055"/>
      <c r="SN123" s="1055"/>
      <c r="SO123" s="1055"/>
      <c r="SP123" s="1055"/>
      <c r="SQ123" s="1055"/>
      <c r="SR123" s="1055"/>
      <c r="SS123" s="1055"/>
      <c r="ST123" s="1055"/>
      <c r="SU123" s="1055"/>
      <c r="SV123" s="1055"/>
      <c r="SW123" s="1055"/>
      <c r="SX123" s="1055"/>
      <c r="SY123" s="1055"/>
      <c r="SZ123" s="1055"/>
      <c r="TA123" s="1055"/>
      <c r="TB123" s="1055"/>
      <c r="TC123" s="1055"/>
      <c r="TD123" s="1055"/>
      <c r="TE123" s="1055"/>
      <c r="TF123" s="1055"/>
      <c r="TG123" s="1055"/>
      <c r="TH123" s="1055"/>
      <c r="TI123" s="1055"/>
      <c r="TJ123" s="1055"/>
      <c r="TK123" s="1055"/>
      <c r="TL123" s="1055"/>
      <c r="TM123" s="1055"/>
      <c r="TN123" s="1055"/>
      <c r="TO123" s="1055"/>
      <c r="TP123" s="1055"/>
      <c r="TQ123" s="1055"/>
      <c r="TR123" s="1055"/>
      <c r="TS123" s="1055"/>
      <c r="TT123" s="1055"/>
      <c r="TU123" s="1055"/>
      <c r="TV123" s="1055"/>
      <c r="TW123" s="1055"/>
      <c r="TX123" s="1055"/>
      <c r="TY123" s="1055"/>
      <c r="TZ123" s="1055"/>
      <c r="UA123" s="1055"/>
      <c r="UB123" s="1055"/>
      <c r="UC123" s="1055"/>
      <c r="UD123" s="1055"/>
      <c r="UE123" s="1055"/>
      <c r="UF123" s="1055"/>
      <c r="UG123" s="1055"/>
      <c r="UH123" s="1055"/>
      <c r="UI123" s="1055"/>
      <c r="UJ123" s="1055"/>
      <c r="UK123" s="1055"/>
      <c r="UL123" s="1055"/>
      <c r="UM123" s="1055"/>
      <c r="UN123" s="1055"/>
      <c r="UO123" s="1055"/>
      <c r="UP123" s="1055"/>
      <c r="UQ123" s="1055"/>
      <c r="UR123" s="1055"/>
      <c r="US123" s="1055"/>
      <c r="UT123" s="1055"/>
      <c r="UU123" s="1055"/>
      <c r="UV123" s="1055"/>
      <c r="UW123" s="1055"/>
      <c r="UX123" s="1055"/>
      <c r="UY123" s="1055"/>
      <c r="UZ123" s="1055"/>
      <c r="VA123" s="1055"/>
      <c r="VB123" s="1055"/>
      <c r="VC123" s="1055"/>
      <c r="VD123" s="1055"/>
      <c r="VE123" s="1055"/>
      <c r="VF123" s="1055"/>
      <c r="VG123" s="1055"/>
      <c r="VH123" s="1055"/>
      <c r="VI123" s="1055"/>
      <c r="VJ123" s="1055"/>
      <c r="VK123" s="1055"/>
      <c r="VL123" s="1055"/>
      <c r="VM123" s="1055"/>
      <c r="VN123" s="1055"/>
      <c r="VO123" s="1055"/>
      <c r="VP123" s="1055"/>
      <c r="VQ123" s="1055"/>
      <c r="VR123" s="1055"/>
      <c r="VS123" s="1055"/>
      <c r="VT123" s="1055"/>
      <c r="VU123" s="1055"/>
      <c r="VV123" s="1055"/>
      <c r="VW123" s="1055"/>
      <c r="VX123" s="1055"/>
      <c r="VY123" s="1055"/>
      <c r="VZ123" s="1055"/>
      <c r="WA123" s="1055"/>
      <c r="WB123" s="1055"/>
      <c r="WC123" s="1055"/>
      <c r="WD123" s="1055"/>
      <c r="WE123" s="1055"/>
      <c r="WF123" s="1055"/>
      <c r="WG123" s="1055"/>
      <c r="WH123" s="1055"/>
      <c r="WI123" s="1055"/>
      <c r="WJ123" s="1055"/>
      <c r="WK123" s="1055"/>
      <c r="WL123" s="1055"/>
      <c r="WM123" s="1055"/>
      <c r="WN123" s="1055"/>
      <c r="WO123" s="1055"/>
      <c r="WP123" s="1055"/>
      <c r="WQ123" s="1055"/>
      <c r="WR123" s="1055"/>
      <c r="WS123" s="1055"/>
      <c r="WT123" s="1055"/>
      <c r="WU123" s="1055"/>
      <c r="WV123" s="1055"/>
      <c r="WW123" s="1055"/>
      <c r="WX123" s="1055"/>
      <c r="WY123" s="1055"/>
      <c r="WZ123" s="1055"/>
      <c r="XA123" s="1055"/>
      <c r="XB123" s="1055"/>
      <c r="XC123" s="1055"/>
      <c r="XD123" s="1055"/>
      <c r="XE123" s="1055"/>
      <c r="XF123" s="1055"/>
      <c r="XG123" s="1055"/>
      <c r="XH123" s="1055"/>
      <c r="XI123" s="1055"/>
      <c r="XJ123" s="1055"/>
      <c r="XK123" s="1055"/>
      <c r="XL123" s="1055"/>
      <c r="XM123" s="1055"/>
      <c r="XN123" s="1055"/>
      <c r="XO123" s="1055"/>
      <c r="XP123" s="1055"/>
      <c r="XQ123" s="1055"/>
      <c r="XR123" s="1055"/>
      <c r="XS123" s="1055"/>
      <c r="XT123" s="1055"/>
      <c r="XU123" s="1055"/>
      <c r="XV123" s="1055"/>
      <c r="XW123" s="1055"/>
      <c r="XX123" s="1055"/>
      <c r="XY123" s="1055"/>
      <c r="XZ123" s="1055"/>
      <c r="YA123" s="1055"/>
      <c r="YB123" s="1055"/>
      <c r="YC123" s="1055"/>
      <c r="YD123" s="1055"/>
      <c r="YE123" s="1055"/>
      <c r="YF123" s="1055"/>
      <c r="YG123" s="1055"/>
      <c r="YH123" s="1055"/>
      <c r="YI123" s="1055"/>
      <c r="YJ123" s="1055"/>
      <c r="YK123" s="1055"/>
      <c r="YL123" s="1055"/>
      <c r="YM123" s="1055"/>
      <c r="YN123" s="1055"/>
      <c r="YO123" s="1055"/>
      <c r="YP123" s="1055"/>
      <c r="YQ123" s="1055"/>
      <c r="YR123" s="1055"/>
      <c r="YS123" s="1055"/>
      <c r="YT123" s="1055"/>
      <c r="YU123" s="1055"/>
      <c r="YV123" s="1055"/>
      <c r="YW123" s="1055"/>
      <c r="YX123" s="1055"/>
      <c r="YY123" s="1055"/>
      <c r="YZ123" s="1055"/>
      <c r="ZA123" s="1055"/>
      <c r="ZB123" s="1055"/>
      <c r="ZC123" s="1055"/>
      <c r="ZD123" s="1055"/>
      <c r="ZE123" s="1055"/>
      <c r="ZF123" s="1055"/>
      <c r="ZG123" s="1055"/>
      <c r="ZH123" s="1055"/>
      <c r="ZI123" s="1055"/>
      <c r="ZJ123" s="1055"/>
      <c r="ZK123" s="1055"/>
      <c r="ZL123" s="1055"/>
      <c r="ZM123" s="1055"/>
      <c r="ZN123" s="1055"/>
      <c r="ZO123" s="1055"/>
      <c r="ZP123" s="1055"/>
      <c r="ZQ123" s="1055"/>
      <c r="ZR123" s="1055"/>
      <c r="ZS123" s="1055"/>
      <c r="ZT123" s="1055"/>
      <c r="ZU123" s="1055"/>
      <c r="ZV123" s="1055"/>
      <c r="ZW123" s="1055"/>
      <c r="ZX123" s="1055"/>
      <c r="ZY123" s="1055"/>
      <c r="ZZ123" s="1055"/>
      <c r="AAA123" s="1055"/>
      <c r="AAB123" s="1055"/>
      <c r="AAC123" s="1055"/>
      <c r="AAD123" s="1055"/>
      <c r="AAE123" s="1055"/>
      <c r="AAF123" s="1055"/>
      <c r="AAG123" s="1055"/>
      <c r="AAH123" s="1055"/>
      <c r="AAI123" s="1055"/>
      <c r="AAJ123" s="1055"/>
      <c r="AAK123" s="1055"/>
      <c r="AAL123" s="1055"/>
      <c r="AAM123" s="1055"/>
      <c r="AAN123" s="1055"/>
      <c r="AAO123" s="1055"/>
      <c r="AAP123" s="1055"/>
      <c r="AAQ123" s="1055"/>
      <c r="AAR123" s="1055"/>
      <c r="AAS123" s="1055"/>
      <c r="AAT123" s="1055"/>
      <c r="AAU123" s="1055"/>
      <c r="AAV123" s="1055"/>
      <c r="AAW123" s="1055"/>
      <c r="AAX123" s="1055"/>
      <c r="AAY123" s="1055"/>
      <c r="AAZ123" s="1055"/>
      <c r="ABA123" s="1055"/>
      <c r="ABB123" s="1055"/>
      <c r="ABC123" s="1055"/>
      <c r="ABD123" s="1055"/>
      <c r="ABE123" s="1055"/>
      <c r="ABF123" s="1055"/>
      <c r="ABG123" s="1055"/>
      <c r="ABH123" s="1055"/>
      <c r="ABI123" s="1055"/>
      <c r="ABJ123" s="1055"/>
      <c r="ABK123" s="1055"/>
      <c r="ABL123" s="1055"/>
      <c r="ABM123" s="1055"/>
      <c r="ABN123" s="1055"/>
      <c r="ABO123" s="1055"/>
      <c r="ABP123" s="1055"/>
      <c r="ABQ123" s="1055"/>
      <c r="ABR123" s="1055"/>
      <c r="ABS123" s="1055"/>
      <c r="ABT123" s="1055"/>
      <c r="ABU123" s="1055"/>
      <c r="ABV123" s="1055"/>
      <c r="ABW123" s="1055"/>
      <c r="ABX123" s="1055"/>
      <c r="ABY123" s="1055"/>
      <c r="ABZ123" s="1055"/>
      <c r="ACA123" s="1055"/>
      <c r="ACB123" s="1055"/>
      <c r="ACC123" s="1055"/>
      <c r="ACD123" s="1055"/>
      <c r="ACE123" s="1055"/>
      <c r="ACF123" s="1055"/>
      <c r="ACG123" s="1055"/>
      <c r="ACH123" s="1055"/>
      <c r="ACI123" s="1055"/>
      <c r="ACJ123" s="1055"/>
      <c r="ACK123" s="1055"/>
      <c r="ACL123" s="1055"/>
      <c r="ACM123" s="1055"/>
      <c r="ACN123" s="1055"/>
      <c r="ACO123" s="1055"/>
      <c r="ACP123" s="1055"/>
      <c r="ACQ123" s="1055"/>
      <c r="ACR123" s="1055"/>
      <c r="ACS123" s="1055"/>
      <c r="ACT123" s="1055"/>
      <c r="ACU123" s="1055"/>
      <c r="ACV123" s="1055"/>
      <c r="ACW123" s="1055"/>
      <c r="ACX123" s="1055"/>
      <c r="ACY123" s="1055"/>
      <c r="ACZ123" s="1055"/>
      <c r="ADA123" s="1055"/>
      <c r="ADB123" s="1055"/>
      <c r="ADC123" s="1055"/>
      <c r="ADD123" s="1055"/>
      <c r="ADE123" s="1055"/>
      <c r="ADF123" s="1055"/>
      <c r="ADG123" s="1055"/>
      <c r="ADH123" s="1055"/>
      <c r="ADI123" s="1055"/>
      <c r="ADJ123" s="1055"/>
      <c r="ADK123" s="1055"/>
      <c r="ADL123" s="1055"/>
      <c r="ADM123" s="1055"/>
      <c r="ADN123" s="1055"/>
      <c r="ADO123" s="1055"/>
      <c r="ADP123" s="1055"/>
      <c r="ADQ123" s="1055"/>
      <c r="ADR123" s="1055"/>
      <c r="ADS123" s="1055"/>
      <c r="ADT123" s="1055"/>
      <c r="ADU123" s="1055"/>
      <c r="ADV123" s="1055"/>
      <c r="ADW123" s="1055"/>
      <c r="ADX123" s="1055"/>
      <c r="ADY123" s="1055"/>
      <c r="ADZ123" s="1055"/>
      <c r="AEA123" s="1055"/>
      <c r="AEB123" s="1055"/>
      <c r="AEC123" s="1055"/>
      <c r="AED123" s="1055"/>
      <c r="AEE123" s="1055"/>
      <c r="AEF123" s="1055"/>
      <c r="AEG123" s="1055"/>
      <c r="AEH123" s="1055"/>
      <c r="AEI123" s="1055"/>
      <c r="AEJ123" s="1055"/>
      <c r="AEK123" s="1055"/>
      <c r="AEL123" s="1055"/>
      <c r="AEM123" s="1055"/>
      <c r="AEN123" s="1055"/>
      <c r="AEO123" s="1055"/>
      <c r="AEP123" s="1055"/>
      <c r="AEQ123" s="1055"/>
      <c r="AER123" s="1055"/>
      <c r="AES123" s="1055"/>
      <c r="AET123" s="1055"/>
      <c r="AEU123" s="1055"/>
      <c r="AEV123" s="1055"/>
      <c r="AEW123" s="1055"/>
      <c r="AEX123" s="1055"/>
      <c r="AEY123" s="1055"/>
      <c r="AEZ123" s="1055"/>
      <c r="AFA123" s="1055"/>
      <c r="AFB123" s="1055"/>
      <c r="AFC123" s="1055"/>
      <c r="AFD123" s="1055"/>
      <c r="AFE123" s="1055"/>
      <c r="AFF123" s="1055"/>
      <c r="AFG123" s="1055"/>
      <c r="AFH123" s="1055"/>
      <c r="AFI123" s="1055"/>
      <c r="AFJ123" s="1055"/>
      <c r="AFK123" s="1055"/>
      <c r="AFL123" s="1055"/>
      <c r="AFM123" s="1055"/>
      <c r="AFN123" s="1055"/>
      <c r="AFO123" s="1055"/>
      <c r="AFP123" s="1055"/>
      <c r="AFQ123" s="1055"/>
      <c r="AFR123" s="1055"/>
      <c r="AFS123" s="1055"/>
      <c r="AFT123" s="1055"/>
      <c r="AFU123" s="1055"/>
      <c r="AFV123" s="1055"/>
      <c r="AFW123" s="1055"/>
      <c r="AFX123" s="1055"/>
      <c r="AFY123" s="1055"/>
      <c r="AFZ123" s="1055"/>
      <c r="AGA123" s="1055"/>
      <c r="AGB123" s="1055"/>
      <c r="AGC123" s="1055"/>
      <c r="AGD123" s="1055"/>
      <c r="AGE123" s="1055"/>
      <c r="AGF123" s="1055"/>
      <c r="AGG123" s="1055"/>
      <c r="AGH123" s="1055"/>
      <c r="AGI123" s="1055"/>
      <c r="AGJ123" s="1055"/>
      <c r="AGK123" s="1055"/>
      <c r="AGL123" s="1055"/>
      <c r="AGM123" s="1055"/>
      <c r="AGN123" s="1055"/>
      <c r="AGO123" s="1055"/>
      <c r="AGP123" s="1055"/>
      <c r="AGQ123" s="1055"/>
      <c r="AGR123" s="1055"/>
      <c r="AGS123" s="1055"/>
      <c r="AGT123" s="1055"/>
      <c r="AGU123" s="1055"/>
      <c r="AGV123" s="1055"/>
      <c r="AGW123" s="1055"/>
      <c r="AGX123" s="1055"/>
      <c r="AGY123" s="1055"/>
      <c r="AGZ123" s="1055"/>
      <c r="AHA123" s="1055"/>
      <c r="AHB123" s="1055"/>
      <c r="AHC123" s="1055"/>
      <c r="AHD123" s="1055"/>
      <c r="AHE123" s="1055"/>
      <c r="AHF123" s="1055"/>
      <c r="AHG123" s="1055"/>
      <c r="AHH123" s="1055"/>
      <c r="AHI123" s="1055"/>
      <c r="AHJ123" s="1055"/>
      <c r="AHK123" s="1055"/>
      <c r="AHL123" s="1055"/>
      <c r="AHM123" s="1055"/>
      <c r="AHN123" s="1055"/>
      <c r="AHO123" s="1055"/>
      <c r="AHP123" s="1055"/>
      <c r="AHQ123" s="1055"/>
      <c r="AHR123" s="1055"/>
      <c r="AHS123" s="1055"/>
      <c r="AHT123" s="1055"/>
      <c r="AHU123" s="1055"/>
      <c r="AHV123" s="1055"/>
      <c r="AHW123" s="1055"/>
      <c r="AHX123" s="1055"/>
      <c r="AHY123" s="1055"/>
      <c r="AHZ123" s="1055"/>
      <c r="AIA123" s="1055"/>
      <c r="AIB123" s="1055"/>
      <c r="AIC123" s="1055"/>
      <c r="AID123" s="1055"/>
      <c r="AIE123" s="1055"/>
      <c r="AIF123" s="1055"/>
      <c r="AIG123" s="1055"/>
      <c r="AIH123" s="1055"/>
      <c r="AII123" s="1055"/>
      <c r="AIJ123" s="1055"/>
      <c r="AIK123" s="1055"/>
      <c r="AIL123" s="1055"/>
      <c r="AIM123" s="1055"/>
      <c r="AIN123" s="1055"/>
      <c r="AIO123" s="1055"/>
      <c r="AIP123" s="1055"/>
      <c r="AIQ123" s="1055"/>
      <c r="AIR123" s="1055"/>
      <c r="AIS123" s="1055"/>
      <c r="AIT123" s="1055"/>
      <c r="AIU123" s="1055"/>
      <c r="AIV123" s="1055"/>
      <c r="AIW123" s="1055"/>
      <c r="AIX123" s="1055"/>
      <c r="AIY123" s="1055"/>
      <c r="AIZ123" s="1055"/>
      <c r="AJA123" s="1055"/>
      <c r="AJB123" s="1055"/>
      <c r="AJC123" s="1055"/>
      <c r="AJD123" s="1055"/>
      <c r="AJE123" s="1055"/>
      <c r="AJF123" s="1055"/>
      <c r="AJG123" s="1055"/>
      <c r="AJH123" s="1055"/>
      <c r="AJI123" s="1055"/>
      <c r="AJJ123" s="1055"/>
      <c r="AJK123" s="1055"/>
      <c r="AJL123" s="1055"/>
      <c r="AJM123" s="1055"/>
      <c r="AJN123" s="1055"/>
      <c r="AJO123" s="1055"/>
      <c r="AJP123" s="1055"/>
      <c r="AJQ123" s="1055"/>
      <c r="AJR123" s="1055"/>
      <c r="AJS123" s="1055"/>
      <c r="AJT123" s="1055"/>
      <c r="AJU123" s="1055"/>
      <c r="AJV123" s="1055"/>
      <c r="AJW123" s="1055"/>
      <c r="AJX123" s="1055"/>
      <c r="AJY123" s="1055"/>
      <c r="AJZ123" s="1055"/>
      <c r="AKA123" s="1055"/>
      <c r="AKB123" s="1055"/>
      <c r="AKC123" s="1055"/>
      <c r="AKD123" s="1055"/>
      <c r="AKE123" s="1055"/>
      <c r="AKF123" s="1055"/>
      <c r="AKG123" s="1055"/>
      <c r="AKH123" s="1055"/>
      <c r="AKI123" s="1055"/>
      <c r="AKJ123" s="1055"/>
      <c r="AKK123" s="1055"/>
      <c r="AKL123" s="1055"/>
      <c r="AKM123" s="1055"/>
      <c r="AKN123" s="1055"/>
      <c r="AKO123" s="1055"/>
      <c r="AKP123" s="1055"/>
      <c r="AKQ123" s="1055"/>
      <c r="AKR123" s="1055"/>
      <c r="AKS123" s="1055"/>
      <c r="AKT123" s="1055"/>
      <c r="AKU123" s="1055"/>
      <c r="AKV123" s="1055"/>
      <c r="AKW123" s="1055"/>
      <c r="AKX123" s="1055"/>
      <c r="AKY123" s="1055"/>
      <c r="AKZ123" s="1055"/>
      <c r="ALA123" s="1055"/>
      <c r="ALB123" s="1055"/>
      <c r="ALC123" s="1055"/>
      <c r="ALD123" s="1055"/>
      <c r="ALE123" s="1055"/>
      <c r="ALF123" s="1055"/>
      <c r="ALG123" s="1055"/>
      <c r="ALH123" s="1055"/>
      <c r="ALI123" s="1055"/>
      <c r="ALJ123" s="1055"/>
      <c r="ALK123" s="1055"/>
      <c r="ALL123" s="1055"/>
      <c r="ALM123" s="1055"/>
      <c r="ALN123" s="1055"/>
      <c r="ALO123" s="1055"/>
      <c r="ALP123" s="1055"/>
      <c r="ALQ123" s="1055"/>
      <c r="ALR123" s="1055"/>
      <c r="ALS123" s="1055"/>
      <c r="ALT123" s="1055"/>
      <c r="ALU123" s="1055"/>
      <c r="ALV123" s="1055"/>
      <c r="ALW123" s="1055"/>
      <c r="ALX123" s="1055"/>
      <c r="ALY123" s="1055"/>
      <c r="ALZ123" s="1055"/>
      <c r="AMA123" s="1055"/>
      <c r="AMB123" s="1055"/>
      <c r="AMC123" s="1055"/>
      <c r="AMD123" s="1055"/>
      <c r="AME123" s="1055"/>
      <c r="AMF123" s="1055"/>
      <c r="AMG123" s="1055"/>
      <c r="AMH123" s="1055"/>
      <c r="AMI123" s="1055"/>
      <c r="AMJ123" s="1055"/>
    </row>
    <row r="124" spans="1:1024" ht="18" customHeight="1" outlineLevel="1" thickBot="1">
      <c r="A124" s="1075">
        <f>A86</f>
        <v>0</v>
      </c>
      <c r="B124" s="1076" t="s">
        <v>192</v>
      </c>
      <c r="C124" s="1077">
        <f>A98</f>
        <v>222</v>
      </c>
      <c r="D124" s="1078">
        <f>+C124-A124</f>
        <v>222</v>
      </c>
      <c r="E124" s="1079">
        <v>5</v>
      </c>
      <c r="F124" s="1079">
        <v>0.2</v>
      </c>
      <c r="G124" s="1078">
        <f>+D124*E124</f>
        <v>1110</v>
      </c>
      <c r="H124" s="1080"/>
    </row>
    <row r="125" spans="1:1024" ht="18" customHeight="1" outlineLevel="1" thickBot="1">
      <c r="A125" s="1068" t="s">
        <v>230</v>
      </c>
      <c r="B125" s="1069"/>
      <c r="C125" s="1070"/>
      <c r="D125" s="1071">
        <f>+SUM(D122+D124)</f>
        <v>963</v>
      </c>
      <c r="E125" s="1070"/>
      <c r="F125" s="1072"/>
      <c r="G125" s="1071">
        <f>+SUM(G122+G124)</f>
        <v>4815</v>
      </c>
      <c r="H125" s="1073"/>
    </row>
    <row r="126" spans="1:1024" ht="18" customHeight="1" outlineLevel="1" thickBot="1">
      <c r="A126" s="3"/>
      <c r="B126" s="2"/>
      <c r="C126" s="3"/>
      <c r="D126" s="1081"/>
      <c r="E126" s="3"/>
      <c r="F126" s="543"/>
      <c r="G126" s="1081"/>
      <c r="H126" s="543"/>
    </row>
    <row r="127" spans="1:1024" ht="26.25" customHeight="1" outlineLevel="1">
      <c r="A127" s="1091" t="s">
        <v>219</v>
      </c>
      <c r="B127" s="1092" t="str">
        <f>A34</f>
        <v>506(1)</v>
      </c>
      <c r="C127" s="1092" t="str">
        <f>B33</f>
        <v>Stone Masonry(Slope Protection)</v>
      </c>
      <c r="D127" s="1093"/>
      <c r="E127" s="1093"/>
      <c r="F127" s="1093"/>
      <c r="G127" s="1093"/>
      <c r="H127" s="1093"/>
      <c r="I127" s="1093"/>
      <c r="J127" s="1094"/>
    </row>
    <row r="128" spans="1:1024" ht="18" customHeight="1" outlineLevel="1">
      <c r="A128" s="1512" t="s">
        <v>217</v>
      </c>
      <c r="B128" s="1513"/>
      <c r="C128" s="1513"/>
      <c r="D128" s="1088" t="s">
        <v>231</v>
      </c>
      <c r="E128" s="1089" t="s">
        <v>232</v>
      </c>
      <c r="F128" s="1088" t="s">
        <v>233</v>
      </c>
      <c r="G128" s="1088" t="s">
        <v>234</v>
      </c>
      <c r="H128" s="1088" t="s">
        <v>235</v>
      </c>
      <c r="I128" s="1088" t="s">
        <v>236</v>
      </c>
      <c r="J128" s="1511" t="s">
        <v>220</v>
      </c>
    </row>
    <row r="129" spans="1:10" ht="18" customHeight="1" outlineLevel="1">
      <c r="A129" s="1512"/>
      <c r="B129" s="1513"/>
      <c r="C129" s="1513"/>
      <c r="D129" s="1090" t="s">
        <v>237</v>
      </c>
      <c r="E129" s="1090" t="s">
        <v>237</v>
      </c>
      <c r="F129" s="1090" t="s">
        <v>237</v>
      </c>
      <c r="G129" s="1090" t="s">
        <v>237</v>
      </c>
      <c r="H129" s="1090" t="s">
        <v>238</v>
      </c>
      <c r="I129" s="1090" t="s">
        <v>239</v>
      </c>
      <c r="J129" s="1511"/>
    </row>
    <row r="130" spans="1:10" ht="18" customHeight="1" outlineLevel="1">
      <c r="A130" s="1106" t="s">
        <v>1174</v>
      </c>
      <c r="B130" s="1088"/>
      <c r="C130" s="1088"/>
      <c r="D130" s="1090"/>
      <c r="E130" s="1090"/>
      <c r="F130" s="1090"/>
      <c r="G130" s="1090"/>
      <c r="H130" s="1090"/>
      <c r="I130" s="1090"/>
      <c r="J130" s="1095"/>
    </row>
    <row r="131" spans="1:10" ht="18" customHeight="1" outlineLevel="1">
      <c r="A131" s="1096">
        <v>10</v>
      </c>
      <c r="B131" s="1082" t="s">
        <v>240</v>
      </c>
      <c r="C131" s="1052">
        <v>30</v>
      </c>
      <c r="D131" s="1083">
        <f>+C131-A131</f>
        <v>20</v>
      </c>
      <c r="E131" s="1084">
        <v>0.5</v>
      </c>
      <c r="F131" s="1085">
        <f>+G131/2</f>
        <v>1.1499999999999999</v>
      </c>
      <c r="G131" s="1086">
        <v>2.2999999999999998</v>
      </c>
      <c r="H131" s="1085">
        <f>0.5*(E131+F131)*G131</f>
        <v>1.8974999999999997</v>
      </c>
      <c r="I131" s="1087">
        <f>+H131*D131</f>
        <v>37.949999999999996</v>
      </c>
      <c r="J131" s="1107" t="s">
        <v>1175</v>
      </c>
    </row>
    <row r="132" spans="1:10" ht="18" customHeight="1" outlineLevel="1">
      <c r="A132" s="1096">
        <v>30</v>
      </c>
      <c r="B132" s="1108" t="s">
        <v>240</v>
      </c>
      <c r="C132" s="1052">
        <v>50</v>
      </c>
      <c r="D132" s="1083">
        <f>+C132-A132</f>
        <v>20</v>
      </c>
      <c r="E132" s="1084">
        <v>0.5</v>
      </c>
      <c r="F132" s="1085">
        <f>+G132/2</f>
        <v>1.1000000000000001</v>
      </c>
      <c r="G132" s="1086">
        <v>2.2000000000000002</v>
      </c>
      <c r="H132" s="1085">
        <f t="shared" ref="H132:H144" si="11">0.5*(E132+F132)*G132</f>
        <v>1.7600000000000002</v>
      </c>
      <c r="I132" s="1087">
        <f t="shared" ref="I132:I144" si="12">+H132*D132</f>
        <v>35.200000000000003</v>
      </c>
      <c r="J132" s="1107" t="s">
        <v>1175</v>
      </c>
    </row>
    <row r="133" spans="1:10" ht="18" customHeight="1" outlineLevel="1">
      <c r="A133" s="1096">
        <v>50</v>
      </c>
      <c r="B133" s="1108" t="s">
        <v>240</v>
      </c>
      <c r="C133" s="1052">
        <v>70</v>
      </c>
      <c r="D133" s="1083">
        <f t="shared" ref="D133:D144" si="13">+C133-A133</f>
        <v>20</v>
      </c>
      <c r="E133" s="1084">
        <v>0.5</v>
      </c>
      <c r="F133" s="1085">
        <f t="shared" ref="F133:F144" si="14">+G133/2</f>
        <v>1</v>
      </c>
      <c r="G133" s="1086">
        <v>2</v>
      </c>
      <c r="H133" s="1085">
        <f t="shared" si="11"/>
        <v>1.5</v>
      </c>
      <c r="I133" s="1087">
        <f t="shared" si="12"/>
        <v>30</v>
      </c>
      <c r="J133" s="1107" t="s">
        <v>1175</v>
      </c>
    </row>
    <row r="134" spans="1:10" ht="18" customHeight="1" outlineLevel="1">
      <c r="A134" s="1096">
        <v>70</v>
      </c>
      <c r="B134" s="1108" t="s">
        <v>240</v>
      </c>
      <c r="C134" s="1052">
        <v>90</v>
      </c>
      <c r="D134" s="1083">
        <f t="shared" si="13"/>
        <v>20</v>
      </c>
      <c r="E134" s="1084">
        <v>0.5</v>
      </c>
      <c r="F134" s="1085">
        <f t="shared" si="14"/>
        <v>0.75</v>
      </c>
      <c r="G134" s="1086">
        <v>1.5</v>
      </c>
      <c r="H134" s="1085">
        <f t="shared" si="11"/>
        <v>0.9375</v>
      </c>
      <c r="I134" s="1087">
        <f t="shared" si="12"/>
        <v>18.75</v>
      </c>
      <c r="J134" s="1107" t="s">
        <v>1175</v>
      </c>
    </row>
    <row r="135" spans="1:10" ht="18" customHeight="1" outlineLevel="1">
      <c r="A135" s="1096">
        <v>90</v>
      </c>
      <c r="B135" s="1108" t="s">
        <v>240</v>
      </c>
      <c r="C135" s="1052">
        <v>110</v>
      </c>
      <c r="D135" s="1083">
        <f t="shared" si="13"/>
        <v>20</v>
      </c>
      <c r="E135" s="1084">
        <v>0.5</v>
      </c>
      <c r="F135" s="1085">
        <f t="shared" si="14"/>
        <v>0.7</v>
      </c>
      <c r="G135" s="1086">
        <v>1.4</v>
      </c>
      <c r="H135" s="1085">
        <f t="shared" si="11"/>
        <v>0.84</v>
      </c>
      <c r="I135" s="1087">
        <f t="shared" si="12"/>
        <v>16.8</v>
      </c>
      <c r="J135" s="1107" t="s">
        <v>1175</v>
      </c>
    </row>
    <row r="136" spans="1:10" ht="18" customHeight="1" outlineLevel="1">
      <c r="A136" s="1096">
        <v>150</v>
      </c>
      <c r="B136" s="1108" t="s">
        <v>240</v>
      </c>
      <c r="C136" s="1052">
        <v>170</v>
      </c>
      <c r="D136" s="1083">
        <f t="shared" si="13"/>
        <v>20</v>
      </c>
      <c r="E136" s="1084">
        <v>0.5</v>
      </c>
      <c r="F136" s="1085">
        <f t="shared" si="14"/>
        <v>0.75</v>
      </c>
      <c r="G136" s="1086">
        <v>1.5</v>
      </c>
      <c r="H136" s="1085">
        <f t="shared" si="11"/>
        <v>0.9375</v>
      </c>
      <c r="I136" s="1087">
        <f t="shared" si="12"/>
        <v>18.75</v>
      </c>
      <c r="J136" s="1107" t="s">
        <v>1175</v>
      </c>
    </row>
    <row r="137" spans="1:10" ht="18" customHeight="1" outlineLevel="1" thickBot="1">
      <c r="A137" s="1096">
        <v>170</v>
      </c>
      <c r="B137" s="1108" t="s">
        <v>240</v>
      </c>
      <c r="C137" s="1052">
        <v>190</v>
      </c>
      <c r="D137" s="1083">
        <f t="shared" si="13"/>
        <v>20</v>
      </c>
      <c r="E137" s="1084">
        <v>0.5</v>
      </c>
      <c r="F137" s="1085">
        <f t="shared" si="14"/>
        <v>0.8</v>
      </c>
      <c r="G137" s="1086">
        <v>1.6</v>
      </c>
      <c r="H137" s="1085">
        <f t="shared" si="11"/>
        <v>1.04</v>
      </c>
      <c r="I137" s="1087">
        <f t="shared" si="12"/>
        <v>20.8</v>
      </c>
      <c r="J137" s="1107" t="s">
        <v>1175</v>
      </c>
    </row>
    <row r="138" spans="1:10" ht="18" hidden="1" customHeight="1" outlineLevel="1" thickBot="1">
      <c r="A138" s="1097">
        <v>310</v>
      </c>
      <c r="B138" s="1109" t="s">
        <v>240</v>
      </c>
      <c r="C138" s="1067">
        <v>330</v>
      </c>
      <c r="D138" s="1083">
        <f t="shared" si="13"/>
        <v>20</v>
      </c>
      <c r="E138" s="1098">
        <v>0.5</v>
      </c>
      <c r="F138" s="1099">
        <f t="shared" si="14"/>
        <v>0.85</v>
      </c>
      <c r="G138" s="1100">
        <v>1.7</v>
      </c>
      <c r="H138" s="1099">
        <f t="shared" si="11"/>
        <v>1.1475</v>
      </c>
      <c r="I138" s="1101">
        <f t="shared" si="12"/>
        <v>22.95</v>
      </c>
      <c r="J138" s="1110" t="s">
        <v>1175</v>
      </c>
    </row>
    <row r="139" spans="1:10" ht="18" customHeight="1" outlineLevel="1">
      <c r="A139" s="1111">
        <v>10</v>
      </c>
      <c r="B139" s="1112" t="s">
        <v>240</v>
      </c>
      <c r="C139" s="1113">
        <v>50</v>
      </c>
      <c r="D139" s="1114">
        <f t="shared" si="13"/>
        <v>40</v>
      </c>
      <c r="E139" s="1115">
        <v>0.5</v>
      </c>
      <c r="F139" s="1116">
        <f t="shared" si="14"/>
        <v>1.1499999999999999</v>
      </c>
      <c r="G139" s="1117">
        <v>2.2999999999999998</v>
      </c>
      <c r="H139" s="1116">
        <f t="shared" si="11"/>
        <v>1.8974999999999997</v>
      </c>
      <c r="I139" s="1118">
        <f t="shared" si="12"/>
        <v>75.899999999999991</v>
      </c>
      <c r="J139" s="1119" t="s">
        <v>241</v>
      </c>
    </row>
    <row r="140" spans="1:10" ht="18" customHeight="1" outlineLevel="1">
      <c r="A140" s="1097">
        <v>50</v>
      </c>
      <c r="B140" s="1108" t="s">
        <v>240</v>
      </c>
      <c r="C140" s="1067">
        <v>70</v>
      </c>
      <c r="D140" s="1083">
        <f t="shared" si="13"/>
        <v>20</v>
      </c>
      <c r="E140" s="1084">
        <v>0.5</v>
      </c>
      <c r="F140" s="1099">
        <f t="shared" si="14"/>
        <v>0.95</v>
      </c>
      <c r="G140" s="1100">
        <v>1.9</v>
      </c>
      <c r="H140" s="1085">
        <f t="shared" si="11"/>
        <v>1.3774999999999999</v>
      </c>
      <c r="I140" s="1087">
        <f t="shared" si="12"/>
        <v>27.549999999999997</v>
      </c>
      <c r="J140" s="1107" t="s">
        <v>241</v>
      </c>
    </row>
    <row r="141" spans="1:10" ht="18" customHeight="1" outlineLevel="1">
      <c r="A141" s="1097">
        <v>70</v>
      </c>
      <c r="B141" s="1108" t="s">
        <v>240</v>
      </c>
      <c r="C141" s="1067">
        <v>90</v>
      </c>
      <c r="D141" s="1083">
        <f t="shared" si="13"/>
        <v>20</v>
      </c>
      <c r="E141" s="1084">
        <v>0.5</v>
      </c>
      <c r="F141" s="1099">
        <f t="shared" si="14"/>
        <v>0.75</v>
      </c>
      <c r="G141" s="1100">
        <v>1.5</v>
      </c>
      <c r="H141" s="1085">
        <f t="shared" si="11"/>
        <v>0.9375</v>
      </c>
      <c r="I141" s="1087">
        <f t="shared" si="12"/>
        <v>18.75</v>
      </c>
      <c r="J141" s="1107" t="s">
        <v>241</v>
      </c>
    </row>
    <row r="142" spans="1:10" ht="19.899999999999999" customHeight="1" outlineLevel="1">
      <c r="A142" s="1097">
        <v>150</v>
      </c>
      <c r="B142" s="1108" t="s">
        <v>240</v>
      </c>
      <c r="C142" s="1067">
        <v>170</v>
      </c>
      <c r="D142" s="1083">
        <f t="shared" si="13"/>
        <v>20</v>
      </c>
      <c r="E142" s="1084">
        <v>0.5</v>
      </c>
      <c r="F142" s="1099">
        <f t="shared" si="14"/>
        <v>0.7</v>
      </c>
      <c r="G142" s="1100">
        <v>1.4</v>
      </c>
      <c r="H142" s="1085">
        <f t="shared" si="11"/>
        <v>0.84</v>
      </c>
      <c r="I142" s="1087">
        <f t="shared" si="12"/>
        <v>16.8</v>
      </c>
      <c r="J142" s="1107" t="s">
        <v>241</v>
      </c>
    </row>
    <row r="143" spans="1:10" ht="18" customHeight="1" outlineLevel="1" thickBot="1">
      <c r="A143" s="1097">
        <v>170</v>
      </c>
      <c r="B143" s="1108" t="s">
        <v>240</v>
      </c>
      <c r="C143" s="1067">
        <v>190</v>
      </c>
      <c r="D143" s="1083">
        <f t="shared" si="13"/>
        <v>20</v>
      </c>
      <c r="E143" s="1084">
        <v>0.5</v>
      </c>
      <c r="F143" s="1099">
        <f t="shared" si="14"/>
        <v>0.75</v>
      </c>
      <c r="G143" s="1100">
        <v>1.5</v>
      </c>
      <c r="H143" s="1085">
        <f t="shared" si="11"/>
        <v>0.9375</v>
      </c>
      <c r="I143" s="1087">
        <f t="shared" si="12"/>
        <v>18.75</v>
      </c>
      <c r="J143" s="1107" t="s">
        <v>241</v>
      </c>
    </row>
    <row r="144" spans="1:10" ht="18" hidden="1" customHeight="1" outlineLevel="1" thickBot="1">
      <c r="A144" s="1120">
        <v>310</v>
      </c>
      <c r="B144" s="1121" t="s">
        <v>240</v>
      </c>
      <c r="C144" s="1077">
        <v>330</v>
      </c>
      <c r="D144" s="1083">
        <f t="shared" si="13"/>
        <v>20</v>
      </c>
      <c r="E144" s="1122">
        <v>0.5</v>
      </c>
      <c r="F144" s="1123">
        <f t="shared" si="14"/>
        <v>0.8</v>
      </c>
      <c r="G144" s="1124">
        <v>1.6</v>
      </c>
      <c r="H144" s="1123">
        <f t="shared" si="11"/>
        <v>1.04</v>
      </c>
      <c r="I144" s="1125">
        <f t="shared" si="12"/>
        <v>20.8</v>
      </c>
      <c r="J144" s="1126" t="s">
        <v>241</v>
      </c>
    </row>
    <row r="145" spans="1:10" ht="16.5" thickBot="1">
      <c r="A145" s="1102" t="s">
        <v>15</v>
      </c>
      <c r="B145" s="1103"/>
      <c r="C145" s="1103"/>
      <c r="D145" s="1104"/>
      <c r="E145" s="1103"/>
      <c r="F145" s="1103"/>
      <c r="G145" s="1103"/>
      <c r="H145" s="1103"/>
      <c r="I145" s="1104">
        <f>I131+I132+I133+I134+I135+I136+I137+I139+I140+I141+I142+I143</f>
        <v>336.00000000000006</v>
      </c>
      <c r="J145" s="1105"/>
    </row>
  </sheetData>
  <mergeCells count="19">
    <mergeCell ref="J128:J129"/>
    <mergeCell ref="A128:C129"/>
    <mergeCell ref="A113:B113"/>
    <mergeCell ref="E113:F113"/>
    <mergeCell ref="A120:C120"/>
    <mergeCell ref="A112:B112"/>
    <mergeCell ref="E112:F112"/>
    <mergeCell ref="B25:E25"/>
    <mergeCell ref="B28:E28"/>
    <mergeCell ref="A38:B38"/>
    <mergeCell ref="D38:E38"/>
    <mergeCell ref="A39:B39"/>
    <mergeCell ref="D39:E39"/>
    <mergeCell ref="A43:A44"/>
    <mergeCell ref="B43:B44"/>
    <mergeCell ref="A40:B40"/>
    <mergeCell ref="D40:E40"/>
    <mergeCell ref="A111:B111"/>
    <mergeCell ref="E111:F111"/>
  </mergeCells>
  <phoneticPr fontId="87" type="noConversion"/>
  <printOptions horizontalCentered="1"/>
  <pageMargins left="0.39305555555555599" right="0.39305555555555599" top="1.63333333333333" bottom="0.39305555555555599" header="0.39305555555555599" footer="0.39305555555555599"/>
  <pageSetup paperSize="9" scale="43" fitToWidth="0" fitToHeight="0" orientation="landscape" r:id="rId1"/>
  <headerFooter alignWithMargins="0">
    <oddHeader>&amp;L&amp;"Calibri,Bold"&amp;12CONSTRUCTION OF ROAD 
BRGY. L. PIMENTEL, SAN LUIS, AURORA</oddHeader>
  </headerFooter>
  <rowBreaks count="2" manualBreakCount="2">
    <brk id="41" max="14" man="1"/>
    <brk id="125" max="1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T45"/>
  <sheetViews>
    <sheetView view="pageBreakPreview" topLeftCell="A17" zoomScale="53" zoomScaleNormal="100" zoomScaleSheetLayoutView="53" workbookViewId="0">
      <selection activeCell="J31" sqref="J31"/>
    </sheetView>
  </sheetViews>
  <sheetFormatPr defaultColWidth="9" defaultRowHeight="14.25"/>
  <cols>
    <col min="1" max="1" width="21.25" customWidth="1"/>
    <col min="2" max="2" width="16.25" customWidth="1"/>
    <col min="3" max="3" width="20.25" customWidth="1"/>
    <col min="4" max="4" width="14.375" customWidth="1"/>
    <col min="5" max="5" width="15.875" customWidth="1"/>
    <col min="6" max="6" width="13.25" customWidth="1"/>
    <col min="7" max="7" width="15.375" customWidth="1"/>
    <col min="8" max="8" width="49.375" customWidth="1"/>
    <col min="9" max="259" width="8.5" customWidth="1"/>
    <col min="260" max="260" width="10.125" customWidth="1"/>
    <col min="261" max="261" width="45.75" customWidth="1"/>
    <col min="262" max="262" width="7.75" customWidth="1"/>
    <col min="263" max="263" width="12.25" customWidth="1"/>
    <col min="264" max="264" width="23.625" customWidth="1"/>
    <col min="265" max="515" width="8.5" customWidth="1"/>
    <col min="516" max="516" width="10.125" customWidth="1"/>
    <col min="517" max="517" width="45.75" customWidth="1"/>
    <col min="518" max="518" width="7.75" customWidth="1"/>
    <col min="519" max="519" width="12.25" customWidth="1"/>
    <col min="520" max="520" width="23.625" customWidth="1"/>
    <col min="521" max="771" width="8.5" customWidth="1"/>
    <col min="772" max="772" width="10.125" customWidth="1"/>
    <col min="773" max="773" width="45.75" customWidth="1"/>
    <col min="774" max="774" width="7.75" customWidth="1"/>
    <col min="775" max="775" width="12.25" customWidth="1"/>
    <col min="776" max="776" width="23.625" customWidth="1"/>
    <col min="777" max="1024" width="8.5" customWidth="1"/>
    <col min="1025" max="1025" width="9" customWidth="1"/>
  </cols>
  <sheetData>
    <row r="1" spans="1:20" ht="16.5" customHeight="1">
      <c r="A1" s="511" t="s">
        <v>242</v>
      </c>
      <c r="B1" s="469" t="str">
        <f>+BACKUP!B1</f>
        <v>CONSTRUCTION OF ROAD</v>
      </c>
      <c r="C1" s="469"/>
      <c r="D1" s="469"/>
      <c r="E1" s="469"/>
      <c r="F1" s="469"/>
      <c r="G1" s="469"/>
      <c r="H1" s="469"/>
      <c r="I1" s="512"/>
      <c r="J1" s="512"/>
      <c r="K1" s="512"/>
      <c r="L1" s="512"/>
      <c r="M1" s="512"/>
      <c r="N1" s="512"/>
      <c r="O1" s="512"/>
      <c r="P1" s="512"/>
      <c r="Q1" s="512"/>
      <c r="R1" s="512"/>
      <c r="S1" s="512"/>
      <c r="T1" s="512"/>
    </row>
    <row r="2" spans="1:20" ht="15.75">
      <c r="A2" s="511" t="s">
        <v>243</v>
      </c>
      <c r="B2" s="469" t="str">
        <f>+BACKUP!B2</f>
        <v>BRGY. L. PIMENTEL, SAN LUIS, AURORA</v>
      </c>
      <c r="C2" s="511"/>
      <c r="D2" s="511"/>
      <c r="E2" s="511"/>
      <c r="F2" s="511"/>
      <c r="G2" s="512"/>
      <c r="H2" s="512"/>
      <c r="I2" s="512"/>
      <c r="J2" s="489"/>
      <c r="K2" s="489"/>
      <c r="L2" s="489"/>
      <c r="M2" s="489"/>
      <c r="N2" s="489"/>
      <c r="O2" s="489"/>
      <c r="P2" s="489"/>
      <c r="Q2" s="489"/>
      <c r="R2" s="489"/>
      <c r="S2" s="512"/>
      <c r="T2" s="512"/>
    </row>
    <row r="3" spans="1:20" ht="15.75">
      <c r="A3" s="511" t="s">
        <v>244</v>
      </c>
      <c r="B3" s="513" t="str">
        <f>+BACKUP!B3</f>
        <v>LOCATION 1</v>
      </c>
      <c r="C3" s="513">
        <f>+BACKUP!C3</f>
        <v>0</v>
      </c>
      <c r="D3" s="513" t="str">
        <f>+BACKUP!D3</f>
        <v>TO</v>
      </c>
      <c r="E3" s="513">
        <f>+BACKUP!E3</f>
        <v>741</v>
      </c>
      <c r="F3" s="511"/>
      <c r="G3" s="512"/>
      <c r="H3" s="512"/>
      <c r="I3" s="512"/>
      <c r="J3" s="512"/>
      <c r="K3" s="512"/>
      <c r="L3" s="512"/>
      <c r="M3" s="512"/>
      <c r="N3" s="512"/>
      <c r="O3" s="512"/>
      <c r="P3" s="512"/>
      <c r="Q3" s="512"/>
      <c r="R3" s="512"/>
      <c r="S3" s="512"/>
      <c r="T3" s="512"/>
    </row>
    <row r="4" spans="1:20" ht="15.75">
      <c r="A4" s="511"/>
      <c r="B4" s="513" t="str">
        <f>+BACKUP!B4</f>
        <v>LOCATION 2</v>
      </c>
      <c r="C4" s="513">
        <f>+BACKUP!C4</f>
        <v>0</v>
      </c>
      <c r="D4" s="513" t="str">
        <f>+BACKUP!D4</f>
        <v>TO</v>
      </c>
      <c r="E4" s="513">
        <f>+BACKUP!E4</f>
        <v>222</v>
      </c>
      <c r="F4" s="511"/>
      <c r="G4" s="512"/>
      <c r="H4" s="512"/>
      <c r="I4" s="512"/>
      <c r="J4" s="512"/>
      <c r="K4" s="512"/>
      <c r="L4" s="512"/>
      <c r="M4" s="512"/>
      <c r="N4" s="512"/>
      <c r="O4" s="512"/>
      <c r="P4" s="512"/>
      <c r="Q4" s="512"/>
      <c r="R4" s="512"/>
      <c r="S4" s="512"/>
      <c r="T4" s="512"/>
    </row>
    <row r="5" spans="1:20" ht="15.75">
      <c r="A5" s="511" t="s">
        <v>193</v>
      </c>
      <c r="B5" s="514">
        <f>+BACKUP!B6</f>
        <v>0.96299999999999997</v>
      </c>
      <c r="C5" s="515" t="str">
        <f>+BACKUP!C6</f>
        <v>km</v>
      </c>
      <c r="D5" s="516"/>
      <c r="F5" s="511"/>
      <c r="H5" s="512"/>
      <c r="I5" s="512"/>
      <c r="J5" s="512"/>
      <c r="K5" s="512"/>
      <c r="L5" s="512"/>
      <c r="M5" s="512"/>
      <c r="N5" s="512"/>
      <c r="O5" s="512"/>
      <c r="P5" s="512"/>
      <c r="Q5" s="512"/>
      <c r="R5" s="512"/>
      <c r="S5" s="512"/>
      <c r="T5" s="512"/>
    </row>
    <row r="6" spans="1:20" ht="15.75">
      <c r="A6" s="511" t="s">
        <v>195</v>
      </c>
      <c r="B6" s="514">
        <f>+BACKUP!B7</f>
        <v>1.9259999999999999</v>
      </c>
      <c r="C6" s="517" t="str">
        <f>+BACKUP!C7</f>
        <v>Lane km</v>
      </c>
      <c r="D6" s="518"/>
      <c r="F6" s="511"/>
      <c r="H6" s="512"/>
      <c r="I6" s="512"/>
      <c r="J6" s="512"/>
      <c r="K6" s="512"/>
      <c r="L6" s="512"/>
      <c r="M6" s="512"/>
      <c r="N6" s="512"/>
      <c r="O6" s="512"/>
      <c r="P6" s="512"/>
      <c r="Q6" s="512"/>
      <c r="R6" s="512"/>
      <c r="S6" s="512"/>
      <c r="T6" s="512"/>
    </row>
    <row r="7" spans="1:20" ht="26.25" customHeight="1" thickBot="1">
      <c r="A7" s="511"/>
      <c r="B7" s="518"/>
      <c r="C7" s="518"/>
      <c r="D7" s="518"/>
      <c r="E7" s="519" t="s">
        <v>245</v>
      </c>
      <c r="F7" s="520" t="s">
        <v>157</v>
      </c>
      <c r="G7" s="521">
        <f>cd!D30</f>
        <v>65</v>
      </c>
      <c r="H7" s="522" t="s">
        <v>246</v>
      </c>
    </row>
    <row r="8" spans="1:20" ht="40.5" customHeight="1" thickBot="1">
      <c r="A8" s="1522" t="s">
        <v>247</v>
      </c>
      <c r="B8" s="1523"/>
      <c r="C8" s="1523"/>
      <c r="D8" s="1523"/>
      <c r="E8" s="1523"/>
      <c r="F8" s="1523"/>
      <c r="G8" s="1523"/>
      <c r="H8" s="1524"/>
    </row>
    <row r="9" spans="1:20" ht="15" thickBot="1">
      <c r="A9" s="1525"/>
      <c r="B9" s="1526"/>
      <c r="C9" s="1526"/>
      <c r="D9" s="1526"/>
      <c r="E9" s="1526"/>
      <c r="F9" s="1526"/>
      <c r="G9" s="1526"/>
      <c r="H9" s="1527"/>
    </row>
    <row r="10" spans="1:20" ht="35.1" customHeight="1">
      <c r="A10" s="523" t="s">
        <v>4</v>
      </c>
      <c r="B10" s="1517" t="s">
        <v>248</v>
      </c>
      <c r="C10" s="1517"/>
      <c r="D10" s="1517"/>
      <c r="E10" s="1517"/>
      <c r="F10" s="524" t="s">
        <v>31</v>
      </c>
      <c r="G10" s="524" t="s">
        <v>30</v>
      </c>
      <c r="H10" s="525" t="s">
        <v>220</v>
      </c>
    </row>
    <row r="11" spans="1:20" ht="14.25" customHeight="1">
      <c r="A11" s="526"/>
      <c r="B11" s="1518"/>
      <c r="C11" s="1518"/>
      <c r="D11" s="1518"/>
      <c r="E11" s="1518"/>
      <c r="F11" s="527"/>
      <c r="G11" s="528"/>
      <c r="H11" s="529"/>
    </row>
    <row r="12" spans="1:20" ht="35.1" customHeight="1">
      <c r="A12" s="530" t="str">
        <f>+'POW-2015-01C-00_'!A11</f>
        <v>PART A</v>
      </c>
      <c r="B12" s="1519" t="str">
        <f>+'POW-2015-01C-00_'!B11</f>
        <v>FACILITIES FOR THE ENGINEER</v>
      </c>
      <c r="C12" s="1519"/>
      <c r="D12" s="1519"/>
      <c r="E12" s="1519"/>
      <c r="F12" s="527"/>
      <c r="G12" s="528"/>
      <c r="H12" s="529"/>
    </row>
    <row r="13" spans="1:20" ht="35.1" customHeight="1">
      <c r="A13" s="531" t="str">
        <f>+'POW-2015-01C-00_'!A12</f>
        <v>A.1.1 (3)</v>
      </c>
      <c r="B13" s="1520" t="str">
        <f>+'POW-2015-01C-00_'!B12</f>
        <v>Construction of Field Office for the Engineer</v>
      </c>
      <c r="C13" s="1520"/>
      <c r="D13" s="1520"/>
      <c r="E13" s="1520"/>
      <c r="F13" s="532" t="str">
        <f>+'POW-2015-01C-00_'!G12</f>
        <v>ls</v>
      </c>
      <c r="G13" s="533">
        <v>1</v>
      </c>
      <c r="H13" s="529" t="s">
        <v>249</v>
      </c>
    </row>
    <row r="14" spans="1:20" ht="35.1" customHeight="1">
      <c r="A14" s="530" t="str">
        <f>+'POW-2015-01C-00_'!A16</f>
        <v>PART B</v>
      </c>
      <c r="B14" s="1519" t="str">
        <f>+'POW-2015-01C-00_'!B16</f>
        <v>OTHER GENERAL REQUIREMENTS</v>
      </c>
      <c r="C14" s="1519"/>
      <c r="D14" s="1519"/>
      <c r="E14" s="1519"/>
      <c r="F14" s="527"/>
      <c r="G14" s="533"/>
      <c r="H14" s="529"/>
    </row>
    <row r="15" spans="1:20" ht="35.1" customHeight="1">
      <c r="A15" s="526" t="str">
        <f>+'POW-2015-01C-00_'!A17</f>
        <v>B.5</v>
      </c>
      <c r="B15" s="1458" t="str">
        <f>+'POW-2015-01C-00_'!B17</f>
        <v>Project Billboard/ Signboard (DPWH)</v>
      </c>
      <c r="C15" s="1458"/>
      <c r="D15" s="1458"/>
      <c r="E15" s="1458"/>
      <c r="F15" s="532" t="str">
        <f>+'POW-2015-01C-00_'!G17</f>
        <v>ea</v>
      </c>
      <c r="G15" s="533">
        <v>2</v>
      </c>
      <c r="H15" s="529" t="s">
        <v>250</v>
      </c>
    </row>
    <row r="16" spans="1:20" ht="35.1" customHeight="1">
      <c r="A16" s="526" t="str">
        <f>+'POW-2015-01C-00_'!A19</f>
        <v>B.5</v>
      </c>
      <c r="B16" s="1458" t="str">
        <f>+'POW-2015-01C-00_'!B19</f>
        <v>Project Billboard/ Signboard (COA)</v>
      </c>
      <c r="C16" s="1458"/>
      <c r="D16" s="1458"/>
      <c r="E16" s="1458"/>
      <c r="F16" s="532" t="str">
        <f>+'POW-2015-01C-00_'!G19</f>
        <v>ea</v>
      </c>
      <c r="G16" s="533">
        <v>1</v>
      </c>
      <c r="H16" s="529" t="s">
        <v>250</v>
      </c>
    </row>
    <row r="17" spans="1:16" ht="35.1" customHeight="1">
      <c r="A17" s="526" t="str">
        <f>+'POW-2015-01C-00_'!A21</f>
        <v>B.7 (2)</v>
      </c>
      <c r="B17" s="1458" t="str">
        <f>+'POW-2015-01C-00_'!B21</f>
        <v>Occupational Safety and Health Program</v>
      </c>
      <c r="C17" s="1458"/>
      <c r="D17" s="1458"/>
      <c r="E17" s="1458"/>
      <c r="F17" s="532" t="str">
        <f>+'POW-2015-01C-00_'!G21</f>
        <v>ls</v>
      </c>
      <c r="G17" s="533">
        <v>1</v>
      </c>
      <c r="H17" s="534" t="s">
        <v>251</v>
      </c>
    </row>
    <row r="18" spans="1:16" ht="35.1" customHeight="1">
      <c r="A18" s="526" t="str">
        <f>+'POW-2015-01C-00_'!A23</f>
        <v>B.8(2)</v>
      </c>
      <c r="B18" s="1458" t="str">
        <f>+'POW-2015-01C-00_'!B23</f>
        <v>Road Works Safety and Traffic Management</v>
      </c>
      <c r="C18" s="1458"/>
      <c r="D18" s="1458"/>
      <c r="E18" s="1458"/>
      <c r="F18" s="532" t="str">
        <f>+'POW-2015-01C-00_'!G23</f>
        <v>ls</v>
      </c>
      <c r="G18" s="533">
        <v>1</v>
      </c>
      <c r="H18" s="529" t="s">
        <v>252</v>
      </c>
    </row>
    <row r="19" spans="1:16" ht="35.1" customHeight="1">
      <c r="A19" s="526" t="str">
        <f>+'POW-2015-01C-00_'!A25</f>
        <v>B.9</v>
      </c>
      <c r="B19" s="1458" t="str">
        <f>+'POW-2015-01C-00_'!B25</f>
        <v>Mobilization/ Demobilization</v>
      </c>
      <c r="C19" s="1458"/>
      <c r="D19" s="1458"/>
      <c r="E19" s="1458"/>
      <c r="F19" s="532" t="str">
        <f>+'POW-2015-01C-00_'!G25</f>
        <v>ls</v>
      </c>
      <c r="G19" s="533">
        <v>1</v>
      </c>
      <c r="H19" s="529" t="s">
        <v>253</v>
      </c>
    </row>
    <row r="20" spans="1:16" ht="35.1" customHeight="1">
      <c r="A20" s="530" t="str">
        <f>+'POW-2015-01C-00_'!A29</f>
        <v>PART C</v>
      </c>
      <c r="B20" s="1519" t="str">
        <f>+'POW-2015-01C-00_'!B29</f>
        <v>EARTHWORK</v>
      </c>
      <c r="C20" s="1519"/>
      <c r="D20" s="1519"/>
      <c r="E20" s="1519"/>
      <c r="F20" s="527"/>
      <c r="G20" s="533"/>
      <c r="H20" s="529"/>
    </row>
    <row r="21" spans="1:16" ht="35.1" hidden="1" customHeight="1">
      <c r="A21" s="526" t="str">
        <f>+'POW-2015-01C-00_'!A30</f>
        <v>100(3)a1</v>
      </c>
      <c r="B21" s="1458" t="str">
        <f>+'POW-2015-01C-00_'!B30</f>
        <v>Individual Removal of Trees (150-300 mm dia., Small)</v>
      </c>
      <c r="C21" s="1458"/>
      <c r="D21" s="1458"/>
      <c r="E21" s="1458"/>
      <c r="F21" s="532" t="str">
        <f>+VLOOKUP(A21,Backup,5,0)</f>
        <v>ea</v>
      </c>
      <c r="G21" s="533">
        <f>+VLOOKUP(A21,Backup,4,0)</f>
        <v>0</v>
      </c>
      <c r="H21" s="529" t="s">
        <v>254</v>
      </c>
    </row>
    <row r="22" spans="1:16" ht="35.1" customHeight="1">
      <c r="A22" s="526" t="str">
        <f>+'POW-2015-01C-00_'!A32</f>
        <v>102(2)</v>
      </c>
      <c r="B22" s="1458" t="str">
        <f>+'POW-2015-01C-00_'!B32</f>
        <v>Surplus Common Excavation</v>
      </c>
      <c r="C22" s="1458"/>
      <c r="D22" s="1458"/>
      <c r="E22" s="1458"/>
      <c r="F22" s="532" t="str">
        <f>+VLOOKUP(A22,Backup,5,0)</f>
        <v>cum</v>
      </c>
      <c r="G22" s="533">
        <f>+VLOOKUP(A22,Backup,4,0)</f>
        <v>800.05000000000018</v>
      </c>
      <c r="H22" s="529" t="s">
        <v>255</v>
      </c>
    </row>
    <row r="23" spans="1:16" ht="35.1" customHeight="1">
      <c r="A23" s="526" t="str">
        <f>+'POW-2015-01C-00_'!A34</f>
        <v>104(2)a</v>
      </c>
      <c r="B23" s="1458" t="str">
        <f>+'POW-2015-01C-00_'!B34</f>
        <v>Embankment from Borrow (Common Soil)</v>
      </c>
      <c r="C23" s="1458"/>
      <c r="D23" s="1458"/>
      <c r="E23" s="1458"/>
      <c r="F23" s="532" t="str">
        <f>+VLOOKUP(A23,Backup,5,0)</f>
        <v>cum</v>
      </c>
      <c r="G23" s="533">
        <f>+VLOOKUP(A23,Backup,4,0)</f>
        <v>848.88</v>
      </c>
      <c r="H23" s="529" t="s">
        <v>256</v>
      </c>
    </row>
    <row r="24" spans="1:16" ht="35.1" customHeight="1">
      <c r="A24" s="526" t="str">
        <f>+'POW-2015-01C-00_'!A36</f>
        <v>105(1)a</v>
      </c>
      <c r="B24" s="1458" t="str">
        <f>+'POW-2015-01C-00_'!B36</f>
        <v>Subgrade Preparation (Common Material)</v>
      </c>
      <c r="C24" s="1458"/>
      <c r="D24" s="1458"/>
      <c r="E24" s="1458"/>
      <c r="F24" s="532" t="str">
        <f>+VLOOKUP(A24,Backup,5,0)</f>
        <v>sqm</v>
      </c>
      <c r="G24" s="533">
        <f>+VLOOKUP(A24,Backup,4,0)</f>
        <v>5778</v>
      </c>
      <c r="H24" s="529" t="s">
        <v>257</v>
      </c>
    </row>
    <row r="25" spans="1:16" ht="35.1" customHeight="1">
      <c r="A25" s="530" t="str">
        <f>+'POW-2015-01C-00_'!A40</f>
        <v>PART D</v>
      </c>
      <c r="B25" s="1519" t="str">
        <f>+'POW-2015-01C-00_'!B40</f>
        <v>SUBBASE AND BASE COURSE</v>
      </c>
      <c r="C25" s="1519"/>
      <c r="D25" s="1519"/>
      <c r="E25" s="1519"/>
      <c r="F25" s="527"/>
      <c r="G25" s="533"/>
      <c r="H25" s="529"/>
    </row>
    <row r="26" spans="1:16" ht="35.1" customHeight="1">
      <c r="A26" s="526" t="str">
        <f>+'POW-2015-01C-00_'!A41</f>
        <v>200(1)</v>
      </c>
      <c r="B26" s="1458" t="str">
        <f>+'POW-2015-01C-00_'!B41</f>
        <v>Aggregate Subbase Course</v>
      </c>
      <c r="C26" s="1458"/>
      <c r="D26" s="1458"/>
      <c r="E26" s="1458"/>
      <c r="F26" s="532" t="str">
        <f>+VLOOKUP(A26,Backup,5,0)</f>
        <v>cum</v>
      </c>
      <c r="G26" s="533">
        <f>+VLOOKUP(A26,Backup,4,0)</f>
        <v>1551.95</v>
      </c>
      <c r="H26" s="529" t="s">
        <v>258</v>
      </c>
    </row>
    <row r="27" spans="1:16" ht="35.1" customHeight="1">
      <c r="A27" s="530" t="str">
        <f>+'POW-2015-01C-00_'!A45</f>
        <v>PART E</v>
      </c>
      <c r="B27" s="1519" t="str">
        <f>+'POW-2015-01C-00_'!B45</f>
        <v>SURFACE COURSES</v>
      </c>
      <c r="C27" s="1519"/>
      <c r="D27" s="1519"/>
      <c r="E27" s="1519"/>
      <c r="F27" s="527"/>
      <c r="G27" s="533"/>
      <c r="H27" s="529"/>
    </row>
    <row r="28" spans="1:16" ht="35.1" customHeight="1">
      <c r="A28" s="526" t="str">
        <f>+'POW-2015-01C-00_'!A46</f>
        <v>311(1)b1</v>
      </c>
      <c r="B28" s="1530" t="str">
        <f>+'POW-2015-01C-00_'!B46</f>
        <v>Portland Cement Concrete Pavement  (Unreinforced, 0.20m thick, 14 days)</v>
      </c>
      <c r="C28" s="1530"/>
      <c r="D28" s="1530"/>
      <c r="E28" s="1530"/>
      <c r="F28" s="532" t="str">
        <f>+VLOOKUP(A28,Backup,5,0)</f>
        <v>sqm</v>
      </c>
      <c r="G28" s="533">
        <f>+VLOOKUP(A28,Backup,4,0)</f>
        <v>4815</v>
      </c>
      <c r="H28" s="534" t="s">
        <v>1177</v>
      </c>
    </row>
    <row r="29" spans="1:16" ht="35.1" customHeight="1">
      <c r="A29" s="530" t="str">
        <f>+'POW-2015-01C-00_'!A50</f>
        <v>PART F</v>
      </c>
      <c r="B29" s="1519" t="str">
        <f>+'POW-2015-01C-00_'!B50</f>
        <v>DRAINAGE AND SLOPE PROTECTION STRUCTURES</v>
      </c>
      <c r="C29" s="1519"/>
      <c r="D29" s="1519"/>
      <c r="E29" s="1519"/>
      <c r="F29" s="527"/>
      <c r="G29" s="533"/>
      <c r="H29" s="529"/>
    </row>
    <row r="30" spans="1:16" ht="35.1" customHeight="1" thickBot="1">
      <c r="A30" s="1137" t="str">
        <f>+'POW-2015-01C-00_'!A51</f>
        <v>506(1)</v>
      </c>
      <c r="B30" s="1528" t="str">
        <f>+'POW-2015-01C-00_'!B51</f>
        <v>Stone Masonry(Slope Protection)</v>
      </c>
      <c r="C30" s="1528"/>
      <c r="D30" s="1528"/>
      <c r="E30" s="1528"/>
      <c r="F30" s="1138" t="str">
        <f>+'506(1)'!F6</f>
        <v>cum</v>
      </c>
      <c r="G30" s="1139">
        <f>+BACKUP!D34</f>
        <v>336</v>
      </c>
      <c r="H30" s="1140" t="s">
        <v>259</v>
      </c>
    </row>
    <row r="31" spans="1:16" ht="35.1" customHeight="1">
      <c r="A31" s="535"/>
      <c r="B31" s="536"/>
      <c r="C31" s="536"/>
      <c r="D31" s="536"/>
      <c r="E31" s="536"/>
      <c r="F31" s="537"/>
      <c r="G31" s="538"/>
      <c r="H31" s="539"/>
    </row>
    <row r="32" spans="1:16" ht="15">
      <c r="A32" t="s">
        <v>260</v>
      </c>
      <c r="K32" s="541"/>
      <c r="P32" s="12"/>
    </row>
    <row r="33" spans="1:16">
      <c r="K33" s="541"/>
      <c r="P33" s="10"/>
    </row>
    <row r="34" spans="1:16">
      <c r="K34" s="541"/>
    </row>
    <row r="35" spans="1:16" ht="15">
      <c r="A35" s="1529" t="str">
        <f>+'POW-2015-01-00_'!A48:E48</f>
        <v xml:space="preserve">WINLOVE A. ESTEVES
</v>
      </c>
      <c r="B35" s="1529"/>
      <c r="C35" s="12"/>
      <c r="D35" s="12"/>
      <c r="E35" s="5"/>
      <c r="F35" s="5"/>
      <c r="G35" s="1529" t="str">
        <f>+'POW-2015-01-00_'!H48</f>
        <v>MARK ANGELO E. SURIL</v>
      </c>
      <c r="H35" s="1529"/>
      <c r="I35" s="12"/>
      <c r="J35" s="12"/>
      <c r="K35" s="12"/>
    </row>
    <row r="36" spans="1:16">
      <c r="A36" s="1521" t="s">
        <v>102</v>
      </c>
      <c r="B36" s="1521"/>
      <c r="C36" s="10"/>
      <c r="D36" s="10"/>
      <c r="E36" s="10"/>
      <c r="G36" s="1521" t="str">
        <f>A36</f>
        <v>Engineer II</v>
      </c>
      <c r="H36" s="1521"/>
      <c r="I36" s="10"/>
      <c r="J36" s="10"/>
      <c r="K36" s="10"/>
    </row>
    <row r="37" spans="1:16">
      <c r="A37" s="540"/>
      <c r="B37" s="540"/>
      <c r="C37" s="540"/>
      <c r="D37" s="540"/>
      <c r="E37" s="540"/>
      <c r="F37" s="540"/>
      <c r="G37" s="540"/>
      <c r="H37" s="540"/>
    </row>
    <row r="38" spans="1:16">
      <c r="A38" s="540"/>
      <c r="B38" s="540"/>
      <c r="C38" s="540"/>
      <c r="D38" s="540"/>
      <c r="E38" s="540"/>
      <c r="F38" s="540"/>
      <c r="G38" s="540"/>
      <c r="H38" s="540" t="s">
        <v>261</v>
      </c>
    </row>
    <row r="39" spans="1:16">
      <c r="A39" s="540"/>
      <c r="B39" s="540"/>
      <c r="C39" s="540"/>
      <c r="D39" s="540"/>
      <c r="E39" s="540"/>
      <c r="F39" s="540"/>
      <c r="G39" s="540"/>
      <c r="H39" s="540"/>
    </row>
    <row r="40" spans="1:16">
      <c r="H40" s="540"/>
    </row>
    <row r="41" spans="1:16">
      <c r="H41" s="540"/>
    </row>
    <row r="42" spans="1:16">
      <c r="H42" s="540"/>
    </row>
    <row r="43" spans="1:16" ht="15">
      <c r="A43" s="1501"/>
      <c r="B43" s="1501"/>
      <c r="C43" s="1501"/>
      <c r="D43" s="1501"/>
      <c r="E43" s="1501"/>
      <c r="F43" s="1501"/>
      <c r="G43" s="12"/>
      <c r="H43" s="540"/>
    </row>
    <row r="44" spans="1:16">
      <c r="B44" s="10"/>
      <c r="C44" s="10"/>
      <c r="D44" s="10"/>
      <c r="E44" s="10"/>
      <c r="F44" s="10"/>
      <c r="G44" s="10"/>
      <c r="H44" s="540"/>
    </row>
    <row r="45" spans="1:16">
      <c r="A45" s="540"/>
      <c r="B45" s="540"/>
      <c r="C45" s="540"/>
      <c r="D45" s="540"/>
      <c r="E45" s="540"/>
      <c r="F45" s="540"/>
      <c r="G45" s="540"/>
      <c r="H45" s="540"/>
    </row>
  </sheetData>
  <mergeCells count="27">
    <mergeCell ref="A36:B36"/>
    <mergeCell ref="G36:H36"/>
    <mergeCell ref="A43:F43"/>
    <mergeCell ref="A8:H9"/>
    <mergeCell ref="B30:E30"/>
    <mergeCell ref="A35:B35"/>
    <mergeCell ref="G35:H35"/>
    <mergeCell ref="B25:E25"/>
    <mergeCell ref="B26:E26"/>
    <mergeCell ref="B27:E27"/>
    <mergeCell ref="B28:E28"/>
    <mergeCell ref="B29:E29"/>
    <mergeCell ref="B20:E20"/>
    <mergeCell ref="B21:E21"/>
    <mergeCell ref="B22:E22"/>
    <mergeCell ref="B23:E23"/>
    <mergeCell ref="B24:E24"/>
    <mergeCell ref="B15:E15"/>
    <mergeCell ref="B16:E16"/>
    <mergeCell ref="B17:E17"/>
    <mergeCell ref="B18:E18"/>
    <mergeCell ref="B19:E19"/>
    <mergeCell ref="B10:E10"/>
    <mergeCell ref="B11:E11"/>
    <mergeCell ref="B12:E12"/>
    <mergeCell ref="B13:E13"/>
    <mergeCell ref="B14:E14"/>
  </mergeCells>
  <printOptions horizontalCentered="1"/>
  <pageMargins left="0.23619999999999999" right="0.23619999999999999" top="1.3775999999999999" bottom="1.8894" header="0.9839" footer="1.4957"/>
  <pageSetup paperSize="9" scale="55" fitToWidth="0" fitToHeight="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Q61"/>
  <sheetViews>
    <sheetView view="pageBreakPreview" topLeftCell="A21" zoomScaleNormal="100" zoomScaleSheetLayoutView="100" workbookViewId="0">
      <selection activeCell="D13" sqref="D13"/>
    </sheetView>
  </sheetViews>
  <sheetFormatPr defaultColWidth="9" defaultRowHeight="14.25"/>
  <cols>
    <col min="1" max="1" width="12.375" customWidth="1"/>
    <col min="2" max="2" width="21.875" customWidth="1"/>
    <col min="3" max="3" width="5" customWidth="1"/>
    <col min="4" max="4" width="12.625" customWidth="1"/>
    <col min="5" max="5" width="13.125" customWidth="1"/>
    <col min="6" max="6" width="3.875" customWidth="1"/>
    <col min="7" max="7" width="18.375" customWidth="1"/>
    <col min="8" max="8" width="16.375" customWidth="1"/>
    <col min="9" max="9" width="8.5" customWidth="1"/>
    <col min="10" max="10" width="15.125" customWidth="1"/>
    <col min="11" max="11" width="11.25" customWidth="1"/>
    <col min="12" max="12" width="8.5" customWidth="1"/>
    <col min="13" max="14" width="8.625" customWidth="1"/>
    <col min="15" max="15" width="8.5" customWidth="1"/>
    <col min="16" max="16" width="8.625" customWidth="1"/>
    <col min="17" max="1024" width="8.5" customWidth="1"/>
    <col min="1025" max="1025" width="9" customWidth="1"/>
  </cols>
  <sheetData>
    <row r="1" spans="1:17" ht="15">
      <c r="A1" s="1529" t="s">
        <v>262</v>
      </c>
      <c r="B1" s="1529"/>
      <c r="C1" s="1529"/>
      <c r="D1" s="1529"/>
      <c r="E1" s="1529"/>
      <c r="F1" s="1529"/>
      <c r="G1" s="1529"/>
      <c r="H1" s="12"/>
      <c r="I1" s="10"/>
      <c r="J1" s="1529" t="s">
        <v>262</v>
      </c>
      <c r="K1" s="1529"/>
      <c r="L1" s="1529"/>
      <c r="M1" s="1529"/>
      <c r="N1" s="1529"/>
      <c r="O1" s="1529"/>
      <c r="P1" s="1529"/>
      <c r="Q1" s="1529"/>
    </row>
    <row r="2" spans="1:17">
      <c r="A2" s="1521" t="s">
        <v>263</v>
      </c>
      <c r="B2" s="1521"/>
      <c r="C2" s="1521"/>
      <c r="D2" s="1521"/>
      <c r="E2" s="1521"/>
      <c r="F2" s="1521"/>
      <c r="G2" s="1521"/>
      <c r="H2" s="10"/>
      <c r="I2" s="10"/>
      <c r="J2" s="1521" t="s">
        <v>264</v>
      </c>
      <c r="K2" s="1521"/>
      <c r="L2" s="1521"/>
      <c r="M2" s="1521"/>
      <c r="N2" s="1521"/>
      <c r="O2" s="1521"/>
      <c r="P2" s="1521"/>
      <c r="Q2" s="1521"/>
    </row>
    <row r="3" spans="1:17">
      <c r="A3" t="s">
        <v>265</v>
      </c>
      <c r="B3" s="158" t="str">
        <f>'POW-2015-01B-00_'!A2</f>
        <v>CONSTRUCTION OF ROAD</v>
      </c>
      <c r="C3" s="10"/>
      <c r="D3" s="10"/>
      <c r="E3" s="10"/>
      <c r="F3" s="10"/>
      <c r="I3" s="10"/>
      <c r="J3" t="s">
        <v>265</v>
      </c>
      <c r="K3" s="158" t="str">
        <f>[2]POW!M10</f>
        <v>:</v>
      </c>
      <c r="L3" s="10"/>
      <c r="M3" s="10"/>
      <c r="N3" s="10"/>
      <c r="O3" s="10"/>
    </row>
    <row r="4" spans="1:17">
      <c r="A4" t="s">
        <v>266</v>
      </c>
      <c r="B4" s="158" t="str">
        <f>'POW-2015-01B-00_'!A3</f>
        <v>BRGY. L. PIMENTEL, SAN LUIS, AURORA</v>
      </c>
      <c r="C4" s="10"/>
      <c r="D4" s="10"/>
      <c r="E4" s="10"/>
      <c r="F4" s="10"/>
      <c r="I4" s="10"/>
      <c r="J4" t="s">
        <v>266</v>
      </c>
      <c r="K4" s="158" t="str">
        <f>[2]POW!M13</f>
        <v>:</v>
      </c>
      <c r="L4" s="10"/>
      <c r="M4" s="10"/>
      <c r="N4" s="10"/>
      <c r="O4" s="10"/>
    </row>
    <row r="5" spans="1:17">
      <c r="C5" s="484"/>
      <c r="D5" s="485"/>
      <c r="E5" s="486"/>
      <c r="F5" s="487"/>
      <c r="G5" s="485"/>
      <c r="I5" s="10"/>
      <c r="L5" s="484"/>
      <c r="M5" s="485"/>
      <c r="N5" s="486"/>
      <c r="O5" s="487"/>
      <c r="P5" s="485"/>
    </row>
    <row r="6" spans="1:17" ht="15">
      <c r="A6" s="488" t="s">
        <v>267</v>
      </c>
      <c r="B6" s="489" t="str">
        <f>+'POW-2015-01C-00_'!W8</f>
        <v>ROADWAY</v>
      </c>
      <c r="D6" s="490"/>
      <c r="E6" s="485"/>
      <c r="F6" s="487"/>
      <c r="G6" s="485"/>
      <c r="J6" s="490" t="s">
        <v>267</v>
      </c>
      <c r="K6" s="5" t="s">
        <v>268</v>
      </c>
      <c r="M6" s="490"/>
      <c r="N6" s="485"/>
      <c r="O6" s="487"/>
      <c r="P6" s="485"/>
    </row>
    <row r="7" spans="1:17">
      <c r="A7" s="490"/>
      <c r="B7" s="484" t="s">
        <v>269</v>
      </c>
      <c r="I7" s="10"/>
      <c r="J7" s="490"/>
      <c r="K7" s="484" t="s">
        <v>269</v>
      </c>
    </row>
    <row r="8" spans="1:17">
      <c r="A8" s="491" t="s">
        <v>270</v>
      </c>
      <c r="B8" s="492">
        <v>5000000</v>
      </c>
      <c r="C8" s="486" t="s">
        <v>157</v>
      </c>
      <c r="D8" s="493">
        <v>27</v>
      </c>
      <c r="E8" s="484" t="s">
        <v>246</v>
      </c>
      <c r="I8" s="10"/>
      <c r="J8" s="491" t="s">
        <v>270</v>
      </c>
      <c r="K8" s="492">
        <v>5000000</v>
      </c>
      <c r="L8" s="486" t="s">
        <v>157</v>
      </c>
      <c r="M8" s="493">
        <v>28</v>
      </c>
      <c r="N8" s="484" t="s">
        <v>246</v>
      </c>
    </row>
    <row r="9" spans="1:17">
      <c r="A9" s="491" t="s">
        <v>270</v>
      </c>
      <c r="B9" s="494">
        <f>+'POW-2015-01C-00_'!Y8</f>
        <v>8169422.0899999999</v>
      </c>
      <c r="C9" s="486" t="s">
        <v>157</v>
      </c>
      <c r="D9" s="495">
        <f>+ROUNDUP(((B9-B8)/(B10-B8))*(D10-D8)+D8,0)</f>
        <v>39</v>
      </c>
      <c r="E9" s="485" t="s">
        <v>246</v>
      </c>
      <c r="F9" s="485" t="s">
        <v>271</v>
      </c>
      <c r="G9" s="484"/>
      <c r="I9" s="10"/>
      <c r="J9" s="491" t="s">
        <v>270</v>
      </c>
      <c r="K9" s="494" t="e">
        <f>[3]POW!AB49+[3]POW!AB53+[3]POW!AB60</f>
        <v>#REF!</v>
      </c>
      <c r="L9" s="490" t="s">
        <v>157</v>
      </c>
      <c r="M9" s="489" t="e">
        <f>+ROUNDUP((K9-K8)*(M10-M8)/(K10-K8)+M8,0)</f>
        <v>#REF!</v>
      </c>
      <c r="N9" s="485" t="s">
        <v>246</v>
      </c>
      <c r="O9" s="485" t="s">
        <v>271</v>
      </c>
      <c r="P9" s="484"/>
    </row>
    <row r="10" spans="1:17">
      <c r="A10" s="491" t="s">
        <v>270</v>
      </c>
      <c r="B10" s="492">
        <v>20000000</v>
      </c>
      <c r="C10" s="486" t="s">
        <v>157</v>
      </c>
      <c r="D10" s="493">
        <v>80</v>
      </c>
      <c r="E10" s="484" t="s">
        <v>246</v>
      </c>
      <c r="F10" s="484"/>
      <c r="G10" s="484"/>
      <c r="I10" s="10"/>
      <c r="J10" s="491" t="s">
        <v>270</v>
      </c>
      <c r="K10" s="492"/>
      <c r="L10" s="486" t="s">
        <v>157</v>
      </c>
      <c r="M10" s="493"/>
      <c r="N10" s="484"/>
      <c r="O10" s="484"/>
      <c r="P10" s="484"/>
    </row>
    <row r="11" spans="1:17" ht="15">
      <c r="A11" s="488" t="s">
        <v>272</v>
      </c>
      <c r="B11" s="489" t="str">
        <f>+'POW-2015-01C-00_'!W9</f>
        <v>DRAINAGE</v>
      </c>
      <c r="D11" s="490"/>
      <c r="E11" s="485"/>
      <c r="F11" s="487"/>
      <c r="G11" s="485"/>
      <c r="J11" s="490" t="s">
        <v>267</v>
      </c>
      <c r="K11" s="5" t="s">
        <v>268</v>
      </c>
      <c r="M11" s="490"/>
      <c r="N11" s="485"/>
      <c r="O11" s="487"/>
      <c r="P11" s="485"/>
    </row>
    <row r="12" spans="1:17">
      <c r="A12" s="490"/>
      <c r="B12" s="484" t="s">
        <v>269</v>
      </c>
      <c r="I12" s="10"/>
      <c r="J12" s="490"/>
      <c r="K12" s="484" t="s">
        <v>269</v>
      </c>
    </row>
    <row r="13" spans="1:17">
      <c r="A13" s="491" t="s">
        <v>270</v>
      </c>
      <c r="B13" s="492">
        <v>0</v>
      </c>
      <c r="C13" s="486" t="s">
        <v>157</v>
      </c>
      <c r="D13" s="493">
        <v>0</v>
      </c>
      <c r="E13" s="484" t="s">
        <v>246</v>
      </c>
      <c r="I13" s="10"/>
      <c r="J13" s="491" t="s">
        <v>270</v>
      </c>
      <c r="K13" s="492">
        <v>5000000</v>
      </c>
      <c r="L13" s="486" t="s">
        <v>157</v>
      </c>
      <c r="M13" s="493">
        <v>28</v>
      </c>
      <c r="N13" s="484" t="s">
        <v>246</v>
      </c>
    </row>
    <row r="14" spans="1:17">
      <c r="A14" s="491" t="s">
        <v>270</v>
      </c>
      <c r="B14" s="494"/>
      <c r="C14" s="486" t="s">
        <v>157</v>
      </c>
      <c r="D14" s="495">
        <f>+ROUNDUP(((B14-B13)/(B15-B13))*(D15-D13)+D13,0)</f>
        <v>0</v>
      </c>
      <c r="E14" s="485" t="s">
        <v>246</v>
      </c>
      <c r="F14" s="485" t="s">
        <v>271</v>
      </c>
      <c r="G14" s="484"/>
      <c r="I14" s="10"/>
      <c r="J14" s="491" t="s">
        <v>270</v>
      </c>
      <c r="K14" s="494" t="e">
        <f>[3]POW!AB54+[3]POW!AB58+[3]POW!AB65</f>
        <v>#REF!</v>
      </c>
      <c r="L14" s="490" t="s">
        <v>157</v>
      </c>
      <c r="M14" s="489" t="e">
        <f>+ROUNDUP((K14-K13)*(M15-M13)/(K15-K13)+M13,0)</f>
        <v>#REF!</v>
      </c>
      <c r="N14" s="485" t="s">
        <v>246</v>
      </c>
      <c r="O14" s="485" t="s">
        <v>271</v>
      </c>
      <c r="P14" s="484"/>
    </row>
    <row r="15" spans="1:17">
      <c r="A15" s="491" t="s">
        <v>270</v>
      </c>
      <c r="B15" s="492">
        <v>5000000</v>
      </c>
      <c r="C15" s="486" t="s">
        <v>157</v>
      </c>
      <c r="D15" s="493">
        <v>63</v>
      </c>
      <c r="E15" s="484" t="s">
        <v>246</v>
      </c>
      <c r="F15" s="484"/>
      <c r="G15" s="484"/>
      <c r="I15" s="10"/>
      <c r="J15" s="491" t="s">
        <v>270</v>
      </c>
      <c r="K15" s="492"/>
      <c r="L15" s="486" t="s">
        <v>157</v>
      </c>
      <c r="M15" s="493"/>
      <c r="N15" s="484"/>
      <c r="O15" s="484"/>
      <c r="P15" s="484"/>
    </row>
    <row r="16" spans="1:17" ht="15">
      <c r="A16" s="488" t="s">
        <v>273</v>
      </c>
      <c r="B16" s="489" t="str">
        <f>+'POW-2015-01C-00_'!W10</f>
        <v>STONE MASONRY</v>
      </c>
      <c r="D16" s="490"/>
      <c r="E16" s="485"/>
      <c r="F16" s="487"/>
      <c r="G16" s="485"/>
      <c r="J16" s="490" t="s">
        <v>267</v>
      </c>
      <c r="K16" s="5" t="s">
        <v>268</v>
      </c>
      <c r="M16" s="490"/>
      <c r="N16" s="485"/>
      <c r="O16" s="487"/>
      <c r="P16" s="485"/>
    </row>
    <row r="17" spans="1:16">
      <c r="A17" s="490"/>
      <c r="B17" s="484" t="s">
        <v>269</v>
      </c>
      <c r="I17" s="10"/>
      <c r="J17" s="490"/>
      <c r="K17" s="484" t="s">
        <v>269</v>
      </c>
    </row>
    <row r="18" spans="1:16">
      <c r="A18" s="491" t="s">
        <v>270</v>
      </c>
      <c r="B18" s="492">
        <v>0</v>
      </c>
      <c r="C18" s="486" t="s">
        <v>157</v>
      </c>
      <c r="D18" s="493">
        <v>0</v>
      </c>
      <c r="E18" s="484" t="s">
        <v>246</v>
      </c>
      <c r="I18" s="10"/>
      <c r="J18" s="491" t="s">
        <v>270</v>
      </c>
      <c r="K18" s="492">
        <v>5000000</v>
      </c>
      <c r="L18" s="486" t="s">
        <v>157</v>
      </c>
      <c r="M18" s="493">
        <v>28</v>
      </c>
      <c r="N18" s="484" t="s">
        <v>246</v>
      </c>
    </row>
    <row r="19" spans="1:16">
      <c r="A19" s="491" t="s">
        <v>270</v>
      </c>
      <c r="B19" s="494">
        <f>'POW-2015-01C-00_'!Y10</f>
        <v>1344265.38</v>
      </c>
      <c r="C19" s="486" t="s">
        <v>157</v>
      </c>
      <c r="D19" s="495">
        <f>+ROUNDUP(((B19-B18)/(B20-B18))*(D20-D18)+D18,0)</f>
        <v>16</v>
      </c>
      <c r="E19" s="485" t="s">
        <v>246</v>
      </c>
      <c r="F19" s="485" t="s">
        <v>271</v>
      </c>
      <c r="G19" s="484"/>
      <c r="I19" s="10"/>
      <c r="J19" s="491" t="s">
        <v>270</v>
      </c>
      <c r="K19" s="494" t="e">
        <f>[3]POW!AB59+[3]POW!AB63+[3]POW!AB70</f>
        <v>#REF!</v>
      </c>
      <c r="L19" s="490" t="s">
        <v>157</v>
      </c>
      <c r="M19" s="489" t="e">
        <f>+ROUNDUP((K19-K18)*(M20-M18)/(K20-K18)+M18,0)</f>
        <v>#REF!</v>
      </c>
      <c r="N19" s="485" t="s">
        <v>246</v>
      </c>
      <c r="O19" s="485" t="s">
        <v>271</v>
      </c>
      <c r="P19" s="484"/>
    </row>
    <row r="20" spans="1:16">
      <c r="A20" s="491" t="s">
        <v>270</v>
      </c>
      <c r="B20" s="492">
        <v>5000000</v>
      </c>
      <c r="C20" s="486" t="s">
        <v>157</v>
      </c>
      <c r="D20" s="493">
        <v>59</v>
      </c>
      <c r="E20" s="484" t="s">
        <v>246</v>
      </c>
      <c r="F20" s="484"/>
      <c r="G20" s="484"/>
      <c r="I20" s="10"/>
      <c r="J20" s="491" t="s">
        <v>270</v>
      </c>
      <c r="K20" s="492"/>
      <c r="L20" s="486" t="s">
        <v>157</v>
      </c>
      <c r="M20" s="493"/>
      <c r="N20" s="484"/>
      <c r="O20" s="484"/>
      <c r="P20" s="484"/>
    </row>
    <row r="21" spans="1:16" ht="15.95" customHeight="1">
      <c r="A21" s="491"/>
      <c r="B21" s="496"/>
      <c r="C21" s="486"/>
      <c r="D21" s="497"/>
      <c r="E21" s="484"/>
      <c r="F21" s="484"/>
      <c r="G21" s="484"/>
      <c r="I21" s="506"/>
      <c r="J21" s="491"/>
      <c r="K21" s="492"/>
      <c r="L21" s="486"/>
      <c r="M21" s="493"/>
      <c r="N21" s="484"/>
      <c r="O21" s="484"/>
      <c r="P21" s="484"/>
    </row>
    <row r="22" spans="1:16" ht="15">
      <c r="B22" s="486" t="s">
        <v>274</v>
      </c>
      <c r="C22" s="486" t="s">
        <v>157</v>
      </c>
      <c r="D22" s="498">
        <f>D9+D14+D19</f>
        <v>55</v>
      </c>
      <c r="E22" s="484" t="s">
        <v>246</v>
      </c>
      <c r="I22" s="506"/>
      <c r="J22" s="490" t="s">
        <v>273</v>
      </c>
      <c r="K22" s="5" t="s">
        <v>275</v>
      </c>
      <c r="L22" s="486"/>
      <c r="M22" s="493"/>
      <c r="N22" s="484"/>
      <c r="O22" s="484"/>
      <c r="P22" s="484"/>
    </row>
    <row r="23" spans="1:16">
      <c r="B23" s="484"/>
      <c r="C23" s="486" t="s">
        <v>276</v>
      </c>
      <c r="D23" s="499">
        <f>+ROUNDUP(D22/30,2)</f>
        <v>1.84</v>
      </c>
      <c r="E23" s="484" t="s">
        <v>277</v>
      </c>
      <c r="I23" s="506"/>
      <c r="J23" s="490"/>
      <c r="K23" s="484" t="s">
        <v>269</v>
      </c>
      <c r="L23" s="486"/>
      <c r="M23" s="508" t="s">
        <v>278</v>
      </c>
      <c r="N23" s="484"/>
      <c r="O23" s="484"/>
      <c r="P23" s="484"/>
    </row>
    <row r="24" spans="1:16">
      <c r="C24" s="10"/>
      <c r="D24" s="329"/>
      <c r="I24" s="506"/>
      <c r="J24" s="491" t="s">
        <v>270</v>
      </c>
      <c r="K24" s="492">
        <v>5000000</v>
      </c>
      <c r="L24" s="486" t="s">
        <v>157</v>
      </c>
      <c r="M24" s="493">
        <v>107</v>
      </c>
      <c r="N24" s="484" t="s">
        <v>246</v>
      </c>
      <c r="O24" s="484"/>
      <c r="P24" s="484"/>
    </row>
    <row r="25" spans="1:16" ht="14.25" customHeight="1">
      <c r="A25" s="1531" t="s">
        <v>279</v>
      </c>
      <c r="B25" s="1531"/>
      <c r="C25" s="10" t="s">
        <v>157</v>
      </c>
      <c r="D25" s="1532">
        <v>5</v>
      </c>
      <c r="E25" s="1532"/>
      <c r="F25" s="484" t="s">
        <v>280</v>
      </c>
      <c r="G25" s="500">
        <f>+D23</f>
        <v>1.84</v>
      </c>
      <c r="I25" s="506"/>
      <c r="J25" s="491" t="s">
        <v>270</v>
      </c>
      <c r="K25" s="492">
        <v>5940697.4000000004</v>
      </c>
      <c r="L25" s="490" t="s">
        <v>157</v>
      </c>
      <c r="M25" s="489">
        <f>+ROUNDUP((K25-K24)*(M26-M24)/(K26-K24)+M24,0)</f>
        <v>128</v>
      </c>
      <c r="N25" s="485" t="s">
        <v>246</v>
      </c>
      <c r="O25" s="485" t="s">
        <v>271</v>
      </c>
      <c r="P25" s="484"/>
    </row>
    <row r="26" spans="1:16" ht="15">
      <c r="C26" s="10" t="s">
        <v>157</v>
      </c>
      <c r="D26" s="501">
        <f>CEILING(D25*D23,1)</f>
        <v>10</v>
      </c>
      <c r="E26" s="484" t="s">
        <v>246</v>
      </c>
      <c r="F26" s="484"/>
      <c r="G26" s="484"/>
      <c r="I26" s="506"/>
      <c r="J26" s="491" t="s">
        <v>270</v>
      </c>
      <c r="K26" s="492"/>
      <c r="L26" s="486" t="s">
        <v>157</v>
      </c>
      <c r="M26" s="493"/>
      <c r="N26" s="484"/>
    </row>
    <row r="27" spans="1:16" ht="15">
      <c r="D27" s="501"/>
      <c r="E27" s="484"/>
      <c r="F27" s="484"/>
      <c r="G27" s="484"/>
      <c r="I27" s="506"/>
      <c r="J27" s="158"/>
      <c r="K27" s="158"/>
      <c r="L27" s="158"/>
      <c r="M27" s="158"/>
      <c r="N27" s="158"/>
      <c r="O27" s="158"/>
      <c r="P27" s="158"/>
    </row>
    <row r="28" spans="1:16" ht="15">
      <c r="A28" s="1533" t="s">
        <v>281</v>
      </c>
      <c r="B28" s="1533"/>
      <c r="C28" s="1533"/>
      <c r="D28" s="1533"/>
      <c r="E28" s="1533"/>
      <c r="F28" s="1533"/>
      <c r="G28" s="1533"/>
      <c r="I28" s="506"/>
      <c r="J28" s="490" t="s">
        <v>273</v>
      </c>
      <c r="K28" s="5" t="s">
        <v>275</v>
      </c>
      <c r="L28" s="486"/>
      <c r="M28" s="493"/>
      <c r="N28" s="484"/>
      <c r="O28" s="484"/>
      <c r="P28" s="484"/>
    </row>
    <row r="29" spans="1:16">
      <c r="D29" s="484"/>
      <c r="E29" s="484"/>
      <c r="F29" s="484"/>
      <c r="G29" s="484"/>
      <c r="I29" s="506"/>
      <c r="J29" s="490"/>
      <c r="K29" s="484" t="s">
        <v>269</v>
      </c>
      <c r="L29" s="486"/>
      <c r="M29" s="508" t="s">
        <v>278</v>
      </c>
      <c r="N29" s="484"/>
      <c r="O29" s="484"/>
      <c r="P29" s="484"/>
    </row>
    <row r="30" spans="1:16" ht="15">
      <c r="B30" s="502" t="s">
        <v>245</v>
      </c>
      <c r="C30" s="12" t="s">
        <v>157</v>
      </c>
      <c r="D30" s="501">
        <f>+D22+D26</f>
        <v>65</v>
      </c>
      <c r="E30" s="5" t="s">
        <v>246</v>
      </c>
      <c r="I30" s="506"/>
      <c r="J30" s="491" t="s">
        <v>270</v>
      </c>
      <c r="K30" s="492">
        <v>5000000</v>
      </c>
      <c r="L30" s="486" t="s">
        <v>157</v>
      </c>
      <c r="M30" s="493">
        <v>107</v>
      </c>
      <c r="N30" s="484" t="s">
        <v>246</v>
      </c>
      <c r="O30" s="484"/>
      <c r="P30" s="484"/>
    </row>
    <row r="31" spans="1:16" ht="15">
      <c r="B31" s="502"/>
      <c r="C31" s="12"/>
      <c r="D31" s="14">
        <f>ROUND(D30/30,1)</f>
        <v>2.2000000000000002</v>
      </c>
      <c r="E31" s="5" t="s">
        <v>282</v>
      </c>
      <c r="I31" s="506"/>
      <c r="J31" s="491" t="s">
        <v>270</v>
      </c>
      <c r="K31" s="492">
        <v>5940697.4000000004</v>
      </c>
      <c r="L31" s="490" t="s">
        <v>157</v>
      </c>
      <c r="M31" s="489">
        <f>+ROUNDUP((K31-K30)*(M32-M30)/(K32-K30)+M30,0)</f>
        <v>128</v>
      </c>
      <c r="N31" s="485" t="s">
        <v>246</v>
      </c>
      <c r="O31" s="485" t="s">
        <v>271</v>
      </c>
      <c r="P31" s="484"/>
    </row>
    <row r="32" spans="1:16">
      <c r="D32" s="503">
        <f>D30/30</f>
        <v>2.1666666666666665</v>
      </c>
      <c r="H32" s="332" t="e">
        <f>+B9+B14+#REF!+B19+#REF!+#REF!</f>
        <v>#REF!</v>
      </c>
      <c r="I32" s="506"/>
      <c r="J32" s="491" t="s">
        <v>270</v>
      </c>
      <c r="K32" s="492"/>
      <c r="L32" s="486" t="s">
        <v>157</v>
      </c>
      <c r="M32" s="493"/>
      <c r="N32" s="484"/>
    </row>
    <row r="33" spans="1:17">
      <c r="H33" t="s">
        <v>283</v>
      </c>
      <c r="I33" s="10"/>
      <c r="K33" s="484" t="s">
        <v>284</v>
      </c>
      <c r="L33" s="10" t="s">
        <v>157</v>
      </c>
      <c r="M33" s="489">
        <v>10</v>
      </c>
      <c r="N33" s="484" t="s">
        <v>285</v>
      </c>
    </row>
    <row r="34" spans="1:17">
      <c r="A34" t="str">
        <f>+'POW-2015-01-00_'!A45</f>
        <v>Prepared by:</v>
      </c>
      <c r="E34" t="str">
        <f>+'POW-2015-01-00_'!H45</f>
        <v>Checked/Submitted by:</v>
      </c>
      <c r="I34" s="509"/>
      <c r="L34" s="10"/>
      <c r="M34" s="10"/>
    </row>
    <row r="35" spans="1:17" ht="15">
      <c r="I35" s="509"/>
      <c r="K35" t="s">
        <v>286</v>
      </c>
      <c r="L35" s="10" t="s">
        <v>157</v>
      </c>
      <c r="M35" s="510" t="e">
        <f>M9+#REF!+M25+M33</f>
        <v>#REF!</v>
      </c>
      <c r="N35" t="s">
        <v>246</v>
      </c>
    </row>
    <row r="36" spans="1:17">
      <c r="I36" s="10"/>
      <c r="L36" s="10" t="s">
        <v>276</v>
      </c>
      <c r="M36" s="329" t="e">
        <f>+ROUNDUP(M35/30,2)</f>
        <v>#REF!</v>
      </c>
      <c r="N36" t="s">
        <v>277</v>
      </c>
    </row>
    <row r="37" spans="1:17">
      <c r="I37" s="509"/>
      <c r="L37" s="10"/>
      <c r="M37" s="329"/>
    </row>
    <row r="38" spans="1:17" ht="16.5" customHeight="1">
      <c r="A38" s="1534" t="str">
        <f>+'POW-2015-01-00_'!A48:E48</f>
        <v xml:space="preserve">WINLOVE A. ESTEVES
</v>
      </c>
      <c r="B38" s="1534"/>
      <c r="C38" s="12"/>
      <c r="D38" s="12"/>
      <c r="E38" s="1502" t="str">
        <f>+'POW-2015-01-00_'!H48</f>
        <v>MARK ANGELO E. SURIL</v>
      </c>
      <c r="F38" s="1502"/>
      <c r="G38" s="1502"/>
      <c r="H38" s="504"/>
      <c r="I38" s="509"/>
      <c r="J38" s="1535" t="s">
        <v>279</v>
      </c>
      <c r="K38" s="1535"/>
      <c r="L38" s="10" t="s">
        <v>157</v>
      </c>
      <c r="M38" s="1536">
        <v>5</v>
      </c>
      <c r="N38" s="1536"/>
      <c r="O38" t="s">
        <v>280</v>
      </c>
      <c r="P38" s="504" t="e">
        <f>+M36</f>
        <v>#REF!</v>
      </c>
      <c r="Q38" s="504"/>
    </row>
    <row r="39" spans="1:17" ht="15">
      <c r="A39" s="1537" t="str">
        <f>+'POW-2015-01-00_'!A49:E49</f>
        <v>Engineer II</v>
      </c>
      <c r="B39" s="1537"/>
      <c r="C39" s="10"/>
      <c r="D39" s="10"/>
      <c r="E39" s="1537" t="str">
        <f>+'POW-2015-01-00_'!H49</f>
        <v>Engineer II</v>
      </c>
      <c r="F39" s="1537"/>
      <c r="G39" s="1537"/>
      <c r="I39" s="509"/>
      <c r="L39" s="10" t="s">
        <v>157</v>
      </c>
      <c r="M39" s="501" t="e">
        <f>+M38*M36</f>
        <v>#REF!</v>
      </c>
      <c r="N39" t="s">
        <v>246</v>
      </c>
    </row>
    <row r="40" spans="1:17">
      <c r="A40" s="1521" t="str">
        <f>+'POW-2015-01-00_'!A50:E50</f>
        <v>Planning and Design Section</v>
      </c>
      <c r="B40" s="1521"/>
      <c r="E40" s="1521" t="str">
        <f>+'POW-2015-01-00_'!H50</f>
        <v>Planning and Design Section</v>
      </c>
      <c r="F40" s="1521"/>
      <c r="G40" s="1521"/>
      <c r="I40" s="10"/>
    </row>
    <row r="41" spans="1:17">
      <c r="H41" s="484"/>
      <c r="I41" s="10"/>
      <c r="J41" s="1533" t="s">
        <v>287</v>
      </c>
      <c r="K41" s="1533"/>
      <c r="L41" s="1533"/>
      <c r="M41" s="1533"/>
      <c r="N41" s="1533"/>
      <c r="O41" s="1533"/>
      <c r="P41" s="1533"/>
      <c r="Q41" s="484"/>
    </row>
    <row r="42" spans="1:17">
      <c r="H42" s="484"/>
      <c r="I42" s="10"/>
      <c r="M42" s="484"/>
      <c r="N42" s="484"/>
      <c r="O42" s="484"/>
      <c r="P42" s="484"/>
      <c r="Q42" s="484"/>
    </row>
    <row r="43" spans="1:17" ht="15">
      <c r="I43" s="10"/>
      <c r="K43" s="502" t="s">
        <v>288</v>
      </c>
      <c r="L43" s="12" t="s">
        <v>157</v>
      </c>
      <c r="M43" s="501" t="e">
        <f>M35+M39</f>
        <v>#REF!</v>
      </c>
      <c r="N43" s="5" t="s">
        <v>246</v>
      </c>
    </row>
    <row r="44" spans="1:17">
      <c r="I44" s="506"/>
    </row>
    <row r="45" spans="1:17">
      <c r="A45" s="505"/>
      <c r="B45" s="506"/>
      <c r="C45" s="506"/>
      <c r="D45" s="506"/>
      <c r="E45" s="506"/>
      <c r="F45" s="506"/>
      <c r="G45" s="506"/>
      <c r="I45" s="506"/>
      <c r="M45" s="503" t="e">
        <f>M43/30</f>
        <v>#REF!</v>
      </c>
      <c r="N45" s="503" t="e">
        <f>M45</f>
        <v>#REF!</v>
      </c>
    </row>
    <row r="46" spans="1:17">
      <c r="A46" s="505"/>
      <c r="B46" s="506"/>
      <c r="C46" s="506"/>
      <c r="D46" s="506"/>
      <c r="E46" s="506"/>
      <c r="F46" s="506"/>
      <c r="G46" s="506"/>
      <c r="I46" s="10"/>
    </row>
    <row r="47" spans="1:17">
      <c r="A47" s="505"/>
      <c r="B47" s="507"/>
      <c r="C47" s="506"/>
      <c r="D47" s="506"/>
      <c r="E47" s="506"/>
      <c r="F47" s="506"/>
      <c r="G47" s="506"/>
      <c r="I47" s="506"/>
    </row>
    <row r="48" spans="1:17">
      <c r="A48" s="505"/>
      <c r="B48" s="507"/>
      <c r="C48" s="506"/>
      <c r="D48" s="506"/>
      <c r="E48" s="506"/>
      <c r="F48" s="506"/>
      <c r="G48" s="506"/>
      <c r="I48" s="506"/>
    </row>
    <row r="49" spans="8:12">
      <c r="I49" s="506"/>
    </row>
    <row r="50" spans="8:12">
      <c r="I50" s="10"/>
    </row>
    <row r="51" spans="8:12">
      <c r="I51" s="10"/>
    </row>
    <row r="52" spans="8:12">
      <c r="I52" s="10"/>
      <c r="K52">
        <f>[2]POW!K83</f>
        <v>0</v>
      </c>
    </row>
    <row r="53" spans="8:12">
      <c r="I53" s="506"/>
      <c r="J53" s="506"/>
      <c r="K53" s="506"/>
      <c r="L53" s="506"/>
    </row>
    <row r="54" spans="8:12">
      <c r="I54" s="506"/>
      <c r="J54" s="506"/>
      <c r="K54" s="506"/>
      <c r="L54" s="506"/>
    </row>
    <row r="55" spans="8:12">
      <c r="I55" s="10"/>
      <c r="J55" s="506"/>
      <c r="K55" s="506"/>
      <c r="L55" s="506"/>
    </row>
    <row r="56" spans="8:12">
      <c r="I56" s="10"/>
      <c r="J56" s="506"/>
      <c r="K56" s="506"/>
      <c r="L56" s="506"/>
    </row>
    <row r="57" spans="8:12">
      <c r="I57" s="10"/>
      <c r="J57" s="506"/>
      <c r="K57" s="506"/>
      <c r="L57" s="506"/>
    </row>
    <row r="58" spans="8:12">
      <c r="H58" s="506"/>
      <c r="I58" s="10"/>
      <c r="J58" s="506"/>
      <c r="K58" s="506"/>
      <c r="L58" s="506"/>
    </row>
    <row r="59" spans="8:12">
      <c r="H59" s="506"/>
      <c r="I59" s="506"/>
      <c r="J59" s="506"/>
      <c r="K59" s="506"/>
      <c r="L59" s="506"/>
    </row>
    <row r="60" spans="8:12">
      <c r="H60" s="506"/>
      <c r="I60" s="506"/>
      <c r="J60" s="506"/>
      <c r="K60" s="506"/>
      <c r="L60" s="506"/>
    </row>
    <row r="61" spans="8:12">
      <c r="H61" s="506"/>
      <c r="I61" s="506"/>
      <c r="J61" s="506"/>
      <c r="K61" s="506"/>
      <c r="L61" s="506"/>
    </row>
  </sheetData>
  <mergeCells count="16">
    <mergeCell ref="A39:B39"/>
    <mergeCell ref="E39:G39"/>
    <mergeCell ref="A40:B40"/>
    <mergeCell ref="E40:G40"/>
    <mergeCell ref="J41:P41"/>
    <mergeCell ref="A28:G28"/>
    <mergeCell ref="A38:B38"/>
    <mergeCell ref="E38:G38"/>
    <mergeCell ref="J38:K38"/>
    <mergeCell ref="M38:N38"/>
    <mergeCell ref="A1:G1"/>
    <mergeCell ref="J1:Q1"/>
    <mergeCell ref="A2:G2"/>
    <mergeCell ref="J2:Q2"/>
    <mergeCell ref="A25:B25"/>
    <mergeCell ref="D25:E25"/>
  </mergeCells>
  <pageMargins left="0.7" right="0.7" top="1.1436999999999999" bottom="1.1436999999999999" header="0.75" footer="0.75"/>
  <pageSetup paperSize="9" scale="90" fitToWidth="0" fitToHeight="0"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I58"/>
  <sheetViews>
    <sheetView topLeftCell="A6" workbookViewId="0"/>
  </sheetViews>
  <sheetFormatPr defaultColWidth="9" defaultRowHeight="14.25"/>
  <cols>
    <col min="1" max="1" width="29" customWidth="1"/>
    <col min="2" max="2" width="3.875" customWidth="1"/>
    <col min="3" max="4" width="8.5" customWidth="1"/>
    <col min="5" max="5" width="10.375" customWidth="1"/>
    <col min="6" max="6" width="31" customWidth="1"/>
    <col min="7" max="7" width="2.5" customWidth="1"/>
    <col min="8" max="8" width="10.625" customWidth="1"/>
    <col min="9" max="1024" width="8.5" customWidth="1"/>
    <col min="1025" max="1025" width="9" customWidth="1"/>
  </cols>
  <sheetData>
    <row r="1" spans="1:9" ht="15.75">
      <c r="A1" s="469" t="str">
        <f>+'A_1_1_(3)'!G5</f>
        <v>Construction of Field Office for the Engineer</v>
      </c>
    </row>
    <row r="2" spans="1:9" ht="15">
      <c r="A2" s="5"/>
    </row>
    <row r="3" spans="1:9">
      <c r="A3" t="s">
        <v>197</v>
      </c>
    </row>
    <row r="4" spans="1:9">
      <c r="D4" s="10"/>
      <c r="E4" s="10"/>
      <c r="F4" s="10"/>
      <c r="G4" s="10"/>
    </row>
    <row r="5" spans="1:9" ht="15">
      <c r="A5" s="5" t="s">
        <v>289</v>
      </c>
      <c r="D5" s="10"/>
      <c r="E5" s="10"/>
      <c r="F5" s="470" t="s">
        <v>290</v>
      </c>
      <c r="G5" s="471"/>
      <c r="H5" s="472"/>
      <c r="I5" s="482"/>
    </row>
    <row r="6" spans="1:9">
      <c r="A6" t="s">
        <v>291</v>
      </c>
      <c r="B6" s="10" t="s">
        <v>157</v>
      </c>
      <c r="C6" s="161">
        <f>0.6*0.6*0.2*4</f>
        <v>0.28799999999999998</v>
      </c>
      <c r="F6" s="160" t="s">
        <v>292</v>
      </c>
      <c r="G6" s="10" t="s">
        <v>157</v>
      </c>
      <c r="H6" s="161">
        <f>+ROUND(SUMIF(A:A,F6,C:C),2)</f>
        <v>20.7</v>
      </c>
      <c r="I6" s="162" t="s">
        <v>293</v>
      </c>
    </row>
    <row r="7" spans="1:9">
      <c r="A7" t="s">
        <v>294</v>
      </c>
      <c r="B7" s="10" t="s">
        <v>157</v>
      </c>
      <c r="C7" s="161">
        <f>0.2*0.2*1.6*4</f>
        <v>0.25600000000000006</v>
      </c>
      <c r="F7" s="160" t="s">
        <v>295</v>
      </c>
      <c r="G7" s="10" t="s">
        <v>157</v>
      </c>
      <c r="H7" s="161">
        <f>+ROUND(SUMIF(A:A,F7,C:C),2)</f>
        <v>1.3</v>
      </c>
      <c r="I7" s="162" t="s">
        <v>204</v>
      </c>
    </row>
    <row r="8" spans="1:9">
      <c r="A8" s="473" t="s">
        <v>296</v>
      </c>
      <c r="B8" s="474" t="s">
        <v>157</v>
      </c>
      <c r="C8" s="475">
        <f>3*3*0.1</f>
        <v>0.9</v>
      </c>
      <c r="D8" s="473"/>
      <c r="F8" s="160" t="s">
        <v>297</v>
      </c>
      <c r="G8" s="10" t="s">
        <v>157</v>
      </c>
      <c r="H8" s="161">
        <f>+ROUND(SUMIF(A:A,F8,C:C),2)</f>
        <v>1.44</v>
      </c>
      <c r="I8" s="162" t="s">
        <v>204</v>
      </c>
    </row>
    <row r="9" spans="1:9" ht="15">
      <c r="C9" s="5">
        <f>+SUM(C6:C8)</f>
        <v>1.444</v>
      </c>
      <c r="D9" s="5" t="s">
        <v>204</v>
      </c>
      <c r="F9" s="160" t="s">
        <v>298</v>
      </c>
      <c r="G9" s="10" t="s">
        <v>157</v>
      </c>
      <c r="H9" s="161">
        <f>+ROUND(SUMIF(A:A,F9,C:C),0)</f>
        <v>187</v>
      </c>
      <c r="I9" s="162" t="s">
        <v>299</v>
      </c>
    </row>
    <row r="10" spans="1:9" s="468" customFormat="1">
      <c r="A10" s="468" t="s">
        <v>292</v>
      </c>
      <c r="B10" s="476" t="s">
        <v>157</v>
      </c>
      <c r="C10" s="477">
        <f>+C9*9.1</f>
        <v>13.1404</v>
      </c>
      <c r="D10" s="468" t="s">
        <v>293</v>
      </c>
      <c r="F10" s="160" t="s">
        <v>300</v>
      </c>
      <c r="G10" s="10" t="s">
        <v>157</v>
      </c>
      <c r="H10" s="161">
        <f>+ROUNDUP(SUMIF(A:A,F10,C:C),0)</f>
        <v>11</v>
      </c>
      <c r="I10" s="162" t="s">
        <v>299</v>
      </c>
    </row>
    <row r="11" spans="1:9" s="468" customFormat="1">
      <c r="A11" s="468" t="s">
        <v>295</v>
      </c>
      <c r="B11" s="476" t="s">
        <v>157</v>
      </c>
      <c r="C11" s="477">
        <f>+C9*0.5</f>
        <v>0.72199999999999998</v>
      </c>
      <c r="D11" s="468" t="s">
        <v>204</v>
      </c>
      <c r="F11" s="160" t="s">
        <v>301</v>
      </c>
      <c r="G11" s="10" t="s">
        <v>157</v>
      </c>
      <c r="H11" s="161">
        <f>+ROUND(SUMIF(A:A,F11,C:C),2)</f>
        <v>112.45</v>
      </c>
      <c r="I11" s="162" t="s">
        <v>302</v>
      </c>
    </row>
    <row r="12" spans="1:9" s="468" customFormat="1">
      <c r="A12" s="468" t="s">
        <v>297</v>
      </c>
      <c r="B12" s="476" t="s">
        <v>157</v>
      </c>
      <c r="C12" s="477">
        <f>+C9</f>
        <v>1.444</v>
      </c>
      <c r="D12" s="468" t="s">
        <v>204</v>
      </c>
      <c r="F12" s="160" t="s">
        <v>303</v>
      </c>
      <c r="G12" s="10" t="s">
        <v>157</v>
      </c>
      <c r="H12" s="161">
        <f>+ROUND(SUMIF(A:A,F12,C:C),2)</f>
        <v>21</v>
      </c>
      <c r="I12" s="162" t="s">
        <v>213</v>
      </c>
    </row>
    <row r="13" spans="1:9">
      <c r="F13" s="160" t="s">
        <v>304</v>
      </c>
      <c r="G13" s="10" t="s">
        <v>157</v>
      </c>
      <c r="H13" s="161">
        <f>+ROUND(SUMIF(A:A,F13,C:C),0)</f>
        <v>291</v>
      </c>
      <c r="I13" s="162" t="s">
        <v>305</v>
      </c>
    </row>
    <row r="14" spans="1:9" ht="15">
      <c r="A14" s="5" t="s">
        <v>306</v>
      </c>
      <c r="F14" s="478" t="s">
        <v>307</v>
      </c>
      <c r="G14" s="474" t="s">
        <v>157</v>
      </c>
      <c r="H14" s="475">
        <f>+ROUND(SUMIF(A:A,F14,C:C),2)</f>
        <v>4.2</v>
      </c>
      <c r="I14" s="483" t="s">
        <v>108</v>
      </c>
    </row>
    <row r="15" spans="1:9" ht="15">
      <c r="A15" s="473" t="s">
        <v>235</v>
      </c>
      <c r="B15" s="474" t="s">
        <v>157</v>
      </c>
      <c r="C15" s="479">
        <f>3*1.2*4</f>
        <v>14.399999999999999</v>
      </c>
      <c r="D15" s="359" t="s">
        <v>213</v>
      </c>
    </row>
    <row r="16" spans="1:9" s="468" customFormat="1">
      <c r="A16" s="468" t="s">
        <v>298</v>
      </c>
      <c r="B16" s="480" t="s">
        <v>157</v>
      </c>
      <c r="C16" s="477">
        <f>+C15*13</f>
        <v>187.2</v>
      </c>
      <c r="D16" s="468" t="s">
        <v>299</v>
      </c>
    </row>
    <row r="17" spans="1:4" s="468" customFormat="1">
      <c r="A17" s="468" t="s">
        <v>292</v>
      </c>
      <c r="B17" s="480" t="s">
        <v>157</v>
      </c>
      <c r="C17" s="477">
        <f>+C15*0.525</f>
        <v>7.56</v>
      </c>
      <c r="D17" s="468" t="s">
        <v>293</v>
      </c>
    </row>
    <row r="18" spans="1:4" s="468" customFormat="1">
      <c r="A18" s="468" t="s">
        <v>295</v>
      </c>
      <c r="B18" s="480" t="s">
        <v>157</v>
      </c>
      <c r="C18" s="477">
        <f>+C15*0.04</f>
        <v>0.57599999999999996</v>
      </c>
      <c r="D18" s="468" t="s">
        <v>204</v>
      </c>
    </row>
    <row r="20" spans="1:4" ht="15">
      <c r="A20" s="5" t="s">
        <v>308</v>
      </c>
    </row>
    <row r="21" spans="1:4" ht="15">
      <c r="A21" s="473" t="s">
        <v>235</v>
      </c>
      <c r="B21" s="474" t="s">
        <v>157</v>
      </c>
      <c r="C21" s="479">
        <f>3*1.7*4</f>
        <v>20.399999999999999</v>
      </c>
      <c r="D21" s="359" t="s">
        <v>213</v>
      </c>
    </row>
    <row r="22" spans="1:4" s="468" customFormat="1">
      <c r="A22" s="468" t="s">
        <v>300</v>
      </c>
      <c r="B22" s="480" t="s">
        <v>157</v>
      </c>
      <c r="C22" s="477">
        <f>+C21/(1.2*2.4)</f>
        <v>7.083333333333333</v>
      </c>
      <c r="D22" s="468" t="s">
        <v>299</v>
      </c>
    </row>
    <row r="24" spans="1:4" ht="15">
      <c r="A24" s="5" t="s">
        <v>309</v>
      </c>
    </row>
    <row r="25" spans="1:4">
      <c r="A25" t="s">
        <v>291</v>
      </c>
    </row>
    <row r="26" spans="1:4">
      <c r="A26" t="s">
        <v>310</v>
      </c>
      <c r="B26" s="10" t="s">
        <v>157</v>
      </c>
      <c r="C26" s="161">
        <f>0.6*4*2*4</f>
        <v>19.2</v>
      </c>
      <c r="D26" t="s">
        <v>108</v>
      </c>
    </row>
    <row r="27" spans="1:4">
      <c r="A27" t="s">
        <v>294</v>
      </c>
    </row>
    <row r="28" spans="1:4">
      <c r="A28" t="s">
        <v>311</v>
      </c>
      <c r="B28" s="10" t="s">
        <v>157</v>
      </c>
      <c r="C28" s="161">
        <f>4*1.8*4</f>
        <v>28.8</v>
      </c>
      <c r="D28" t="s">
        <v>108</v>
      </c>
    </row>
    <row r="29" spans="1:4">
      <c r="A29" t="s">
        <v>310</v>
      </c>
      <c r="B29" s="10" t="s">
        <v>157</v>
      </c>
      <c r="C29" s="161">
        <f>0.2*4*9*4</f>
        <v>28.8</v>
      </c>
      <c r="D29" t="s">
        <v>108</v>
      </c>
    </row>
    <row r="30" spans="1:4">
      <c r="A30" t="s">
        <v>296</v>
      </c>
    </row>
    <row r="31" spans="1:4">
      <c r="A31" t="s">
        <v>310</v>
      </c>
      <c r="B31" s="10" t="s">
        <v>157</v>
      </c>
      <c r="C31" s="161">
        <f>6*3*2</f>
        <v>36</v>
      </c>
      <c r="D31" t="s">
        <v>108</v>
      </c>
    </row>
    <row r="32" spans="1:4">
      <c r="A32" t="s">
        <v>312</v>
      </c>
    </row>
    <row r="33" spans="1:5">
      <c r="A33" s="473" t="s">
        <v>310</v>
      </c>
      <c r="B33" s="474" t="s">
        <v>157</v>
      </c>
      <c r="C33" s="475">
        <f>+(3*3*4)+(4*1.3*4)</f>
        <v>56.8</v>
      </c>
      <c r="D33" s="473" t="s">
        <v>108</v>
      </c>
    </row>
    <row r="34" spans="1:5" s="468" customFormat="1">
      <c r="A34" t="s">
        <v>310</v>
      </c>
      <c r="B34" s="10" t="s">
        <v>157</v>
      </c>
      <c r="C34" s="332">
        <f>+(C26+C29+C31+C33)*0.617</f>
        <v>86.87360000000001</v>
      </c>
      <c r="D34" t="s">
        <v>302</v>
      </c>
    </row>
    <row r="35" spans="1:5" s="468" customFormat="1">
      <c r="A35" t="s">
        <v>311</v>
      </c>
      <c r="B35" s="10" t="s">
        <v>157</v>
      </c>
      <c r="C35" s="475">
        <f>+C28*0.888</f>
        <v>25.574400000000001</v>
      </c>
      <c r="D35" t="s">
        <v>302</v>
      </c>
    </row>
    <row r="36" spans="1:5" s="468" customFormat="1">
      <c r="A36" s="468" t="s">
        <v>301</v>
      </c>
      <c r="B36" s="476" t="s">
        <v>157</v>
      </c>
      <c r="C36" s="477">
        <f>+SUM(C34:C35)</f>
        <v>112.44800000000001</v>
      </c>
      <c r="D36" s="468" t="s">
        <v>302</v>
      </c>
    </row>
    <row r="38" spans="1:5" ht="15">
      <c r="A38" s="5" t="s">
        <v>313</v>
      </c>
    </row>
    <row r="39" spans="1:5" s="468" customFormat="1">
      <c r="A39" s="468" t="s">
        <v>303</v>
      </c>
      <c r="B39" s="476" t="s">
        <v>157</v>
      </c>
      <c r="C39" s="468">
        <f>2.5*4.2*2</f>
        <v>21</v>
      </c>
      <c r="D39" s="468" t="s">
        <v>213</v>
      </c>
    </row>
    <row r="40" spans="1:5">
      <c r="A40" t="s">
        <v>314</v>
      </c>
    </row>
    <row r="41" spans="1:5">
      <c r="A41" t="s">
        <v>315</v>
      </c>
      <c r="B41" s="10" t="s">
        <v>157</v>
      </c>
      <c r="C41" s="161">
        <f>4*1.7/0.3048</f>
        <v>22.309711286089236</v>
      </c>
      <c r="D41" t="s">
        <v>316</v>
      </c>
      <c r="E41" t="s">
        <v>317</v>
      </c>
    </row>
    <row r="42" spans="1:5">
      <c r="A42" t="s">
        <v>318</v>
      </c>
      <c r="B42" s="10" t="s">
        <v>157</v>
      </c>
      <c r="C42" s="161">
        <f>6*3*2/0.3048</f>
        <v>118.11023622047243</v>
      </c>
      <c r="D42" t="s">
        <v>316</v>
      </c>
      <c r="E42" t="s">
        <v>319</v>
      </c>
    </row>
    <row r="43" spans="1:5">
      <c r="A43" t="s">
        <v>318</v>
      </c>
      <c r="B43" s="10" t="s">
        <v>157</v>
      </c>
      <c r="C43" s="161">
        <f>3*0.4*6/0.3048</f>
        <v>23.622047244094489</v>
      </c>
      <c r="D43" t="s">
        <v>316</v>
      </c>
      <c r="E43" t="s">
        <v>320</v>
      </c>
    </row>
    <row r="44" spans="1:5">
      <c r="A44" t="s">
        <v>321</v>
      </c>
      <c r="B44" s="10" t="s">
        <v>157</v>
      </c>
      <c r="C44" s="161">
        <f>2*3*2/0.3048</f>
        <v>39.370078740157481</v>
      </c>
      <c r="D44" t="s">
        <v>316</v>
      </c>
      <c r="E44" t="s">
        <v>322</v>
      </c>
    </row>
    <row r="45" spans="1:5">
      <c r="A45" t="s">
        <v>323</v>
      </c>
      <c r="B45" s="10" t="s">
        <v>157</v>
      </c>
      <c r="C45" s="161">
        <f>0.4*2/0.3048</f>
        <v>2.6246719160104988</v>
      </c>
      <c r="D45" t="s">
        <v>316</v>
      </c>
      <c r="E45" t="s">
        <v>324</v>
      </c>
    </row>
    <row r="46" spans="1:5">
      <c r="A46" t="s">
        <v>323</v>
      </c>
      <c r="B46" s="10" t="s">
        <v>157</v>
      </c>
      <c r="C46" s="161">
        <f>2*1*2/0.3048</f>
        <v>13.123359580052492</v>
      </c>
      <c r="D46" t="s">
        <v>316</v>
      </c>
      <c r="E46" t="s">
        <v>325</v>
      </c>
    </row>
    <row r="47" spans="1:5">
      <c r="A47" t="s">
        <v>323</v>
      </c>
      <c r="B47" s="10" t="s">
        <v>157</v>
      </c>
      <c r="C47" s="161">
        <f>2.5*2*2/0.3048</f>
        <v>32.808398950131235</v>
      </c>
      <c r="D47" t="s">
        <v>316</v>
      </c>
      <c r="E47" t="s">
        <v>326</v>
      </c>
    </row>
    <row r="48" spans="1:5">
      <c r="A48" t="s">
        <v>327</v>
      </c>
      <c r="B48" s="10" t="s">
        <v>157</v>
      </c>
      <c r="C48" s="161">
        <f>8*4.2/0.3048</f>
        <v>110.23622047244095</v>
      </c>
      <c r="D48" t="s">
        <v>316</v>
      </c>
      <c r="E48" t="s">
        <v>328</v>
      </c>
    </row>
    <row r="49" spans="1:5">
      <c r="A49" t="s">
        <v>323</v>
      </c>
      <c r="B49" s="10" t="s">
        <v>157</v>
      </c>
      <c r="C49" s="161">
        <f>3/0.3048</f>
        <v>9.8425196850393704</v>
      </c>
      <c r="D49" t="s">
        <v>316</v>
      </c>
    </row>
    <row r="50" spans="1:5">
      <c r="A50" s="473" t="s">
        <v>318</v>
      </c>
      <c r="B50" s="474" t="s">
        <v>157</v>
      </c>
      <c r="C50" s="475">
        <f>+((6*1.7*4)+(3*3*4))/0.3048</f>
        <v>251.96850393700785</v>
      </c>
      <c r="D50" s="473" t="s">
        <v>316</v>
      </c>
      <c r="E50" s="473" t="s">
        <v>329</v>
      </c>
    </row>
    <row r="51" spans="1:5">
      <c r="A51" t="s">
        <v>318</v>
      </c>
      <c r="B51" s="10" t="s">
        <v>157</v>
      </c>
      <c r="C51" s="161">
        <f>+SUMIF($A$41:$A$50,A51,$C$41:$C$50)*2*2/12</f>
        <v>131.23359580052491</v>
      </c>
      <c r="D51" t="s">
        <v>305</v>
      </c>
    </row>
    <row r="52" spans="1:5">
      <c r="A52" t="s">
        <v>327</v>
      </c>
      <c r="B52" s="10" t="s">
        <v>157</v>
      </c>
      <c r="C52" s="161">
        <f>+SUMIF($A$41:$A$50,A52,$C$41:$C$50)*2*3/12</f>
        <v>55.118110236220474</v>
      </c>
      <c r="D52" t="s">
        <v>305</v>
      </c>
    </row>
    <row r="53" spans="1:5">
      <c r="A53" t="s">
        <v>321</v>
      </c>
      <c r="B53" s="10" t="s">
        <v>157</v>
      </c>
      <c r="C53" s="161">
        <f>+SUMIF($A$41:$A$50,A53,$C$41:$C$50)*2*4/12</f>
        <v>26.246719160104988</v>
      </c>
      <c r="D53" t="s">
        <v>305</v>
      </c>
    </row>
    <row r="54" spans="1:5">
      <c r="A54" t="s">
        <v>323</v>
      </c>
      <c r="B54" s="10" t="s">
        <v>157</v>
      </c>
      <c r="C54" s="161">
        <f>+SUMIF($A$41:$A$50,A54,$C$41:$C$50)*2*5/12</f>
        <v>48.665791776027994</v>
      </c>
      <c r="D54" t="s">
        <v>305</v>
      </c>
    </row>
    <row r="55" spans="1:5">
      <c r="A55" t="s">
        <v>315</v>
      </c>
      <c r="B55" s="10" t="s">
        <v>157</v>
      </c>
      <c r="C55" s="475">
        <f>+SUMIF($A$41:$A$50,A55,$C$41:$C$50)*4*4/12</f>
        <v>29.746281714785649</v>
      </c>
      <c r="D55" t="s">
        <v>305</v>
      </c>
    </row>
    <row r="56" spans="1:5" s="468" customFormat="1">
      <c r="A56" s="468" t="s">
        <v>304</v>
      </c>
      <c r="B56" s="476" t="s">
        <v>157</v>
      </c>
      <c r="C56" s="481">
        <f>+SUM(C51:C55)</f>
        <v>291.01049868766404</v>
      </c>
      <c r="D56" s="468" t="s">
        <v>305</v>
      </c>
    </row>
    <row r="57" spans="1:5" s="468" customFormat="1">
      <c r="A57" s="468" t="s">
        <v>300</v>
      </c>
      <c r="B57" s="476" t="s">
        <v>157</v>
      </c>
      <c r="C57" s="477">
        <f>+(3*3)/(1.2*2.4)</f>
        <v>3.125</v>
      </c>
      <c r="D57" s="468" t="s">
        <v>299</v>
      </c>
    </row>
    <row r="58" spans="1:5" s="468" customFormat="1">
      <c r="A58" s="468" t="s">
        <v>307</v>
      </c>
      <c r="B58" s="476" t="s">
        <v>157</v>
      </c>
      <c r="C58" s="477">
        <v>4.2</v>
      </c>
      <c r="D58" s="468" t="s">
        <v>108</v>
      </c>
    </row>
  </sheetData>
  <pageMargins left="0.7" right="0.7" top="1.1436999999999999" bottom="1.1436999999999999" header="0.75" footer="0.75"/>
  <pageSetup paperSize="9" scale="70" fitToWidth="0" fitToHeight="0" orientation="portrait"/>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DDD9C3"/>
    <pageSetUpPr fitToPage="1"/>
  </sheetPr>
  <dimension ref="A1:N114"/>
  <sheetViews>
    <sheetView view="pageBreakPreview" topLeftCell="A58" zoomScale="95" zoomScaleNormal="100" zoomScaleSheetLayoutView="95" workbookViewId="0">
      <selection activeCell="A77" sqref="A77:D77"/>
    </sheetView>
  </sheetViews>
  <sheetFormatPr defaultColWidth="9" defaultRowHeight="14.25"/>
  <cols>
    <col min="1" max="1" width="5.375" customWidth="1"/>
    <col min="2" max="2" width="2.5" customWidth="1"/>
    <col min="3" max="3" width="10.25" style="158" customWidth="1"/>
    <col min="4" max="4" width="15.75" customWidth="1"/>
    <col min="5" max="5" width="12" customWidth="1"/>
    <col min="6" max="6" width="18.375" customWidth="1"/>
    <col min="7" max="7" width="16.625" customWidth="1"/>
    <col min="8" max="8" width="18.375" customWidth="1"/>
    <col min="9" max="9" width="6.125" customWidth="1"/>
    <col min="10" max="10" width="10.875" customWidth="1"/>
    <col min="11" max="11" width="10.75" customWidth="1"/>
    <col min="12" max="12" width="8.5" customWidth="1"/>
    <col min="13" max="14" width="10.75" customWidth="1"/>
    <col min="15" max="1024" width="8.5" customWidth="1"/>
    <col min="1025" max="1025" width="9" customWidth="1"/>
  </cols>
  <sheetData>
    <row r="1" spans="1:10" ht="14.25" customHeight="1"/>
    <row r="2" spans="1:10" ht="14.25" customHeight="1">
      <c r="H2" s="1538" t="s">
        <v>330</v>
      </c>
      <c r="I2" s="1538"/>
      <c r="J2" s="1538"/>
    </row>
    <row r="3" spans="1:10" ht="14.25" customHeight="1">
      <c r="H3" s="295"/>
      <c r="I3" s="295"/>
      <c r="J3" s="295"/>
    </row>
    <row r="4" spans="1:10" ht="14.25" customHeight="1">
      <c r="H4" s="295"/>
      <c r="I4" s="295"/>
      <c r="J4" s="295"/>
    </row>
    <row r="5" spans="1:10" ht="14.25" customHeight="1">
      <c r="A5" s="1539" t="s">
        <v>331</v>
      </c>
      <c r="B5" s="1539"/>
      <c r="C5" s="1539"/>
      <c r="D5" s="1539"/>
      <c r="E5" s="296" t="s">
        <v>49</v>
      </c>
      <c r="F5" t="s">
        <v>332</v>
      </c>
      <c r="G5" t="s">
        <v>333</v>
      </c>
    </row>
    <row r="6" spans="1:10" ht="14.25" customHeight="1">
      <c r="A6" t="s">
        <v>334</v>
      </c>
      <c r="B6" s="5"/>
      <c r="C6" s="171"/>
      <c r="D6" s="5"/>
      <c r="E6" s="296" t="s">
        <v>49</v>
      </c>
      <c r="F6" t="s">
        <v>335</v>
      </c>
    </row>
    <row r="7" spans="1:10" ht="14.25" customHeight="1">
      <c r="A7" t="s">
        <v>336</v>
      </c>
      <c r="B7" s="5"/>
      <c r="C7" s="171"/>
      <c r="D7" s="5"/>
      <c r="E7" s="296" t="s">
        <v>49</v>
      </c>
      <c r="F7" s="297">
        <v>1</v>
      </c>
    </row>
    <row r="8" spans="1:10" ht="14.25" customHeight="1">
      <c r="A8" t="s">
        <v>337</v>
      </c>
      <c r="B8" s="5"/>
      <c r="C8" s="171"/>
      <c r="D8" s="5"/>
      <c r="E8" s="296" t="s">
        <v>49</v>
      </c>
    </row>
    <row r="9" spans="1:10" ht="14.25" customHeight="1">
      <c r="A9" s="5"/>
      <c r="B9" s="5"/>
      <c r="C9" s="171"/>
      <c r="D9" s="5"/>
      <c r="E9" s="296"/>
    </row>
    <row r="10" spans="1:10" ht="14.25" customHeight="1">
      <c r="A10" s="5"/>
      <c r="B10" s="5"/>
      <c r="C10" s="171"/>
      <c r="D10" s="5"/>
      <c r="E10" s="296"/>
    </row>
    <row r="11" spans="1:10" ht="14.25" customHeight="1">
      <c r="A11" s="1547" t="s">
        <v>338</v>
      </c>
      <c r="B11" s="1546" t="s">
        <v>339</v>
      </c>
      <c r="C11" s="1546"/>
      <c r="D11" s="1546"/>
      <c r="E11" s="1546"/>
      <c r="F11" s="1546" t="s">
        <v>340</v>
      </c>
      <c r="G11" s="1546" t="s">
        <v>341</v>
      </c>
      <c r="H11" s="1546" t="s">
        <v>342</v>
      </c>
      <c r="I11" s="1545" t="s">
        <v>343</v>
      </c>
      <c r="J11" s="1545"/>
    </row>
    <row r="12" spans="1:10" ht="14.25" customHeight="1">
      <c r="A12" s="1547"/>
      <c r="B12" s="1546"/>
      <c r="C12" s="1546"/>
      <c r="D12" s="1546"/>
      <c r="E12" s="1546"/>
      <c r="F12" s="1546"/>
      <c r="G12" s="1546"/>
      <c r="H12" s="1546"/>
      <c r="I12" s="1545"/>
      <c r="J12" s="1545"/>
    </row>
    <row r="13" spans="1:10" ht="14.25" customHeight="1">
      <c r="A13" s="1547"/>
      <c r="B13" s="1540" t="s">
        <v>344</v>
      </c>
      <c r="C13" s="1540"/>
      <c r="D13" s="1540"/>
      <c r="E13" s="1540"/>
      <c r="F13" s="300"/>
      <c r="G13" s="300"/>
      <c r="H13" s="300"/>
      <c r="I13" s="1541"/>
      <c r="J13" s="1541"/>
    </row>
    <row r="14" spans="1:10" ht="14.25" customHeight="1">
      <c r="A14" s="1547"/>
      <c r="B14" s="1542"/>
      <c r="C14" s="1542"/>
      <c r="D14" s="1542"/>
      <c r="E14" s="1542"/>
      <c r="F14" s="301"/>
      <c r="G14" s="168"/>
      <c r="H14" s="303"/>
      <c r="I14" s="1543"/>
      <c r="J14" s="1543"/>
    </row>
    <row r="15" spans="1:10" ht="14.25" customHeight="1">
      <c r="A15" s="1547"/>
      <c r="B15" s="168" t="s">
        <v>345</v>
      </c>
      <c r="C15" s="158" t="s">
        <v>346</v>
      </c>
      <c r="D15" s="158"/>
      <c r="E15" s="158"/>
      <c r="F15" s="301">
        <v>1</v>
      </c>
      <c r="G15" s="302">
        <f>8</f>
        <v>8</v>
      </c>
      <c r="H15" s="268">
        <f>+VLOOKUP(C15,LABOR,2,0)</f>
        <v>110.65</v>
      </c>
      <c r="I15" s="1544">
        <f>+F15*G15*H15</f>
        <v>885.2</v>
      </c>
      <c r="J15" s="1544"/>
    </row>
    <row r="16" spans="1:10" ht="14.25" customHeight="1">
      <c r="A16" s="1547"/>
      <c r="B16" s="168" t="s">
        <v>347</v>
      </c>
      <c r="C16" s="158" t="s">
        <v>348</v>
      </c>
      <c r="D16" s="158"/>
      <c r="E16" s="158"/>
      <c r="F16" s="301">
        <v>1</v>
      </c>
      <c r="G16" s="302">
        <f>+G15</f>
        <v>8</v>
      </c>
      <c r="H16" s="268">
        <f>+VLOOKUP(C16,LABOR,2,0)</f>
        <v>80.05</v>
      </c>
      <c r="I16" s="1544">
        <f>+F16*G16*H16</f>
        <v>640.4</v>
      </c>
      <c r="J16" s="1544"/>
    </row>
    <row r="17" spans="1:13" ht="14.25" customHeight="1">
      <c r="A17" s="1547"/>
      <c r="B17" s="168" t="s">
        <v>349</v>
      </c>
      <c r="C17" s="158" t="s">
        <v>350</v>
      </c>
      <c r="D17" s="158"/>
      <c r="E17" s="158"/>
      <c r="F17" s="301">
        <v>4</v>
      </c>
      <c r="G17" s="302">
        <f>+G16</f>
        <v>8</v>
      </c>
      <c r="H17" s="268">
        <f>+VLOOKUP(C17,LABOR,2,0)</f>
        <v>61.75</v>
      </c>
      <c r="I17" s="1544">
        <f>+F17*G17*H17</f>
        <v>1976</v>
      </c>
      <c r="J17" s="1544"/>
    </row>
    <row r="18" spans="1:13" ht="14.25" customHeight="1">
      <c r="A18" s="1547"/>
      <c r="B18" s="269"/>
      <c r="D18" s="158"/>
      <c r="E18" s="158"/>
      <c r="F18" s="301"/>
      <c r="G18" s="168"/>
      <c r="H18" s="303"/>
      <c r="I18" s="321"/>
      <c r="J18" s="322"/>
    </row>
    <row r="19" spans="1:13" ht="14.25" customHeight="1">
      <c r="A19" s="1547"/>
      <c r="B19" s="1549" t="s">
        <v>351</v>
      </c>
      <c r="C19" s="1549"/>
      <c r="D19" s="1549"/>
      <c r="E19" s="1549"/>
      <c r="F19" s="304"/>
      <c r="G19" s="304"/>
      <c r="H19" s="304"/>
      <c r="I19" s="1548">
        <f>+SUM(I14:J18)</f>
        <v>3501.6</v>
      </c>
      <c r="J19" s="1548"/>
      <c r="K19" s="323">
        <f>+ROUND(I19/F7,2)</f>
        <v>3501.6</v>
      </c>
      <c r="M19" s="161"/>
    </row>
    <row r="20" spans="1:13" ht="14.25" customHeight="1">
      <c r="A20" s="1560" t="s">
        <v>352</v>
      </c>
      <c r="B20" s="1540" t="s">
        <v>344</v>
      </c>
      <c r="C20" s="1540"/>
      <c r="D20" s="1540"/>
      <c r="E20" s="1540"/>
      <c r="F20" s="300"/>
      <c r="G20" s="300"/>
      <c r="H20" s="300"/>
      <c r="I20" s="1541"/>
      <c r="J20" s="1541"/>
    </row>
    <row r="21" spans="1:13" ht="14.25" customHeight="1">
      <c r="A21" s="1560"/>
      <c r="B21" s="1542"/>
      <c r="C21" s="1542"/>
      <c r="D21" s="1542"/>
      <c r="E21" s="1542"/>
      <c r="F21" s="253"/>
      <c r="G21" s="253"/>
      <c r="H21" s="360"/>
      <c r="I21" s="1543"/>
      <c r="J21" s="1543"/>
    </row>
    <row r="22" spans="1:13" ht="14.25" customHeight="1">
      <c r="A22" s="1560"/>
      <c r="B22" s="1549" t="s">
        <v>353</v>
      </c>
      <c r="C22" s="1549"/>
      <c r="D22" s="1549"/>
      <c r="E22" s="1549"/>
      <c r="F22" s="305"/>
      <c r="G22" s="305"/>
      <c r="H22" s="305"/>
      <c r="I22" s="1548">
        <v>0</v>
      </c>
      <c r="J22" s="1548"/>
    </row>
    <row r="23" spans="1:13" ht="14.25" customHeight="1">
      <c r="A23" s="1561" t="s">
        <v>354</v>
      </c>
      <c r="B23" s="1550" t="s">
        <v>355</v>
      </c>
      <c r="C23" s="1550"/>
      <c r="D23" s="1550"/>
      <c r="E23" s="1550"/>
      <c r="F23" s="1550" t="s">
        <v>356</v>
      </c>
      <c r="G23" s="1550" t="s">
        <v>357</v>
      </c>
      <c r="H23" s="1550" t="s">
        <v>358</v>
      </c>
      <c r="I23" s="1551" t="s">
        <v>359</v>
      </c>
      <c r="J23" s="1551"/>
    </row>
    <row r="24" spans="1:13" ht="14.25" customHeight="1">
      <c r="A24" s="1561"/>
      <c r="B24" s="1550"/>
      <c r="C24" s="1550"/>
      <c r="D24" s="1550"/>
      <c r="E24" s="1550"/>
      <c r="F24" s="1550"/>
      <c r="G24" s="1550"/>
      <c r="H24" s="1550"/>
      <c r="I24" s="1551"/>
      <c r="J24" s="1551"/>
    </row>
    <row r="25" spans="1:13" ht="14.25" customHeight="1">
      <c r="A25" s="1561"/>
      <c r="B25" s="1540" t="s">
        <v>360</v>
      </c>
      <c r="C25" s="1540"/>
      <c r="D25" s="1540"/>
      <c r="E25" s="1540"/>
      <c r="F25" s="300"/>
      <c r="G25" s="300"/>
      <c r="H25" s="300"/>
      <c r="I25" s="1541"/>
      <c r="J25" s="1541"/>
    </row>
    <row r="26" spans="1:13" ht="14.25" customHeight="1">
      <c r="A26" s="1561"/>
      <c r="B26" s="269"/>
      <c r="D26" s="158"/>
      <c r="E26" s="158"/>
      <c r="F26" s="168"/>
      <c r="G26" s="302"/>
      <c r="H26" s="371"/>
      <c r="I26" s="369"/>
      <c r="J26" s="327"/>
    </row>
    <row r="27" spans="1:13" ht="14.25" customHeight="1">
      <c r="A27" s="1561"/>
      <c r="B27" s="1549" t="s">
        <v>361</v>
      </c>
      <c r="C27" s="1549"/>
      <c r="D27" s="1549"/>
      <c r="E27" s="1549"/>
      <c r="F27" s="305"/>
      <c r="G27" s="305"/>
      <c r="H27" s="305"/>
      <c r="I27" s="1552">
        <f>+I26</f>
        <v>0</v>
      </c>
      <c r="J27" s="1552"/>
      <c r="K27" s="467">
        <f>ROUND(I27/F7,2)</f>
        <v>0</v>
      </c>
    </row>
    <row r="28" spans="1:13" ht="14.25" customHeight="1">
      <c r="A28" s="1560" t="s">
        <v>362</v>
      </c>
      <c r="B28" s="1540" t="s">
        <v>360</v>
      </c>
      <c r="C28" s="1540"/>
      <c r="D28" s="1540"/>
      <c r="E28" s="1540"/>
      <c r="F28" s="300"/>
      <c r="G28" s="300"/>
      <c r="H28" s="300"/>
      <c r="I28" s="1541"/>
      <c r="J28" s="1541"/>
    </row>
    <row r="29" spans="1:13" ht="14.25" customHeight="1">
      <c r="A29" s="1560"/>
      <c r="B29" s="1542"/>
      <c r="C29" s="1542"/>
      <c r="D29" s="1542"/>
      <c r="E29" s="1542"/>
      <c r="F29" s="306"/>
      <c r="G29" s="306"/>
      <c r="H29" s="306"/>
      <c r="I29" s="1543"/>
      <c r="J29" s="1543"/>
    </row>
    <row r="30" spans="1:13" ht="14.25" customHeight="1">
      <c r="A30" s="1560"/>
      <c r="B30" s="1549" t="s">
        <v>363</v>
      </c>
      <c r="C30" s="1549"/>
      <c r="D30" s="1549"/>
      <c r="E30" s="1549"/>
      <c r="F30" s="305"/>
      <c r="G30" s="305"/>
      <c r="H30" s="305"/>
      <c r="I30" s="1553">
        <v>0</v>
      </c>
      <c r="J30" s="1553"/>
    </row>
    <row r="31" spans="1:13" ht="14.25" customHeight="1">
      <c r="A31" s="311" t="s">
        <v>364</v>
      </c>
      <c r="B31" s="1554" t="s">
        <v>365</v>
      </c>
      <c r="C31" s="1554"/>
      <c r="D31" s="1554"/>
      <c r="E31" s="1554"/>
      <c r="F31" s="1554"/>
      <c r="G31" s="1554"/>
      <c r="H31" s="1554"/>
      <c r="I31" s="1555">
        <f>I19+I27</f>
        <v>3501.6</v>
      </c>
      <c r="J31" s="1555"/>
    </row>
    <row r="32" spans="1:13" ht="14.25" customHeight="1">
      <c r="A32" s="313" t="s">
        <v>366</v>
      </c>
      <c r="B32" s="1554" t="s">
        <v>367</v>
      </c>
      <c r="C32" s="1554"/>
      <c r="D32" s="1554"/>
      <c r="E32" s="1554"/>
      <c r="F32" s="1554"/>
      <c r="G32" s="1554"/>
      <c r="H32" s="1554"/>
      <c r="I32" s="1557"/>
      <c r="J32" s="1557"/>
    </row>
    <row r="33" spans="1:10" ht="14.25" customHeight="1">
      <c r="A33" s="313" t="s">
        <v>368</v>
      </c>
      <c r="B33" s="1554" t="s">
        <v>336</v>
      </c>
      <c r="C33" s="1554"/>
      <c r="D33" s="1554"/>
      <c r="E33" s="1554"/>
      <c r="F33" s="1554"/>
      <c r="G33" s="1554"/>
      <c r="H33" s="1554"/>
      <c r="I33" s="1558">
        <f>F7</f>
        <v>1</v>
      </c>
      <c r="J33" s="1558"/>
    </row>
    <row r="34" spans="1:10" ht="14.25" customHeight="1">
      <c r="A34" s="313" t="s">
        <v>369</v>
      </c>
      <c r="B34" s="1554" t="s">
        <v>337</v>
      </c>
      <c r="C34" s="1554"/>
      <c r="D34" s="1554"/>
      <c r="E34" s="1554"/>
      <c r="F34" s="1554"/>
      <c r="G34" s="1554"/>
      <c r="H34" s="1554"/>
      <c r="I34" s="1557"/>
      <c r="J34" s="1557"/>
    </row>
    <row r="35" spans="1:10" ht="14.25" customHeight="1">
      <c r="A35" s="313" t="s">
        <v>370</v>
      </c>
      <c r="B35" s="1554" t="s">
        <v>371</v>
      </c>
      <c r="C35" s="1554"/>
      <c r="D35" s="1554"/>
      <c r="E35" s="1554"/>
      <c r="F35" s="1554"/>
      <c r="G35" s="1554"/>
      <c r="H35" s="1554"/>
      <c r="I35" s="1555">
        <f>I31/I33</f>
        <v>3501.6</v>
      </c>
      <c r="J35" s="1555"/>
    </row>
    <row r="36" spans="1:10" ht="14.25" customHeight="1">
      <c r="A36" s="313" t="s">
        <v>372</v>
      </c>
      <c r="B36" s="1554" t="s">
        <v>373</v>
      </c>
      <c r="C36" s="1554"/>
      <c r="D36" s="1554"/>
      <c r="E36" s="1554"/>
      <c r="F36" s="1554"/>
      <c r="G36" s="1554"/>
      <c r="H36" s="1554"/>
      <c r="I36" s="1557"/>
      <c r="J36" s="1557"/>
    </row>
    <row r="37" spans="1:10" ht="14.25" customHeight="1">
      <c r="A37" s="1562" t="s">
        <v>374</v>
      </c>
      <c r="B37" s="1550" t="s">
        <v>375</v>
      </c>
      <c r="C37" s="1550"/>
      <c r="D37" s="1550"/>
      <c r="E37" s="1550"/>
      <c r="F37" s="1550" t="s">
        <v>376</v>
      </c>
      <c r="G37" s="1550" t="s">
        <v>377</v>
      </c>
      <c r="H37" s="1550" t="s">
        <v>378</v>
      </c>
      <c r="I37" s="1551" t="s">
        <v>343</v>
      </c>
      <c r="J37" s="1551"/>
    </row>
    <row r="38" spans="1:10" ht="14.25" customHeight="1">
      <c r="A38" s="1562"/>
      <c r="B38" s="1550"/>
      <c r="C38" s="1550"/>
      <c r="D38" s="1550"/>
      <c r="E38" s="1550"/>
      <c r="F38" s="1550"/>
      <c r="G38" s="1550"/>
      <c r="H38" s="1550"/>
      <c r="I38" s="1551"/>
      <c r="J38" s="1551"/>
    </row>
    <row r="39" spans="1:10" ht="14.25" customHeight="1">
      <c r="A39" s="1562"/>
      <c r="B39" s="1540" t="s">
        <v>379</v>
      </c>
      <c r="C39" s="1540"/>
      <c r="D39" s="1540"/>
      <c r="E39" s="1540"/>
      <c r="F39" s="314"/>
      <c r="G39" s="314"/>
      <c r="H39" s="314"/>
      <c r="I39" s="1541"/>
      <c r="J39" s="1541"/>
    </row>
    <row r="40" spans="1:10" ht="14.25" customHeight="1">
      <c r="A40" s="1562"/>
      <c r="B40" s="1542"/>
      <c r="C40" s="1542"/>
      <c r="D40" s="1542"/>
      <c r="E40" s="1542"/>
      <c r="F40" s="358"/>
      <c r="G40" s="364"/>
      <c r="H40" s="317"/>
      <c r="I40" s="1543"/>
      <c r="J40" s="1543"/>
    </row>
    <row r="41" spans="1:10" ht="14.25" customHeight="1">
      <c r="A41" s="1562"/>
      <c r="B41" s="269" t="s">
        <v>345</v>
      </c>
      <c r="C41" s="158" t="s">
        <v>292</v>
      </c>
      <c r="D41" s="158"/>
      <c r="E41" s="315"/>
      <c r="F41" s="358" t="s">
        <v>293</v>
      </c>
      <c r="G41" s="364">
        <f>+SUMIF(FO!F:F,'A_1_1_(3)'!C41,FO!H:H)</f>
        <v>20.7</v>
      </c>
      <c r="H41" s="424">
        <f>+PRICE_LIST!D98</f>
        <v>260</v>
      </c>
      <c r="I41" s="1556">
        <f t="shared" ref="I41:I54" si="0">+G41*H41</f>
        <v>5382</v>
      </c>
      <c r="J41" s="1556"/>
    </row>
    <row r="42" spans="1:10" ht="14.25" customHeight="1">
      <c r="A42" s="1562"/>
      <c r="B42" s="269" t="s">
        <v>347</v>
      </c>
      <c r="C42" s="158" t="s">
        <v>295</v>
      </c>
      <c r="D42" s="158"/>
      <c r="E42" s="315"/>
      <c r="F42" s="358" t="s">
        <v>204</v>
      </c>
      <c r="G42" s="364">
        <f>+SUMIF(FO!F:F,'A_1_1_(3)'!C42,FO!H:H)</f>
        <v>1.3</v>
      </c>
      <c r="H42" s="424">
        <f>+PRICE_LIST!D48</f>
        <v>400</v>
      </c>
      <c r="I42" s="1556">
        <f t="shared" si="0"/>
        <v>520</v>
      </c>
      <c r="J42" s="1556"/>
    </row>
    <row r="43" spans="1:10" ht="14.25" customHeight="1">
      <c r="A43" s="1562"/>
      <c r="B43" s="269" t="s">
        <v>349</v>
      </c>
      <c r="C43" s="158" t="s">
        <v>297</v>
      </c>
      <c r="D43" s="158"/>
      <c r="E43" s="315"/>
      <c r="F43" s="358" t="s">
        <v>204</v>
      </c>
      <c r="G43" s="364">
        <f>+SUMIF(FO!F:F,'A_1_1_(3)'!C43,FO!H:H)</f>
        <v>1.44</v>
      </c>
      <c r="H43" s="424">
        <f>+PRICE_LIST!D49</f>
        <v>570</v>
      </c>
      <c r="I43" s="1556">
        <f t="shared" si="0"/>
        <v>820.8</v>
      </c>
      <c r="J43" s="1556"/>
    </row>
    <row r="44" spans="1:10" ht="14.25" customHeight="1">
      <c r="A44" s="1562"/>
      <c r="B44" s="269" t="s">
        <v>380</v>
      </c>
      <c r="C44" s="158" t="s">
        <v>298</v>
      </c>
      <c r="D44" s="158"/>
      <c r="E44" s="315"/>
      <c r="F44" s="358" t="s">
        <v>299</v>
      </c>
      <c r="G44" s="364">
        <f>+SUMIF(FO!F:F,'A_1_1_(3)'!C44,FO!H:H)</f>
        <v>187</v>
      </c>
      <c r="H44" s="424">
        <f>+PRICE_LIST!D67</f>
        <v>18</v>
      </c>
      <c r="I44" s="1556">
        <f t="shared" si="0"/>
        <v>3366</v>
      </c>
      <c r="J44" s="1556"/>
    </row>
    <row r="45" spans="1:10" ht="14.25" customHeight="1">
      <c r="A45" s="1562"/>
      <c r="B45" s="269" t="s">
        <v>381</v>
      </c>
      <c r="C45" s="158" t="s">
        <v>300</v>
      </c>
      <c r="D45" s="158"/>
      <c r="E45" s="315"/>
      <c r="F45" s="358" t="s">
        <v>299</v>
      </c>
      <c r="G45" s="364">
        <f>+SUMIF(FO!F:F,'A_1_1_(3)'!C45,FO!H:H)</f>
        <v>11</v>
      </c>
      <c r="H45" s="424">
        <f>+PRICE_LIST!D52</f>
        <v>420</v>
      </c>
      <c r="I45" s="1556">
        <f t="shared" si="0"/>
        <v>4620</v>
      </c>
      <c r="J45" s="1556"/>
    </row>
    <row r="46" spans="1:10" ht="14.25" customHeight="1">
      <c r="A46" s="1562"/>
      <c r="B46" s="269" t="s">
        <v>382</v>
      </c>
      <c r="C46" s="158" t="s">
        <v>301</v>
      </c>
      <c r="D46" s="158"/>
      <c r="E46" s="315"/>
      <c r="F46" s="358" t="s">
        <v>302</v>
      </c>
      <c r="G46" s="364">
        <f>+SUMIF(FO!F:F,'A_1_1_(3)'!C46,FO!H:H)</f>
        <v>112.45</v>
      </c>
      <c r="H46" s="424">
        <f>+PRICE_LIST!D42</f>
        <v>41</v>
      </c>
      <c r="I46" s="1556">
        <f t="shared" si="0"/>
        <v>4610.45</v>
      </c>
      <c r="J46" s="1556"/>
    </row>
    <row r="47" spans="1:10" ht="14.25" customHeight="1">
      <c r="A47" s="1562"/>
      <c r="B47" s="269" t="s">
        <v>383</v>
      </c>
      <c r="C47" s="158" t="s">
        <v>303</v>
      </c>
      <c r="D47" s="158"/>
      <c r="E47" s="315"/>
      <c r="F47" s="358" t="s">
        <v>213</v>
      </c>
      <c r="G47" s="364">
        <f>+SUMIF(FO!F:F,'A_1_1_(3)'!C47,FO!H:H)</f>
        <v>21</v>
      </c>
      <c r="H47" s="424">
        <f>+PRICE_LIST!D119</f>
        <v>375</v>
      </c>
      <c r="I47" s="1556">
        <f t="shared" si="0"/>
        <v>7875</v>
      </c>
      <c r="J47" s="1556"/>
    </row>
    <row r="48" spans="1:10" ht="14.25" customHeight="1">
      <c r="A48" s="1562"/>
      <c r="B48" s="269" t="s">
        <v>384</v>
      </c>
      <c r="C48" s="158" t="s">
        <v>304</v>
      </c>
      <c r="D48" s="158"/>
      <c r="E48" s="315"/>
      <c r="F48" s="358" t="s">
        <v>305</v>
      </c>
      <c r="G48" s="364">
        <f>+SUMIF(FO!F:F,'A_1_1_(3)'!C48,FO!H:H)</f>
        <v>291</v>
      </c>
      <c r="H48" s="424">
        <f>+PRICE_LIST!D50</f>
        <v>21</v>
      </c>
      <c r="I48" s="1556">
        <f t="shared" si="0"/>
        <v>6111</v>
      </c>
      <c r="J48" s="1556"/>
    </row>
    <row r="49" spans="1:14" ht="14.25" customHeight="1">
      <c r="A49" s="1562"/>
      <c r="B49" s="269" t="s">
        <v>385</v>
      </c>
      <c r="C49" s="158" t="s">
        <v>307</v>
      </c>
      <c r="D49" s="158"/>
      <c r="E49" s="315"/>
      <c r="F49" s="358" t="s">
        <v>108</v>
      </c>
      <c r="G49" s="364">
        <f>+SUMIF(FO!F:F,'A_1_1_(3)'!C49,FO!H:H)</f>
        <v>4.2</v>
      </c>
      <c r="H49" s="424">
        <f>+PRICE_LIST!D120</f>
        <v>110</v>
      </c>
      <c r="I49" s="1556">
        <f t="shared" si="0"/>
        <v>462</v>
      </c>
      <c r="J49" s="1556"/>
    </row>
    <row r="50" spans="1:14" ht="14.25" customHeight="1">
      <c r="A50" s="1562"/>
      <c r="B50" s="269" t="s">
        <v>386</v>
      </c>
      <c r="C50" s="158" t="s">
        <v>387</v>
      </c>
      <c r="D50" s="158"/>
      <c r="E50" s="315"/>
      <c r="F50" s="358" t="s">
        <v>302</v>
      </c>
      <c r="G50" s="364">
        <f>ROUND(0.02*G46,2)</f>
        <v>2.25</v>
      </c>
      <c r="H50" s="424">
        <f>+PRICE_LIST!D44</f>
        <v>85</v>
      </c>
      <c r="I50" s="1556">
        <f t="shared" si="0"/>
        <v>191.25</v>
      </c>
      <c r="J50" s="1556"/>
    </row>
    <row r="51" spans="1:14" ht="14.25" customHeight="1">
      <c r="A51" s="1562"/>
      <c r="B51" s="269" t="s">
        <v>388</v>
      </c>
      <c r="C51" s="158" t="s">
        <v>389</v>
      </c>
      <c r="D51" s="158"/>
      <c r="E51" s="315"/>
      <c r="F51" s="358" t="s">
        <v>302</v>
      </c>
      <c r="G51" s="364">
        <f>+ROUND(G48/100,2)</f>
        <v>2.91</v>
      </c>
      <c r="H51" s="424">
        <f>+PRICE_LIST!D46</f>
        <v>77.5</v>
      </c>
      <c r="I51" s="1556">
        <f t="shared" si="0"/>
        <v>225.52500000000001</v>
      </c>
      <c r="J51" s="1556"/>
    </row>
    <row r="52" spans="1:14" ht="14.25" customHeight="1">
      <c r="A52" s="1562"/>
      <c r="B52" s="269" t="s">
        <v>390</v>
      </c>
      <c r="C52" s="158" t="s">
        <v>391</v>
      </c>
      <c r="D52" s="158"/>
      <c r="E52" s="315"/>
      <c r="F52" s="358" t="s">
        <v>392</v>
      </c>
      <c r="G52" s="364">
        <v>1</v>
      </c>
      <c r="H52" s="424">
        <f>+PRICE_LIST!D109</f>
        <v>8980</v>
      </c>
      <c r="I52" s="1556">
        <f t="shared" si="0"/>
        <v>8980</v>
      </c>
      <c r="J52" s="1556"/>
    </row>
    <row r="53" spans="1:14" ht="14.25" customHeight="1">
      <c r="A53" s="1562"/>
      <c r="B53" s="269" t="s">
        <v>393</v>
      </c>
      <c r="C53" s="158" t="s">
        <v>394</v>
      </c>
      <c r="D53" s="158"/>
      <c r="E53" s="315"/>
      <c r="F53" s="358" t="s">
        <v>392</v>
      </c>
      <c r="G53" s="364">
        <v>1</v>
      </c>
      <c r="H53" s="424">
        <f>+PRICE_LIST!D110</f>
        <v>180</v>
      </c>
      <c r="I53" s="1556">
        <f t="shared" si="0"/>
        <v>180</v>
      </c>
      <c r="J53" s="1556"/>
    </row>
    <row r="54" spans="1:14" ht="14.25" customHeight="1">
      <c r="A54" s="1562"/>
      <c r="B54" s="269" t="s">
        <v>395</v>
      </c>
      <c r="C54" s="158" t="s">
        <v>396</v>
      </c>
      <c r="D54" s="158"/>
      <c r="E54" s="158"/>
      <c r="F54" s="168" t="s">
        <v>299</v>
      </c>
      <c r="G54" s="302">
        <v>2</v>
      </c>
      <c r="H54" s="268">
        <v>800</v>
      </c>
      <c r="I54" s="1556">
        <f t="shared" si="0"/>
        <v>1600</v>
      </c>
      <c r="J54" s="1556"/>
    </row>
    <row r="55" spans="1:14" ht="14.25" customHeight="1">
      <c r="A55" s="1562"/>
      <c r="B55" s="266" t="s">
        <v>397</v>
      </c>
      <c r="D55" s="158"/>
      <c r="E55" s="158"/>
      <c r="F55" s="168"/>
      <c r="G55" s="267"/>
      <c r="H55" s="268"/>
      <c r="I55" s="287"/>
      <c r="J55" s="288"/>
    </row>
    <row r="56" spans="1:14" ht="14.25" customHeight="1">
      <c r="A56" s="1562"/>
      <c r="B56" s="266" t="str">
        <f>B41</f>
        <v>a.</v>
      </c>
      <c r="C56" s="158" t="str">
        <f>C41</f>
        <v>Cement</v>
      </c>
      <c r="D56" s="158"/>
      <c r="E56" s="158"/>
      <c r="F56" s="168" t="str">
        <f>F41</f>
        <v>bags</v>
      </c>
      <c r="G56" s="168">
        <f>G41</f>
        <v>20.7</v>
      </c>
      <c r="H56" s="268">
        <f>'HAULING_COST_(cement)'!D32</f>
        <v>2</v>
      </c>
      <c r="I56" s="1556">
        <f t="shared" ref="I56:I57" si="1">+G56*H56</f>
        <v>41.4</v>
      </c>
      <c r="J56" s="1556"/>
    </row>
    <row r="57" spans="1:14" ht="14.25" customHeight="1">
      <c r="A57" s="1562"/>
      <c r="B57" s="269" t="str">
        <f>+B46</f>
        <v>f.</v>
      </c>
      <c r="C57" s="158" t="str">
        <f>+C46</f>
        <v>Reinforcing Steel Bar, Grade 40</v>
      </c>
      <c r="D57" s="158"/>
      <c r="E57" s="158"/>
      <c r="F57" s="168" t="str">
        <f>+F46</f>
        <v>kg</v>
      </c>
      <c r="G57" s="302">
        <f>+G46</f>
        <v>112.45</v>
      </c>
      <c r="H57" s="268">
        <f>+'HAULING_COST_(RSB)'!H29</f>
        <v>4.0999999999999996</v>
      </c>
      <c r="I57" s="1556">
        <f t="shared" si="1"/>
        <v>461.04499999999996</v>
      </c>
      <c r="J57" s="1556"/>
    </row>
    <row r="58" spans="1:14" ht="14.25" customHeight="1">
      <c r="A58" s="1562"/>
      <c r="B58" s="269"/>
      <c r="D58" s="158"/>
      <c r="E58" s="315"/>
      <c r="F58" s="358"/>
      <c r="G58" s="364"/>
      <c r="H58" s="317"/>
      <c r="I58" s="356"/>
      <c r="J58" s="328"/>
    </row>
    <row r="59" spans="1:14" ht="14.25" customHeight="1">
      <c r="A59" s="1562"/>
      <c r="B59" s="1549" t="s">
        <v>398</v>
      </c>
      <c r="C59" s="1549"/>
      <c r="D59" s="1549"/>
      <c r="E59" s="1549"/>
      <c r="F59" s="304"/>
      <c r="G59" s="304"/>
      <c r="H59" s="304"/>
      <c r="I59" s="1552">
        <f>+SUM(I40:J58)</f>
        <v>45446.47</v>
      </c>
      <c r="J59" s="1552"/>
      <c r="K59" s="323">
        <f>+ROUND(I59,2)</f>
        <v>45446.47</v>
      </c>
      <c r="M59">
        <f>+I59*0.5</f>
        <v>22723.235000000001</v>
      </c>
      <c r="N59" s="332">
        <f>+M59+I59</f>
        <v>68169.705000000002</v>
      </c>
    </row>
    <row r="60" spans="1:14" ht="14.25" customHeight="1">
      <c r="A60" s="1560" t="s">
        <v>399</v>
      </c>
      <c r="B60" s="1540" t="s">
        <v>379</v>
      </c>
      <c r="C60" s="1540"/>
      <c r="D60" s="1540"/>
      <c r="E60" s="1540"/>
      <c r="F60" s="314"/>
      <c r="G60" s="314"/>
      <c r="H60" s="314"/>
      <c r="I60" s="1541"/>
      <c r="J60" s="1541"/>
      <c r="M60" s="332">
        <f>+M59/N59</f>
        <v>0.33333333333333331</v>
      </c>
    </row>
    <row r="61" spans="1:14" ht="14.25" customHeight="1">
      <c r="A61" s="1560"/>
      <c r="B61" s="1542"/>
      <c r="C61" s="1542"/>
      <c r="D61" s="1542"/>
      <c r="E61" s="1542"/>
      <c r="F61" s="253"/>
      <c r="G61" s="253"/>
      <c r="H61" s="253"/>
      <c r="I61" s="1543"/>
      <c r="J61" s="1543"/>
    </row>
    <row r="62" spans="1:14" ht="14.25" customHeight="1">
      <c r="A62" s="1560"/>
      <c r="B62" s="1549" t="s">
        <v>400</v>
      </c>
      <c r="C62" s="1549"/>
      <c r="D62" s="1549"/>
      <c r="E62" s="1549"/>
      <c r="F62" s="304"/>
      <c r="G62" s="304"/>
      <c r="H62" s="304"/>
      <c r="I62" s="1548">
        <v>0</v>
      </c>
      <c r="J62" s="1548"/>
    </row>
    <row r="63" spans="1:14" ht="14.25" customHeight="1">
      <c r="A63" s="313" t="s">
        <v>401</v>
      </c>
      <c r="B63" s="1554" t="s">
        <v>402</v>
      </c>
      <c r="C63" s="1554"/>
      <c r="D63" s="1554"/>
      <c r="E63" s="1554"/>
      <c r="F63" s="1554"/>
      <c r="G63" s="1554"/>
      <c r="H63" s="1554"/>
      <c r="I63" s="1555">
        <f>ROUND(I35+I59,4)</f>
        <v>48948.07</v>
      </c>
      <c r="J63" s="1555"/>
      <c r="K63" s="332">
        <f>+K19+K27+K59</f>
        <v>48948.07</v>
      </c>
      <c r="L63" s="332">
        <f>+I63-K63</f>
        <v>0</v>
      </c>
    </row>
    <row r="64" spans="1:14" ht="14.25" customHeight="1">
      <c r="A64" s="313" t="s">
        <v>403</v>
      </c>
      <c r="B64" s="1554" t="s">
        <v>404</v>
      </c>
      <c r="C64" s="1554"/>
      <c r="D64" s="1554"/>
      <c r="E64" s="1554"/>
      <c r="F64" s="1554"/>
      <c r="G64" s="1554"/>
      <c r="H64" s="1554"/>
      <c r="I64" s="1559"/>
      <c r="J64" s="1559"/>
    </row>
    <row r="65" spans="1:11" ht="14.25" customHeight="1">
      <c r="A65" s="313" t="s">
        <v>405</v>
      </c>
      <c r="B65" s="1554" t="s">
        <v>406</v>
      </c>
      <c r="C65" s="1554"/>
      <c r="D65" s="1554"/>
      <c r="E65" s="1554"/>
      <c r="F65" s="1554"/>
      <c r="G65" s="1554"/>
      <c r="H65" s="318">
        <v>0.12</v>
      </c>
      <c r="I65" s="1555">
        <f>ROUND(H65*I63,4)</f>
        <v>5873.7683999999999</v>
      </c>
      <c r="J65" s="1555"/>
      <c r="K65" s="389"/>
    </row>
    <row r="66" spans="1:11" ht="14.25" customHeight="1">
      <c r="A66" s="313" t="s">
        <v>407</v>
      </c>
      <c r="B66" s="341" t="s">
        <v>408</v>
      </c>
      <c r="C66" s="342"/>
      <c r="D66" s="342"/>
      <c r="E66" s="342"/>
      <c r="F66" s="342"/>
      <c r="G66" s="343"/>
      <c r="H66" s="319"/>
      <c r="I66" s="1559"/>
      <c r="J66" s="1559"/>
      <c r="K66" s="333"/>
    </row>
    <row r="67" spans="1:11" ht="14.25" customHeight="1">
      <c r="A67" s="313" t="s">
        <v>409</v>
      </c>
      <c r="B67" s="1554" t="s">
        <v>410</v>
      </c>
      <c r="C67" s="1554"/>
      <c r="D67" s="1554"/>
      <c r="E67" s="1554"/>
      <c r="F67" s="1554"/>
      <c r="G67" s="1554"/>
      <c r="H67" s="318">
        <v>0.08</v>
      </c>
      <c r="I67" s="1555">
        <f>+ROUND(H67*I63,4)</f>
        <v>3915.8456000000001</v>
      </c>
      <c r="J67" s="1555"/>
      <c r="K67" s="389"/>
    </row>
    <row r="68" spans="1:11" ht="14.25" customHeight="1">
      <c r="A68" s="313" t="s">
        <v>411</v>
      </c>
      <c r="B68" s="1554" t="s">
        <v>412</v>
      </c>
      <c r="C68" s="1554"/>
      <c r="D68" s="1554"/>
      <c r="E68" s="1554"/>
      <c r="F68" s="1554"/>
      <c r="G68" s="1554"/>
      <c r="H68" s="319"/>
      <c r="I68" s="1559"/>
      <c r="J68" s="1559"/>
      <c r="K68" s="333"/>
    </row>
    <row r="69" spans="1:11" ht="14.25" customHeight="1">
      <c r="A69" s="313" t="s">
        <v>413</v>
      </c>
      <c r="B69" s="1554" t="s">
        <v>414</v>
      </c>
      <c r="C69" s="1554"/>
      <c r="D69" s="1554"/>
      <c r="E69" s="1554"/>
      <c r="F69" s="1554"/>
      <c r="G69" s="1554"/>
      <c r="H69" s="335">
        <v>0.05</v>
      </c>
      <c r="I69" s="1555">
        <f>ROUND(H69*(I63+I65+I67),2)</f>
        <v>2936.88</v>
      </c>
      <c r="J69" s="1555"/>
      <c r="K69" s="389"/>
    </row>
    <row r="70" spans="1:11" ht="14.25" customHeight="1">
      <c r="A70" s="313" t="s">
        <v>415</v>
      </c>
      <c r="B70" s="1554" t="s">
        <v>416</v>
      </c>
      <c r="C70" s="1554"/>
      <c r="D70" s="1554"/>
      <c r="E70" s="1554"/>
      <c r="F70" s="1554"/>
      <c r="G70" s="1554"/>
      <c r="H70" s="319"/>
      <c r="I70" s="1559"/>
      <c r="J70" s="1559"/>
      <c r="K70" s="324"/>
    </row>
    <row r="71" spans="1:11" ht="14.25" customHeight="1">
      <c r="A71" s="313" t="s">
        <v>417</v>
      </c>
      <c r="B71" s="1554" t="s">
        <v>418</v>
      </c>
      <c r="C71" s="1554"/>
      <c r="D71" s="1554"/>
      <c r="E71" s="1554"/>
      <c r="F71" s="1554"/>
      <c r="G71" s="1554"/>
      <c r="H71" s="319" t="s">
        <v>419</v>
      </c>
      <c r="I71" s="1555">
        <f>+ROUND(SUM(I63:J70),3)</f>
        <v>61674.563999999998</v>
      </c>
      <c r="J71" s="1555"/>
      <c r="K71" s="324"/>
    </row>
    <row r="72" spans="1:11" ht="14.25" customHeight="1">
      <c r="A72" s="353" t="s">
        <v>420</v>
      </c>
      <c r="B72" s="1566" t="s">
        <v>421</v>
      </c>
      <c r="C72" s="1566"/>
      <c r="D72" s="1566"/>
      <c r="E72" s="1566"/>
      <c r="F72" s="1566"/>
      <c r="G72" s="1566"/>
      <c r="H72" s="354"/>
      <c r="I72" s="1567"/>
      <c r="J72" s="1567"/>
    </row>
    <row r="73" spans="1:11" ht="39.950000000000003" customHeight="1">
      <c r="A73" s="1563" t="str">
        <f>'POW-2015-01-00_'!A42:AG42</f>
        <v>Note: Prices/Rates were based on CMPD 4TH Quarter CY 2022 for Materials, Memorandum dated December 29, 2022 for Labor cost and Memorandum dated May 18, 2022 for Equipment rental including Fuel &amp; Oil/Lubricant cost as of January 4, 2023 for DPWH Regional/District Engineering Offices</v>
      </c>
      <c r="B73" s="1563"/>
      <c r="C73" s="1563"/>
      <c r="D73" s="1563"/>
      <c r="E73" s="1563"/>
      <c r="F73" s="1563"/>
      <c r="G73" s="1563"/>
      <c r="H73" s="1563"/>
      <c r="I73" s="1563"/>
      <c r="J73" s="1563"/>
    </row>
    <row r="74" spans="1:11" ht="14.25" customHeight="1">
      <c r="A74" s="1564" t="s">
        <v>20</v>
      </c>
      <c r="B74" s="1564"/>
      <c r="C74" s="1564"/>
      <c r="H74" s="5" t="s">
        <v>422</v>
      </c>
    </row>
    <row r="75" spans="1:11" ht="19.5" customHeight="1">
      <c r="A75" s="171"/>
      <c r="B75" s="171"/>
      <c r="C75" s="171"/>
      <c r="H75" s="5"/>
    </row>
    <row r="76" spans="1:11" ht="19.5" customHeight="1">
      <c r="A76" s="171"/>
      <c r="B76" s="171"/>
      <c r="C76" s="171"/>
      <c r="H76" s="5"/>
    </row>
    <row r="77" spans="1:11" ht="14.25" customHeight="1">
      <c r="A77" s="1502" t="str">
        <f>+'POW-2015-01-00_'!A48:E48</f>
        <v xml:space="preserve">WINLOVE A. ESTEVES
</v>
      </c>
      <c r="B77" s="1502"/>
      <c r="C77" s="1502"/>
      <c r="D77" s="1502"/>
      <c r="H77" s="1502" t="str">
        <f>+'POW-2015-01-00_'!H48:L48</f>
        <v>MARK ANGELO E. SURIL</v>
      </c>
      <c r="I77" s="1502"/>
      <c r="J77" s="1502"/>
    </row>
    <row r="78" spans="1:11" ht="14.25" customHeight="1">
      <c r="A78" s="1565" t="s">
        <v>102</v>
      </c>
      <c r="B78" s="1565"/>
      <c r="C78" s="1565"/>
      <c r="D78" s="1565"/>
      <c r="H78" s="1565" t="s">
        <v>102</v>
      </c>
      <c r="I78" s="1565"/>
      <c r="J78" s="1565"/>
    </row>
    <row r="79" spans="1:11" ht="14.25" customHeight="1">
      <c r="A79" s="1521" t="s">
        <v>423</v>
      </c>
      <c r="B79" s="1521"/>
      <c r="C79" s="1521"/>
      <c r="D79" s="1521"/>
      <c r="H79" s="1521" t="s">
        <v>423</v>
      </c>
      <c r="I79" s="1521"/>
      <c r="J79" s="1521"/>
    </row>
    <row r="80" spans="1:11"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sheetData>
  <mergeCells count="115">
    <mergeCell ref="A73:J73"/>
    <mergeCell ref="A74:C74"/>
    <mergeCell ref="A77:D77"/>
    <mergeCell ref="H77:J77"/>
    <mergeCell ref="A78:D78"/>
    <mergeCell ref="H78:J78"/>
    <mergeCell ref="A79:D79"/>
    <mergeCell ref="H79:J79"/>
    <mergeCell ref="B69:G69"/>
    <mergeCell ref="I69:J69"/>
    <mergeCell ref="B70:G70"/>
    <mergeCell ref="I70:J70"/>
    <mergeCell ref="B71:G71"/>
    <mergeCell ref="I71:J71"/>
    <mergeCell ref="B72:G72"/>
    <mergeCell ref="I72:J72"/>
    <mergeCell ref="A20:A22"/>
    <mergeCell ref="A23:A27"/>
    <mergeCell ref="A28:A30"/>
    <mergeCell ref="A37:A59"/>
    <mergeCell ref="A60:A62"/>
    <mergeCell ref="F11:F12"/>
    <mergeCell ref="F23:F24"/>
    <mergeCell ref="F37:F38"/>
    <mergeCell ref="B61:E61"/>
    <mergeCell ref="B62:E62"/>
    <mergeCell ref="B32:H32"/>
    <mergeCell ref="B27:E27"/>
    <mergeCell ref="B19:E19"/>
    <mergeCell ref="B37:E38"/>
    <mergeCell ref="G37:G38"/>
    <mergeCell ref="H11:H12"/>
    <mergeCell ref="H23:H24"/>
    <mergeCell ref="H37:H38"/>
    <mergeCell ref="B39:E39"/>
    <mergeCell ref="B20:E20"/>
    <mergeCell ref="I56:J56"/>
    <mergeCell ref="I57:J57"/>
    <mergeCell ref="B59:E59"/>
    <mergeCell ref="I59:J59"/>
    <mergeCell ref="B60:E60"/>
    <mergeCell ref="I60:J60"/>
    <mergeCell ref="I61:J61"/>
    <mergeCell ref="I62:J62"/>
    <mergeCell ref="I51:J51"/>
    <mergeCell ref="I52:J52"/>
    <mergeCell ref="I53:J53"/>
    <mergeCell ref="I54:J54"/>
    <mergeCell ref="B68:G68"/>
    <mergeCell ref="I68:J68"/>
    <mergeCell ref="B63:H63"/>
    <mergeCell ref="I63:J63"/>
    <mergeCell ref="B64:H64"/>
    <mergeCell ref="I64:J64"/>
    <mergeCell ref="B65:G65"/>
    <mergeCell ref="I65:J65"/>
    <mergeCell ref="I66:J66"/>
    <mergeCell ref="B67:G67"/>
    <mergeCell ref="I67:J67"/>
    <mergeCell ref="I47:J47"/>
    <mergeCell ref="I48:J48"/>
    <mergeCell ref="I49:J49"/>
    <mergeCell ref="I50:J50"/>
    <mergeCell ref="I32:J32"/>
    <mergeCell ref="B33:H33"/>
    <mergeCell ref="I33:J33"/>
    <mergeCell ref="B34:H34"/>
    <mergeCell ref="I34:J34"/>
    <mergeCell ref="B35:H35"/>
    <mergeCell ref="I35:J35"/>
    <mergeCell ref="B36:H36"/>
    <mergeCell ref="I36:J36"/>
    <mergeCell ref="I39:J39"/>
    <mergeCell ref="B40:E40"/>
    <mergeCell ref="I40:J40"/>
    <mergeCell ref="I41:J41"/>
    <mergeCell ref="I42:J42"/>
    <mergeCell ref="I43:J43"/>
    <mergeCell ref="I44:J44"/>
    <mergeCell ref="I45:J45"/>
    <mergeCell ref="I46:J46"/>
    <mergeCell ref="I37:J38"/>
    <mergeCell ref="I27:J27"/>
    <mergeCell ref="B28:E28"/>
    <mergeCell ref="I28:J28"/>
    <mergeCell ref="B29:E29"/>
    <mergeCell ref="I29:J29"/>
    <mergeCell ref="B30:E30"/>
    <mergeCell ref="I30:J30"/>
    <mergeCell ref="B31:H31"/>
    <mergeCell ref="I31:J31"/>
    <mergeCell ref="I20:J20"/>
    <mergeCell ref="B21:E21"/>
    <mergeCell ref="I21:J21"/>
    <mergeCell ref="B22:E22"/>
    <mergeCell ref="I22:J22"/>
    <mergeCell ref="B25:E25"/>
    <mergeCell ref="I25:J25"/>
    <mergeCell ref="B23:E24"/>
    <mergeCell ref="I23:J24"/>
    <mergeCell ref="G23:G24"/>
    <mergeCell ref="H2:J2"/>
    <mergeCell ref="A5:D5"/>
    <mergeCell ref="B13:E13"/>
    <mergeCell ref="I13:J13"/>
    <mergeCell ref="B14:E14"/>
    <mergeCell ref="I14:J14"/>
    <mergeCell ref="I15:J15"/>
    <mergeCell ref="I16:J16"/>
    <mergeCell ref="I17:J17"/>
    <mergeCell ref="I11:J12"/>
    <mergeCell ref="B11:E12"/>
    <mergeCell ref="G11:G12"/>
    <mergeCell ref="A11:A19"/>
    <mergeCell ref="I19:J19"/>
  </mergeCells>
  <printOptions horizontalCentered="1"/>
  <pageMargins left="0.118055555555556" right="0.118055555555556" top="0.39305555555555599" bottom="0.39305555555555599" header="0.39305555555555599" footer="0"/>
  <pageSetup paperSize="9" scale="70" orientation="portrait" r:id="rId1"/>
  <headerFooter alignWithMargins="0">
    <oddHeader>&amp;C&amp;"Calibri"&amp;BCONSTRUCTION OF ROAD 
BRGY. L. PIMENTEL, SAN LUIS, AURORA
DETAILED UNIT PRICE ANALYSIS (DUPA)</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DDD9C3"/>
    <pageSetUpPr fitToPage="1"/>
  </sheetPr>
  <dimension ref="A1:L102"/>
  <sheetViews>
    <sheetView view="pageBreakPreview" topLeftCell="A37" zoomScale="93" zoomScaleNormal="100" zoomScaleSheetLayoutView="93" workbookViewId="0">
      <selection activeCell="H45" sqref="H45"/>
    </sheetView>
  </sheetViews>
  <sheetFormatPr defaultColWidth="9" defaultRowHeight="14.25"/>
  <cols>
    <col min="1" max="1" width="5.375" customWidth="1"/>
    <col min="2" max="2" width="3.375" customWidth="1"/>
    <col min="3" max="3" width="13.5" style="158" customWidth="1"/>
    <col min="4" max="4" width="12.375" customWidth="1"/>
    <col min="5" max="5" width="8.375" customWidth="1"/>
    <col min="6" max="7" width="14.875" customWidth="1"/>
    <col min="8" max="8" width="18.375" customWidth="1"/>
    <col min="9" max="9" width="6.125" customWidth="1"/>
    <col min="10" max="10" width="13.5" customWidth="1"/>
    <col min="11" max="11" width="11.25" customWidth="1"/>
    <col min="12" max="1024" width="8.5" customWidth="1"/>
    <col min="1025" max="1025" width="9" customWidth="1"/>
  </cols>
  <sheetData>
    <row r="1" spans="1:10" ht="14.25" customHeight="1"/>
    <row r="2" spans="1:10" ht="14.25" customHeight="1">
      <c r="H2" s="1538" t="s">
        <v>330</v>
      </c>
      <c r="I2" s="1538"/>
      <c r="J2" s="1538"/>
    </row>
    <row r="3" spans="1:10" ht="14.25" customHeight="1">
      <c r="H3" s="295"/>
      <c r="I3" s="295"/>
      <c r="J3" s="295"/>
    </row>
    <row r="4" spans="1:10" ht="14.25" customHeight="1">
      <c r="H4" s="295"/>
      <c r="I4" s="295"/>
      <c r="J4" s="295"/>
    </row>
    <row r="5" spans="1:10" ht="14.25" customHeight="1">
      <c r="A5" s="1539" t="s">
        <v>331</v>
      </c>
      <c r="B5" s="1539"/>
      <c r="C5" s="1539"/>
      <c r="D5" s="1539"/>
      <c r="E5" s="296" t="s">
        <v>49</v>
      </c>
      <c r="F5" t="s">
        <v>424</v>
      </c>
      <c r="G5" t="s">
        <v>425</v>
      </c>
    </row>
    <row r="6" spans="1:10" ht="14.25" customHeight="1">
      <c r="A6" t="s">
        <v>334</v>
      </c>
      <c r="E6" s="296" t="s">
        <v>49</v>
      </c>
      <c r="F6" t="s">
        <v>215</v>
      </c>
    </row>
    <row r="7" spans="1:10" ht="14.25" customHeight="1">
      <c r="A7" t="s">
        <v>336</v>
      </c>
      <c r="E7" s="296" t="s">
        <v>49</v>
      </c>
      <c r="F7" s="297">
        <v>1</v>
      </c>
    </row>
    <row r="8" spans="1:10" ht="14.25" customHeight="1">
      <c r="A8" t="s">
        <v>337</v>
      </c>
      <c r="E8" s="296" t="s">
        <v>49</v>
      </c>
    </row>
    <row r="9" spans="1:10" ht="14.25" customHeight="1">
      <c r="A9" s="5"/>
      <c r="B9" s="5"/>
      <c r="C9" s="171"/>
      <c r="D9" s="5"/>
      <c r="E9" s="296"/>
    </row>
    <row r="10" spans="1:10" ht="14.25" customHeight="1">
      <c r="A10" s="5"/>
      <c r="B10" s="5"/>
      <c r="C10" s="171"/>
      <c r="D10" s="5"/>
      <c r="E10" s="296"/>
    </row>
    <row r="11" spans="1:10" ht="14.25" customHeight="1">
      <c r="A11" s="1573" t="s">
        <v>426</v>
      </c>
      <c r="B11" s="1546" t="s">
        <v>339</v>
      </c>
      <c r="C11" s="1546"/>
      <c r="D11" s="1546"/>
      <c r="E11" s="1546"/>
      <c r="F11" s="1546" t="s">
        <v>340</v>
      </c>
      <c r="G11" s="1546" t="s">
        <v>341</v>
      </c>
      <c r="H11" s="1546" t="s">
        <v>342</v>
      </c>
      <c r="I11" s="1545" t="s">
        <v>343</v>
      </c>
      <c r="J11" s="1545"/>
    </row>
    <row r="12" spans="1:10" ht="14.25" customHeight="1">
      <c r="A12" s="1573"/>
      <c r="B12" s="1546"/>
      <c r="C12" s="1546"/>
      <c r="D12" s="1546"/>
      <c r="E12" s="1546"/>
      <c r="F12" s="1546"/>
      <c r="G12" s="1546"/>
      <c r="H12" s="1546"/>
      <c r="I12" s="1545"/>
      <c r="J12" s="1545"/>
    </row>
    <row r="13" spans="1:10" ht="14.25" customHeight="1">
      <c r="A13" s="1573"/>
      <c r="B13" s="1540" t="s">
        <v>344</v>
      </c>
      <c r="C13" s="1540"/>
      <c r="D13" s="1540"/>
      <c r="E13" s="1540"/>
      <c r="F13" s="300"/>
      <c r="G13" s="300"/>
      <c r="H13" s="300"/>
      <c r="I13" s="1541"/>
      <c r="J13" s="1541"/>
    </row>
    <row r="14" spans="1:10" ht="14.25" customHeight="1">
      <c r="A14" s="1573"/>
      <c r="B14" s="269"/>
      <c r="D14" s="158"/>
      <c r="E14" s="158"/>
      <c r="F14" s="183"/>
      <c r="G14" s="183"/>
      <c r="H14" s="306"/>
      <c r="I14" s="185"/>
      <c r="J14" s="320"/>
    </row>
    <row r="15" spans="1:10" ht="14.25" customHeight="1">
      <c r="A15" s="1573"/>
      <c r="B15" s="168" t="s">
        <v>345</v>
      </c>
      <c r="C15" s="158" t="s">
        <v>346</v>
      </c>
      <c r="D15" s="158"/>
      <c r="E15" s="158"/>
      <c r="F15" s="301">
        <v>1</v>
      </c>
      <c r="G15" s="302">
        <v>1</v>
      </c>
      <c r="H15" s="424">
        <f>+VLOOKUP(C15,LABOR,2,0)</f>
        <v>110.65</v>
      </c>
      <c r="I15" s="1544">
        <f>H15*G15*F15</f>
        <v>110.65</v>
      </c>
      <c r="J15" s="1544"/>
    </row>
    <row r="16" spans="1:10" ht="14.25" customHeight="1">
      <c r="A16" s="1573"/>
      <c r="B16" s="168" t="s">
        <v>347</v>
      </c>
      <c r="C16" s="158" t="s">
        <v>348</v>
      </c>
      <c r="D16" s="158"/>
      <c r="E16" s="158"/>
      <c r="F16" s="301">
        <v>1</v>
      </c>
      <c r="G16" s="302">
        <v>1</v>
      </c>
      <c r="H16" s="268">
        <f>+VLOOKUP(C16,LABOR,2,0)</f>
        <v>80.05</v>
      </c>
      <c r="I16" s="1544">
        <f>H16*G16*F16</f>
        <v>80.05</v>
      </c>
      <c r="J16" s="1544"/>
    </row>
    <row r="17" spans="1:11" ht="14.25" customHeight="1">
      <c r="A17" s="1573"/>
      <c r="B17" s="168" t="s">
        <v>349</v>
      </c>
      <c r="C17" s="158" t="s">
        <v>350</v>
      </c>
      <c r="D17" s="158"/>
      <c r="E17" s="158"/>
      <c r="F17" s="301">
        <v>4</v>
      </c>
      <c r="G17" s="302">
        <v>1</v>
      </c>
      <c r="H17" s="268">
        <f>+VLOOKUP(C17,LABOR,2,0)</f>
        <v>61.75</v>
      </c>
      <c r="I17" s="1544">
        <f>H17*G17*F17</f>
        <v>247</v>
      </c>
      <c r="J17" s="1544"/>
    </row>
    <row r="18" spans="1:11" ht="14.25" customHeight="1">
      <c r="A18" s="1573"/>
      <c r="B18" s="168"/>
      <c r="D18" s="158"/>
      <c r="E18" s="158"/>
      <c r="F18" s="301"/>
      <c r="G18" s="302"/>
      <c r="H18" s="303"/>
      <c r="I18" s="321"/>
      <c r="J18" s="322"/>
    </row>
    <row r="19" spans="1:11" ht="14.25" customHeight="1">
      <c r="A19" s="1573"/>
      <c r="B19" s="1549" t="s">
        <v>351</v>
      </c>
      <c r="C19" s="1549"/>
      <c r="D19" s="1549"/>
      <c r="E19" s="1549"/>
      <c r="F19" s="304"/>
      <c r="G19" s="304"/>
      <c r="H19" s="304"/>
      <c r="I19" s="1548">
        <f>SUM(I15:J17)</f>
        <v>437.7</v>
      </c>
      <c r="J19" s="1548"/>
      <c r="K19" s="377">
        <f>+ROUND(I19/F7,2)</f>
        <v>437.7</v>
      </c>
    </row>
    <row r="20" spans="1:11" ht="14.25" customHeight="1">
      <c r="A20" s="1560" t="s">
        <v>352</v>
      </c>
      <c r="B20" s="1540" t="s">
        <v>344</v>
      </c>
      <c r="C20" s="1540"/>
      <c r="D20" s="1540"/>
      <c r="E20" s="1540"/>
      <c r="F20" s="300"/>
      <c r="G20" s="300"/>
      <c r="H20" s="300"/>
      <c r="I20" s="1541"/>
      <c r="J20" s="1541"/>
    </row>
    <row r="21" spans="1:11" ht="14.25" customHeight="1">
      <c r="A21" s="1560"/>
      <c r="B21" s="1542"/>
      <c r="C21" s="1542"/>
      <c r="D21" s="1542"/>
      <c r="E21" s="1542"/>
      <c r="F21" s="253"/>
      <c r="G21" s="253"/>
      <c r="H21" s="253"/>
      <c r="I21" s="1543"/>
      <c r="J21" s="1543"/>
    </row>
    <row r="22" spans="1:11" ht="14.25" customHeight="1">
      <c r="A22" s="1560"/>
      <c r="B22" s="1549" t="s">
        <v>353</v>
      </c>
      <c r="C22" s="1549"/>
      <c r="D22" s="1549"/>
      <c r="E22" s="1549"/>
      <c r="F22" s="305"/>
      <c r="G22" s="305"/>
      <c r="H22" s="305"/>
      <c r="I22" s="1548">
        <v>0</v>
      </c>
      <c r="J22" s="1548"/>
    </row>
    <row r="23" spans="1:11" ht="14.25" customHeight="1">
      <c r="A23" s="1561" t="s">
        <v>354</v>
      </c>
      <c r="B23" s="1550" t="s">
        <v>355</v>
      </c>
      <c r="C23" s="1550"/>
      <c r="D23" s="1550"/>
      <c r="E23" s="1550"/>
      <c r="F23" s="1550" t="s">
        <v>356</v>
      </c>
      <c r="G23" s="1550" t="s">
        <v>341</v>
      </c>
      <c r="H23" s="1550" t="s">
        <v>342</v>
      </c>
      <c r="I23" s="1551" t="s">
        <v>359</v>
      </c>
      <c r="J23" s="1551"/>
    </row>
    <row r="24" spans="1:11" ht="14.25" customHeight="1">
      <c r="A24" s="1561"/>
      <c r="B24" s="1550"/>
      <c r="C24" s="1550"/>
      <c r="D24" s="1550"/>
      <c r="E24" s="1550"/>
      <c r="F24" s="1550"/>
      <c r="G24" s="1550"/>
      <c r="H24" s="1550"/>
      <c r="I24" s="1551"/>
      <c r="J24" s="1551"/>
    </row>
    <row r="25" spans="1:11" ht="14.25" customHeight="1">
      <c r="A25" s="1561"/>
      <c r="B25" s="1540" t="s">
        <v>360</v>
      </c>
      <c r="C25" s="1540"/>
      <c r="D25" s="1540"/>
      <c r="E25" s="1540"/>
      <c r="F25" s="300"/>
      <c r="G25" s="300"/>
      <c r="H25" s="300"/>
      <c r="I25" s="1541"/>
      <c r="J25" s="1541"/>
    </row>
    <row r="26" spans="1:11" ht="14.25" customHeight="1">
      <c r="A26" s="1561"/>
      <c r="B26" s="269"/>
      <c r="D26" s="158"/>
      <c r="E26" s="158"/>
      <c r="F26" s="183"/>
      <c r="G26" s="183"/>
      <c r="H26" s="183"/>
      <c r="I26" s="185"/>
      <c r="J26" s="320"/>
    </row>
    <row r="27" spans="1:11" ht="14.25" customHeight="1">
      <c r="A27" s="1561"/>
      <c r="B27" s="1568" t="s">
        <v>427</v>
      </c>
      <c r="C27" s="1568"/>
      <c r="D27" s="1568"/>
      <c r="E27" s="1568"/>
      <c r="F27" s="168"/>
      <c r="G27" s="168"/>
      <c r="H27" s="371"/>
      <c r="I27" s="1569">
        <f>K27*I19</f>
        <v>43.77</v>
      </c>
      <c r="J27" s="1569"/>
      <c r="K27" s="324">
        <v>0.1</v>
      </c>
    </row>
    <row r="28" spans="1:11" ht="14.25" customHeight="1">
      <c r="A28" s="1561"/>
      <c r="B28" s="269"/>
      <c r="D28" s="158"/>
      <c r="E28" s="158"/>
      <c r="F28" s="168"/>
      <c r="G28" s="168"/>
      <c r="H28" s="371"/>
      <c r="I28" s="369"/>
      <c r="J28" s="327"/>
      <c r="K28" s="324"/>
    </row>
    <row r="29" spans="1:11" ht="14.25" customHeight="1">
      <c r="A29" s="1561"/>
      <c r="B29" s="1549" t="s">
        <v>361</v>
      </c>
      <c r="C29" s="1549"/>
      <c r="D29" s="1549"/>
      <c r="E29" s="1549"/>
      <c r="F29" s="305"/>
      <c r="G29" s="305"/>
      <c r="H29" s="305"/>
      <c r="I29" s="1552">
        <f>SUM(I27)</f>
        <v>43.77</v>
      </c>
      <c r="J29" s="1552"/>
      <c r="K29" s="377">
        <f>+ROUND(I29/F7,2)</f>
        <v>43.77</v>
      </c>
    </row>
    <row r="30" spans="1:11" ht="14.25" customHeight="1">
      <c r="A30" s="1560" t="s">
        <v>362</v>
      </c>
      <c r="B30" s="1540" t="s">
        <v>360</v>
      </c>
      <c r="C30" s="1540"/>
      <c r="D30" s="1540"/>
      <c r="E30" s="1540"/>
      <c r="F30" s="300"/>
      <c r="G30" s="300"/>
      <c r="H30" s="300"/>
      <c r="I30" s="1541"/>
      <c r="J30" s="1541"/>
    </row>
    <row r="31" spans="1:11" ht="14.25" customHeight="1">
      <c r="A31" s="1560"/>
      <c r="B31" s="1542"/>
      <c r="C31" s="1542"/>
      <c r="D31" s="1542"/>
      <c r="E31" s="1542"/>
      <c r="F31" s="306"/>
      <c r="G31" s="306"/>
      <c r="H31" s="306"/>
      <c r="I31" s="1543"/>
      <c r="J31" s="1543"/>
    </row>
    <row r="32" spans="1:11" ht="14.25" customHeight="1">
      <c r="A32" s="1560"/>
      <c r="B32" s="1549" t="s">
        <v>363</v>
      </c>
      <c r="C32" s="1549"/>
      <c r="D32" s="1549"/>
      <c r="E32" s="1549"/>
      <c r="F32" s="305"/>
      <c r="G32" s="305"/>
      <c r="H32" s="305"/>
      <c r="I32" s="1548">
        <v>0</v>
      </c>
      <c r="J32" s="1548"/>
    </row>
    <row r="33" spans="1:11" ht="14.25" customHeight="1">
      <c r="A33" s="311" t="s">
        <v>364</v>
      </c>
      <c r="B33" s="1554" t="s">
        <v>365</v>
      </c>
      <c r="C33" s="1554"/>
      <c r="D33" s="1554"/>
      <c r="E33" s="1554"/>
      <c r="F33" s="1554"/>
      <c r="G33" s="1554"/>
      <c r="H33" s="1554"/>
      <c r="I33" s="1555">
        <f>I19+I29</f>
        <v>481.46999999999997</v>
      </c>
      <c r="J33" s="1555"/>
    </row>
    <row r="34" spans="1:11" ht="14.25" customHeight="1">
      <c r="A34" s="313" t="s">
        <v>366</v>
      </c>
      <c r="B34" s="1554" t="s">
        <v>367</v>
      </c>
      <c r="C34" s="1554"/>
      <c r="D34" s="1554"/>
      <c r="E34" s="1554"/>
      <c r="F34" s="1554"/>
      <c r="G34" s="1554"/>
      <c r="H34" s="1554"/>
      <c r="I34" s="1557"/>
      <c r="J34" s="1557"/>
    </row>
    <row r="35" spans="1:11" ht="14.25" customHeight="1">
      <c r="A35" s="313" t="s">
        <v>368</v>
      </c>
      <c r="B35" s="1554" t="s">
        <v>336</v>
      </c>
      <c r="C35" s="1554"/>
      <c r="D35" s="1554"/>
      <c r="E35" s="1554"/>
      <c r="F35" s="1554"/>
      <c r="G35" s="1554"/>
      <c r="H35" s="1554"/>
      <c r="I35" s="1570">
        <f>F7</f>
        <v>1</v>
      </c>
      <c r="J35" s="1570"/>
    </row>
    <row r="36" spans="1:11" ht="14.25" customHeight="1">
      <c r="A36" s="313" t="s">
        <v>369</v>
      </c>
      <c r="B36" s="1554" t="s">
        <v>337</v>
      </c>
      <c r="C36" s="1554"/>
      <c r="D36" s="1554"/>
      <c r="E36" s="1554"/>
      <c r="F36" s="1554"/>
      <c r="G36" s="1554"/>
      <c r="H36" s="1554"/>
      <c r="I36" s="1557"/>
      <c r="J36" s="1557"/>
    </row>
    <row r="37" spans="1:11" ht="14.25" customHeight="1">
      <c r="A37" s="313" t="s">
        <v>370</v>
      </c>
      <c r="B37" s="1554" t="s">
        <v>371</v>
      </c>
      <c r="C37" s="1554"/>
      <c r="D37" s="1554"/>
      <c r="E37" s="1554"/>
      <c r="F37" s="1554"/>
      <c r="G37" s="1554"/>
      <c r="H37" s="1554"/>
      <c r="I37" s="1555">
        <f>I33/I35</f>
        <v>481.46999999999997</v>
      </c>
      <c r="J37" s="1555"/>
    </row>
    <row r="38" spans="1:11" ht="14.25" customHeight="1">
      <c r="A38" s="313" t="s">
        <v>372</v>
      </c>
      <c r="B38" s="1554" t="s">
        <v>373</v>
      </c>
      <c r="C38" s="1554"/>
      <c r="D38" s="1554"/>
      <c r="E38" s="1554"/>
      <c r="F38" s="1554"/>
      <c r="G38" s="1554"/>
      <c r="H38" s="1554"/>
      <c r="I38" s="1557"/>
      <c r="J38" s="1557"/>
    </row>
    <row r="39" spans="1:11" ht="14.25" customHeight="1">
      <c r="A39" s="1561" t="s">
        <v>428</v>
      </c>
      <c r="B39" s="1550" t="s">
        <v>375</v>
      </c>
      <c r="C39" s="1550"/>
      <c r="D39" s="1550"/>
      <c r="E39" s="1550"/>
      <c r="F39" s="1550" t="s">
        <v>376</v>
      </c>
      <c r="G39" s="1550" t="s">
        <v>377</v>
      </c>
      <c r="H39" s="1550" t="s">
        <v>378</v>
      </c>
      <c r="I39" s="1551" t="s">
        <v>343</v>
      </c>
      <c r="J39" s="1551"/>
    </row>
    <row r="40" spans="1:11" ht="14.25" customHeight="1">
      <c r="A40" s="1561"/>
      <c r="B40" s="1550"/>
      <c r="C40" s="1550"/>
      <c r="D40" s="1550"/>
      <c r="E40" s="1550"/>
      <c r="F40" s="1550"/>
      <c r="G40" s="1550"/>
      <c r="H40" s="1550"/>
      <c r="I40" s="1551"/>
      <c r="J40" s="1551"/>
    </row>
    <row r="41" spans="1:11" ht="14.25" customHeight="1">
      <c r="A41" s="1561"/>
      <c r="B41" s="1540" t="s">
        <v>379</v>
      </c>
      <c r="C41" s="1540"/>
      <c r="D41" s="1540"/>
      <c r="E41" s="1540"/>
      <c r="F41" s="314"/>
      <c r="G41" s="314"/>
      <c r="H41" s="314"/>
      <c r="I41" s="1541"/>
      <c r="J41" s="1541"/>
    </row>
    <row r="42" spans="1:11" ht="14.25" customHeight="1">
      <c r="A42" s="1561"/>
      <c r="B42" s="269"/>
      <c r="D42" s="158"/>
      <c r="E42" s="315"/>
      <c r="F42" s="160"/>
      <c r="G42" s="160"/>
      <c r="H42" s="253"/>
      <c r="I42" s="10"/>
      <c r="J42" s="328"/>
    </row>
    <row r="43" spans="1:11" ht="14.25" customHeight="1">
      <c r="A43" s="1561"/>
      <c r="B43" s="1568" t="s">
        <v>429</v>
      </c>
      <c r="C43" s="1568"/>
      <c r="D43" s="1568"/>
      <c r="E43" s="1568"/>
      <c r="F43" s="168" t="s">
        <v>430</v>
      </c>
      <c r="G43" s="302">
        <v>32</v>
      </c>
      <c r="H43" s="424">
        <f>+PRICE_LIST!D3</f>
        <v>50</v>
      </c>
      <c r="I43" s="1556">
        <f>G43*H43</f>
        <v>1600</v>
      </c>
      <c r="J43" s="1556"/>
    </row>
    <row r="44" spans="1:11" ht="14.25" customHeight="1">
      <c r="A44" s="1561"/>
      <c r="B44" s="1571" t="s">
        <v>1182</v>
      </c>
      <c r="C44" s="1568"/>
      <c r="D44" s="1568"/>
      <c r="E44" s="1568"/>
      <c r="F44" s="168" t="str">
        <f>+PRICE_LIST!C51</f>
        <v>bdft</v>
      </c>
      <c r="G44" s="302">
        <v>42</v>
      </c>
      <c r="H44" s="424">
        <f>+PRICE_LIST!D50</f>
        <v>21</v>
      </c>
      <c r="I44" s="1556">
        <f>G44*H44</f>
        <v>882</v>
      </c>
      <c r="J44" s="1556"/>
    </row>
    <row r="45" spans="1:11" ht="14.25" customHeight="1">
      <c r="A45" s="1561"/>
      <c r="B45" s="269" t="s">
        <v>431</v>
      </c>
      <c r="D45" s="158"/>
      <c r="E45" s="158"/>
      <c r="F45" s="168" t="str">
        <f>+PRICE_LIST!C52</f>
        <v>pc</v>
      </c>
      <c r="G45" s="302">
        <v>1</v>
      </c>
      <c r="H45" s="424">
        <f>+PRICE_LIST!D52</f>
        <v>420</v>
      </c>
      <c r="I45" s="1556">
        <f>G45*H45</f>
        <v>420</v>
      </c>
      <c r="J45" s="1556"/>
    </row>
    <row r="46" spans="1:11" ht="14.25" customHeight="1">
      <c r="A46" s="1561"/>
      <c r="B46" s="1568" t="s">
        <v>432</v>
      </c>
      <c r="C46" s="1568"/>
      <c r="D46" s="1568"/>
      <c r="E46" s="1568"/>
      <c r="F46" s="168" t="str">
        <f>+PRICE_LIST!C46</f>
        <v>kg</v>
      </c>
      <c r="G46" s="302">
        <v>0.42</v>
      </c>
      <c r="H46" s="424">
        <f>+PRICE_LIST!D46</f>
        <v>77.5</v>
      </c>
      <c r="I46" s="1556">
        <f>G46*H46</f>
        <v>32.549999999999997</v>
      </c>
      <c r="J46" s="1556"/>
    </row>
    <row r="47" spans="1:11" ht="14.25" customHeight="1">
      <c r="A47" s="1561"/>
      <c r="B47" s="269"/>
      <c r="D47" s="158"/>
      <c r="E47" s="158"/>
      <c r="F47" s="168"/>
      <c r="G47" s="302"/>
      <c r="H47" s="317"/>
      <c r="I47" s="330"/>
      <c r="J47" s="328"/>
    </row>
    <row r="48" spans="1:11" ht="14.25" customHeight="1">
      <c r="A48" s="1561"/>
      <c r="B48" s="1549" t="s">
        <v>398</v>
      </c>
      <c r="C48" s="1549"/>
      <c r="D48" s="1549"/>
      <c r="E48" s="1549"/>
      <c r="F48" s="304"/>
      <c r="G48" s="304"/>
      <c r="H48" s="304"/>
      <c r="I48" s="1552">
        <f>SUM(I43:J46)</f>
        <v>2934.55</v>
      </c>
      <c r="J48" s="1552"/>
      <c r="K48" s="377">
        <f>+ROUND(I48,2)</f>
        <v>2934.55</v>
      </c>
    </row>
    <row r="49" spans="1:12" ht="14.25" customHeight="1">
      <c r="A49" s="1560" t="s">
        <v>399</v>
      </c>
      <c r="B49" s="1540" t="s">
        <v>379</v>
      </c>
      <c r="C49" s="1540"/>
      <c r="D49" s="1540"/>
      <c r="E49" s="1540"/>
      <c r="F49" s="314"/>
      <c r="G49" s="314"/>
      <c r="H49" s="314"/>
      <c r="I49" s="1541"/>
      <c r="J49" s="1541"/>
    </row>
    <row r="50" spans="1:12" ht="14.25" customHeight="1">
      <c r="A50" s="1560"/>
      <c r="B50" s="1542"/>
      <c r="C50" s="1542"/>
      <c r="D50" s="1542"/>
      <c r="E50" s="1542"/>
      <c r="F50" s="253"/>
      <c r="G50" s="253"/>
      <c r="H50" s="253"/>
      <c r="I50" s="1543"/>
      <c r="J50" s="1543"/>
    </row>
    <row r="51" spans="1:12" ht="14.25" customHeight="1">
      <c r="A51" s="1560"/>
      <c r="B51" s="1549" t="s">
        <v>400</v>
      </c>
      <c r="C51" s="1549"/>
      <c r="D51" s="1549"/>
      <c r="E51" s="1549"/>
      <c r="F51" s="304"/>
      <c r="G51" s="304"/>
      <c r="H51" s="304"/>
      <c r="I51" s="1548">
        <v>0</v>
      </c>
      <c r="J51" s="1548"/>
    </row>
    <row r="52" spans="1:12" ht="14.25" customHeight="1">
      <c r="A52" s="313" t="s">
        <v>401</v>
      </c>
      <c r="B52" s="1554" t="s">
        <v>402</v>
      </c>
      <c r="C52" s="1554"/>
      <c r="D52" s="1554"/>
      <c r="E52" s="1554"/>
      <c r="F52" s="1554"/>
      <c r="G52" s="1554"/>
      <c r="H52" s="1554"/>
      <c r="I52" s="1555">
        <f>ROUND(I37+I48,2)</f>
        <v>3416.02</v>
      </c>
      <c r="J52" s="1555"/>
      <c r="K52" s="332">
        <f>+K19+K29+K48</f>
        <v>3416.02</v>
      </c>
      <c r="L52" s="332">
        <f>+I52-K52</f>
        <v>0</v>
      </c>
    </row>
    <row r="53" spans="1:12" ht="14.25" customHeight="1">
      <c r="A53" s="313" t="s">
        <v>403</v>
      </c>
      <c r="B53" s="1554" t="s">
        <v>404</v>
      </c>
      <c r="C53" s="1554"/>
      <c r="D53" s="1554"/>
      <c r="E53" s="1554"/>
      <c r="F53" s="1554"/>
      <c r="G53" s="1554"/>
      <c r="H53" s="1554"/>
      <c r="I53" s="1557"/>
      <c r="J53" s="1557"/>
    </row>
    <row r="54" spans="1:12" ht="14.25" customHeight="1">
      <c r="A54" s="313" t="s">
        <v>405</v>
      </c>
      <c r="B54" s="1554" t="s">
        <v>406</v>
      </c>
      <c r="C54" s="1554"/>
      <c r="D54" s="1554"/>
      <c r="E54" s="1554"/>
      <c r="F54" s="1554"/>
      <c r="G54" s="1554"/>
      <c r="H54" s="318">
        <v>0.12</v>
      </c>
      <c r="I54" s="1555">
        <f>+H54*I52</f>
        <v>409.92239999999998</v>
      </c>
      <c r="J54" s="1555"/>
      <c r="K54" s="389"/>
    </row>
    <row r="55" spans="1:12" ht="14.25" customHeight="1">
      <c r="A55" s="313" t="s">
        <v>407</v>
      </c>
      <c r="B55" s="1554" t="s">
        <v>408</v>
      </c>
      <c r="C55" s="1554"/>
      <c r="D55" s="1554"/>
      <c r="E55" s="1554"/>
      <c r="F55" s="1554"/>
      <c r="G55" s="1554"/>
      <c r="H55" s="319"/>
      <c r="I55" s="1557"/>
      <c r="J55" s="1557"/>
      <c r="K55" s="333"/>
    </row>
    <row r="56" spans="1:12" ht="14.25" customHeight="1">
      <c r="A56" s="313" t="s">
        <v>409</v>
      </c>
      <c r="B56" s="1554" t="s">
        <v>410</v>
      </c>
      <c r="C56" s="1554"/>
      <c r="D56" s="1554"/>
      <c r="E56" s="1554"/>
      <c r="F56" s="1554"/>
      <c r="G56" s="1554"/>
      <c r="H56" s="318">
        <v>0.08</v>
      </c>
      <c r="I56" s="1555">
        <f>+H56*I52</f>
        <v>273.28160000000003</v>
      </c>
      <c r="J56" s="1555"/>
      <c r="K56" s="389"/>
    </row>
    <row r="57" spans="1:12" ht="14.25" customHeight="1">
      <c r="A57" s="313" t="s">
        <v>411</v>
      </c>
      <c r="B57" s="1554" t="s">
        <v>412</v>
      </c>
      <c r="C57" s="1554"/>
      <c r="D57" s="1554"/>
      <c r="E57" s="1554"/>
      <c r="F57" s="1554"/>
      <c r="G57" s="1554"/>
      <c r="H57" s="319"/>
      <c r="I57" s="1557"/>
      <c r="J57" s="1557"/>
      <c r="K57" s="333"/>
    </row>
    <row r="58" spans="1:12" ht="14.25" customHeight="1">
      <c r="A58" s="313" t="s">
        <v>413</v>
      </c>
      <c r="B58" s="1554" t="s">
        <v>414</v>
      </c>
      <c r="C58" s="1554"/>
      <c r="D58" s="1554"/>
      <c r="E58" s="1554"/>
      <c r="F58" s="1554"/>
      <c r="G58" s="1554"/>
      <c r="H58" s="335">
        <v>0.05</v>
      </c>
      <c r="I58" s="1555">
        <f>H58*(I52+I54+I56)</f>
        <v>204.96120000000002</v>
      </c>
      <c r="J58" s="1555"/>
      <c r="K58" s="389"/>
    </row>
    <row r="59" spans="1:12" ht="14.25" customHeight="1">
      <c r="A59" s="313" t="s">
        <v>415</v>
      </c>
      <c r="B59" s="1554" t="s">
        <v>416</v>
      </c>
      <c r="C59" s="1554"/>
      <c r="D59" s="1554"/>
      <c r="E59" s="1554"/>
      <c r="F59" s="1554"/>
      <c r="G59" s="1554"/>
      <c r="H59" s="319"/>
      <c r="I59" s="1557"/>
      <c r="J59" s="1557"/>
      <c r="K59" s="333"/>
    </row>
    <row r="60" spans="1:12" ht="14.25" customHeight="1">
      <c r="A60" s="313" t="s">
        <v>417</v>
      </c>
      <c r="B60" s="1554" t="s">
        <v>418</v>
      </c>
      <c r="C60" s="1554"/>
      <c r="D60" s="1554"/>
      <c r="E60" s="1554"/>
      <c r="F60" s="1554"/>
      <c r="G60" s="1554"/>
      <c r="H60" s="319" t="s">
        <v>419</v>
      </c>
      <c r="I60" s="1555">
        <f>+ROUND(SUM(I52:J59),2)</f>
        <v>4304.1899999999996</v>
      </c>
      <c r="J60" s="1555"/>
      <c r="K60" s="333"/>
    </row>
    <row r="61" spans="1:12" ht="14.25" customHeight="1">
      <c r="A61" s="336" t="s">
        <v>420</v>
      </c>
      <c r="B61" s="1566" t="s">
        <v>421</v>
      </c>
      <c r="C61" s="1566"/>
      <c r="D61" s="1566"/>
      <c r="E61" s="1566"/>
      <c r="F61" s="1566"/>
      <c r="G61" s="1566"/>
      <c r="H61" s="337"/>
      <c r="I61" s="1572"/>
      <c r="J61" s="1572"/>
    </row>
    <row r="62" spans="1:12" ht="39.950000000000003" customHeight="1">
      <c r="A62" s="1563" t="str">
        <f>'POW-2015-01-00_'!A42:AG42</f>
        <v>Note: Prices/Rates were based on CMPD 4TH Quarter CY 2022 for Materials, Memorandum dated December 29, 2022 for Labor cost and Memorandum dated May 18, 2022 for Equipment rental including Fuel &amp; Oil/Lubricant cost as of January 4, 2023 for DPWH Regional/District Engineering Offices</v>
      </c>
      <c r="B62" s="1563"/>
      <c r="C62" s="1563"/>
      <c r="D62" s="1563"/>
      <c r="E62" s="1563"/>
      <c r="F62" s="1563"/>
      <c r="G62" s="1563"/>
      <c r="H62" s="1563"/>
      <c r="I62" s="1563"/>
      <c r="J62" s="1563"/>
    </row>
    <row r="63" spans="1:12" ht="14.25" customHeight="1">
      <c r="A63" s="1564" t="s">
        <v>20</v>
      </c>
      <c r="B63" s="1564"/>
      <c r="C63" s="1564"/>
      <c r="D63" s="1564"/>
      <c r="E63" s="1564"/>
      <c r="F63" s="1564"/>
      <c r="G63" s="1564"/>
      <c r="H63" s="5" t="s">
        <v>422</v>
      </c>
    </row>
    <row r="64" spans="1:12" ht="31.5" customHeight="1">
      <c r="A64" s="171"/>
      <c r="B64" s="171"/>
      <c r="C64" s="171"/>
      <c r="H64" s="5"/>
    </row>
    <row r="65" spans="1:10" ht="14.25" customHeight="1">
      <c r="A65" s="1502" t="str">
        <f>+'POW-2015-01-00_'!A48:E48</f>
        <v xml:space="preserve">WINLOVE A. ESTEVES
</v>
      </c>
      <c r="B65" s="1502"/>
      <c r="C65" s="1502"/>
      <c r="D65" s="1502"/>
      <c r="H65" s="1502" t="str">
        <f>+'POW-2015-01-00_'!H48:L48</f>
        <v>MARK ANGELO E. SURIL</v>
      </c>
      <c r="I65" s="1502"/>
      <c r="J65" s="1502"/>
    </row>
    <row r="66" spans="1:10" ht="14.25" customHeight="1">
      <c r="A66" s="1565" t="s">
        <v>102</v>
      </c>
      <c r="B66" s="1565"/>
      <c r="C66" s="1565"/>
      <c r="D66" s="1565"/>
      <c r="H66" s="1565" t="s">
        <v>102</v>
      </c>
      <c r="I66" s="1565"/>
      <c r="J66" s="1565"/>
    </row>
    <row r="67" spans="1:10" ht="14.25" customHeight="1">
      <c r="A67" s="1521" t="s">
        <v>423</v>
      </c>
      <c r="B67" s="1521"/>
      <c r="C67" s="1521"/>
      <c r="D67" s="1521"/>
      <c r="H67" s="1521" t="s">
        <v>423</v>
      </c>
      <c r="I67" s="1521"/>
      <c r="J67" s="1521"/>
    </row>
    <row r="68" spans="1:10" ht="14.25" customHeight="1"/>
    <row r="69" spans="1:10" ht="14.25" customHeight="1"/>
    <row r="70" spans="1:10" ht="14.25" customHeight="1"/>
    <row r="71" spans="1:10" ht="14.25" customHeight="1"/>
    <row r="72" spans="1:10" ht="14.25" customHeight="1"/>
    <row r="73" spans="1:10" ht="14.25" customHeight="1"/>
    <row r="74" spans="1:10" ht="14.25" customHeight="1"/>
    <row r="75" spans="1:10" ht="14.25" customHeight="1"/>
    <row r="76" spans="1:10" ht="14.25" customHeight="1"/>
    <row r="77" spans="1:10" ht="14.25" customHeight="1"/>
    <row r="78" spans="1:10" ht="14.25" customHeight="1"/>
    <row r="79" spans="1:10" ht="14.25" customHeight="1"/>
    <row r="80" spans="1:1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sheetData>
  <mergeCells count="105">
    <mergeCell ref="A63:G63"/>
    <mergeCell ref="A65:D65"/>
    <mergeCell ref="H65:J65"/>
    <mergeCell ref="A66:D66"/>
    <mergeCell ref="H66:J66"/>
    <mergeCell ref="A67:D67"/>
    <mergeCell ref="H67:J67"/>
    <mergeCell ref="A11:A19"/>
    <mergeCell ref="A20:A22"/>
    <mergeCell ref="A23:A29"/>
    <mergeCell ref="A30:A32"/>
    <mergeCell ref="A39:A48"/>
    <mergeCell ref="A49:A51"/>
    <mergeCell ref="F11:F12"/>
    <mergeCell ref="F23:F24"/>
    <mergeCell ref="F39:F40"/>
    <mergeCell ref="G11:G12"/>
    <mergeCell ref="G23:G24"/>
    <mergeCell ref="G39:G40"/>
    <mergeCell ref="H11:H12"/>
    <mergeCell ref="H23:H24"/>
    <mergeCell ref="H39:H40"/>
    <mergeCell ref="B39:E40"/>
    <mergeCell ref="I39:J40"/>
    <mergeCell ref="B58:G58"/>
    <mergeCell ref="I58:J58"/>
    <mergeCell ref="B59:G59"/>
    <mergeCell ref="I59:J59"/>
    <mergeCell ref="B60:G60"/>
    <mergeCell ref="I60:J60"/>
    <mergeCell ref="B61:G61"/>
    <mergeCell ref="I61:J61"/>
    <mergeCell ref="A62:J62"/>
    <mergeCell ref="B53:H53"/>
    <mergeCell ref="I53:J53"/>
    <mergeCell ref="B54:G54"/>
    <mergeCell ref="I54:J54"/>
    <mergeCell ref="B55:G55"/>
    <mergeCell ref="I55:J55"/>
    <mergeCell ref="B56:G56"/>
    <mergeCell ref="I56:J56"/>
    <mergeCell ref="B57:G57"/>
    <mergeCell ref="I57:J57"/>
    <mergeCell ref="B48:E48"/>
    <mergeCell ref="I48:J48"/>
    <mergeCell ref="B49:E49"/>
    <mergeCell ref="I49:J49"/>
    <mergeCell ref="B50:E50"/>
    <mergeCell ref="I50:J50"/>
    <mergeCell ref="B51:E51"/>
    <mergeCell ref="I51:J51"/>
    <mergeCell ref="B52:H52"/>
    <mergeCell ref="I52:J52"/>
    <mergeCell ref="B41:E41"/>
    <mergeCell ref="I41:J41"/>
    <mergeCell ref="B43:E43"/>
    <mergeCell ref="I43:J43"/>
    <mergeCell ref="B44:E44"/>
    <mergeCell ref="I44:J44"/>
    <mergeCell ref="I45:J45"/>
    <mergeCell ref="B46:E46"/>
    <mergeCell ref="I46:J46"/>
    <mergeCell ref="B34:H34"/>
    <mergeCell ref="I34:J34"/>
    <mergeCell ref="B35:H35"/>
    <mergeCell ref="I35:J35"/>
    <mergeCell ref="B36:H36"/>
    <mergeCell ref="I36:J36"/>
    <mergeCell ref="B37:H37"/>
    <mergeCell ref="I37:J37"/>
    <mergeCell ref="B38:H38"/>
    <mergeCell ref="I38:J38"/>
    <mergeCell ref="B29:E29"/>
    <mergeCell ref="I29:J29"/>
    <mergeCell ref="B30:E30"/>
    <mergeCell ref="I30:J30"/>
    <mergeCell ref="B31:E31"/>
    <mergeCell ref="I31:J31"/>
    <mergeCell ref="B32:E32"/>
    <mergeCell ref="I32:J32"/>
    <mergeCell ref="B33:H33"/>
    <mergeCell ref="I33:J33"/>
    <mergeCell ref="B20:E20"/>
    <mergeCell ref="I20:J20"/>
    <mergeCell ref="B21:E21"/>
    <mergeCell ref="I21:J21"/>
    <mergeCell ref="B22:E22"/>
    <mergeCell ref="I22:J22"/>
    <mergeCell ref="B25:E25"/>
    <mergeCell ref="I25:J25"/>
    <mergeCell ref="B27:E27"/>
    <mergeCell ref="I27:J27"/>
    <mergeCell ref="B23:E24"/>
    <mergeCell ref="I23:J24"/>
    <mergeCell ref="H2:J2"/>
    <mergeCell ref="A5:D5"/>
    <mergeCell ref="B13:E13"/>
    <mergeCell ref="I13:J13"/>
    <mergeCell ref="I15:J15"/>
    <mergeCell ref="I16:J16"/>
    <mergeCell ref="I17:J17"/>
    <mergeCell ref="B19:E19"/>
    <mergeCell ref="I19:J19"/>
    <mergeCell ref="B11:E12"/>
    <mergeCell ref="I11:J12"/>
  </mergeCells>
  <printOptions horizontalCentered="1"/>
  <pageMargins left="0.118055555555556" right="0.118055555555556" top="0.39305555555555599" bottom="0.39305555555555599" header="0.39305555555555599" footer="0"/>
  <pageSetup paperSize="9" scale="82" orientation="portrait" r:id="rId1"/>
  <headerFooter alignWithMargins="0">
    <oddHeader>&amp;CCONSTRUCTION OF ROAD 
BRGY. L. PIMENTEL, SAN LUIS, AURORA
DETAILED UNIT PRICE ANALYSIS (DUPA)</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rgb="FFFF0000"/>
    <pageSetUpPr fitToPage="1"/>
  </sheetPr>
  <dimension ref="A1:L103"/>
  <sheetViews>
    <sheetView view="pageBreakPreview" topLeftCell="A31" zoomScale="60" zoomScaleNormal="100" workbookViewId="0">
      <selection activeCell="H45" sqref="H45"/>
    </sheetView>
  </sheetViews>
  <sheetFormatPr defaultColWidth="9" defaultRowHeight="14.25"/>
  <cols>
    <col min="1" max="1" width="5.375" customWidth="1"/>
    <col min="2" max="2" width="2.5" customWidth="1"/>
    <col min="3" max="3" width="12.75" style="158" customWidth="1"/>
    <col min="4" max="4" width="13.25" customWidth="1"/>
    <col min="5" max="5" width="8.375" customWidth="1"/>
    <col min="6" max="6" width="16.75" customWidth="1"/>
    <col min="7" max="7" width="14.5" customWidth="1"/>
    <col min="8" max="8" width="18.375" customWidth="1"/>
    <col min="9" max="9" width="6.125" customWidth="1"/>
    <col min="10" max="10" width="11.875" customWidth="1"/>
    <col min="11" max="11" width="9.75" customWidth="1"/>
    <col min="12" max="1024" width="8.5" customWidth="1"/>
    <col min="1025" max="1025" width="9" customWidth="1"/>
  </cols>
  <sheetData>
    <row r="1" spans="1:10" ht="14.25" customHeight="1"/>
    <row r="2" spans="1:10" ht="14.25" customHeight="1">
      <c r="H2" s="1538" t="s">
        <v>330</v>
      </c>
      <c r="I2" s="1538"/>
      <c r="J2" s="1538"/>
    </row>
    <row r="3" spans="1:10" ht="14.25" customHeight="1">
      <c r="H3" s="295"/>
      <c r="I3" s="295"/>
      <c r="J3" s="295"/>
    </row>
    <row r="4" spans="1:10" ht="14.25" customHeight="1">
      <c r="H4" s="295"/>
      <c r="I4" s="295"/>
      <c r="J4" s="295"/>
    </row>
    <row r="5" spans="1:10" ht="14.25" customHeight="1">
      <c r="A5" s="1539" t="s">
        <v>331</v>
      </c>
      <c r="B5" s="1539"/>
      <c r="C5" s="1539"/>
      <c r="D5" s="1539"/>
      <c r="E5" s="296" t="s">
        <v>49</v>
      </c>
      <c r="F5" t="s">
        <v>424</v>
      </c>
      <c r="G5" t="s">
        <v>433</v>
      </c>
    </row>
    <row r="6" spans="1:10" ht="14.25" customHeight="1">
      <c r="A6" t="s">
        <v>334</v>
      </c>
      <c r="E6" s="296" t="s">
        <v>49</v>
      </c>
      <c r="F6" t="s">
        <v>215</v>
      </c>
    </row>
    <row r="7" spans="1:10" ht="14.25" customHeight="1">
      <c r="A7" t="s">
        <v>336</v>
      </c>
      <c r="E7" s="296" t="s">
        <v>49</v>
      </c>
      <c r="F7" s="297">
        <v>1</v>
      </c>
    </row>
    <row r="8" spans="1:10" ht="14.25" customHeight="1">
      <c r="A8" t="s">
        <v>337</v>
      </c>
      <c r="E8" s="296" t="s">
        <v>49</v>
      </c>
    </row>
    <row r="9" spans="1:10" ht="14.25" customHeight="1">
      <c r="A9" s="5"/>
      <c r="B9" s="5"/>
      <c r="C9" s="171"/>
      <c r="D9" s="5"/>
      <c r="E9" s="296"/>
    </row>
    <row r="10" spans="1:10" ht="14.25" customHeight="1">
      <c r="A10" s="5"/>
      <c r="B10" s="5"/>
      <c r="C10" s="171"/>
      <c r="D10" s="5"/>
      <c r="E10" s="296"/>
    </row>
    <row r="11" spans="1:10" ht="14.25" customHeight="1">
      <c r="A11" s="1573" t="s">
        <v>426</v>
      </c>
      <c r="B11" s="1546" t="s">
        <v>339</v>
      </c>
      <c r="C11" s="1546"/>
      <c r="D11" s="1546"/>
      <c r="E11" s="1546"/>
      <c r="F11" s="1546" t="s">
        <v>340</v>
      </c>
      <c r="G11" s="1546" t="s">
        <v>341</v>
      </c>
      <c r="H11" s="1546" t="s">
        <v>342</v>
      </c>
      <c r="I11" s="1545" t="s">
        <v>343</v>
      </c>
      <c r="J11" s="1545"/>
    </row>
    <row r="12" spans="1:10" ht="14.25" customHeight="1">
      <c r="A12" s="1573"/>
      <c r="B12" s="1546"/>
      <c r="C12" s="1546"/>
      <c r="D12" s="1546"/>
      <c r="E12" s="1546"/>
      <c r="F12" s="1546"/>
      <c r="G12" s="1546"/>
      <c r="H12" s="1546"/>
      <c r="I12" s="1545"/>
      <c r="J12" s="1545"/>
    </row>
    <row r="13" spans="1:10" ht="14.25" customHeight="1">
      <c r="A13" s="1573"/>
      <c r="B13" s="1540" t="s">
        <v>344</v>
      </c>
      <c r="C13" s="1540"/>
      <c r="D13" s="1540"/>
      <c r="E13" s="1540"/>
      <c r="F13" s="300"/>
      <c r="G13" s="300"/>
      <c r="H13" s="300"/>
      <c r="I13" s="1541"/>
      <c r="J13" s="1541"/>
    </row>
    <row r="14" spans="1:10" ht="14.25" customHeight="1">
      <c r="A14" s="1573"/>
      <c r="B14" s="269"/>
      <c r="D14" s="158"/>
      <c r="E14" s="158"/>
      <c r="F14" s="183"/>
      <c r="G14" s="183"/>
      <c r="H14" s="183"/>
      <c r="I14" s="185"/>
      <c r="J14" s="320"/>
    </row>
    <row r="15" spans="1:10" ht="14.25" customHeight="1">
      <c r="A15" s="1573"/>
      <c r="B15" s="168" t="s">
        <v>345</v>
      </c>
      <c r="C15" s="158" t="s">
        <v>346</v>
      </c>
      <c r="D15" s="158"/>
      <c r="E15" s="158"/>
      <c r="F15" s="301">
        <v>1</v>
      </c>
      <c r="G15" s="302">
        <v>2</v>
      </c>
      <c r="H15" s="268">
        <f>+VLOOKUP(C15,LABOR,2,0)</f>
        <v>110.65</v>
      </c>
      <c r="I15" s="1544">
        <f>+F15*G15*H15</f>
        <v>221.3</v>
      </c>
      <c r="J15" s="1544"/>
    </row>
    <row r="16" spans="1:10" ht="14.25" customHeight="1">
      <c r="A16" s="1573"/>
      <c r="B16" s="168" t="s">
        <v>347</v>
      </c>
      <c r="C16" s="158" t="s">
        <v>348</v>
      </c>
      <c r="D16" s="158"/>
      <c r="E16" s="158"/>
      <c r="F16" s="301">
        <v>1</v>
      </c>
      <c r="G16" s="302">
        <v>2</v>
      </c>
      <c r="H16" s="268">
        <f>+VLOOKUP(C16,LABOR,2,0)</f>
        <v>80.05</v>
      </c>
      <c r="I16" s="1544">
        <f>+F16*G16*H16</f>
        <v>160.1</v>
      </c>
      <c r="J16" s="1544"/>
    </row>
    <row r="17" spans="1:11" ht="14.25" customHeight="1">
      <c r="A17" s="1573"/>
      <c r="B17" s="168" t="s">
        <v>349</v>
      </c>
      <c r="C17" s="158" t="s">
        <v>350</v>
      </c>
      <c r="D17" s="158"/>
      <c r="E17" s="158"/>
      <c r="F17" s="301">
        <v>4</v>
      </c>
      <c r="G17" s="302">
        <v>2</v>
      </c>
      <c r="H17" s="268">
        <f>+VLOOKUP(C17,LABOR,2,0)</f>
        <v>61.75</v>
      </c>
      <c r="I17" s="1544">
        <f>+F17*G17*H17</f>
        <v>494</v>
      </c>
      <c r="J17" s="1544"/>
    </row>
    <row r="18" spans="1:11" ht="14.25" customHeight="1">
      <c r="A18" s="1573"/>
      <c r="B18" s="168"/>
      <c r="D18" s="158"/>
      <c r="E18" s="158"/>
      <c r="F18" s="301"/>
      <c r="G18" s="302"/>
      <c r="H18" s="303"/>
      <c r="I18" s="321"/>
      <c r="J18" s="322"/>
    </row>
    <row r="19" spans="1:11" ht="14.25" customHeight="1">
      <c r="A19" s="1573"/>
      <c r="B19" s="1549" t="s">
        <v>351</v>
      </c>
      <c r="C19" s="1549"/>
      <c r="D19" s="1549"/>
      <c r="E19" s="1549"/>
      <c r="F19" s="304"/>
      <c r="G19" s="304"/>
      <c r="H19" s="304"/>
      <c r="I19" s="1548">
        <f>SUM(I15:J17)</f>
        <v>875.4</v>
      </c>
      <c r="J19" s="1548"/>
      <c r="K19" s="377">
        <f>+ROUND(I19/F7,2)</f>
        <v>875.4</v>
      </c>
    </row>
    <row r="20" spans="1:11" ht="14.25" customHeight="1">
      <c r="A20" s="1560" t="s">
        <v>352</v>
      </c>
      <c r="B20" s="1540" t="s">
        <v>344</v>
      </c>
      <c r="C20" s="1540"/>
      <c r="D20" s="1540"/>
      <c r="E20" s="1540"/>
      <c r="F20" s="300"/>
      <c r="G20" s="300"/>
      <c r="H20" s="300"/>
      <c r="I20" s="1541"/>
      <c r="J20" s="1541"/>
    </row>
    <row r="21" spans="1:11" ht="14.25" customHeight="1">
      <c r="A21" s="1560"/>
      <c r="B21" s="1542"/>
      <c r="C21" s="1542"/>
      <c r="D21" s="1542"/>
      <c r="E21" s="1542"/>
      <c r="F21" s="253"/>
      <c r="G21" s="253"/>
      <c r="H21" s="253"/>
      <c r="I21" s="1543"/>
      <c r="J21" s="1543"/>
    </row>
    <row r="22" spans="1:11" ht="14.25" customHeight="1">
      <c r="A22" s="1560"/>
      <c r="B22" s="1549" t="s">
        <v>353</v>
      </c>
      <c r="C22" s="1549"/>
      <c r="D22" s="1549"/>
      <c r="E22" s="1549"/>
      <c r="F22" s="305"/>
      <c r="G22" s="305"/>
      <c r="H22" s="305"/>
      <c r="I22" s="1548">
        <v>0</v>
      </c>
      <c r="J22" s="1548"/>
    </row>
    <row r="23" spans="1:11" ht="14.25" customHeight="1">
      <c r="A23" s="1561" t="s">
        <v>354</v>
      </c>
      <c r="B23" s="1550" t="s">
        <v>355</v>
      </c>
      <c r="C23" s="1550"/>
      <c r="D23" s="1550"/>
      <c r="E23" s="1550"/>
      <c r="F23" s="1550" t="s">
        <v>356</v>
      </c>
      <c r="G23" s="1550" t="s">
        <v>341</v>
      </c>
      <c r="H23" s="1550" t="s">
        <v>342</v>
      </c>
      <c r="I23" s="1551" t="s">
        <v>359</v>
      </c>
      <c r="J23" s="1551"/>
    </row>
    <row r="24" spans="1:11" ht="14.25" customHeight="1">
      <c r="A24" s="1561"/>
      <c r="B24" s="1550"/>
      <c r="C24" s="1550"/>
      <c r="D24" s="1550"/>
      <c r="E24" s="1550"/>
      <c r="F24" s="1550"/>
      <c r="G24" s="1550"/>
      <c r="H24" s="1550"/>
      <c r="I24" s="1551"/>
      <c r="J24" s="1551"/>
    </row>
    <row r="25" spans="1:11" ht="14.25" customHeight="1">
      <c r="A25" s="1561"/>
      <c r="B25" s="1540" t="s">
        <v>360</v>
      </c>
      <c r="C25" s="1540"/>
      <c r="D25" s="1540"/>
      <c r="E25" s="1540"/>
      <c r="F25" s="300"/>
      <c r="G25" s="300"/>
      <c r="H25" s="300"/>
      <c r="I25" s="1541"/>
      <c r="J25" s="1541"/>
    </row>
    <row r="26" spans="1:11" ht="14.25" customHeight="1">
      <c r="A26" s="1561"/>
      <c r="B26" s="269"/>
      <c r="D26" s="158"/>
      <c r="E26" s="158"/>
      <c r="F26" s="183"/>
      <c r="G26" s="183"/>
      <c r="H26" s="183"/>
      <c r="I26" s="185"/>
      <c r="J26" s="320"/>
    </row>
    <row r="27" spans="1:11" ht="14.25" customHeight="1">
      <c r="A27" s="1561"/>
      <c r="B27" s="1568" t="s">
        <v>427</v>
      </c>
      <c r="C27" s="1568"/>
      <c r="D27" s="1568"/>
      <c r="E27" s="1568"/>
      <c r="F27" s="168"/>
      <c r="G27" s="168"/>
      <c r="H27" s="371"/>
      <c r="I27" s="1569">
        <f>K27*I19</f>
        <v>87.54</v>
      </c>
      <c r="J27" s="1569"/>
      <c r="K27" s="324">
        <v>0.1</v>
      </c>
    </row>
    <row r="28" spans="1:11" ht="14.25" customHeight="1">
      <c r="A28" s="1561"/>
      <c r="B28" s="269"/>
      <c r="D28" s="158"/>
      <c r="E28" s="158"/>
      <c r="F28" s="168"/>
      <c r="G28" s="168"/>
      <c r="H28" s="371"/>
      <c r="I28" s="369"/>
      <c r="J28" s="327"/>
      <c r="K28" s="324"/>
    </row>
    <row r="29" spans="1:11" ht="14.25" customHeight="1">
      <c r="A29" s="1561"/>
      <c r="B29" s="1549" t="s">
        <v>361</v>
      </c>
      <c r="C29" s="1549"/>
      <c r="D29" s="1549"/>
      <c r="E29" s="1549"/>
      <c r="F29" s="305"/>
      <c r="G29" s="305"/>
      <c r="H29" s="305"/>
      <c r="I29" s="1552">
        <f>SUM(I27)</f>
        <v>87.54</v>
      </c>
      <c r="J29" s="1552"/>
      <c r="K29" s="377">
        <f>ROUND(I29/F7,2)</f>
        <v>87.54</v>
      </c>
    </row>
    <row r="30" spans="1:11" ht="14.25" customHeight="1">
      <c r="A30" s="1560" t="s">
        <v>362</v>
      </c>
      <c r="B30" s="1540" t="s">
        <v>360</v>
      </c>
      <c r="C30" s="1540"/>
      <c r="D30" s="1540"/>
      <c r="E30" s="1540"/>
      <c r="F30" s="300"/>
      <c r="G30" s="300"/>
      <c r="H30" s="300"/>
      <c r="I30" s="1541"/>
      <c r="J30" s="1541"/>
    </row>
    <row r="31" spans="1:11" ht="14.25" customHeight="1">
      <c r="A31" s="1560"/>
      <c r="B31" s="1542"/>
      <c r="C31" s="1542"/>
      <c r="D31" s="1542"/>
      <c r="E31" s="1542"/>
      <c r="F31" s="306"/>
      <c r="G31" s="306"/>
      <c r="H31" s="306"/>
      <c r="I31" s="1543"/>
      <c r="J31" s="1543"/>
    </row>
    <row r="32" spans="1:11" ht="14.25" customHeight="1">
      <c r="A32" s="1560"/>
      <c r="B32" s="1549" t="s">
        <v>363</v>
      </c>
      <c r="C32" s="1549"/>
      <c r="D32" s="1549"/>
      <c r="E32" s="1549"/>
      <c r="F32" s="305"/>
      <c r="G32" s="305"/>
      <c r="H32" s="305"/>
      <c r="I32" s="1548">
        <v>0</v>
      </c>
      <c r="J32" s="1548"/>
    </row>
    <row r="33" spans="1:11" ht="14.25" customHeight="1">
      <c r="A33" s="311" t="s">
        <v>364</v>
      </c>
      <c r="B33" s="1554" t="s">
        <v>365</v>
      </c>
      <c r="C33" s="1554"/>
      <c r="D33" s="1554"/>
      <c r="E33" s="1554"/>
      <c r="F33" s="1554"/>
      <c r="G33" s="1554"/>
      <c r="H33" s="1554"/>
      <c r="I33" s="1555">
        <f>I19+I29</f>
        <v>962.93999999999994</v>
      </c>
      <c r="J33" s="1555"/>
    </row>
    <row r="34" spans="1:11" ht="14.25" customHeight="1">
      <c r="A34" s="313" t="s">
        <v>366</v>
      </c>
      <c r="B34" s="1554" t="s">
        <v>367</v>
      </c>
      <c r="C34" s="1554"/>
      <c r="D34" s="1554"/>
      <c r="E34" s="1554"/>
      <c r="F34" s="1554"/>
      <c r="G34" s="1554"/>
      <c r="H34" s="1554"/>
      <c r="I34" s="1557"/>
      <c r="J34" s="1557"/>
    </row>
    <row r="35" spans="1:11" ht="14.25" customHeight="1">
      <c r="A35" s="313" t="s">
        <v>368</v>
      </c>
      <c r="B35" s="1554" t="s">
        <v>336</v>
      </c>
      <c r="C35" s="1554"/>
      <c r="D35" s="1554"/>
      <c r="E35" s="1554"/>
      <c r="F35" s="1554"/>
      <c r="G35" s="1554"/>
      <c r="H35" s="1554"/>
      <c r="I35" s="1570">
        <f>F7</f>
        <v>1</v>
      </c>
      <c r="J35" s="1570"/>
    </row>
    <row r="36" spans="1:11" ht="14.25" customHeight="1">
      <c r="A36" s="313" t="s">
        <v>369</v>
      </c>
      <c r="B36" s="1554" t="s">
        <v>337</v>
      </c>
      <c r="C36" s="1554"/>
      <c r="D36" s="1554"/>
      <c r="E36" s="1554"/>
      <c r="F36" s="1554"/>
      <c r="G36" s="1554"/>
      <c r="H36" s="1554"/>
      <c r="I36" s="1557"/>
      <c r="J36" s="1557"/>
    </row>
    <row r="37" spans="1:11" ht="14.25" customHeight="1">
      <c r="A37" s="313" t="s">
        <v>370</v>
      </c>
      <c r="B37" s="1554" t="s">
        <v>371</v>
      </c>
      <c r="C37" s="1554"/>
      <c r="D37" s="1554"/>
      <c r="E37" s="1554"/>
      <c r="F37" s="1554"/>
      <c r="G37" s="1554"/>
      <c r="H37" s="1554"/>
      <c r="I37" s="1555">
        <f>I33/I35</f>
        <v>962.93999999999994</v>
      </c>
      <c r="J37" s="1555"/>
    </row>
    <row r="38" spans="1:11" ht="14.25" customHeight="1">
      <c r="A38" s="313" t="s">
        <v>372</v>
      </c>
      <c r="B38" s="1554" t="s">
        <v>373</v>
      </c>
      <c r="C38" s="1554"/>
      <c r="D38" s="1554"/>
      <c r="E38" s="1554"/>
      <c r="F38" s="1554"/>
      <c r="G38" s="1554"/>
      <c r="H38" s="1554"/>
      <c r="I38" s="1557"/>
      <c r="J38" s="1557"/>
    </row>
    <row r="39" spans="1:11" ht="14.25" customHeight="1">
      <c r="A39" s="1561" t="s">
        <v>428</v>
      </c>
      <c r="B39" s="1550" t="s">
        <v>375</v>
      </c>
      <c r="C39" s="1550"/>
      <c r="D39" s="1550"/>
      <c r="E39" s="1550"/>
      <c r="F39" s="1550" t="s">
        <v>376</v>
      </c>
      <c r="G39" s="1550" t="s">
        <v>377</v>
      </c>
      <c r="H39" s="1550" t="s">
        <v>378</v>
      </c>
      <c r="I39" s="1551" t="s">
        <v>343</v>
      </c>
      <c r="J39" s="1551"/>
    </row>
    <row r="40" spans="1:11" ht="14.25" customHeight="1">
      <c r="A40" s="1561"/>
      <c r="B40" s="1550"/>
      <c r="C40" s="1550"/>
      <c r="D40" s="1550"/>
      <c r="E40" s="1550"/>
      <c r="F40" s="1550"/>
      <c r="G40" s="1550"/>
      <c r="H40" s="1550"/>
      <c r="I40" s="1551"/>
      <c r="J40" s="1551"/>
    </row>
    <row r="41" spans="1:11" ht="14.25" customHeight="1">
      <c r="A41" s="1561"/>
      <c r="B41" s="1540" t="s">
        <v>379</v>
      </c>
      <c r="C41" s="1540"/>
      <c r="D41" s="1540"/>
      <c r="E41" s="1540"/>
      <c r="F41" s="314"/>
      <c r="G41" s="314"/>
      <c r="H41" s="314"/>
      <c r="I41" s="1541"/>
      <c r="J41" s="1541"/>
    </row>
    <row r="42" spans="1:11" ht="14.25" customHeight="1">
      <c r="A42" s="1561"/>
      <c r="B42" s="269"/>
      <c r="D42" s="158"/>
      <c r="E42" s="158"/>
      <c r="F42" s="160"/>
      <c r="G42" s="160"/>
      <c r="H42" s="253"/>
      <c r="I42" s="10"/>
      <c r="J42" s="328"/>
    </row>
    <row r="43" spans="1:11" ht="14.25" customHeight="1">
      <c r="A43" s="1561"/>
      <c r="B43" s="1568" t="s">
        <v>429</v>
      </c>
      <c r="C43" s="1568"/>
      <c r="D43" s="1568"/>
      <c r="E43" s="1568"/>
      <c r="F43" s="168" t="s">
        <v>430</v>
      </c>
      <c r="G43" s="302">
        <v>64</v>
      </c>
      <c r="H43" s="424">
        <f>+PRICE_LIST!D3</f>
        <v>50</v>
      </c>
      <c r="I43" s="1556">
        <f>G43*H43</f>
        <v>3200</v>
      </c>
      <c r="J43" s="1556"/>
    </row>
    <row r="44" spans="1:11" ht="14.25" customHeight="1">
      <c r="A44" s="1561"/>
      <c r="B44" s="1568" t="s">
        <v>1182</v>
      </c>
      <c r="C44" s="1568"/>
      <c r="D44" s="1568"/>
      <c r="E44" s="1568"/>
      <c r="F44" s="168" t="str">
        <f>+PRICE_LIST!C51</f>
        <v>bdft</v>
      </c>
      <c r="G44" s="302">
        <v>84</v>
      </c>
      <c r="H44" s="424">
        <f>+PRICE_LIST!D50</f>
        <v>21</v>
      </c>
      <c r="I44" s="1556">
        <f>G44*H44</f>
        <v>1764</v>
      </c>
      <c r="J44" s="1556"/>
    </row>
    <row r="45" spans="1:11" ht="14.25" customHeight="1">
      <c r="A45" s="1561"/>
      <c r="B45" s="269" t="s">
        <v>431</v>
      </c>
      <c r="D45" s="158"/>
      <c r="E45" s="158"/>
      <c r="F45" s="168" t="str">
        <f>+PRICE_LIST!C52</f>
        <v>pc</v>
      </c>
      <c r="G45" s="302">
        <v>2</v>
      </c>
      <c r="H45" s="424">
        <f>+PRICE_LIST!D52</f>
        <v>420</v>
      </c>
      <c r="I45" s="1556">
        <f>G45*H45</f>
        <v>840</v>
      </c>
      <c r="J45" s="1556"/>
    </row>
    <row r="46" spans="1:11" ht="14.25" customHeight="1">
      <c r="A46" s="1561"/>
      <c r="B46" s="1568" t="s">
        <v>432</v>
      </c>
      <c r="C46" s="1568"/>
      <c r="D46" s="1568"/>
      <c r="E46" s="1568"/>
      <c r="F46" s="168" t="str">
        <f>+PRICE_LIST!C46</f>
        <v>kg</v>
      </c>
      <c r="G46" s="302">
        <v>0.84</v>
      </c>
      <c r="H46" s="424">
        <f>+PRICE_LIST!D46</f>
        <v>77.5</v>
      </c>
      <c r="I46" s="1556">
        <f>G46*H46</f>
        <v>65.099999999999994</v>
      </c>
      <c r="J46" s="1556"/>
      <c r="K46" s="325"/>
    </row>
    <row r="47" spans="1:11" ht="14.25" customHeight="1">
      <c r="A47" s="1561"/>
      <c r="B47" s="269"/>
      <c r="D47" s="158"/>
      <c r="E47" s="158"/>
      <c r="F47" s="168"/>
      <c r="G47" s="302"/>
      <c r="H47" s="317"/>
      <c r="I47" s="330"/>
      <c r="J47" s="328"/>
      <c r="K47" s="325"/>
    </row>
    <row r="48" spans="1:11" ht="14.25" customHeight="1">
      <c r="A48" s="1561"/>
      <c r="B48" s="1549" t="s">
        <v>398</v>
      </c>
      <c r="C48" s="1549"/>
      <c r="D48" s="1549"/>
      <c r="E48" s="1549"/>
      <c r="F48" s="304"/>
      <c r="G48" s="304"/>
      <c r="H48" s="304"/>
      <c r="I48" s="1574">
        <f>SUM(I43:J46)</f>
        <v>5869.1</v>
      </c>
      <c r="J48" s="1574"/>
      <c r="K48" s="377">
        <f>ROUND(I48,2)</f>
        <v>5869.1</v>
      </c>
    </row>
    <row r="49" spans="1:12" ht="14.25" customHeight="1">
      <c r="A49" s="1560" t="s">
        <v>399</v>
      </c>
      <c r="B49" s="1540" t="s">
        <v>379</v>
      </c>
      <c r="C49" s="1540"/>
      <c r="D49" s="1540"/>
      <c r="E49" s="1540"/>
      <c r="F49" s="314"/>
      <c r="G49" s="314"/>
      <c r="H49" s="314"/>
      <c r="I49" s="1541"/>
      <c r="J49" s="1541"/>
    </row>
    <row r="50" spans="1:12" ht="14.25" customHeight="1">
      <c r="A50" s="1560"/>
      <c r="B50" s="1542"/>
      <c r="C50" s="1542"/>
      <c r="D50" s="1542"/>
      <c r="E50" s="1542"/>
      <c r="F50" s="253"/>
      <c r="G50" s="253"/>
      <c r="H50" s="253"/>
      <c r="I50" s="1543"/>
      <c r="J50" s="1543"/>
    </row>
    <row r="51" spans="1:12" ht="14.25" customHeight="1">
      <c r="A51" s="1560"/>
      <c r="B51" s="1549" t="s">
        <v>400</v>
      </c>
      <c r="C51" s="1549"/>
      <c r="D51" s="1549"/>
      <c r="E51" s="1549"/>
      <c r="F51" s="304"/>
      <c r="G51" s="304"/>
      <c r="H51" s="304"/>
      <c r="I51" s="1575">
        <v>0</v>
      </c>
      <c r="J51" s="1575"/>
    </row>
    <row r="52" spans="1:12" ht="14.25" customHeight="1">
      <c r="A52" s="313" t="s">
        <v>401</v>
      </c>
      <c r="B52" s="1554" t="s">
        <v>402</v>
      </c>
      <c r="C52" s="1554"/>
      <c r="D52" s="1554"/>
      <c r="E52" s="1554"/>
      <c r="F52" s="1554"/>
      <c r="G52" s="1554"/>
      <c r="H52" s="1554"/>
      <c r="I52" s="1555">
        <f>ROUND(I37+I48,2)</f>
        <v>6832.04</v>
      </c>
      <c r="J52" s="1555"/>
      <c r="K52" s="332">
        <f>+K19+K29+K48</f>
        <v>6832.04</v>
      </c>
      <c r="L52" s="332">
        <f>+I52-K52</f>
        <v>0</v>
      </c>
    </row>
    <row r="53" spans="1:12" ht="14.25" customHeight="1">
      <c r="A53" s="313" t="s">
        <v>403</v>
      </c>
      <c r="B53" s="1554" t="s">
        <v>404</v>
      </c>
      <c r="C53" s="1554"/>
      <c r="D53" s="1554"/>
      <c r="E53" s="1554"/>
      <c r="F53" s="1554"/>
      <c r="G53" s="1554"/>
      <c r="H53" s="1554"/>
      <c r="I53" s="1557"/>
      <c r="J53" s="1557"/>
    </row>
    <row r="54" spans="1:12" ht="14.25" customHeight="1">
      <c r="A54" s="313" t="s">
        <v>405</v>
      </c>
      <c r="B54" s="1554" t="s">
        <v>406</v>
      </c>
      <c r="C54" s="1554"/>
      <c r="D54" s="1554"/>
      <c r="E54" s="1554"/>
      <c r="F54" s="1554"/>
      <c r="G54" s="1554"/>
      <c r="H54" s="318">
        <v>0.12</v>
      </c>
      <c r="I54" s="1555">
        <f>+H54*I52</f>
        <v>819.84479999999996</v>
      </c>
      <c r="J54" s="1555"/>
      <c r="K54" s="389"/>
    </row>
    <row r="55" spans="1:12" ht="14.25" customHeight="1">
      <c r="A55" s="313" t="s">
        <v>407</v>
      </c>
      <c r="B55" s="1554" t="s">
        <v>408</v>
      </c>
      <c r="C55" s="1554"/>
      <c r="D55" s="1554"/>
      <c r="E55" s="1554"/>
      <c r="F55" s="1554"/>
      <c r="G55" s="1554"/>
      <c r="H55" s="319"/>
      <c r="I55" s="1557"/>
      <c r="J55" s="1557"/>
      <c r="K55" s="333"/>
    </row>
    <row r="56" spans="1:12" ht="14.25" customHeight="1">
      <c r="A56" s="313" t="s">
        <v>409</v>
      </c>
      <c r="B56" s="1554" t="s">
        <v>410</v>
      </c>
      <c r="C56" s="1554"/>
      <c r="D56" s="1554"/>
      <c r="E56" s="1554"/>
      <c r="F56" s="1554"/>
      <c r="G56" s="1554"/>
      <c r="H56" s="318">
        <v>0.08</v>
      </c>
      <c r="I56" s="1555">
        <f>+H56*I52</f>
        <v>546.56320000000005</v>
      </c>
      <c r="J56" s="1555"/>
      <c r="K56" s="389"/>
    </row>
    <row r="57" spans="1:12" ht="14.25" customHeight="1">
      <c r="A57" s="313" t="s">
        <v>411</v>
      </c>
      <c r="B57" s="1554" t="s">
        <v>412</v>
      </c>
      <c r="C57" s="1554"/>
      <c r="D57" s="1554"/>
      <c r="E57" s="1554"/>
      <c r="F57" s="1554"/>
      <c r="G57" s="1554"/>
      <c r="H57" s="319"/>
      <c r="I57" s="1557"/>
      <c r="J57" s="1557"/>
      <c r="K57" s="333"/>
    </row>
    <row r="58" spans="1:12" ht="14.25" customHeight="1">
      <c r="A58" s="313" t="s">
        <v>413</v>
      </c>
      <c r="B58" s="1554" t="s">
        <v>414</v>
      </c>
      <c r="C58" s="1554"/>
      <c r="D58" s="1554"/>
      <c r="E58" s="1554"/>
      <c r="F58" s="1554"/>
      <c r="G58" s="1554"/>
      <c r="H58" s="335">
        <v>0.05</v>
      </c>
      <c r="I58" s="1555">
        <f>ROUND(H58*(I52+I54+I56),2)</f>
        <v>409.92</v>
      </c>
      <c r="J58" s="1555"/>
      <c r="K58" s="389"/>
    </row>
    <row r="59" spans="1:12" ht="14.25" customHeight="1">
      <c r="A59" s="313" t="s">
        <v>415</v>
      </c>
      <c r="B59" s="1554" t="s">
        <v>416</v>
      </c>
      <c r="C59" s="1554"/>
      <c r="D59" s="1554"/>
      <c r="E59" s="1554"/>
      <c r="F59" s="1554"/>
      <c r="G59" s="1554"/>
      <c r="H59" s="319"/>
      <c r="I59" s="1557"/>
      <c r="J59" s="1557"/>
    </row>
    <row r="60" spans="1:12" ht="14.25" customHeight="1">
      <c r="A60" s="313" t="s">
        <v>417</v>
      </c>
      <c r="B60" s="1554" t="s">
        <v>418</v>
      </c>
      <c r="C60" s="1554"/>
      <c r="D60" s="1554"/>
      <c r="E60" s="1554"/>
      <c r="F60" s="1554"/>
      <c r="G60" s="1554"/>
      <c r="H60" s="319" t="s">
        <v>419</v>
      </c>
      <c r="I60" s="1555">
        <f>+ROUND(SUM(I52:J59),2)</f>
        <v>8608.3700000000008</v>
      </c>
      <c r="J60" s="1555"/>
    </row>
    <row r="61" spans="1:12" ht="14.25" customHeight="1">
      <c r="A61" s="336" t="s">
        <v>420</v>
      </c>
      <c r="B61" s="1566" t="s">
        <v>421</v>
      </c>
      <c r="C61" s="1566"/>
      <c r="D61" s="1566"/>
      <c r="E61" s="1566"/>
      <c r="F61" s="1566"/>
      <c r="G61" s="1566"/>
      <c r="H61" s="337"/>
      <c r="I61" s="1572"/>
      <c r="J61" s="1572"/>
    </row>
    <row r="62" spans="1:12" ht="39.950000000000003" customHeight="1">
      <c r="A62" s="1563" t="str">
        <f>'POW-2015-01-00_'!A42:AG42</f>
        <v>Note: Prices/Rates were based on CMPD 4TH Quarter CY 2022 for Materials, Memorandum dated December 29, 2022 for Labor cost and Memorandum dated May 18, 2022 for Equipment rental including Fuel &amp; Oil/Lubricant cost as of January 4, 2023 for DPWH Regional/District Engineering Offices</v>
      </c>
      <c r="B62" s="1563"/>
      <c r="C62" s="1563"/>
      <c r="D62" s="1563"/>
      <c r="E62" s="1563"/>
      <c r="F62" s="1563"/>
      <c r="G62" s="1563"/>
      <c r="H62" s="1563"/>
      <c r="I62" s="1563"/>
      <c r="J62" s="1563"/>
    </row>
    <row r="63" spans="1:12" ht="14.25" customHeight="1">
      <c r="A63" s="1564" t="s">
        <v>20</v>
      </c>
      <c r="B63" s="1564"/>
      <c r="C63" s="1564"/>
      <c r="D63" s="1564"/>
      <c r="E63" s="1564"/>
      <c r="F63" s="1564"/>
      <c r="G63" s="1564"/>
      <c r="H63" s="5" t="s">
        <v>422</v>
      </c>
    </row>
    <row r="64" spans="1:12" ht="14.25" customHeight="1">
      <c r="A64" s="171"/>
      <c r="B64" s="171"/>
      <c r="C64" s="171"/>
      <c r="H64" s="5"/>
    </row>
    <row r="65" spans="1:10" ht="14.25" customHeight="1">
      <c r="A65" s="171"/>
      <c r="B65" s="171"/>
      <c r="C65" s="171"/>
      <c r="H65" s="5"/>
    </row>
    <row r="66" spans="1:10" ht="14.25" customHeight="1">
      <c r="A66" s="1502" t="str">
        <f>+'POW-2015-01-00_'!A48:E48</f>
        <v xml:space="preserve">WINLOVE A. ESTEVES
</v>
      </c>
      <c r="B66" s="1502"/>
      <c r="C66" s="1502"/>
      <c r="D66" s="1502"/>
      <c r="H66" s="1502" t="str">
        <f>+'POW-2015-01-00_'!H48:L48</f>
        <v>MARK ANGELO E. SURIL</v>
      </c>
      <c r="I66" s="1502"/>
      <c r="J66" s="1502"/>
    </row>
    <row r="67" spans="1:10" ht="14.25" customHeight="1">
      <c r="A67" s="1565" t="s">
        <v>102</v>
      </c>
      <c r="B67" s="1565"/>
      <c r="C67" s="1565"/>
      <c r="D67" s="1565"/>
      <c r="H67" s="1565" t="s">
        <v>102</v>
      </c>
      <c r="I67" s="1565"/>
      <c r="J67" s="1565"/>
    </row>
    <row r="68" spans="1:10" ht="14.25" customHeight="1">
      <c r="A68" s="1521" t="s">
        <v>423</v>
      </c>
      <c r="B68" s="1521"/>
      <c r="C68" s="1521"/>
      <c r="D68" s="1521"/>
      <c r="H68" s="1521" t="s">
        <v>423</v>
      </c>
      <c r="I68" s="1521"/>
      <c r="J68" s="1521"/>
    </row>
    <row r="69" spans="1:10" ht="14.25" customHeight="1"/>
    <row r="70" spans="1:10" ht="14.25" customHeight="1"/>
    <row r="71" spans="1:10" ht="14.25" customHeight="1"/>
    <row r="72" spans="1:10" ht="14.25" customHeight="1"/>
    <row r="73" spans="1:10" ht="14.25" customHeight="1"/>
    <row r="74" spans="1:10" ht="14.25" customHeight="1"/>
    <row r="75" spans="1:10" ht="14.25" customHeight="1"/>
    <row r="76" spans="1:10" ht="14.25" customHeight="1"/>
    <row r="77" spans="1:10" ht="14.25" customHeight="1"/>
    <row r="78" spans="1:10" ht="14.25" customHeight="1"/>
    <row r="79" spans="1:10" ht="14.25" customHeight="1"/>
    <row r="80" spans="1:1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sheetData>
  <mergeCells count="105">
    <mergeCell ref="A63:G63"/>
    <mergeCell ref="A66:D66"/>
    <mergeCell ref="H66:J66"/>
    <mergeCell ref="A67:D67"/>
    <mergeCell ref="H67:J67"/>
    <mergeCell ref="A68:D68"/>
    <mergeCell ref="H68:J68"/>
    <mergeCell ref="A11:A19"/>
    <mergeCell ref="A20:A22"/>
    <mergeCell ref="A23:A29"/>
    <mergeCell ref="A30:A32"/>
    <mergeCell ref="A39:A48"/>
    <mergeCell ref="A49:A51"/>
    <mergeCell ref="F11:F12"/>
    <mergeCell ref="F23:F24"/>
    <mergeCell ref="F39:F40"/>
    <mergeCell ref="G11:G12"/>
    <mergeCell ref="G23:G24"/>
    <mergeCell ref="G39:G40"/>
    <mergeCell ref="H11:H12"/>
    <mergeCell ref="H23:H24"/>
    <mergeCell ref="H39:H40"/>
    <mergeCell ref="B39:E40"/>
    <mergeCell ref="I39:J40"/>
    <mergeCell ref="B58:G58"/>
    <mergeCell ref="I58:J58"/>
    <mergeCell ref="B59:G59"/>
    <mergeCell ref="I59:J59"/>
    <mergeCell ref="B60:G60"/>
    <mergeCell ref="I60:J60"/>
    <mergeCell ref="B61:G61"/>
    <mergeCell ref="I61:J61"/>
    <mergeCell ref="A62:J62"/>
    <mergeCell ref="B53:H53"/>
    <mergeCell ref="I53:J53"/>
    <mergeCell ref="B54:G54"/>
    <mergeCell ref="I54:J54"/>
    <mergeCell ref="B55:G55"/>
    <mergeCell ref="I55:J55"/>
    <mergeCell ref="B56:G56"/>
    <mergeCell ref="I56:J56"/>
    <mergeCell ref="B57:G57"/>
    <mergeCell ref="I57:J57"/>
    <mergeCell ref="B48:E48"/>
    <mergeCell ref="I48:J48"/>
    <mergeCell ref="B49:E49"/>
    <mergeCell ref="I49:J49"/>
    <mergeCell ref="B50:E50"/>
    <mergeCell ref="I50:J50"/>
    <mergeCell ref="B51:E51"/>
    <mergeCell ref="I51:J51"/>
    <mergeCell ref="B52:H52"/>
    <mergeCell ref="I52:J52"/>
    <mergeCell ref="B41:E41"/>
    <mergeCell ref="I41:J41"/>
    <mergeCell ref="B43:E43"/>
    <mergeCell ref="I43:J43"/>
    <mergeCell ref="B44:E44"/>
    <mergeCell ref="I44:J44"/>
    <mergeCell ref="I45:J45"/>
    <mergeCell ref="B46:E46"/>
    <mergeCell ref="I46:J46"/>
    <mergeCell ref="B34:H34"/>
    <mergeCell ref="I34:J34"/>
    <mergeCell ref="B35:H35"/>
    <mergeCell ref="I35:J35"/>
    <mergeCell ref="B36:H36"/>
    <mergeCell ref="I36:J36"/>
    <mergeCell ref="B37:H37"/>
    <mergeCell ref="I37:J37"/>
    <mergeCell ref="B38:H38"/>
    <mergeCell ref="I38:J38"/>
    <mergeCell ref="B29:E29"/>
    <mergeCell ref="I29:J29"/>
    <mergeCell ref="B30:E30"/>
    <mergeCell ref="I30:J30"/>
    <mergeCell ref="B31:E31"/>
    <mergeCell ref="I31:J31"/>
    <mergeCell ref="B32:E32"/>
    <mergeCell ref="I32:J32"/>
    <mergeCell ref="B33:H33"/>
    <mergeCell ref="I33:J33"/>
    <mergeCell ref="B20:E20"/>
    <mergeCell ref="I20:J20"/>
    <mergeCell ref="B21:E21"/>
    <mergeCell ref="I21:J21"/>
    <mergeCell ref="B22:E22"/>
    <mergeCell ref="I22:J22"/>
    <mergeCell ref="B25:E25"/>
    <mergeCell ref="I25:J25"/>
    <mergeCell ref="B27:E27"/>
    <mergeCell ref="I27:J27"/>
    <mergeCell ref="B23:E24"/>
    <mergeCell ref="I23:J24"/>
    <mergeCell ref="H2:J2"/>
    <mergeCell ref="A5:D5"/>
    <mergeCell ref="B13:E13"/>
    <mergeCell ref="I13:J13"/>
    <mergeCell ref="I15:J15"/>
    <mergeCell ref="I16:J16"/>
    <mergeCell ref="I17:J17"/>
    <mergeCell ref="B19:E19"/>
    <mergeCell ref="I19:J19"/>
    <mergeCell ref="B11:E12"/>
    <mergeCell ref="I11:J12"/>
  </mergeCells>
  <printOptions horizontalCentered="1"/>
  <pageMargins left="0.118055555555556" right="0.118055555555556" top="0.39305555555555599" bottom="0.39305555555555599" header="0.39305555555555599" footer="0"/>
  <pageSetup paperSize="9" scale="82" orientation="portrait" r:id="rId1"/>
  <headerFooter alignWithMargins="0">
    <oddHeader>&amp;CCONSTRUCTION OF ROAD 
BRGY. L. PIMENTEL, SAN LUIS, AURORA
DETAILED UNIT PRICE ANALYSIS (DUPA)</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AMJ57"/>
  <sheetViews>
    <sheetView topLeftCell="A70" workbookViewId="0">
      <selection activeCell="C40" sqref="C40"/>
    </sheetView>
  </sheetViews>
  <sheetFormatPr defaultColWidth="9" defaultRowHeight="17.25"/>
  <cols>
    <col min="1" max="1" width="13.25" style="448" customWidth="1"/>
    <col min="2" max="2" width="29.5" style="448" customWidth="1"/>
    <col min="3" max="4" width="14.625" style="448" customWidth="1"/>
    <col min="5" max="5" width="33.625" style="449" customWidth="1"/>
    <col min="6" max="6" width="17.625" style="448" customWidth="1"/>
    <col min="7" max="11" width="11.875" style="448" customWidth="1"/>
    <col min="12" max="12" width="13.125" style="448" customWidth="1"/>
    <col min="13" max="13" width="11.875" style="448" customWidth="1"/>
    <col min="14" max="14" width="12.5" style="448" customWidth="1"/>
    <col min="15" max="20" width="11.875" style="448" customWidth="1"/>
    <col min="21" max="21" width="13.5" style="448" customWidth="1"/>
    <col min="22" max="22" width="9.25" style="448" customWidth="1"/>
    <col min="23" max="23" width="9.75" style="448" customWidth="1"/>
    <col min="24" max="24" width="9.625" style="448" customWidth="1"/>
    <col min="25" max="25" width="10.875" style="448" customWidth="1"/>
    <col min="26" max="26" width="10" style="448" customWidth="1"/>
    <col min="27" max="27" width="10.875" style="448" customWidth="1"/>
    <col min="28" max="1024" width="14.625" style="448" customWidth="1"/>
    <col min="1025" max="1025" width="9" customWidth="1"/>
  </cols>
  <sheetData>
    <row r="1" spans="1:21">
      <c r="A1" s="450" t="s">
        <v>434</v>
      </c>
      <c r="B1" s="447"/>
      <c r="C1" s="447"/>
      <c r="D1" s="447"/>
      <c r="E1" s="447"/>
      <c r="F1" s="447"/>
      <c r="G1" s="447"/>
      <c r="H1" s="447"/>
      <c r="I1" s="447"/>
      <c r="J1" s="447"/>
      <c r="K1" s="447"/>
      <c r="L1" s="447"/>
      <c r="M1" s="447"/>
      <c r="N1" s="447"/>
      <c r="O1" s="447"/>
      <c r="P1" s="447"/>
      <c r="Q1" s="447"/>
      <c r="R1" s="447"/>
      <c r="S1" s="447"/>
      <c r="T1" s="447"/>
      <c r="U1" s="447"/>
    </row>
    <row r="2" spans="1:21" s="447" customFormat="1">
      <c r="A2" s="1577" t="s">
        <v>435</v>
      </c>
      <c r="B2" s="1577" t="s">
        <v>436</v>
      </c>
      <c r="C2" s="1577" t="s">
        <v>377</v>
      </c>
      <c r="D2" s="1582" t="s">
        <v>437</v>
      </c>
      <c r="E2" s="1577" t="s">
        <v>438</v>
      </c>
      <c r="F2" s="1577" t="s">
        <v>439</v>
      </c>
      <c r="G2" s="1577" t="s">
        <v>440</v>
      </c>
      <c r="H2" s="1577" t="s">
        <v>441</v>
      </c>
      <c r="I2" s="1582" t="s">
        <v>442</v>
      </c>
      <c r="J2" s="1582" t="s">
        <v>443</v>
      </c>
      <c r="K2" s="1582" t="s">
        <v>444</v>
      </c>
      <c r="L2" s="1582" t="s">
        <v>445</v>
      </c>
      <c r="M2" s="1582" t="s">
        <v>446</v>
      </c>
      <c r="N2" s="1582" t="s">
        <v>447</v>
      </c>
      <c r="O2" s="1582" t="s">
        <v>448</v>
      </c>
      <c r="P2" s="1582" t="s">
        <v>449</v>
      </c>
      <c r="Q2" s="1582" t="s">
        <v>450</v>
      </c>
      <c r="R2" s="1582" t="s">
        <v>451</v>
      </c>
      <c r="S2" s="1582" t="s">
        <v>452</v>
      </c>
      <c r="T2" s="1582" t="s">
        <v>453</v>
      </c>
      <c r="U2" s="1518"/>
    </row>
    <row r="3" spans="1:21" s="447" customFormat="1">
      <c r="A3" s="1577"/>
      <c r="B3" s="1577"/>
      <c r="C3" s="1577"/>
      <c r="D3" s="1582"/>
      <c r="E3" s="1577"/>
      <c r="F3" s="1577"/>
      <c r="G3" s="1577"/>
      <c r="H3" s="1577"/>
      <c r="I3" s="1582"/>
      <c r="J3" s="1582"/>
      <c r="K3" s="1582"/>
      <c r="L3" s="1582"/>
      <c r="M3" s="1582"/>
      <c r="N3" s="1582"/>
      <c r="O3" s="1582"/>
      <c r="P3" s="1582"/>
      <c r="Q3" s="1582"/>
      <c r="R3" s="1582"/>
      <c r="S3" s="1582"/>
      <c r="T3" s="1582"/>
      <c r="U3" s="1518"/>
    </row>
    <row r="4" spans="1:21">
      <c r="A4" s="1578" t="str">
        <f>+'POW-2015-01C-00_'!A30</f>
        <v>100(3)a1</v>
      </c>
      <c r="B4" s="1579" t="str">
        <f>+'POW-2015-01C-00_'!B30</f>
        <v>Individual Removal of Trees (150-300 mm dia., Small)</v>
      </c>
      <c r="C4" s="1580">
        <f>+VLOOKUP(A4,SUMMARY,7,0)</f>
        <v>0</v>
      </c>
      <c r="D4" s="1581">
        <f>+'100(3)a1'!F7</f>
        <v>1</v>
      </c>
      <c r="E4" s="455" t="s">
        <v>454</v>
      </c>
      <c r="F4" s="452">
        <f>+'100(3)a1'!F15</f>
        <v>1</v>
      </c>
      <c r="G4" s="452">
        <f>IF(F4&gt;0,(ROUND((C4/D4)/8,2)),0)</f>
        <v>0</v>
      </c>
      <c r="H4" s="452">
        <f t="shared" ref="H4:H21" si="0">+F4*G4</f>
        <v>0</v>
      </c>
      <c r="I4" s="452">
        <f t="shared" ref="I4:I21" si="1">+H4</f>
        <v>0</v>
      </c>
      <c r="J4" s="452">
        <f t="shared" ref="J4:J18" si="2">+H4</f>
        <v>0</v>
      </c>
      <c r="K4" s="452">
        <f t="shared" ref="K4:K21" si="3">+H4</f>
        <v>0</v>
      </c>
      <c r="L4" s="452">
        <f t="shared" ref="L4:L21" si="4">+H4</f>
        <v>0</v>
      </c>
      <c r="M4" s="460">
        <f t="shared" ref="M4:M21" si="5">+H4*0.3</f>
        <v>0</v>
      </c>
      <c r="N4" s="452">
        <f t="shared" ref="N4:N21" si="6">+H4</f>
        <v>0</v>
      </c>
      <c r="O4" s="452"/>
      <c r="P4" s="452"/>
      <c r="Q4" s="452"/>
      <c r="R4" s="452"/>
      <c r="S4" s="452">
        <f t="shared" ref="S4:S21" si="7">+H4</f>
        <v>0</v>
      </c>
      <c r="T4" s="452"/>
      <c r="U4" s="452"/>
    </row>
    <row r="5" spans="1:21">
      <c r="A5" s="1578"/>
      <c r="B5" s="1579"/>
      <c r="C5" s="1580"/>
      <c r="D5" s="1581"/>
      <c r="E5" s="455" t="s">
        <v>348</v>
      </c>
      <c r="F5" s="452">
        <f>+'100(3)a1'!F16</f>
        <v>1</v>
      </c>
      <c r="G5" s="452">
        <f>IF(F5&gt;0,(ROUND((C4/D4)/8,2)),0)</f>
        <v>0</v>
      </c>
      <c r="H5" s="452">
        <f t="shared" si="0"/>
        <v>0</v>
      </c>
      <c r="I5" s="452">
        <f t="shared" si="1"/>
        <v>0</v>
      </c>
      <c r="J5" s="452">
        <f t="shared" si="2"/>
        <v>0</v>
      </c>
      <c r="K5" s="452">
        <f t="shared" si="3"/>
        <v>0</v>
      </c>
      <c r="L5" s="452">
        <f t="shared" si="4"/>
        <v>0</v>
      </c>
      <c r="M5" s="460">
        <f t="shared" si="5"/>
        <v>0</v>
      </c>
      <c r="N5" s="452">
        <f t="shared" si="6"/>
        <v>0</v>
      </c>
      <c r="O5" s="452"/>
      <c r="P5" s="452"/>
      <c r="Q5" s="452"/>
      <c r="R5" s="452"/>
      <c r="S5" s="452">
        <f t="shared" si="7"/>
        <v>0</v>
      </c>
      <c r="T5" s="452"/>
      <c r="U5" s="452"/>
    </row>
    <row r="6" spans="1:21">
      <c r="A6" s="1578"/>
      <c r="B6" s="1579"/>
      <c r="C6" s="1580"/>
      <c r="D6" s="1581"/>
      <c r="E6" s="455" t="s">
        <v>350</v>
      </c>
      <c r="F6" s="452">
        <f>+'100(3)a1'!F17</f>
        <v>2</v>
      </c>
      <c r="G6" s="452">
        <f>IF(F6&gt;0,(ROUND((C4/D4)/8,2)),0)</f>
        <v>0</v>
      </c>
      <c r="H6" s="452">
        <f t="shared" si="0"/>
        <v>0</v>
      </c>
      <c r="I6" s="452">
        <f t="shared" si="1"/>
        <v>0</v>
      </c>
      <c r="J6" s="452">
        <f t="shared" si="2"/>
        <v>0</v>
      </c>
      <c r="K6" s="452">
        <f t="shared" si="3"/>
        <v>0</v>
      </c>
      <c r="L6" s="452">
        <f t="shared" si="4"/>
        <v>0</v>
      </c>
      <c r="M6" s="460">
        <f t="shared" si="5"/>
        <v>0</v>
      </c>
      <c r="N6" s="452">
        <f t="shared" si="6"/>
        <v>0</v>
      </c>
      <c r="O6" s="452"/>
      <c r="P6" s="452"/>
      <c r="Q6" s="452"/>
      <c r="R6" s="452"/>
      <c r="S6" s="452">
        <f t="shared" si="7"/>
        <v>0</v>
      </c>
      <c r="T6" s="452"/>
      <c r="U6" s="452"/>
    </row>
    <row r="7" spans="1:21">
      <c r="A7" s="1578" t="str">
        <f>+'POW-2015-01C-00_'!A32</f>
        <v>102(2)</v>
      </c>
      <c r="B7" s="1579" t="str">
        <f>+'POW-2015-01C-00_'!B32</f>
        <v>Surplus Common Excavation</v>
      </c>
      <c r="C7" s="1580">
        <f>+VLOOKUP(A7,SUMMARY,7,0)</f>
        <v>800.05000000000018</v>
      </c>
      <c r="D7" s="1581">
        <f>+'102(2)'!F7</f>
        <v>80</v>
      </c>
      <c r="E7" s="455" t="s">
        <v>454</v>
      </c>
      <c r="F7" s="452">
        <f>+'102(2)'!F15</f>
        <v>1</v>
      </c>
      <c r="G7" s="452">
        <f>IF(F7&gt;0,(ROUND((C7/D7)/8,2)),0)</f>
        <v>1.25</v>
      </c>
      <c r="H7" s="452">
        <f t="shared" si="0"/>
        <v>1.25</v>
      </c>
      <c r="I7" s="452">
        <f t="shared" si="1"/>
        <v>1.25</v>
      </c>
      <c r="J7" s="452">
        <f t="shared" si="2"/>
        <v>1.25</v>
      </c>
      <c r="K7" s="452">
        <f t="shared" si="3"/>
        <v>1.25</v>
      </c>
      <c r="L7" s="452">
        <f t="shared" si="4"/>
        <v>1.25</v>
      </c>
      <c r="M7" s="460">
        <f t="shared" si="5"/>
        <v>0.375</v>
      </c>
      <c r="N7" s="452">
        <f t="shared" si="6"/>
        <v>1.25</v>
      </c>
      <c r="O7" s="452"/>
      <c r="P7" s="452"/>
      <c r="Q7" s="452"/>
      <c r="R7" s="452"/>
      <c r="S7" s="452">
        <f t="shared" si="7"/>
        <v>1.25</v>
      </c>
      <c r="T7" s="452"/>
      <c r="U7" s="452"/>
    </row>
    <row r="8" spans="1:21">
      <c r="A8" s="1578"/>
      <c r="B8" s="1579"/>
      <c r="C8" s="1580"/>
      <c r="D8" s="1581"/>
      <c r="E8" s="455" t="s">
        <v>348</v>
      </c>
      <c r="F8" s="452">
        <v>0</v>
      </c>
      <c r="G8" s="452">
        <f>IF(F8&gt;0,(ROUND((C7/D7)/8,2)),0)</f>
        <v>0</v>
      </c>
      <c r="H8" s="452">
        <f t="shared" si="0"/>
        <v>0</v>
      </c>
      <c r="I8" s="452">
        <f t="shared" si="1"/>
        <v>0</v>
      </c>
      <c r="J8" s="452">
        <f t="shared" si="2"/>
        <v>0</v>
      </c>
      <c r="K8" s="452">
        <f t="shared" si="3"/>
        <v>0</v>
      </c>
      <c r="L8" s="452">
        <f t="shared" si="4"/>
        <v>0</v>
      </c>
      <c r="M8" s="460">
        <f t="shared" si="5"/>
        <v>0</v>
      </c>
      <c r="N8" s="452">
        <f t="shared" si="6"/>
        <v>0</v>
      </c>
      <c r="O8" s="452"/>
      <c r="P8" s="452"/>
      <c r="Q8" s="452"/>
      <c r="R8" s="452"/>
      <c r="S8" s="452">
        <f t="shared" si="7"/>
        <v>0</v>
      </c>
      <c r="T8" s="452"/>
      <c r="U8" s="452"/>
    </row>
    <row r="9" spans="1:21">
      <c r="A9" s="1578"/>
      <c r="B9" s="1579"/>
      <c r="C9" s="1580"/>
      <c r="D9" s="1581"/>
      <c r="E9" s="455" t="s">
        <v>350</v>
      </c>
      <c r="F9" s="452">
        <f>+'102(2)'!F16</f>
        <v>2</v>
      </c>
      <c r="G9" s="452">
        <f>IF(F9&gt;0,(ROUND((C7/D7)/8,2)),0)</f>
        <v>1.25</v>
      </c>
      <c r="H9" s="452">
        <f t="shared" si="0"/>
        <v>2.5</v>
      </c>
      <c r="I9" s="452">
        <f t="shared" si="1"/>
        <v>2.5</v>
      </c>
      <c r="J9" s="452">
        <f t="shared" si="2"/>
        <v>2.5</v>
      </c>
      <c r="K9" s="452">
        <f t="shared" si="3"/>
        <v>2.5</v>
      </c>
      <c r="L9" s="452">
        <f t="shared" si="4"/>
        <v>2.5</v>
      </c>
      <c r="M9" s="460">
        <f t="shared" si="5"/>
        <v>0.75</v>
      </c>
      <c r="N9" s="452">
        <f t="shared" si="6"/>
        <v>2.5</v>
      </c>
      <c r="O9" s="452"/>
      <c r="P9" s="452"/>
      <c r="Q9" s="452"/>
      <c r="R9" s="452"/>
      <c r="S9" s="452">
        <f t="shared" si="7"/>
        <v>2.5</v>
      </c>
      <c r="T9" s="452"/>
      <c r="U9" s="452"/>
    </row>
    <row r="10" spans="1:21">
      <c r="A10" s="1578" t="str">
        <f>+'POW-2015-01C-00_'!A34</f>
        <v>104(2)a</v>
      </c>
      <c r="B10" s="1579" t="str">
        <f>+'POW-2015-01C-00_'!B34</f>
        <v>Embankment from Borrow (Common Soil)</v>
      </c>
      <c r="C10" s="1580">
        <f>+VLOOKUP(A10,SUMMARY,7,0)</f>
        <v>848.88</v>
      </c>
      <c r="D10" s="1581">
        <f>+'104(1)a'!F7</f>
        <v>50</v>
      </c>
      <c r="E10" s="455" t="s">
        <v>454</v>
      </c>
      <c r="F10" s="452">
        <f>+'104(1)a'!F16+'104(1)a'!F20</f>
        <v>2</v>
      </c>
      <c r="G10" s="452">
        <f>IF(F10&gt;0,(ROUND((C10/D10)/8,2)),0)</f>
        <v>2.12</v>
      </c>
      <c r="H10" s="452">
        <f t="shared" si="0"/>
        <v>4.24</v>
      </c>
      <c r="I10" s="452">
        <f t="shared" si="1"/>
        <v>4.24</v>
      </c>
      <c r="J10" s="452">
        <f t="shared" si="2"/>
        <v>4.24</v>
      </c>
      <c r="K10" s="452">
        <f t="shared" si="3"/>
        <v>4.24</v>
      </c>
      <c r="L10" s="452">
        <f t="shared" si="4"/>
        <v>4.24</v>
      </c>
      <c r="M10" s="460">
        <f t="shared" si="5"/>
        <v>1.272</v>
      </c>
      <c r="N10" s="452">
        <f t="shared" si="6"/>
        <v>4.24</v>
      </c>
      <c r="O10" s="452"/>
      <c r="P10" s="452"/>
      <c r="Q10" s="452"/>
      <c r="R10" s="452"/>
      <c r="S10" s="452">
        <f t="shared" si="7"/>
        <v>4.24</v>
      </c>
      <c r="T10" s="452"/>
      <c r="U10" s="452"/>
    </row>
    <row r="11" spans="1:21">
      <c r="A11" s="1578"/>
      <c r="B11" s="1579"/>
      <c r="C11" s="1580"/>
      <c r="D11" s="1581"/>
      <c r="E11" s="455" t="s">
        <v>348</v>
      </c>
      <c r="F11" s="452">
        <v>0</v>
      </c>
      <c r="G11" s="452">
        <f>IF(F11&gt;0,(ROUND((C10/D10)/8,2)),0)</f>
        <v>0</v>
      </c>
      <c r="H11" s="452">
        <f t="shared" si="0"/>
        <v>0</v>
      </c>
      <c r="I11" s="452">
        <f t="shared" si="1"/>
        <v>0</v>
      </c>
      <c r="J11" s="452">
        <f t="shared" si="2"/>
        <v>0</v>
      </c>
      <c r="K11" s="452">
        <f t="shared" si="3"/>
        <v>0</v>
      </c>
      <c r="L11" s="452">
        <f t="shared" si="4"/>
        <v>0</v>
      </c>
      <c r="M11" s="460">
        <f t="shared" si="5"/>
        <v>0</v>
      </c>
      <c r="N11" s="452">
        <f t="shared" si="6"/>
        <v>0</v>
      </c>
      <c r="O11" s="452"/>
      <c r="P11" s="452"/>
      <c r="Q11" s="452"/>
      <c r="R11" s="452"/>
      <c r="S11" s="452">
        <f t="shared" si="7"/>
        <v>0</v>
      </c>
      <c r="T11" s="452"/>
      <c r="U11" s="452"/>
    </row>
    <row r="12" spans="1:21">
      <c r="A12" s="1578"/>
      <c r="B12" s="1579"/>
      <c r="C12" s="1580"/>
      <c r="D12" s="1581"/>
      <c r="E12" s="455" t="s">
        <v>350</v>
      </c>
      <c r="F12" s="452">
        <f>+'104(1)a'!F17+'104(1)a'!F21</f>
        <v>4</v>
      </c>
      <c r="G12" s="452">
        <f>IF(F12&gt;0,(ROUND((C10/D10)/8,2)),0)</f>
        <v>2.12</v>
      </c>
      <c r="H12" s="452">
        <f t="shared" si="0"/>
        <v>8.48</v>
      </c>
      <c r="I12" s="452">
        <f t="shared" si="1"/>
        <v>8.48</v>
      </c>
      <c r="J12" s="452">
        <f t="shared" si="2"/>
        <v>8.48</v>
      </c>
      <c r="K12" s="452">
        <f t="shared" si="3"/>
        <v>8.48</v>
      </c>
      <c r="L12" s="452">
        <f t="shared" si="4"/>
        <v>8.48</v>
      </c>
      <c r="M12" s="460">
        <f t="shared" si="5"/>
        <v>2.544</v>
      </c>
      <c r="N12" s="452">
        <f t="shared" si="6"/>
        <v>8.48</v>
      </c>
      <c r="O12" s="452"/>
      <c r="P12" s="452"/>
      <c r="Q12" s="452"/>
      <c r="R12" s="452"/>
      <c r="S12" s="452">
        <f t="shared" si="7"/>
        <v>8.48</v>
      </c>
      <c r="T12" s="452"/>
      <c r="U12" s="452"/>
    </row>
    <row r="13" spans="1:21">
      <c r="A13" s="1578" t="str">
        <f>+'POW-2015-01C-00_'!A36</f>
        <v>105(1)a</v>
      </c>
      <c r="B13" s="1579" t="str">
        <f>+'POW-2015-01C-00_'!B36</f>
        <v>Subgrade Preparation (Common Material)</v>
      </c>
      <c r="C13" s="1580">
        <f>+VLOOKUP(A13,SUMMARY,7,0)</f>
        <v>5778</v>
      </c>
      <c r="D13" s="1581">
        <f>+'105(1)a'!F7</f>
        <v>300</v>
      </c>
      <c r="E13" s="455" t="s">
        <v>454</v>
      </c>
      <c r="F13" s="452">
        <f>+'105(1)a'!F15</f>
        <v>1</v>
      </c>
      <c r="G13" s="452">
        <f>IF(F13&gt;0,(ROUND((C13/D13)/8,2)),0)</f>
        <v>2.41</v>
      </c>
      <c r="H13" s="452">
        <f t="shared" si="0"/>
        <v>2.41</v>
      </c>
      <c r="I13" s="452">
        <f t="shared" si="1"/>
        <v>2.41</v>
      </c>
      <c r="J13" s="452">
        <f t="shared" si="2"/>
        <v>2.41</v>
      </c>
      <c r="K13" s="452">
        <f t="shared" si="3"/>
        <v>2.41</v>
      </c>
      <c r="L13" s="452">
        <f t="shared" si="4"/>
        <v>2.41</v>
      </c>
      <c r="M13" s="460">
        <f t="shared" si="5"/>
        <v>0.72299999999999998</v>
      </c>
      <c r="N13" s="452">
        <f t="shared" si="6"/>
        <v>2.41</v>
      </c>
      <c r="O13" s="452"/>
      <c r="P13" s="452"/>
      <c r="Q13" s="452"/>
      <c r="R13" s="452"/>
      <c r="S13" s="452">
        <f t="shared" si="7"/>
        <v>2.41</v>
      </c>
      <c r="T13" s="452"/>
      <c r="U13" s="452"/>
    </row>
    <row r="14" spans="1:21">
      <c r="A14" s="1578"/>
      <c r="B14" s="1579"/>
      <c r="C14" s="1580"/>
      <c r="D14" s="1581"/>
      <c r="E14" s="455" t="s">
        <v>348</v>
      </c>
      <c r="F14" s="452">
        <v>0</v>
      </c>
      <c r="G14" s="452">
        <f>IF(F14&gt;0,(ROUND((C13/D13)/8,2)),0)</f>
        <v>0</v>
      </c>
      <c r="H14" s="452">
        <f t="shared" si="0"/>
        <v>0</v>
      </c>
      <c r="I14" s="452">
        <f t="shared" si="1"/>
        <v>0</v>
      </c>
      <c r="J14" s="452">
        <f t="shared" si="2"/>
        <v>0</v>
      </c>
      <c r="K14" s="452">
        <f t="shared" si="3"/>
        <v>0</v>
      </c>
      <c r="L14" s="452">
        <f t="shared" si="4"/>
        <v>0</v>
      </c>
      <c r="M14" s="460">
        <f t="shared" si="5"/>
        <v>0</v>
      </c>
      <c r="N14" s="452">
        <f t="shared" si="6"/>
        <v>0</v>
      </c>
      <c r="O14" s="452"/>
      <c r="P14" s="452"/>
      <c r="Q14" s="452"/>
      <c r="R14" s="452"/>
      <c r="S14" s="452">
        <f t="shared" si="7"/>
        <v>0</v>
      </c>
      <c r="T14" s="452"/>
      <c r="U14" s="452"/>
    </row>
    <row r="15" spans="1:21">
      <c r="A15" s="1578"/>
      <c r="B15" s="1579"/>
      <c r="C15" s="1580"/>
      <c r="D15" s="1581"/>
      <c r="E15" s="455" t="s">
        <v>350</v>
      </c>
      <c r="F15" s="452">
        <f>+'105(1)a'!F16</f>
        <v>2</v>
      </c>
      <c r="G15" s="452">
        <f>IF(F15&gt;0,(ROUND((C13/D13)/8,2)),0)</f>
        <v>2.41</v>
      </c>
      <c r="H15" s="452">
        <f t="shared" si="0"/>
        <v>4.82</v>
      </c>
      <c r="I15" s="452">
        <f t="shared" si="1"/>
        <v>4.82</v>
      </c>
      <c r="J15" s="452">
        <f t="shared" si="2"/>
        <v>4.82</v>
      </c>
      <c r="K15" s="452">
        <f t="shared" si="3"/>
        <v>4.82</v>
      </c>
      <c r="L15" s="452">
        <f t="shared" si="4"/>
        <v>4.82</v>
      </c>
      <c r="M15" s="460">
        <f t="shared" si="5"/>
        <v>1.446</v>
      </c>
      <c r="N15" s="452">
        <f t="shared" si="6"/>
        <v>4.82</v>
      </c>
      <c r="O15" s="452"/>
      <c r="P15" s="452"/>
      <c r="Q15" s="452"/>
      <c r="R15" s="452"/>
      <c r="S15" s="452">
        <f t="shared" si="7"/>
        <v>4.82</v>
      </c>
      <c r="T15" s="452"/>
      <c r="U15" s="452"/>
    </row>
    <row r="16" spans="1:21">
      <c r="A16" s="1578" t="str">
        <f>+'POW-2015-01C-00_'!A41</f>
        <v>200(1)</v>
      </c>
      <c r="B16" s="1579" t="str">
        <f>+'POW-2015-01C-00_'!B41</f>
        <v>Aggregate Subbase Course</v>
      </c>
      <c r="C16" s="1580">
        <f>+VLOOKUP(A16,SUMMARY,7,0)</f>
        <v>1551.95</v>
      </c>
      <c r="D16" s="1581">
        <f>+'200(1)'!F7</f>
        <v>50</v>
      </c>
      <c r="E16" s="455" t="s">
        <v>454</v>
      </c>
      <c r="F16" s="452">
        <f>+'200(1)'!F15</f>
        <v>1</v>
      </c>
      <c r="G16" s="452">
        <f>IF(F16&gt;0,(ROUND((C16/D16)/8,2)),0)</f>
        <v>3.88</v>
      </c>
      <c r="H16" s="452">
        <f t="shared" si="0"/>
        <v>3.88</v>
      </c>
      <c r="I16" s="452">
        <f t="shared" si="1"/>
        <v>3.88</v>
      </c>
      <c r="J16" s="452">
        <f t="shared" si="2"/>
        <v>3.88</v>
      </c>
      <c r="K16" s="452">
        <f t="shared" si="3"/>
        <v>3.88</v>
      </c>
      <c r="L16" s="452">
        <f t="shared" si="4"/>
        <v>3.88</v>
      </c>
      <c r="M16" s="460">
        <f t="shared" si="5"/>
        <v>1.1639999999999999</v>
      </c>
      <c r="N16" s="452">
        <f t="shared" si="6"/>
        <v>3.88</v>
      </c>
      <c r="O16" s="452"/>
      <c r="P16" s="452"/>
      <c r="Q16" s="452"/>
      <c r="R16" s="452"/>
      <c r="S16" s="452">
        <f t="shared" si="7"/>
        <v>3.88</v>
      </c>
      <c r="T16" s="452"/>
      <c r="U16" s="452"/>
    </row>
    <row r="17" spans="1:25">
      <c r="A17" s="1578"/>
      <c r="B17" s="1579"/>
      <c r="C17" s="1580"/>
      <c r="D17" s="1581"/>
      <c r="E17" s="455" t="s">
        <v>348</v>
      </c>
      <c r="F17" s="452">
        <v>0</v>
      </c>
      <c r="G17" s="452">
        <f>IF(F17&gt;0,(ROUND((C16/D16)/8,2)),0)</f>
        <v>0</v>
      </c>
      <c r="H17" s="452">
        <f t="shared" si="0"/>
        <v>0</v>
      </c>
      <c r="I17" s="452">
        <f t="shared" si="1"/>
        <v>0</v>
      </c>
      <c r="J17" s="452">
        <f t="shared" si="2"/>
        <v>0</v>
      </c>
      <c r="K17" s="452">
        <f t="shared" si="3"/>
        <v>0</v>
      </c>
      <c r="L17" s="452">
        <f t="shared" si="4"/>
        <v>0</v>
      </c>
      <c r="M17" s="460">
        <f t="shared" si="5"/>
        <v>0</v>
      </c>
      <c r="N17" s="452">
        <f t="shared" si="6"/>
        <v>0</v>
      </c>
      <c r="O17" s="452"/>
      <c r="P17" s="452"/>
      <c r="Q17" s="452"/>
      <c r="R17" s="452"/>
      <c r="S17" s="452">
        <f t="shared" si="7"/>
        <v>0</v>
      </c>
      <c r="T17" s="452"/>
      <c r="U17" s="452"/>
    </row>
    <row r="18" spans="1:25">
      <c r="A18" s="1578"/>
      <c r="B18" s="1579"/>
      <c r="C18" s="1580"/>
      <c r="D18" s="1581"/>
      <c r="E18" s="455" t="s">
        <v>350</v>
      </c>
      <c r="F18" s="452">
        <f>+'200(1)'!F16</f>
        <v>2</v>
      </c>
      <c r="G18" s="452">
        <f>IF(F18&gt;0,(ROUND((C16/D16)/8,2)),0)</f>
        <v>3.88</v>
      </c>
      <c r="H18" s="452">
        <f t="shared" si="0"/>
        <v>7.76</v>
      </c>
      <c r="I18" s="452">
        <f t="shared" si="1"/>
        <v>7.76</v>
      </c>
      <c r="J18" s="452">
        <f t="shared" si="2"/>
        <v>7.76</v>
      </c>
      <c r="K18" s="452">
        <f t="shared" si="3"/>
        <v>7.76</v>
      </c>
      <c r="L18" s="452">
        <f t="shared" si="4"/>
        <v>7.76</v>
      </c>
      <c r="M18" s="460">
        <f t="shared" si="5"/>
        <v>2.3279999999999998</v>
      </c>
      <c r="N18" s="452">
        <f t="shared" si="6"/>
        <v>7.76</v>
      </c>
      <c r="O18" s="452"/>
      <c r="P18" s="452"/>
      <c r="Q18" s="452"/>
      <c r="R18" s="452"/>
      <c r="S18" s="452">
        <f t="shared" si="7"/>
        <v>7.76</v>
      </c>
      <c r="T18" s="452"/>
      <c r="U18" s="452"/>
    </row>
    <row r="19" spans="1:25">
      <c r="A19" s="1578" t="str">
        <f>+'POW-2015-01C-00_'!A46</f>
        <v>311(1)b1</v>
      </c>
      <c r="B19" s="1579" t="str">
        <f>+'POW-2015-01C-00_'!B46</f>
        <v>Portland Cement Concrete Pavement  (Unreinforced, 0.20m thick, 14 days)</v>
      </c>
      <c r="C19" s="1580">
        <f>+VLOOKUP(A19,SUMMARY,7,0)</f>
        <v>4815</v>
      </c>
      <c r="D19" s="1581">
        <f>+'311(1)b1'!F7</f>
        <v>80.5</v>
      </c>
      <c r="E19" s="455" t="s">
        <v>454</v>
      </c>
      <c r="F19" s="452">
        <f>+'311(1)b1'!F15</f>
        <v>1</v>
      </c>
      <c r="G19" s="452">
        <f>IF(F19&gt;0,(ROUND((C19/D19)/8,2)),0)</f>
        <v>7.48</v>
      </c>
      <c r="H19" s="452">
        <f t="shared" si="0"/>
        <v>7.48</v>
      </c>
      <c r="I19" s="452">
        <f t="shared" si="1"/>
        <v>7.48</v>
      </c>
      <c r="J19" s="452"/>
      <c r="K19" s="452">
        <f t="shared" si="3"/>
        <v>7.48</v>
      </c>
      <c r="L19" s="452">
        <f t="shared" si="4"/>
        <v>7.48</v>
      </c>
      <c r="M19" s="460">
        <f t="shared" si="5"/>
        <v>2.2440000000000002</v>
      </c>
      <c r="N19" s="452">
        <f t="shared" si="6"/>
        <v>7.48</v>
      </c>
      <c r="O19" s="452"/>
      <c r="P19" s="452"/>
      <c r="Q19" s="452"/>
      <c r="R19" s="452">
        <f t="shared" ref="R19:R24" si="8">+H19</f>
        <v>7.48</v>
      </c>
      <c r="S19" s="452">
        <f t="shared" si="7"/>
        <v>7.48</v>
      </c>
      <c r="T19" s="452"/>
      <c r="U19" s="452"/>
    </row>
    <row r="20" spans="1:25">
      <c r="A20" s="1578"/>
      <c r="B20" s="1579"/>
      <c r="C20" s="1580"/>
      <c r="D20" s="1581"/>
      <c r="E20" s="455" t="s">
        <v>348</v>
      </c>
      <c r="F20" s="452">
        <f>+'311(1)b1'!F16</f>
        <v>4</v>
      </c>
      <c r="G20" s="452">
        <f>IF(F20&gt;0,(ROUND((C19/D19)/8,2)),0)</f>
        <v>7.48</v>
      </c>
      <c r="H20" s="452">
        <f t="shared" si="0"/>
        <v>29.92</v>
      </c>
      <c r="I20" s="452">
        <f t="shared" si="1"/>
        <v>29.92</v>
      </c>
      <c r="J20" s="452"/>
      <c r="K20" s="452">
        <f t="shared" si="3"/>
        <v>29.92</v>
      </c>
      <c r="L20" s="452">
        <f t="shared" si="4"/>
        <v>29.92</v>
      </c>
      <c r="M20" s="460">
        <f t="shared" si="5"/>
        <v>8.9760000000000009</v>
      </c>
      <c r="N20" s="452">
        <f t="shared" si="6"/>
        <v>29.92</v>
      </c>
      <c r="O20" s="452"/>
      <c r="P20" s="452"/>
      <c r="Q20" s="452"/>
      <c r="R20" s="452">
        <f t="shared" si="8"/>
        <v>29.92</v>
      </c>
      <c r="S20" s="452">
        <f t="shared" si="7"/>
        <v>29.92</v>
      </c>
      <c r="T20" s="452"/>
      <c r="U20" s="452"/>
    </row>
    <row r="21" spans="1:25">
      <c r="A21" s="1578"/>
      <c r="B21" s="1579"/>
      <c r="C21" s="1580"/>
      <c r="D21" s="1581"/>
      <c r="E21" s="455" t="s">
        <v>350</v>
      </c>
      <c r="F21" s="452">
        <f>+'311(1)b1'!F17</f>
        <v>12</v>
      </c>
      <c r="G21" s="452">
        <f>IF(F21&gt;0,(ROUND((C19/D19)/8,2)),0)</f>
        <v>7.48</v>
      </c>
      <c r="H21" s="452">
        <f t="shared" si="0"/>
        <v>89.76</v>
      </c>
      <c r="I21" s="452">
        <f t="shared" si="1"/>
        <v>89.76</v>
      </c>
      <c r="J21" s="452"/>
      <c r="K21" s="452">
        <f t="shared" si="3"/>
        <v>89.76</v>
      </c>
      <c r="L21" s="452">
        <f t="shared" si="4"/>
        <v>89.76</v>
      </c>
      <c r="M21" s="460">
        <f t="shared" si="5"/>
        <v>26.928000000000001</v>
      </c>
      <c r="N21" s="452">
        <f t="shared" si="6"/>
        <v>89.76</v>
      </c>
      <c r="O21" s="452"/>
      <c r="P21" s="452"/>
      <c r="Q21" s="452"/>
      <c r="R21" s="452">
        <f t="shared" si="8"/>
        <v>89.76</v>
      </c>
      <c r="S21" s="452">
        <f t="shared" si="7"/>
        <v>89.76</v>
      </c>
      <c r="T21" s="452"/>
      <c r="U21" s="452"/>
    </row>
    <row r="22" spans="1:25">
      <c r="A22" s="1578" t="str">
        <f>'POW-2015-01C-00_'!A51</f>
        <v>506(1)</v>
      </c>
      <c r="B22" s="1579" t="str">
        <f>'POW-2015-01C-00_'!B51</f>
        <v>Stone Masonry(Slope Protection)</v>
      </c>
      <c r="C22" s="1580">
        <f>+VLOOKUP(A22,SUMMARY,7,0)</f>
        <v>336</v>
      </c>
      <c r="D22" s="1581">
        <f>'506(1)'!F7</f>
        <v>1.6</v>
      </c>
      <c r="E22" s="455" t="s">
        <v>454</v>
      </c>
      <c r="F22" s="452">
        <v>1</v>
      </c>
      <c r="G22" s="452">
        <f>IF(F22&gt;0,(ROUND((C22/D22)/8,2)),0)</f>
        <v>26.25</v>
      </c>
      <c r="H22" s="452">
        <f t="shared" ref="H22:H24" si="9">+F22*G22</f>
        <v>26.25</v>
      </c>
      <c r="I22" s="452">
        <f t="shared" ref="I22:I24" si="10">+H22</f>
        <v>26.25</v>
      </c>
      <c r="J22" s="452"/>
      <c r="K22" s="452">
        <f t="shared" ref="K22:K24" si="11">+H22</f>
        <v>26.25</v>
      </c>
      <c r="L22" s="452">
        <f t="shared" ref="L22:L24" si="12">+H22</f>
        <v>26.25</v>
      </c>
      <c r="M22" s="460">
        <f t="shared" ref="M22:M24" si="13">+H22*0.3</f>
        <v>7.875</v>
      </c>
      <c r="N22" s="452">
        <f t="shared" ref="N22:N24" si="14">+H22</f>
        <v>26.25</v>
      </c>
      <c r="O22" s="452"/>
      <c r="P22" s="452"/>
      <c r="Q22" s="452"/>
      <c r="R22" s="452">
        <f t="shared" si="8"/>
        <v>26.25</v>
      </c>
      <c r="S22" s="452">
        <f t="shared" ref="S22:S24" si="15">+H22</f>
        <v>26.25</v>
      </c>
      <c r="T22" s="452"/>
      <c r="U22" s="452"/>
    </row>
    <row r="23" spans="1:25">
      <c r="A23" s="1578"/>
      <c r="B23" s="1579"/>
      <c r="C23" s="1580"/>
      <c r="D23" s="1581"/>
      <c r="E23" s="455" t="s">
        <v>348</v>
      </c>
      <c r="F23" s="452">
        <v>2</v>
      </c>
      <c r="G23" s="452">
        <f>IF(F23&gt;0,(ROUND((C22/D22)/8,2)),0)</f>
        <v>26.25</v>
      </c>
      <c r="H23" s="452">
        <f t="shared" si="9"/>
        <v>52.5</v>
      </c>
      <c r="I23" s="452">
        <f t="shared" si="10"/>
        <v>52.5</v>
      </c>
      <c r="J23" s="452"/>
      <c r="K23" s="452">
        <f t="shared" si="11"/>
        <v>52.5</v>
      </c>
      <c r="L23" s="452">
        <f t="shared" si="12"/>
        <v>52.5</v>
      </c>
      <c r="M23" s="460">
        <f t="shared" si="13"/>
        <v>15.75</v>
      </c>
      <c r="N23" s="452">
        <f t="shared" si="14"/>
        <v>52.5</v>
      </c>
      <c r="O23" s="452"/>
      <c r="P23" s="452"/>
      <c r="Q23" s="452"/>
      <c r="R23" s="452">
        <f t="shared" si="8"/>
        <v>52.5</v>
      </c>
      <c r="S23" s="452">
        <f t="shared" si="15"/>
        <v>52.5</v>
      </c>
      <c r="T23" s="452"/>
      <c r="U23" s="452"/>
    </row>
    <row r="24" spans="1:25">
      <c r="A24" s="1578"/>
      <c r="B24" s="1579"/>
      <c r="C24" s="1580"/>
      <c r="D24" s="1581"/>
      <c r="E24" s="455" t="s">
        <v>350</v>
      </c>
      <c r="F24" s="452">
        <v>8</v>
      </c>
      <c r="G24" s="452">
        <f>IF(F24&gt;0,(ROUND((C22/D22)/8,2)),0)</f>
        <v>26.25</v>
      </c>
      <c r="H24" s="452">
        <f t="shared" si="9"/>
        <v>210</v>
      </c>
      <c r="I24" s="452">
        <f t="shared" si="10"/>
        <v>210</v>
      </c>
      <c r="J24" s="452"/>
      <c r="K24" s="452">
        <f t="shared" si="11"/>
        <v>210</v>
      </c>
      <c r="L24" s="452">
        <f t="shared" si="12"/>
        <v>210</v>
      </c>
      <c r="M24" s="460">
        <f t="shared" si="13"/>
        <v>63</v>
      </c>
      <c r="N24" s="452">
        <f t="shared" si="14"/>
        <v>210</v>
      </c>
      <c r="O24" s="452"/>
      <c r="P24" s="452"/>
      <c r="Q24" s="452"/>
      <c r="R24" s="452">
        <f t="shared" si="8"/>
        <v>210</v>
      </c>
      <c r="S24" s="452">
        <f t="shared" si="15"/>
        <v>210</v>
      </c>
      <c r="T24" s="452"/>
      <c r="U24" s="452"/>
    </row>
    <row r="25" spans="1:25">
      <c r="A25" s="452"/>
      <c r="B25" s="453"/>
      <c r="C25" s="454"/>
      <c r="D25" s="453"/>
      <c r="E25" s="455"/>
      <c r="F25" s="452"/>
      <c r="G25" s="452"/>
      <c r="H25" s="452"/>
      <c r="I25" s="452"/>
      <c r="J25" s="452"/>
      <c r="K25" s="452"/>
      <c r="L25" s="452"/>
      <c r="M25" s="452"/>
      <c r="N25" s="452"/>
      <c r="O25" s="452"/>
      <c r="P25" s="452"/>
      <c r="Q25" s="452"/>
      <c r="R25" s="452"/>
      <c r="S25" s="452"/>
      <c r="T25" s="452"/>
      <c r="U25" s="452"/>
    </row>
    <row r="26" spans="1:25">
      <c r="A26" s="452"/>
      <c r="B26" s="453"/>
      <c r="C26" s="454"/>
      <c r="D26" s="453"/>
      <c r="E26" s="455"/>
      <c r="F26" s="452"/>
      <c r="G26" s="452"/>
      <c r="H26" s="452"/>
      <c r="I26" s="452"/>
      <c r="J26" s="452"/>
      <c r="K26" s="452"/>
      <c r="L26" s="452"/>
      <c r="M26" s="452"/>
      <c r="N26" s="452"/>
      <c r="O26" s="452"/>
      <c r="P26" s="452"/>
      <c r="Q26" s="452"/>
      <c r="R26" s="452"/>
      <c r="S26" s="452"/>
      <c r="T26" s="452"/>
      <c r="U26" s="452"/>
    </row>
    <row r="27" spans="1:25">
      <c r="A27" s="452"/>
      <c r="B27" s="453"/>
      <c r="C27" s="453"/>
      <c r="D27" s="453"/>
      <c r="E27" s="455"/>
      <c r="F27" s="452"/>
      <c r="G27" s="452"/>
      <c r="H27" s="452"/>
      <c r="I27" s="452"/>
      <c r="J27" s="452"/>
      <c r="K27" s="452"/>
      <c r="L27" s="452"/>
      <c r="M27" s="452"/>
      <c r="N27" s="452"/>
      <c r="O27" s="452"/>
      <c r="P27" s="452"/>
      <c r="Q27" s="452"/>
      <c r="R27" s="452"/>
      <c r="S27" s="452"/>
      <c r="T27" s="452"/>
      <c r="U27" s="452"/>
      <c r="X27" s="448">
        <v>20719.150000000001</v>
      </c>
      <c r="Y27" s="448">
        <f>+X27*0.08</f>
        <v>1657.5320000000002</v>
      </c>
    </row>
    <row r="28" spans="1:25" s="447" customFormat="1">
      <c r="A28" s="451"/>
      <c r="B28" s="451"/>
      <c r="C28" s="451"/>
      <c r="D28" s="451"/>
      <c r="E28" s="456" t="s">
        <v>455</v>
      </c>
      <c r="F28" s="457">
        <f>+SUM(F4:F27)</f>
        <v>47</v>
      </c>
      <c r="G28" s="451"/>
      <c r="H28" s="457">
        <f>+SUM(H4:H27)-'B_7(2)'!L52</f>
        <v>281.36287811960256</v>
      </c>
      <c r="I28" s="457">
        <f>+SUM(I4:I27)-'B_7(2)'!L52</f>
        <v>281.36287811960256</v>
      </c>
      <c r="J28" s="457">
        <f>+SUM(J4:J27)</f>
        <v>35.339999999999996</v>
      </c>
      <c r="K28" s="457">
        <f>+SUM(K4:K27)-'B_7(2)'!L52</f>
        <v>281.36287811960256</v>
      </c>
      <c r="L28" s="457">
        <f>+SUM(L4:L27)-'B_7(2)'!L52</f>
        <v>281.36287811960256</v>
      </c>
      <c r="M28" s="457">
        <f>+SUM(M4:M27)</f>
        <v>135.375</v>
      </c>
      <c r="N28" s="457">
        <f>+SUM(N4:N27)-'B_7(2)'!L52</f>
        <v>281.36287811960256</v>
      </c>
      <c r="O28" s="457">
        <f>+SUM(O4:O27)</f>
        <v>0</v>
      </c>
      <c r="P28" s="457">
        <f>+SUM(P4:P27)</f>
        <v>0</v>
      </c>
      <c r="Q28" s="457">
        <f>+SUM(Q4:Q27)</f>
        <v>0</v>
      </c>
      <c r="R28" s="457">
        <f>+SUM(R4:R27)-'B_7(2)'!L52</f>
        <v>246.02287811960261</v>
      </c>
      <c r="S28" s="457">
        <f>+SUM(S4:S27)-'B_7(2)'!L52</f>
        <v>281.36287811960256</v>
      </c>
      <c r="T28" s="457">
        <f>+SUM(T4:T27)</f>
        <v>0</v>
      </c>
      <c r="U28" s="457"/>
      <c r="X28" s="447">
        <f>71.12+233.56+639.09+2204.63+28.95+281.86</f>
        <v>3459.21</v>
      </c>
      <c r="Y28" s="447">
        <f>+X28*0.05</f>
        <v>172.96050000000002</v>
      </c>
    </row>
    <row r="29" spans="1:25" s="447" customFormat="1">
      <c r="A29" s="451"/>
      <c r="B29" s="451"/>
      <c r="C29" s="451"/>
      <c r="D29" s="451"/>
      <c r="E29" s="456" t="s">
        <v>456</v>
      </c>
      <c r="F29" s="451"/>
      <c r="G29" s="451"/>
      <c r="H29" s="458"/>
      <c r="I29" s="458">
        <v>730</v>
      </c>
      <c r="J29" s="458">
        <v>365</v>
      </c>
      <c r="K29" s="458">
        <v>180</v>
      </c>
      <c r="L29" s="458">
        <v>3</v>
      </c>
      <c r="M29" s="458">
        <v>730</v>
      </c>
      <c r="N29" s="457">
        <v>0.5</v>
      </c>
      <c r="O29" s="458">
        <v>730</v>
      </c>
      <c r="P29" s="458">
        <v>730</v>
      </c>
      <c r="Q29" s="458">
        <v>730</v>
      </c>
      <c r="R29" s="458">
        <v>365</v>
      </c>
      <c r="S29" s="458">
        <v>60</v>
      </c>
      <c r="T29" s="458">
        <v>60</v>
      </c>
      <c r="U29" s="457"/>
    </row>
    <row r="30" spans="1:25" s="447" customFormat="1">
      <c r="A30" s="451"/>
      <c r="B30" s="451"/>
      <c r="C30" s="451"/>
      <c r="D30" s="451"/>
      <c r="E30" s="456" t="s">
        <v>457</v>
      </c>
      <c r="F30" s="451"/>
      <c r="G30" s="451"/>
      <c r="H30" s="457"/>
      <c r="I30" s="457">
        <v>250</v>
      </c>
      <c r="J30" s="461">
        <v>1500</v>
      </c>
      <c r="K30" s="457">
        <v>400</v>
      </c>
      <c r="L30" s="457">
        <v>23</v>
      </c>
      <c r="M30" s="457">
        <v>245</v>
      </c>
      <c r="N30" s="457">
        <v>5</v>
      </c>
      <c r="O30" s="457">
        <v>602.6</v>
      </c>
      <c r="P30" s="461">
        <v>1263.8499999999999</v>
      </c>
      <c r="Q30" s="461">
        <v>1083.3</v>
      </c>
      <c r="R30" s="457">
        <v>506</v>
      </c>
      <c r="S30" s="457">
        <v>300</v>
      </c>
      <c r="T30" s="457">
        <v>500</v>
      </c>
      <c r="U30" s="457"/>
    </row>
    <row r="31" spans="1:25" s="447" customFormat="1">
      <c r="A31" s="451"/>
      <c r="B31" s="451"/>
      <c r="C31" s="451"/>
      <c r="D31" s="451"/>
      <c r="E31" s="456" t="s">
        <v>458</v>
      </c>
      <c r="F31" s="451"/>
      <c r="G31" s="451"/>
      <c r="H31" s="457"/>
      <c r="I31" s="457">
        <f t="shared" ref="I31:N31" si="16">+I30/I29</f>
        <v>0.34246575342465752</v>
      </c>
      <c r="J31" s="457">
        <f t="shared" si="16"/>
        <v>4.1095890410958908</v>
      </c>
      <c r="K31" s="457">
        <f t="shared" si="16"/>
        <v>2.2222222222222223</v>
      </c>
      <c r="L31" s="457">
        <f t="shared" si="16"/>
        <v>7.666666666666667</v>
      </c>
      <c r="M31" s="457">
        <f t="shared" si="16"/>
        <v>0.33561643835616439</v>
      </c>
      <c r="N31" s="457">
        <f t="shared" si="16"/>
        <v>10</v>
      </c>
      <c r="O31" s="457"/>
      <c r="P31" s="457"/>
      <c r="Q31" s="457"/>
      <c r="R31" s="457">
        <f>+R30/R29</f>
        <v>1.3863013698630138</v>
      </c>
      <c r="S31" s="457">
        <f>+S30/S29</f>
        <v>5</v>
      </c>
      <c r="T31" s="457"/>
      <c r="U31" s="457"/>
      <c r="W31" s="447" t="s">
        <v>246</v>
      </c>
      <c r="X31" s="464">
        <f>cd!D30</f>
        <v>65</v>
      </c>
    </row>
    <row r="32" spans="1:25" s="447" customFormat="1">
      <c r="A32" s="451"/>
      <c r="B32" s="451"/>
      <c r="C32" s="451"/>
      <c r="D32" s="451"/>
      <c r="E32" s="456" t="s">
        <v>459</v>
      </c>
      <c r="F32" s="451"/>
      <c r="G32" s="451"/>
      <c r="H32" s="457"/>
      <c r="I32" s="457">
        <f t="shared" ref="I32:T32" si="17">+I31*I28</f>
        <v>96.35715004095978</v>
      </c>
      <c r="J32" s="457">
        <f t="shared" si="17"/>
        <v>145.23287671232876</v>
      </c>
      <c r="K32" s="457">
        <f t="shared" si="17"/>
        <v>625.25084026578349</v>
      </c>
      <c r="L32" s="462">
        <f t="shared" si="17"/>
        <v>2157.1153989169529</v>
      </c>
      <c r="M32" s="457">
        <f t="shared" si="17"/>
        <v>45.434075342465754</v>
      </c>
      <c r="N32" s="463">
        <f t="shared" si="17"/>
        <v>2813.6287811960256</v>
      </c>
      <c r="O32" s="457">
        <f t="shared" si="17"/>
        <v>0</v>
      </c>
      <c r="P32" s="457">
        <f t="shared" si="17"/>
        <v>0</v>
      </c>
      <c r="Q32" s="457">
        <f t="shared" si="17"/>
        <v>0</v>
      </c>
      <c r="R32" s="457">
        <f t="shared" si="17"/>
        <v>341.06185295484636</v>
      </c>
      <c r="S32" s="462">
        <f t="shared" si="17"/>
        <v>1406.8143905980128</v>
      </c>
      <c r="T32" s="457">
        <f t="shared" si="17"/>
        <v>0</v>
      </c>
      <c r="U32" s="457">
        <f>+SUM(I32:T32)</f>
        <v>7630.8953660273746</v>
      </c>
      <c r="W32" s="447" t="s">
        <v>460</v>
      </c>
      <c r="X32" s="447" t="s">
        <v>461</v>
      </c>
      <c r="Y32" s="447" t="s">
        <v>462</v>
      </c>
    </row>
    <row r="33" spans="1:27">
      <c r="A33" s="452"/>
      <c r="B33" s="452"/>
      <c r="C33" s="452"/>
      <c r="D33" s="452"/>
      <c r="E33" s="455" t="s">
        <v>463</v>
      </c>
      <c r="F33" s="452"/>
      <c r="G33" s="452"/>
      <c r="H33" s="452"/>
      <c r="I33" s="452"/>
      <c r="J33" s="452"/>
      <c r="K33" s="452"/>
      <c r="L33" s="452"/>
      <c r="M33" s="452"/>
      <c r="N33" s="452"/>
      <c r="O33" s="452"/>
      <c r="P33" s="452"/>
      <c r="Q33" s="452"/>
      <c r="R33" s="452"/>
      <c r="S33" s="452"/>
      <c r="T33" s="452"/>
      <c r="U33" s="465">
        <f>+_xlfn.CEILING.MATH((X31/7)*(4/8),1,1)*Y35</f>
        <v>2500</v>
      </c>
      <c r="W33" s="448">
        <f>X31/7</f>
        <v>9.2857142857142865</v>
      </c>
      <c r="X33" s="448">
        <f>+W33*4</f>
        <v>37.142857142857146</v>
      </c>
      <c r="Y33" s="448">
        <f>+X33/8</f>
        <v>4.6428571428571432</v>
      </c>
      <c r="Z33" s="448">
        <f>+_xlfn.CEILING.MATH(Y33,1,1)</f>
        <v>5</v>
      </c>
      <c r="AA33" s="448">
        <f>+Z33*500</f>
        <v>2500</v>
      </c>
    </row>
    <row r="34" spans="1:27">
      <c r="A34" s="452"/>
      <c r="B34" s="452"/>
      <c r="C34" s="452"/>
      <c r="D34" s="452"/>
      <c r="E34" s="455" t="s">
        <v>464</v>
      </c>
      <c r="F34" s="452"/>
      <c r="G34" s="452"/>
      <c r="H34" s="452"/>
      <c r="I34" s="452"/>
      <c r="J34" s="452"/>
      <c r="K34" s="452"/>
      <c r="L34" s="452"/>
      <c r="M34" s="452"/>
      <c r="N34" s="452"/>
      <c r="O34" s="452"/>
      <c r="P34" s="452"/>
      <c r="Q34" s="452"/>
      <c r="R34" s="452"/>
      <c r="S34" s="452"/>
      <c r="T34" s="452"/>
      <c r="U34" s="465">
        <f>+(X31/30)*8400</f>
        <v>18200</v>
      </c>
      <c r="Y34" s="448">
        <f>8400/30</f>
        <v>280</v>
      </c>
    </row>
    <row r="35" spans="1:27">
      <c r="A35" s="452"/>
      <c r="B35" s="452"/>
      <c r="C35" s="452"/>
      <c r="D35" s="452"/>
      <c r="E35" s="455" t="s">
        <v>465</v>
      </c>
      <c r="F35" s="452"/>
      <c r="G35" s="452"/>
      <c r="H35" s="452"/>
      <c r="I35" s="452"/>
      <c r="J35" s="452"/>
      <c r="K35" s="452"/>
      <c r="L35" s="452"/>
      <c r="M35" s="452"/>
      <c r="N35" s="452"/>
      <c r="O35" s="452"/>
      <c r="P35" s="452"/>
      <c r="Q35" s="452"/>
      <c r="R35" s="452"/>
      <c r="S35" s="452"/>
      <c r="T35" s="452"/>
      <c r="U35" s="465">
        <f>+U32+U33+U34</f>
        <v>28330.895366027376</v>
      </c>
      <c r="Y35" s="448">
        <f>15000/30</f>
        <v>500</v>
      </c>
    </row>
    <row r="36" spans="1:27">
      <c r="A36" s="452"/>
      <c r="B36" s="452"/>
      <c r="C36" s="452"/>
      <c r="D36" s="452"/>
      <c r="E36" s="455" t="s">
        <v>466</v>
      </c>
      <c r="F36" s="452"/>
      <c r="G36" s="452"/>
      <c r="H36" s="452"/>
      <c r="I36" s="452"/>
      <c r="J36" s="452"/>
      <c r="K36" s="452"/>
      <c r="L36" s="452"/>
      <c r="M36" s="452"/>
      <c r="N36" s="452"/>
      <c r="O36" s="452"/>
      <c r="P36" s="452"/>
      <c r="Q36" s="452"/>
      <c r="R36" s="452"/>
      <c r="S36" s="452"/>
      <c r="T36" s="452"/>
      <c r="U36" s="465">
        <f>+V36*U32</f>
        <v>0</v>
      </c>
      <c r="V36" s="466"/>
    </row>
    <row r="37" spans="1:27">
      <c r="A37" s="452"/>
      <c r="B37" s="452"/>
      <c r="C37" s="452"/>
      <c r="D37" s="452"/>
      <c r="E37" s="455" t="s">
        <v>467</v>
      </c>
      <c r="F37" s="452"/>
      <c r="G37" s="452"/>
      <c r="H37" s="452"/>
      <c r="I37" s="452"/>
      <c r="J37" s="452"/>
      <c r="K37" s="452"/>
      <c r="L37" s="452"/>
      <c r="M37" s="452"/>
      <c r="N37" s="452"/>
      <c r="O37" s="452"/>
      <c r="P37" s="452"/>
      <c r="Q37" s="452"/>
      <c r="R37" s="452"/>
      <c r="S37" s="452"/>
      <c r="T37" s="452"/>
      <c r="U37" s="465">
        <f>+V37*U35</f>
        <v>2266.47162928219</v>
      </c>
      <c r="V37" s="466">
        <v>0.08</v>
      </c>
    </row>
    <row r="38" spans="1:27">
      <c r="A38" s="452"/>
      <c r="B38" s="452"/>
      <c r="C38" s="452"/>
      <c r="D38" s="452"/>
      <c r="E38" s="455" t="s">
        <v>468</v>
      </c>
      <c r="F38" s="452"/>
      <c r="G38" s="452"/>
      <c r="H38" s="452"/>
      <c r="I38" s="452"/>
      <c r="J38" s="452"/>
      <c r="K38" s="452"/>
      <c r="L38" s="452"/>
      <c r="M38" s="452"/>
      <c r="N38" s="452"/>
      <c r="O38" s="452"/>
      <c r="P38" s="452"/>
      <c r="Q38" s="452"/>
      <c r="R38" s="452"/>
      <c r="S38" s="452"/>
      <c r="T38" s="452"/>
      <c r="U38" s="465">
        <f>+V38*(U35+U36+U37)</f>
        <v>1529.8683497654783</v>
      </c>
      <c r="V38" s="466">
        <v>0.05</v>
      </c>
    </row>
    <row r="39" spans="1:27">
      <c r="A39" s="452"/>
      <c r="B39" s="452"/>
      <c r="C39" s="452"/>
      <c r="D39" s="452"/>
      <c r="E39" s="455" t="s">
        <v>469</v>
      </c>
      <c r="F39" s="452"/>
      <c r="G39" s="452"/>
      <c r="H39" s="452"/>
      <c r="I39" s="452"/>
      <c r="J39" s="452"/>
      <c r="K39" s="452"/>
      <c r="L39" s="452"/>
      <c r="M39" s="452"/>
      <c r="N39" s="452"/>
      <c r="O39" s="452"/>
      <c r="P39" s="452"/>
      <c r="Q39" s="452"/>
      <c r="R39" s="452"/>
      <c r="S39" s="452"/>
      <c r="T39" s="452"/>
      <c r="U39" s="465">
        <f>+U35+U36+U37+U38</f>
        <v>32127.235345075045</v>
      </c>
    </row>
    <row r="40" spans="1:27">
      <c r="A40" s="452"/>
      <c r="B40" s="452"/>
      <c r="C40" s="459" t="s">
        <v>470</v>
      </c>
      <c r="D40" s="452"/>
      <c r="E40" s="455"/>
      <c r="F40" s="452"/>
      <c r="G40" s="452"/>
      <c r="H40" s="452"/>
      <c r="I40" s="452"/>
      <c r="J40" s="452"/>
      <c r="K40" s="452"/>
      <c r="L40" s="452"/>
      <c r="M40" s="452"/>
      <c r="N40" s="452"/>
      <c r="O40" s="452"/>
      <c r="P40" s="452"/>
      <c r="Q40" s="452"/>
      <c r="R40" s="452"/>
      <c r="S40" s="452"/>
      <c r="T40" s="452"/>
      <c r="U40" s="452"/>
    </row>
    <row r="57" spans="1:6">
      <c r="A57" s="1576" t="s">
        <v>105</v>
      </c>
      <c r="B57" s="1576"/>
      <c r="C57" s="1576"/>
      <c r="D57" s="1576"/>
      <c r="E57" s="1576"/>
      <c r="F57" s="1576"/>
    </row>
  </sheetData>
  <mergeCells count="50">
    <mergeCell ref="Q2:Q3"/>
    <mergeCell ref="R2:R3"/>
    <mergeCell ref="S2:S3"/>
    <mergeCell ref="T2:T3"/>
    <mergeCell ref="U2:U3"/>
    <mergeCell ref="L2:L3"/>
    <mergeCell ref="M2:M3"/>
    <mergeCell ref="N2:N3"/>
    <mergeCell ref="O2:O3"/>
    <mergeCell ref="P2:P3"/>
    <mergeCell ref="G2:G3"/>
    <mergeCell ref="H2:H3"/>
    <mergeCell ref="I2:I3"/>
    <mergeCell ref="J2:J3"/>
    <mergeCell ref="K2:K3"/>
    <mergeCell ref="D16:D18"/>
    <mergeCell ref="D19:D21"/>
    <mergeCell ref="D22:D24"/>
    <mergeCell ref="E2:E3"/>
    <mergeCell ref="F2:F3"/>
    <mergeCell ref="D2:D3"/>
    <mergeCell ref="D4:D6"/>
    <mergeCell ref="D7:D9"/>
    <mergeCell ref="D10:D12"/>
    <mergeCell ref="D13:D15"/>
    <mergeCell ref="B22:B24"/>
    <mergeCell ref="C2:C3"/>
    <mergeCell ref="C4:C6"/>
    <mergeCell ref="C7:C9"/>
    <mergeCell ref="C10:C12"/>
    <mergeCell ref="C13:C15"/>
    <mergeCell ref="C16:C18"/>
    <mergeCell ref="C19:C21"/>
    <mergeCell ref="C22:C24"/>
    <mergeCell ref="A57:F57"/>
    <mergeCell ref="A2:A3"/>
    <mergeCell ref="A4:A6"/>
    <mergeCell ref="A7:A9"/>
    <mergeCell ref="A10:A12"/>
    <mergeCell ref="A13:A15"/>
    <mergeCell ref="A16:A18"/>
    <mergeCell ref="A19:A21"/>
    <mergeCell ref="A22:A24"/>
    <mergeCell ref="B2:B3"/>
    <mergeCell ref="B4:B6"/>
    <mergeCell ref="B7:B9"/>
    <mergeCell ref="B10:B12"/>
    <mergeCell ref="B13:B15"/>
    <mergeCell ref="B16:B18"/>
    <mergeCell ref="B19:B21"/>
  </mergeCells>
  <printOptions horizontalCentered="1"/>
  <pageMargins left="0" right="0.31458333333333299" top="0.31458333333333299" bottom="0.39305555555555599" header="0.31458333333333299" footer="0"/>
  <pageSetup paperSize="9" scale="25" orientation="portrait"/>
  <headerFooter alignWithMargins="0">
    <oddHeader>&amp;CCONSTRUCTION OF ROAD 
BRGY. L. PIMENTEL, SAN LUIS, AURORA
DETAILED UNIT PRICE ANALYSIS (DUPA)</oddHeader>
  </headerFooter>
  <colBreaks count="1" manualBreakCount="1">
    <brk id="21"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rgb="FFDDD9C3"/>
  </sheetPr>
  <dimension ref="A1:S118"/>
  <sheetViews>
    <sheetView view="pageBreakPreview" topLeftCell="A49" zoomScale="80" zoomScaleNormal="100" zoomScaleSheetLayoutView="80" workbookViewId="0">
      <selection activeCell="L52" sqref="L52"/>
    </sheetView>
  </sheetViews>
  <sheetFormatPr defaultColWidth="9" defaultRowHeight="14.25"/>
  <cols>
    <col min="1" max="1" width="5.375" customWidth="1"/>
    <col min="2" max="2" width="2.625" customWidth="1"/>
    <col min="3" max="3" width="11.625" style="158" customWidth="1"/>
    <col min="4" max="4" width="17.25" customWidth="1"/>
    <col min="5" max="5" width="15.25" customWidth="1"/>
    <col min="6" max="6" width="15.125" customWidth="1"/>
    <col min="7" max="7" width="14.75" customWidth="1"/>
    <col min="8" max="8" width="18.5" customWidth="1"/>
    <col min="9" max="9" width="15" customWidth="1"/>
    <col min="10" max="10" width="5.125" customWidth="1"/>
    <col min="11" max="11" width="15.75" customWidth="1"/>
    <col min="12" max="12" width="13" customWidth="1"/>
    <col min="13" max="13" width="24.75" customWidth="1"/>
    <col min="14" max="16" width="8.5" customWidth="1"/>
    <col min="17" max="17" width="15.5" customWidth="1"/>
    <col min="18" max="18" width="8.5" customWidth="1"/>
    <col min="19" max="19" width="14.875" customWidth="1"/>
    <col min="20" max="1024" width="8.5" customWidth="1"/>
    <col min="1025" max="1025" width="9" customWidth="1"/>
  </cols>
  <sheetData>
    <row r="1" spans="1:12" ht="14.25" customHeight="1"/>
    <row r="2" spans="1:12" ht="14.25" customHeight="1">
      <c r="H2" s="1538" t="s">
        <v>330</v>
      </c>
      <c r="I2" s="1538"/>
      <c r="J2" s="1538"/>
    </row>
    <row r="3" spans="1:12" ht="14.25" customHeight="1">
      <c r="H3" s="295"/>
      <c r="I3" s="295"/>
      <c r="J3" s="295"/>
    </row>
    <row r="4" spans="1:12" ht="14.25" customHeight="1">
      <c r="H4" s="295"/>
      <c r="I4" s="295"/>
      <c r="J4" s="295"/>
    </row>
    <row r="5" spans="1:12" ht="14.25" customHeight="1">
      <c r="A5" s="1539" t="s">
        <v>331</v>
      </c>
      <c r="B5" s="1539"/>
      <c r="C5" s="1539"/>
      <c r="D5" s="1539"/>
      <c r="E5" s="296" t="s">
        <v>49</v>
      </c>
      <c r="F5" t="s">
        <v>471</v>
      </c>
      <c r="G5" t="s">
        <v>472</v>
      </c>
    </row>
    <row r="6" spans="1:12" ht="14.25" customHeight="1">
      <c r="A6" t="s">
        <v>334</v>
      </c>
      <c r="E6" s="296" t="s">
        <v>49</v>
      </c>
      <c r="F6" t="s">
        <v>335</v>
      </c>
    </row>
    <row r="7" spans="1:12" ht="14.25" customHeight="1">
      <c r="A7" t="s">
        <v>473</v>
      </c>
      <c r="E7" s="296" t="s">
        <v>49</v>
      </c>
      <c r="F7" s="297">
        <v>1</v>
      </c>
    </row>
    <row r="8" spans="1:12" ht="14.25" customHeight="1">
      <c r="A8" t="s">
        <v>474</v>
      </c>
      <c r="E8" s="296" t="s">
        <v>49</v>
      </c>
    </row>
    <row r="9" spans="1:12" ht="14.25" customHeight="1">
      <c r="A9" s="5"/>
      <c r="B9" s="5"/>
      <c r="C9" s="171"/>
      <c r="D9" s="5"/>
      <c r="E9" s="296"/>
    </row>
    <row r="10" spans="1:12" ht="14.25" customHeight="1">
      <c r="A10" s="5"/>
      <c r="B10" s="5"/>
      <c r="C10" s="171"/>
      <c r="D10" s="5"/>
      <c r="E10" s="296"/>
    </row>
    <row r="11" spans="1:12" ht="14.25" customHeight="1">
      <c r="A11" s="1573" t="s">
        <v>426</v>
      </c>
      <c r="B11" s="1546" t="s">
        <v>339</v>
      </c>
      <c r="C11" s="1546"/>
      <c r="D11" s="1546"/>
      <c r="E11" s="1546"/>
      <c r="F11" s="1546" t="s">
        <v>340</v>
      </c>
      <c r="G11" s="1546" t="s">
        <v>475</v>
      </c>
      <c r="H11" s="1546" t="s">
        <v>476</v>
      </c>
      <c r="I11" s="1545" t="s">
        <v>343</v>
      </c>
      <c r="J11" s="1545"/>
      <c r="K11" s="437">
        <f>+cd!D30</f>
        <v>65</v>
      </c>
      <c r="L11" s="23" t="s">
        <v>477</v>
      </c>
    </row>
    <row r="12" spans="1:12" ht="14.25" customHeight="1">
      <c r="A12" s="1573"/>
      <c r="B12" s="1546"/>
      <c r="C12" s="1546"/>
      <c r="D12" s="1546"/>
      <c r="E12" s="1546"/>
      <c r="F12" s="1546"/>
      <c r="G12" s="1546"/>
      <c r="H12" s="1546"/>
      <c r="I12" s="1545"/>
      <c r="J12" s="1545"/>
    </row>
    <row r="13" spans="1:12" ht="14.25" customHeight="1">
      <c r="A13" s="1573"/>
      <c r="B13" s="1540" t="s">
        <v>344</v>
      </c>
      <c r="C13" s="1540"/>
      <c r="D13" s="1540"/>
      <c r="E13" s="1540"/>
      <c r="F13" s="300"/>
      <c r="G13" s="300"/>
      <c r="H13" s="300"/>
      <c r="I13" s="1541"/>
      <c r="J13" s="1541"/>
    </row>
    <row r="14" spans="1:12" ht="14.25" customHeight="1">
      <c r="A14" s="1573"/>
      <c r="B14" s="170"/>
      <c r="C14" s="171"/>
      <c r="D14" s="171"/>
      <c r="E14" s="171"/>
      <c r="F14" s="183"/>
      <c r="G14" s="183"/>
      <c r="H14" s="183"/>
      <c r="I14" s="185"/>
      <c r="J14" s="320"/>
    </row>
    <row r="15" spans="1:12" ht="14.25" customHeight="1">
      <c r="A15" s="1573"/>
      <c r="B15" s="269" t="s">
        <v>345</v>
      </c>
      <c r="C15" s="158" t="s">
        <v>478</v>
      </c>
      <c r="D15" s="158"/>
      <c r="E15" s="315"/>
      <c r="F15" s="301">
        <v>1</v>
      </c>
      <c r="G15" s="302">
        <f>+ROUND(K11*0.25,0)</f>
        <v>16</v>
      </c>
      <c r="H15" s="268">
        <f>+VLOOKUP(C15,LABOR,2,0)</f>
        <v>885.2</v>
      </c>
      <c r="I15" s="1583">
        <f>+F15*G15*H15</f>
        <v>14163.2</v>
      </c>
      <c r="J15" s="1583"/>
    </row>
    <row r="16" spans="1:12" ht="14.25" customHeight="1">
      <c r="A16" s="1573"/>
      <c r="B16" s="269" t="s">
        <v>347</v>
      </c>
      <c r="C16" s="158" t="s">
        <v>479</v>
      </c>
      <c r="D16" s="158"/>
      <c r="E16" s="158"/>
      <c r="F16" s="433">
        <v>1</v>
      </c>
      <c r="G16" s="364">
        <f>+K11</f>
        <v>65</v>
      </c>
      <c r="H16" s="268">
        <f>+VLOOKUP(C16,LABOR,2,0)</f>
        <v>640.4</v>
      </c>
      <c r="I16" s="1583">
        <f>+F16*G16*H16</f>
        <v>41626</v>
      </c>
      <c r="J16" s="1583"/>
    </row>
    <row r="17" spans="1:14" ht="14.25" customHeight="1">
      <c r="A17" s="1573"/>
      <c r="B17" s="269" t="s">
        <v>349</v>
      </c>
      <c r="C17" s="158" t="s">
        <v>480</v>
      </c>
      <c r="D17" s="158"/>
      <c r="E17" s="158"/>
      <c r="F17" s="433">
        <v>2</v>
      </c>
      <c r="G17" s="364">
        <f>+ROUND(K11*0.25,0)</f>
        <v>16</v>
      </c>
      <c r="H17" s="268">
        <f>+VLOOKUP(C17,LABOR,2,0)</f>
        <v>494</v>
      </c>
      <c r="I17" s="1583">
        <f>+F17*G17*H17</f>
        <v>15808</v>
      </c>
      <c r="J17" s="1583"/>
      <c r="M17" s="332"/>
    </row>
    <row r="18" spans="1:14" ht="14.25" customHeight="1">
      <c r="A18" s="1573"/>
      <c r="B18" s="269"/>
      <c r="D18" s="158"/>
      <c r="E18" s="158"/>
      <c r="F18" s="433"/>
      <c r="G18" s="364"/>
      <c r="H18" s="303"/>
      <c r="I18" s="438"/>
      <c r="J18" s="439"/>
      <c r="M18" s="332"/>
    </row>
    <row r="19" spans="1:14" ht="14.25" customHeight="1">
      <c r="A19" s="1573"/>
      <c r="B19" s="1549" t="s">
        <v>351</v>
      </c>
      <c r="C19" s="1549"/>
      <c r="D19" s="1549"/>
      <c r="E19" s="1549"/>
      <c r="F19" s="304"/>
      <c r="G19" s="304"/>
      <c r="H19" s="304"/>
      <c r="I19" s="1584">
        <f>+SUM(I14:J18)</f>
        <v>71597.2</v>
      </c>
      <c r="J19" s="1584"/>
      <c r="K19" s="440">
        <f>+ROUND(I19/F7,2)</f>
        <v>71597.2</v>
      </c>
      <c r="M19" s="332"/>
      <c r="N19" s="332"/>
    </row>
    <row r="20" spans="1:14" ht="14.25" customHeight="1">
      <c r="A20" s="1560" t="s">
        <v>352</v>
      </c>
      <c r="B20" s="1540" t="s">
        <v>344</v>
      </c>
      <c r="C20" s="1540"/>
      <c r="D20" s="1540"/>
      <c r="E20" s="1540"/>
      <c r="F20" s="300"/>
      <c r="G20" s="300"/>
      <c r="H20" s="300"/>
      <c r="I20" s="1541"/>
      <c r="J20" s="1541"/>
    </row>
    <row r="21" spans="1:14" ht="14.25" customHeight="1">
      <c r="A21" s="1560"/>
      <c r="B21" s="170"/>
      <c r="C21" s="171"/>
      <c r="D21" s="171"/>
      <c r="E21" s="420"/>
      <c r="F21" s="306"/>
      <c r="G21" s="306"/>
      <c r="H21" s="306"/>
      <c r="I21" s="185"/>
      <c r="J21" s="320"/>
    </row>
    <row r="22" spans="1:14" ht="14.25" customHeight="1">
      <c r="A22" s="1560"/>
      <c r="B22" s="1549" t="s">
        <v>353</v>
      </c>
      <c r="C22" s="1549"/>
      <c r="D22" s="1549"/>
      <c r="E22" s="1549"/>
      <c r="F22" s="305"/>
      <c r="G22" s="305"/>
      <c r="H22" s="305"/>
      <c r="I22" s="1548">
        <v>0</v>
      </c>
      <c r="J22" s="1548"/>
    </row>
    <row r="23" spans="1:14" ht="14.25" customHeight="1">
      <c r="A23" s="1562" t="s">
        <v>481</v>
      </c>
      <c r="B23" s="1550" t="s">
        <v>355</v>
      </c>
      <c r="C23" s="1550"/>
      <c r="D23" s="1550"/>
      <c r="E23" s="1550"/>
      <c r="F23" s="1550" t="s">
        <v>356</v>
      </c>
      <c r="G23" s="1550" t="s">
        <v>341</v>
      </c>
      <c r="H23" s="1550" t="s">
        <v>342</v>
      </c>
      <c r="I23" s="1551" t="s">
        <v>359</v>
      </c>
      <c r="J23" s="1551"/>
      <c r="N23" s="332"/>
    </row>
    <row r="24" spans="1:14" ht="14.25" customHeight="1">
      <c r="A24" s="1562"/>
      <c r="B24" s="1550"/>
      <c r="C24" s="1550"/>
      <c r="D24" s="1550"/>
      <c r="E24" s="1550"/>
      <c r="F24" s="1550"/>
      <c r="G24" s="1550"/>
      <c r="H24" s="1550"/>
      <c r="I24" s="1551"/>
      <c r="J24" s="1551"/>
    </row>
    <row r="25" spans="1:14" ht="14.25" customHeight="1">
      <c r="A25" s="1562"/>
      <c r="B25" s="1540" t="s">
        <v>360</v>
      </c>
      <c r="C25" s="1540"/>
      <c r="D25" s="1540"/>
      <c r="E25" s="1540"/>
      <c r="F25" s="300"/>
      <c r="G25" s="300"/>
      <c r="H25" s="300"/>
      <c r="I25" s="1541"/>
      <c r="J25" s="1541"/>
    </row>
    <row r="26" spans="1:14" ht="14.25" customHeight="1">
      <c r="A26" s="1562"/>
      <c r="B26" s="170"/>
      <c r="C26" s="171"/>
      <c r="D26" s="171"/>
      <c r="E26" s="420"/>
      <c r="F26" s="306"/>
      <c r="G26" s="306"/>
      <c r="H26" s="306"/>
      <c r="I26" s="1543"/>
      <c r="J26" s="1543"/>
    </row>
    <row r="27" spans="1:14" ht="14.25" customHeight="1">
      <c r="A27" s="1562"/>
      <c r="B27" s="269" t="s">
        <v>345</v>
      </c>
      <c r="C27" s="158" t="s">
        <v>482</v>
      </c>
      <c r="D27" s="171"/>
      <c r="E27" s="420"/>
      <c r="F27" s="301">
        <v>1</v>
      </c>
      <c r="G27" s="364">
        <f>+K11*8</f>
        <v>520</v>
      </c>
      <c r="H27" s="434">
        <v>9.7899999999999991</v>
      </c>
      <c r="I27" s="1585">
        <f>+F27*G27*H27</f>
        <v>5090.7999999999993</v>
      </c>
      <c r="J27" s="1585"/>
    </row>
    <row r="28" spans="1:14" ht="14.25" customHeight="1">
      <c r="A28" s="1562"/>
      <c r="B28" s="269" t="s">
        <v>347</v>
      </c>
      <c r="C28" s="158" t="s">
        <v>483</v>
      </c>
      <c r="D28" s="171"/>
      <c r="E28" s="420"/>
      <c r="F28" s="433">
        <v>2</v>
      </c>
      <c r="G28" s="364">
        <f>+G27</f>
        <v>520</v>
      </c>
      <c r="H28" s="434">
        <v>1.03</v>
      </c>
      <c r="I28" s="1585">
        <f>+F28*G28*H28</f>
        <v>1071.2</v>
      </c>
      <c r="J28" s="1585"/>
    </row>
    <row r="29" spans="1:14" ht="14.25" customHeight="1">
      <c r="A29" s="1562"/>
      <c r="B29" s="269" t="s">
        <v>349</v>
      </c>
      <c r="C29" s="158" t="s">
        <v>484</v>
      </c>
      <c r="D29" s="171"/>
      <c r="E29" s="420"/>
      <c r="F29" s="433">
        <v>1</v>
      </c>
      <c r="G29" s="364">
        <f>+G28</f>
        <v>520</v>
      </c>
      <c r="H29" s="434">
        <v>3.47</v>
      </c>
      <c r="I29" s="1585">
        <f>+F29*G29*H29</f>
        <v>1804.4</v>
      </c>
      <c r="J29" s="1585"/>
    </row>
    <row r="30" spans="1:14" ht="14.25" customHeight="1">
      <c r="A30" s="1562"/>
      <c r="B30" s="170"/>
      <c r="C30" s="171"/>
      <c r="D30" s="171"/>
      <c r="E30" s="420"/>
      <c r="F30" s="306"/>
      <c r="G30" s="306"/>
      <c r="H30" s="306"/>
      <c r="I30" s="185"/>
      <c r="J30" s="320"/>
    </row>
    <row r="31" spans="1:14" ht="14.25" customHeight="1">
      <c r="A31" s="1562"/>
      <c r="B31" s="1549" t="s">
        <v>361</v>
      </c>
      <c r="C31" s="1549"/>
      <c r="D31" s="1549"/>
      <c r="E31" s="1549"/>
      <c r="F31" s="305"/>
      <c r="G31" s="305"/>
      <c r="H31" s="305"/>
      <c r="I31" s="1548">
        <f>+SUM(I26:J30)</f>
        <v>7966.4</v>
      </c>
      <c r="J31" s="1548"/>
      <c r="K31" s="440">
        <f>+ROUND(I31/F7,2)</f>
        <v>7966.4</v>
      </c>
    </row>
    <row r="32" spans="1:14" ht="14.25" customHeight="1">
      <c r="A32" s="1560" t="s">
        <v>362</v>
      </c>
      <c r="B32" s="1540" t="s">
        <v>360</v>
      </c>
      <c r="C32" s="1540"/>
      <c r="D32" s="1540"/>
      <c r="E32" s="1540"/>
      <c r="F32" s="300"/>
      <c r="G32" s="300"/>
      <c r="H32" s="300"/>
      <c r="I32" s="1541"/>
      <c r="J32" s="1541"/>
    </row>
    <row r="33" spans="1:12" ht="14.25" customHeight="1">
      <c r="A33" s="1560"/>
      <c r="B33" s="1542"/>
      <c r="C33" s="1542"/>
      <c r="D33" s="1542"/>
      <c r="E33" s="1542"/>
      <c r="F33" s="306"/>
      <c r="G33" s="306"/>
      <c r="H33" s="306"/>
      <c r="I33" s="1543"/>
      <c r="J33" s="1543"/>
    </row>
    <row r="34" spans="1:12" ht="14.25" customHeight="1">
      <c r="A34" s="1560"/>
      <c r="B34" s="1549" t="s">
        <v>363</v>
      </c>
      <c r="C34" s="1549"/>
      <c r="D34" s="1549"/>
      <c r="E34" s="1549"/>
      <c r="F34" s="305"/>
      <c r="G34" s="305"/>
      <c r="H34" s="305"/>
      <c r="I34" s="1548">
        <v>0</v>
      </c>
      <c r="J34" s="1548"/>
    </row>
    <row r="35" spans="1:12" ht="14.25" customHeight="1">
      <c r="A35" s="311" t="s">
        <v>364</v>
      </c>
      <c r="B35" s="1554" t="s">
        <v>365</v>
      </c>
      <c r="C35" s="1554"/>
      <c r="D35" s="1554"/>
      <c r="E35" s="1554"/>
      <c r="F35" s="1554"/>
      <c r="G35" s="1554"/>
      <c r="H35" s="1554"/>
      <c r="I35" s="1555">
        <f>+I19+I31</f>
        <v>79563.599999999991</v>
      </c>
      <c r="J35" s="1555"/>
    </row>
    <row r="36" spans="1:12" ht="14.25" customHeight="1">
      <c r="A36" s="313" t="s">
        <v>366</v>
      </c>
      <c r="B36" s="1554" t="s">
        <v>367</v>
      </c>
      <c r="C36" s="1554"/>
      <c r="D36" s="1554"/>
      <c r="E36" s="1554"/>
      <c r="F36" s="1554"/>
      <c r="G36" s="1554"/>
      <c r="H36" s="1554"/>
      <c r="I36" s="1557"/>
      <c r="J36" s="1557"/>
      <c r="L36" s="332"/>
    </row>
    <row r="37" spans="1:12" ht="14.25" customHeight="1">
      <c r="A37" s="313" t="s">
        <v>368</v>
      </c>
      <c r="B37" s="1554" t="s">
        <v>473</v>
      </c>
      <c r="C37" s="1554"/>
      <c r="D37" s="1554"/>
      <c r="E37" s="1554"/>
      <c r="F37" s="1554"/>
      <c r="G37" s="1554"/>
      <c r="H37" s="1554"/>
      <c r="I37" s="1586">
        <f>+F7</f>
        <v>1</v>
      </c>
      <c r="J37" s="1586"/>
    </row>
    <row r="38" spans="1:12" ht="14.25" customHeight="1">
      <c r="A38" s="313" t="s">
        <v>369</v>
      </c>
      <c r="B38" s="1554" t="s">
        <v>474</v>
      </c>
      <c r="C38" s="1554"/>
      <c r="D38" s="1554"/>
      <c r="E38" s="1554"/>
      <c r="F38" s="1554"/>
      <c r="G38" s="1554"/>
      <c r="H38" s="1554"/>
      <c r="I38" s="1557"/>
      <c r="J38" s="1557"/>
    </row>
    <row r="39" spans="1:12" ht="14.25" customHeight="1">
      <c r="A39" s="313" t="s">
        <v>370</v>
      </c>
      <c r="B39" s="1554" t="s">
        <v>371</v>
      </c>
      <c r="C39" s="1554"/>
      <c r="D39" s="1554"/>
      <c r="E39" s="1554"/>
      <c r="F39" s="1554"/>
      <c r="G39" s="1554"/>
      <c r="H39" s="1554"/>
      <c r="I39" s="1555">
        <f>I35/I37</f>
        <v>79563.599999999991</v>
      </c>
      <c r="J39" s="1555"/>
    </row>
    <row r="40" spans="1:12" ht="14.25" customHeight="1">
      <c r="A40" s="313" t="s">
        <v>372</v>
      </c>
      <c r="B40" s="1554" t="s">
        <v>373</v>
      </c>
      <c r="C40" s="1554"/>
      <c r="D40" s="1554"/>
      <c r="E40" s="1554"/>
      <c r="F40" s="1554"/>
      <c r="G40" s="1554"/>
      <c r="H40" s="1554"/>
      <c r="I40" s="1557"/>
      <c r="J40" s="1557"/>
    </row>
    <row r="41" spans="1:12" ht="14.25" customHeight="1">
      <c r="A41" s="1561" t="s">
        <v>428</v>
      </c>
      <c r="B41" s="1550" t="s">
        <v>375</v>
      </c>
      <c r="C41" s="1550"/>
      <c r="D41" s="1550"/>
      <c r="E41" s="1550"/>
      <c r="F41" s="1550" t="s">
        <v>376</v>
      </c>
      <c r="G41" s="1550" t="s">
        <v>377</v>
      </c>
      <c r="H41" s="1550" t="s">
        <v>378</v>
      </c>
      <c r="I41" s="1551" t="s">
        <v>343</v>
      </c>
      <c r="J41" s="1551"/>
    </row>
    <row r="42" spans="1:12" ht="14.25" customHeight="1">
      <c r="A42" s="1561"/>
      <c r="B42" s="1550"/>
      <c r="C42" s="1550"/>
      <c r="D42" s="1550"/>
      <c r="E42" s="1550"/>
      <c r="F42" s="1550"/>
      <c r="G42" s="1550"/>
      <c r="H42" s="1550"/>
      <c r="I42" s="1551"/>
      <c r="J42" s="1551"/>
    </row>
    <row r="43" spans="1:12" ht="14.25" customHeight="1">
      <c r="A43" s="1561"/>
      <c r="B43" s="1540" t="s">
        <v>379</v>
      </c>
      <c r="C43" s="1540"/>
      <c r="D43" s="1540"/>
      <c r="E43" s="1540"/>
      <c r="F43" s="314"/>
      <c r="G43" s="314"/>
      <c r="H43" s="314"/>
      <c r="I43" s="1541"/>
      <c r="J43" s="1541"/>
    </row>
    <row r="44" spans="1:12" ht="14.25" customHeight="1">
      <c r="A44" s="1561"/>
      <c r="B44" s="269"/>
      <c r="D44" s="158"/>
      <c r="E44" s="158"/>
      <c r="F44" s="160"/>
      <c r="G44" s="160"/>
      <c r="H44" s="160"/>
      <c r="I44" s="168"/>
      <c r="J44" s="328"/>
    </row>
    <row r="45" spans="1:12" ht="14.25" customHeight="1">
      <c r="A45" s="1561"/>
      <c r="B45" s="1568" t="s">
        <v>485</v>
      </c>
      <c r="C45" s="1568"/>
      <c r="D45" s="1568"/>
      <c r="E45" s="1568"/>
      <c r="F45" s="168"/>
      <c r="G45" s="302"/>
      <c r="H45" s="435"/>
      <c r="I45" s="1543"/>
      <c r="J45" s="1543"/>
    </row>
    <row r="46" spans="1:12" ht="14.25" customHeight="1">
      <c r="A46" s="1561"/>
      <c r="B46" s="1568" t="s">
        <v>486</v>
      </c>
      <c r="C46" s="1568"/>
      <c r="D46" s="1568"/>
      <c r="E46" s="1568"/>
      <c r="F46" s="168">
        <v>0</v>
      </c>
      <c r="G46" s="302">
        <f>+'Man-days'!I28</f>
        <v>281.36287811960256</v>
      </c>
      <c r="H46" s="268">
        <f>+'Man-days'!I31</f>
        <v>0.34246575342465752</v>
      </c>
      <c r="I46" s="1556">
        <f t="shared" ref="I46:I54" si="0">+G46*H46</f>
        <v>96.35715004095978</v>
      </c>
      <c r="J46" s="1556"/>
    </row>
    <row r="47" spans="1:12" ht="14.25" customHeight="1">
      <c r="A47" s="1561"/>
      <c r="B47" s="1568" t="s">
        <v>488</v>
      </c>
      <c r="C47" s="1568"/>
      <c r="D47" s="1568"/>
      <c r="E47" s="1568"/>
      <c r="F47" s="168" t="s">
        <v>487</v>
      </c>
      <c r="G47" s="302">
        <f>+'Man-days'!J28</f>
        <v>35.339999999999996</v>
      </c>
      <c r="H47" s="268">
        <f>+'Man-days'!J31</f>
        <v>4.1095890410958908</v>
      </c>
      <c r="I47" s="1556">
        <f t="shared" si="0"/>
        <v>145.23287671232876</v>
      </c>
      <c r="J47" s="1556"/>
    </row>
    <row r="48" spans="1:12" ht="14.25" customHeight="1">
      <c r="A48" s="1561"/>
      <c r="B48" s="1568" t="s">
        <v>489</v>
      </c>
      <c r="C48" s="1568"/>
      <c r="D48" s="1568"/>
      <c r="E48" s="1568"/>
      <c r="F48" s="168" t="s">
        <v>487</v>
      </c>
      <c r="G48" s="302">
        <f>+'Man-days'!K28</f>
        <v>281.36287811960256</v>
      </c>
      <c r="H48" s="268">
        <f>+'Man-days'!K31</f>
        <v>2.2222222222222223</v>
      </c>
      <c r="I48" s="1556">
        <f t="shared" si="0"/>
        <v>625.25084026578349</v>
      </c>
      <c r="J48" s="1556"/>
      <c r="L48" s="332">
        <f>'POW-2015-01C-00_'!R54</f>
        <v>1344265.38</v>
      </c>
    </row>
    <row r="49" spans="1:19" ht="14.25" customHeight="1">
      <c r="A49" s="1561"/>
      <c r="B49" s="1568" t="s">
        <v>490</v>
      </c>
      <c r="C49" s="1568"/>
      <c r="D49" s="1568"/>
      <c r="E49" s="1568"/>
      <c r="F49" s="168" t="s">
        <v>487</v>
      </c>
      <c r="G49" s="302">
        <f>+'Man-days'!L28</f>
        <v>281.36287811960256</v>
      </c>
      <c r="H49" s="268">
        <f>+'Man-days'!L31</f>
        <v>7.666666666666667</v>
      </c>
      <c r="I49" s="1556">
        <f t="shared" si="0"/>
        <v>2157.1153989169529</v>
      </c>
      <c r="J49" s="1556"/>
    </row>
    <row r="50" spans="1:19" ht="14.25" customHeight="1">
      <c r="A50" s="1561"/>
      <c r="B50" s="269" t="s">
        <v>491</v>
      </c>
      <c r="C50" s="171"/>
      <c r="D50" s="171"/>
      <c r="E50" s="171"/>
      <c r="F50" s="168" t="s">
        <v>487</v>
      </c>
      <c r="G50" s="302">
        <f>+'Man-days'!N28</f>
        <v>281.36287811960256</v>
      </c>
      <c r="H50" s="268">
        <f>+'Man-days'!N31</f>
        <v>10</v>
      </c>
      <c r="I50" s="1556">
        <f t="shared" si="0"/>
        <v>2813.6287811960256</v>
      </c>
      <c r="J50" s="1556"/>
      <c r="M50" s="441">
        <f>+BACKUP!R106</f>
        <v>0</v>
      </c>
    </row>
    <row r="51" spans="1:19" ht="14.25" customHeight="1">
      <c r="A51" s="1561"/>
      <c r="B51" s="1568" t="s">
        <v>492</v>
      </c>
      <c r="C51" s="1568"/>
      <c r="D51" s="1568"/>
      <c r="E51" s="1568"/>
      <c r="F51" s="168" t="s">
        <v>487</v>
      </c>
      <c r="G51" s="302">
        <f>+'Man-days'!R28</f>
        <v>246.02287811960261</v>
      </c>
      <c r="H51" s="268">
        <f>+'Man-days'!R31</f>
        <v>1.3863013698630138</v>
      </c>
      <c r="I51" s="1556">
        <f t="shared" si="0"/>
        <v>341.06185295484636</v>
      </c>
      <c r="J51" s="1556"/>
    </row>
    <row r="52" spans="1:19" ht="14.25" customHeight="1">
      <c r="A52" s="1561"/>
      <c r="B52" s="1568" t="s">
        <v>493</v>
      </c>
      <c r="C52" s="1568"/>
      <c r="D52" s="1568"/>
      <c r="E52" s="1568"/>
      <c r="F52" s="168" t="s">
        <v>487</v>
      </c>
      <c r="G52" s="302">
        <f>+'Man-days'!S28</f>
        <v>281.36287811960256</v>
      </c>
      <c r="H52" s="268">
        <f>+'Man-days'!S31</f>
        <v>5</v>
      </c>
      <c r="I52" s="1556">
        <f t="shared" si="0"/>
        <v>1406.8143905980128</v>
      </c>
      <c r="J52" s="1556"/>
      <c r="L52" s="442">
        <v>169.88712188039742</v>
      </c>
    </row>
    <row r="53" spans="1:19" ht="14.25" customHeight="1">
      <c r="A53" s="1561"/>
      <c r="B53" s="269" t="s">
        <v>494</v>
      </c>
      <c r="D53" s="158"/>
      <c r="E53" s="158"/>
      <c r="F53" s="168" t="s">
        <v>487</v>
      </c>
      <c r="G53" s="303">
        <f>+'Man-days'!T28</f>
        <v>0</v>
      </c>
      <c r="H53" s="268">
        <f>+'Man-days'!T31</f>
        <v>0</v>
      </c>
      <c r="I53" s="1556">
        <f t="shared" si="0"/>
        <v>0</v>
      </c>
      <c r="J53" s="1556"/>
    </row>
    <row r="54" spans="1:19" ht="14.25" customHeight="1">
      <c r="A54" s="1561"/>
      <c r="B54" s="269" t="s">
        <v>495</v>
      </c>
      <c r="D54" s="158"/>
      <c r="E54" s="158"/>
      <c r="F54" s="168" t="s">
        <v>487</v>
      </c>
      <c r="G54" s="302">
        <f>+'Man-days'!M28</f>
        <v>135.375</v>
      </c>
      <c r="H54" s="268">
        <f>+'Man-days'!M31</f>
        <v>0.33561643835616439</v>
      </c>
      <c r="I54" s="1556">
        <f t="shared" si="0"/>
        <v>45.434075342465754</v>
      </c>
      <c r="J54" s="1556"/>
      <c r="L54" s="332">
        <f>+SUM(I46:J54)</f>
        <v>7630.8953660273746</v>
      </c>
    </row>
    <row r="55" spans="1:19" ht="14.25" customHeight="1">
      <c r="A55" s="1561"/>
      <c r="B55" s="269"/>
      <c r="D55" s="158"/>
      <c r="E55" s="158"/>
      <c r="F55" s="168"/>
      <c r="G55" s="302"/>
      <c r="H55" s="436"/>
      <c r="I55" s="287"/>
      <c r="J55" s="288"/>
      <c r="L55" t="b">
        <f>+L54='Man-days'!U32</f>
        <v>1</v>
      </c>
    </row>
    <row r="56" spans="1:19" ht="14.25" customHeight="1">
      <c r="A56" s="1561"/>
      <c r="B56" s="269" t="s">
        <v>496</v>
      </c>
      <c r="D56" s="158"/>
      <c r="E56" s="158"/>
      <c r="F56" s="168" t="s">
        <v>497</v>
      </c>
      <c r="G56" s="302">
        <v>7</v>
      </c>
      <c r="H56" s="436">
        <v>1000</v>
      </c>
      <c r="I56" s="1556">
        <f>+G56*H56</f>
        <v>7000</v>
      </c>
      <c r="J56" s="1556"/>
    </row>
    <row r="57" spans="1:19" ht="14.25" customHeight="1">
      <c r="A57" s="1561"/>
      <c r="B57" s="269" t="s">
        <v>498</v>
      </c>
      <c r="D57" s="158"/>
      <c r="E57" s="158"/>
      <c r="F57" s="168"/>
      <c r="G57" s="302"/>
      <c r="H57" s="436"/>
      <c r="I57" s="287"/>
      <c r="J57" s="288"/>
    </row>
    <row r="58" spans="1:19" ht="14.25" customHeight="1">
      <c r="A58" s="1561"/>
      <c r="B58" s="269" t="s">
        <v>499</v>
      </c>
      <c r="D58" s="158"/>
      <c r="E58" s="158"/>
      <c r="F58" s="168" t="s">
        <v>500</v>
      </c>
      <c r="G58" s="302">
        <f>+ROUND(K11*0.25,0)</f>
        <v>16</v>
      </c>
      <c r="H58" s="436">
        <v>100</v>
      </c>
      <c r="I58" s="1556">
        <f>+G58*H58</f>
        <v>1600</v>
      </c>
      <c r="J58" s="1556"/>
    </row>
    <row r="59" spans="1:19" ht="14.25" customHeight="1">
      <c r="A59" s="1561"/>
      <c r="B59" s="269" t="s">
        <v>501</v>
      </c>
      <c r="D59" s="158"/>
      <c r="E59" s="158"/>
      <c r="F59" s="168" t="s">
        <v>500</v>
      </c>
      <c r="G59" s="302">
        <f>+G58</f>
        <v>16</v>
      </c>
      <c r="H59" s="436">
        <v>185</v>
      </c>
      <c r="I59" s="1556">
        <f>+G59*H59</f>
        <v>2960</v>
      </c>
      <c r="J59" s="1556"/>
    </row>
    <row r="60" spans="1:19" ht="14.25" customHeight="1">
      <c r="A60" s="1561"/>
      <c r="B60" s="269" t="s">
        <v>502</v>
      </c>
      <c r="D60" s="158"/>
      <c r="E60" s="158"/>
      <c r="F60" s="168" t="s">
        <v>503</v>
      </c>
      <c r="G60" s="302">
        <f>+G59</f>
        <v>16</v>
      </c>
      <c r="H60" s="436">
        <v>510</v>
      </c>
      <c r="I60" s="1556">
        <f>+G60*H60</f>
        <v>8160</v>
      </c>
      <c r="J60" s="1556"/>
    </row>
    <row r="61" spans="1:19" ht="14.25" customHeight="1">
      <c r="A61" s="1561"/>
      <c r="B61" s="269" t="s">
        <v>504</v>
      </c>
      <c r="D61" s="158"/>
      <c r="E61" s="158"/>
      <c r="F61" s="168" t="s">
        <v>500</v>
      </c>
      <c r="G61" s="302">
        <f>+G60</f>
        <v>16</v>
      </c>
      <c r="H61" s="436">
        <v>150</v>
      </c>
      <c r="I61" s="1556">
        <f>+G61*H61</f>
        <v>2400</v>
      </c>
      <c r="J61" s="1556"/>
    </row>
    <row r="62" spans="1:19" ht="14.25" customHeight="1">
      <c r="A62" s="1561"/>
      <c r="B62" s="269"/>
      <c r="D62" s="158"/>
      <c r="E62" s="158"/>
      <c r="F62" s="168"/>
      <c r="G62" s="302"/>
      <c r="H62" s="435"/>
      <c r="I62" s="356"/>
      <c r="J62" s="328"/>
      <c r="Q62" s="161"/>
      <c r="S62" s="161"/>
    </row>
    <row r="63" spans="1:19" ht="14.25" customHeight="1">
      <c r="A63" s="1561"/>
      <c r="B63" s="1549" t="s">
        <v>398</v>
      </c>
      <c r="C63" s="1549"/>
      <c r="D63" s="1549"/>
      <c r="E63" s="1549"/>
      <c r="F63" s="304"/>
      <c r="G63" s="304"/>
      <c r="H63" s="304"/>
      <c r="I63" s="1552">
        <f>+SUM(I45:J62)</f>
        <v>29750.895366027376</v>
      </c>
      <c r="J63" s="1552"/>
      <c r="K63" s="440">
        <f>+ROUND(I63,2)</f>
        <v>29750.9</v>
      </c>
      <c r="M63" s="161">
        <f>+'POW-2015-01-00_'!AH42</f>
        <v>0</v>
      </c>
      <c r="Q63" s="161"/>
    </row>
    <row r="64" spans="1:19" ht="14.25" customHeight="1">
      <c r="A64" s="1560" t="s">
        <v>399</v>
      </c>
      <c r="B64" s="1540" t="s">
        <v>379</v>
      </c>
      <c r="C64" s="1540"/>
      <c r="D64" s="1540"/>
      <c r="E64" s="1540"/>
      <c r="F64" s="314"/>
      <c r="G64" s="314"/>
      <c r="H64" s="314"/>
      <c r="I64" s="1541"/>
      <c r="J64" s="1541"/>
      <c r="L64" s="403"/>
      <c r="Q64" s="161"/>
    </row>
    <row r="65" spans="1:19" ht="14.25" customHeight="1">
      <c r="A65" s="1560"/>
      <c r="B65" s="1542"/>
      <c r="C65" s="1542"/>
      <c r="D65" s="1542"/>
      <c r="E65" s="1542"/>
      <c r="F65" s="253"/>
      <c r="G65" s="253"/>
      <c r="H65" s="253"/>
      <c r="I65" s="1543"/>
      <c r="J65" s="1543"/>
    </row>
    <row r="66" spans="1:19" ht="14.25" customHeight="1">
      <c r="A66" s="1560"/>
      <c r="B66" s="1549" t="s">
        <v>400</v>
      </c>
      <c r="C66" s="1549"/>
      <c r="D66" s="1549"/>
      <c r="E66" s="1549"/>
      <c r="F66" s="304"/>
      <c r="G66" s="304"/>
      <c r="H66" s="304"/>
      <c r="I66" s="1548">
        <v>0</v>
      </c>
      <c r="J66" s="1548"/>
    </row>
    <row r="67" spans="1:19" ht="14.25" customHeight="1">
      <c r="A67" s="313" t="s">
        <v>401</v>
      </c>
      <c r="B67" s="1554" t="s">
        <v>402</v>
      </c>
      <c r="C67" s="1554"/>
      <c r="D67" s="1554"/>
      <c r="E67" s="1554"/>
      <c r="F67" s="1554"/>
      <c r="G67" s="1554"/>
      <c r="H67" s="1554"/>
      <c r="I67" s="1555">
        <f>ROUND(I39+I63,2)</f>
        <v>109314.5</v>
      </c>
      <c r="J67" s="1555"/>
      <c r="K67" s="403">
        <f>+K19+K31+K63</f>
        <v>109314.5</v>
      </c>
      <c r="L67" s="161">
        <f>+I67-K67</f>
        <v>0</v>
      </c>
      <c r="Q67" s="161">
        <f>+'POW-2015-01-00_'!O32</f>
        <v>325640.37840000005</v>
      </c>
      <c r="S67" s="161">
        <f>+'POW-2015-01-00_'!AB32</f>
        <v>7801031.8500000006</v>
      </c>
    </row>
    <row r="68" spans="1:19" ht="14.25" customHeight="1">
      <c r="A68" s="313" t="s">
        <v>403</v>
      </c>
      <c r="B68" s="1554" t="s">
        <v>404</v>
      </c>
      <c r="C68" s="1554"/>
      <c r="D68" s="1554"/>
      <c r="E68" s="1554"/>
      <c r="F68" s="1554"/>
      <c r="G68" s="1554"/>
      <c r="H68" s="1554"/>
      <c r="I68" s="1557"/>
      <c r="J68" s="1557"/>
      <c r="Q68" s="161">
        <f>+'POW-2015-01-00_'!O33</f>
        <v>5613700.3250000002</v>
      </c>
      <c r="S68" s="161">
        <f>+'POW-2015-01-00_'!AB33</f>
        <v>1532301.48</v>
      </c>
    </row>
    <row r="69" spans="1:19" ht="14.25" customHeight="1">
      <c r="A69" s="313" t="s">
        <v>405</v>
      </c>
      <c r="B69" s="1554" t="s">
        <v>406</v>
      </c>
      <c r="C69" s="1554"/>
      <c r="D69" s="1554"/>
      <c r="E69" s="1554"/>
      <c r="F69" s="1554"/>
      <c r="G69" s="1554"/>
      <c r="H69" s="318">
        <v>0</v>
      </c>
      <c r="I69" s="1555">
        <f>+ROUND(H69*I67,2)</f>
        <v>0</v>
      </c>
      <c r="J69" s="1555"/>
      <c r="K69" s="389"/>
      <c r="Q69" s="161">
        <f>+'POW-2015-01-00_'!O34</f>
        <v>1861691.1416</v>
      </c>
      <c r="S69" s="161">
        <f>+'POW-2015-01-00_'!AB34</f>
        <v>466666.67000000004</v>
      </c>
    </row>
    <row r="70" spans="1:19" ht="14.25" customHeight="1">
      <c r="A70" s="313" t="s">
        <v>407</v>
      </c>
      <c r="B70" s="1554" t="s">
        <v>408</v>
      </c>
      <c r="C70" s="1554"/>
      <c r="D70" s="1554"/>
      <c r="E70" s="1554"/>
      <c r="F70" s="1554"/>
      <c r="G70" s="1554"/>
      <c r="H70" s="319"/>
      <c r="I70" s="1557"/>
      <c r="J70" s="1557"/>
      <c r="K70" s="333"/>
      <c r="L70" t="s">
        <v>18</v>
      </c>
      <c r="Q70" s="161">
        <f>+'POW-2015-01-00_'!O35</f>
        <v>0</v>
      </c>
      <c r="S70" s="161">
        <f>+'POW-2015-01-00_'!AB35</f>
        <v>9800000</v>
      </c>
    </row>
    <row r="71" spans="1:19" ht="14.25" customHeight="1">
      <c r="A71" s="313" t="s">
        <v>409</v>
      </c>
      <c r="B71" s="1554" t="s">
        <v>410</v>
      </c>
      <c r="C71" s="1554"/>
      <c r="D71" s="1554"/>
      <c r="E71" s="1554"/>
      <c r="F71" s="1554"/>
      <c r="G71" s="1554"/>
      <c r="H71" s="318">
        <v>0.08</v>
      </c>
      <c r="I71" s="1555">
        <f>+ROUND(H71*I67,2)</f>
        <v>8745.16</v>
      </c>
      <c r="J71" s="1555"/>
      <c r="K71" s="389"/>
      <c r="Q71" s="161">
        <f>+'POW-2015-01-00_'!O36</f>
        <v>1532301.48</v>
      </c>
      <c r="S71" s="161">
        <f>+'POW-2015-01-00_'!AB36</f>
        <v>200000</v>
      </c>
    </row>
    <row r="72" spans="1:19" ht="14.25" customHeight="1">
      <c r="A72" s="313" t="s">
        <v>411</v>
      </c>
      <c r="B72" s="1554" t="s">
        <v>412</v>
      </c>
      <c r="C72" s="1554"/>
      <c r="D72" s="1554"/>
      <c r="E72" s="1554"/>
      <c r="F72" s="1554"/>
      <c r="G72" s="1554"/>
      <c r="H72" s="319"/>
      <c r="I72" s="1557"/>
      <c r="J72" s="1557"/>
      <c r="K72" s="333"/>
      <c r="Q72" s="161">
        <f>+'POW-2015-01-00_'!O37</f>
        <v>466666.67000000004</v>
      </c>
      <c r="S72" s="161"/>
    </row>
    <row r="73" spans="1:19" ht="14.25" customHeight="1">
      <c r="A73" s="313" t="s">
        <v>413</v>
      </c>
      <c r="B73" s="1554" t="s">
        <v>414</v>
      </c>
      <c r="C73" s="1554"/>
      <c r="D73" s="1554"/>
      <c r="E73" s="1554"/>
      <c r="F73" s="1554"/>
      <c r="G73" s="1554"/>
      <c r="H73" s="335">
        <v>0.05</v>
      </c>
      <c r="I73" s="1555">
        <f>ROUND(H73*(I67+I69+I71),2)</f>
        <v>5902.98</v>
      </c>
      <c r="J73" s="1555"/>
      <c r="K73" s="389"/>
      <c r="Q73" s="161">
        <f>+'POW-2015-01-00_'!O38</f>
        <v>200000</v>
      </c>
      <c r="S73" s="161"/>
    </row>
    <row r="74" spans="1:19" ht="14.25" customHeight="1">
      <c r="A74" s="313" t="s">
        <v>415</v>
      </c>
      <c r="B74" s="1554" t="s">
        <v>416</v>
      </c>
      <c r="C74" s="1554"/>
      <c r="D74" s="1554"/>
      <c r="E74" s="1554"/>
      <c r="F74" s="1554"/>
      <c r="G74" s="1554"/>
      <c r="H74" s="319"/>
      <c r="I74" s="1557"/>
      <c r="J74" s="1557"/>
      <c r="L74" s="443"/>
    </row>
    <row r="75" spans="1:19" ht="14.25" customHeight="1">
      <c r="A75" s="313" t="s">
        <v>417</v>
      </c>
      <c r="B75" s="1554" t="s">
        <v>418</v>
      </c>
      <c r="C75" s="1554"/>
      <c r="D75" s="1554"/>
      <c r="E75" s="1554"/>
      <c r="F75" s="1554"/>
      <c r="G75" s="1554"/>
      <c r="H75" s="319" t="s">
        <v>419</v>
      </c>
      <c r="I75" s="1555">
        <f>+ROUND(SUM(I67:J74),2)</f>
        <v>123962.64</v>
      </c>
      <c r="J75" s="1555"/>
      <c r="K75" s="444">
        <f>+'POW-2015-01-00_'!AB32</f>
        <v>7801031.8500000006</v>
      </c>
      <c r="L75" s="445">
        <f>+'POW-2015-01-00_'!AH44</f>
        <v>0</v>
      </c>
      <c r="M75" s="445"/>
    </row>
    <row r="76" spans="1:19" ht="14.25" customHeight="1">
      <c r="A76" s="336" t="s">
        <v>420</v>
      </c>
      <c r="B76" s="1566" t="s">
        <v>421</v>
      </c>
      <c r="C76" s="1566"/>
      <c r="D76" s="1566"/>
      <c r="E76" s="1566"/>
      <c r="F76" s="1566"/>
      <c r="G76" s="1566"/>
      <c r="H76" s="337"/>
      <c r="I76" s="1572"/>
      <c r="J76" s="1572"/>
      <c r="K76" s="446">
        <v>1.9E-2</v>
      </c>
      <c r="L76" t="s">
        <v>505</v>
      </c>
    </row>
    <row r="77" spans="1:19" ht="39.950000000000003" customHeight="1">
      <c r="A77" s="1563" t="str">
        <f>'POW-2015-01-00_'!A42:AG42</f>
        <v>Note: Prices/Rates were based on CMPD 4TH Quarter CY 2022 for Materials, Memorandum dated December 29, 2022 for Labor cost and Memorandum dated May 18, 2022 for Equipment rental including Fuel &amp; Oil/Lubricant cost as of January 4, 2023 for DPWH Regional/District Engineering Offices</v>
      </c>
      <c r="B77" s="1563"/>
      <c r="C77" s="1563"/>
      <c r="D77" s="1563"/>
      <c r="E77" s="1563"/>
      <c r="F77" s="1563"/>
      <c r="G77" s="1563"/>
      <c r="H77" s="1563"/>
      <c r="I77" s="1563"/>
      <c r="J77" s="1563"/>
      <c r="K77" s="7">
        <f>+K75*K76</f>
        <v>148219.60515000002</v>
      </c>
    </row>
    <row r="78" spans="1:19" ht="14.25" customHeight="1">
      <c r="A78" s="1564" t="s">
        <v>20</v>
      </c>
      <c r="B78" s="1564"/>
      <c r="C78" s="1564"/>
      <c r="H78" s="5" t="s">
        <v>422</v>
      </c>
      <c r="K78" s="161">
        <f>+I75-K77</f>
        <v>-24256.965150000018</v>
      </c>
    </row>
    <row r="79" spans="1:19" ht="18" customHeight="1">
      <c r="A79" s="171"/>
      <c r="B79" s="171"/>
      <c r="C79" s="171"/>
      <c r="H79" s="5"/>
      <c r="M79" s="446"/>
    </row>
    <row r="80" spans="1:19" ht="18" customHeight="1">
      <c r="A80" s="171"/>
      <c r="B80" s="171"/>
      <c r="C80" s="171"/>
      <c r="H80" s="5"/>
      <c r="M80" s="443">
        <f>+I75/K75</f>
        <v>1.5890544018224973E-2</v>
      </c>
    </row>
    <row r="81" spans="1:10" ht="14.25" customHeight="1">
      <c r="A81" s="1502" t="str">
        <f>+'POW-2015-01-00_'!A48:E48</f>
        <v xml:space="preserve">WINLOVE A. ESTEVES
</v>
      </c>
      <c r="B81" s="1502"/>
      <c r="C81" s="1502"/>
      <c r="D81" s="1502"/>
      <c r="H81" s="1502" t="str">
        <f>+'POW-2015-01-00_'!H48:L48</f>
        <v>MARK ANGELO E. SURIL</v>
      </c>
      <c r="I81" s="1502"/>
      <c r="J81" s="1502"/>
    </row>
    <row r="82" spans="1:10" ht="14.25" customHeight="1">
      <c r="A82" s="1565" t="s">
        <v>102</v>
      </c>
      <c r="B82" s="1565"/>
      <c r="C82" s="1565"/>
      <c r="D82" s="1565"/>
      <c r="H82" s="1565" t="s">
        <v>102</v>
      </c>
      <c r="I82" s="1565"/>
      <c r="J82" s="1565"/>
    </row>
    <row r="83" spans="1:10" ht="14.25" customHeight="1">
      <c r="A83" s="1521" t="s">
        <v>423</v>
      </c>
      <c r="B83" s="1521"/>
      <c r="C83" s="1521"/>
      <c r="D83" s="1521"/>
      <c r="H83" s="1521" t="s">
        <v>423</v>
      </c>
      <c r="I83" s="1521"/>
      <c r="J83" s="1521"/>
    </row>
    <row r="84" spans="1:10" ht="14.25" customHeight="1">
      <c r="A84" s="1501"/>
      <c r="B84" s="1501"/>
      <c r="C84" s="1501"/>
      <c r="D84" s="1501"/>
      <c r="E84" s="1501"/>
      <c r="F84" s="1501"/>
      <c r="G84" s="1501"/>
      <c r="H84" s="1501"/>
      <c r="I84" s="1501"/>
      <c r="J84" s="1501"/>
    </row>
    <row r="85" spans="1:10" ht="14.25" customHeight="1"/>
    <row r="86" spans="1:10" ht="14.25" customHeight="1"/>
    <row r="87" spans="1:10" ht="14.25" customHeight="1"/>
    <row r="88" spans="1:10" ht="14.25" customHeight="1"/>
    <row r="89" spans="1:10" ht="14.25" customHeight="1"/>
    <row r="90" spans="1:10" ht="14.25" customHeight="1"/>
    <row r="91" spans="1:10" ht="14.25" customHeight="1"/>
    <row r="92" spans="1:10" ht="14.25" customHeight="1"/>
    <row r="93" spans="1:10" ht="14.25" customHeight="1"/>
    <row r="94" spans="1:10" ht="14.25" customHeight="1"/>
    <row r="95" spans="1:10" ht="14.25" customHeight="1"/>
    <row r="96" spans="1:10"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sheetData>
  <mergeCells count="121">
    <mergeCell ref="A82:D82"/>
    <mergeCell ref="H82:J82"/>
    <mergeCell ref="A83:D83"/>
    <mergeCell ref="H83:J83"/>
    <mergeCell ref="A84:J84"/>
    <mergeCell ref="A11:A19"/>
    <mergeCell ref="A20:A22"/>
    <mergeCell ref="A23:A31"/>
    <mergeCell ref="A32:A34"/>
    <mergeCell ref="A41:A63"/>
    <mergeCell ref="A64:A66"/>
    <mergeCell ref="F11:F12"/>
    <mergeCell ref="F23:F24"/>
    <mergeCell ref="F41:F42"/>
    <mergeCell ref="G11:G12"/>
    <mergeCell ref="G23:G24"/>
    <mergeCell ref="G41:G42"/>
    <mergeCell ref="H11:H12"/>
    <mergeCell ref="H23:H24"/>
    <mergeCell ref="H41:H42"/>
    <mergeCell ref="B23:E24"/>
    <mergeCell ref="I23:J24"/>
    <mergeCell ref="B41:E42"/>
    <mergeCell ref="I41:J42"/>
    <mergeCell ref="B74:G74"/>
    <mergeCell ref="I74:J74"/>
    <mergeCell ref="B75:G75"/>
    <mergeCell ref="I75:J75"/>
    <mergeCell ref="B76:G76"/>
    <mergeCell ref="I76:J76"/>
    <mergeCell ref="A77:J77"/>
    <mergeCell ref="A78:C78"/>
    <mergeCell ref="A81:D81"/>
    <mergeCell ref="H81:J81"/>
    <mergeCell ref="B69:G69"/>
    <mergeCell ref="I69:J69"/>
    <mergeCell ref="B70:G70"/>
    <mergeCell ref="I70:J70"/>
    <mergeCell ref="B71:G71"/>
    <mergeCell ref="I71:J71"/>
    <mergeCell ref="B72:G72"/>
    <mergeCell ref="I72:J72"/>
    <mergeCell ref="B73:G73"/>
    <mergeCell ref="I73:J73"/>
    <mergeCell ref="B64:E64"/>
    <mergeCell ref="I64:J64"/>
    <mergeCell ref="B65:E65"/>
    <mergeCell ref="I65:J65"/>
    <mergeCell ref="B66:E66"/>
    <mergeCell ref="I66:J66"/>
    <mergeCell ref="B67:H67"/>
    <mergeCell ref="I67:J67"/>
    <mergeCell ref="B68:H68"/>
    <mergeCell ref="I68:J68"/>
    <mergeCell ref="I53:J53"/>
    <mergeCell ref="I54:J54"/>
    <mergeCell ref="I56:J56"/>
    <mergeCell ref="I58:J58"/>
    <mergeCell ref="I59:J59"/>
    <mergeCell ref="I60:J60"/>
    <mergeCell ref="I61:J61"/>
    <mergeCell ref="B63:E63"/>
    <mergeCell ref="I63:J63"/>
    <mergeCell ref="B48:E48"/>
    <mergeCell ref="I48:J48"/>
    <mergeCell ref="B49:E49"/>
    <mergeCell ref="I49:J49"/>
    <mergeCell ref="I50:J50"/>
    <mergeCell ref="B51:E51"/>
    <mergeCell ref="I51:J51"/>
    <mergeCell ref="B52:E52"/>
    <mergeCell ref="I52:J52"/>
    <mergeCell ref="B40:H40"/>
    <mergeCell ref="I40:J40"/>
    <mergeCell ref="B43:E43"/>
    <mergeCell ref="I43:J43"/>
    <mergeCell ref="B45:E45"/>
    <mergeCell ref="I45:J45"/>
    <mergeCell ref="B46:E46"/>
    <mergeCell ref="I46:J46"/>
    <mergeCell ref="B47:E47"/>
    <mergeCell ref="I47:J47"/>
    <mergeCell ref="B35:H35"/>
    <mergeCell ref="I35:J35"/>
    <mergeCell ref="B36:H36"/>
    <mergeCell ref="I36:J36"/>
    <mergeCell ref="B37:H37"/>
    <mergeCell ref="I37:J37"/>
    <mergeCell ref="B38:H38"/>
    <mergeCell ref="I38:J38"/>
    <mergeCell ref="B39:H39"/>
    <mergeCell ref="I39:J39"/>
    <mergeCell ref="I29:J29"/>
    <mergeCell ref="B31:E31"/>
    <mergeCell ref="I31:J31"/>
    <mergeCell ref="B32:E32"/>
    <mergeCell ref="I32:J32"/>
    <mergeCell ref="B33:E33"/>
    <mergeCell ref="I33:J33"/>
    <mergeCell ref="B34:E34"/>
    <mergeCell ref="I34:J34"/>
    <mergeCell ref="B20:E20"/>
    <mergeCell ref="I20:J20"/>
    <mergeCell ref="B22:E22"/>
    <mergeCell ref="I22:J22"/>
    <mergeCell ref="B25:E25"/>
    <mergeCell ref="I25:J25"/>
    <mergeCell ref="I26:J26"/>
    <mergeCell ref="I27:J27"/>
    <mergeCell ref="I28:J28"/>
    <mergeCell ref="H2:J2"/>
    <mergeCell ref="A5:D5"/>
    <mergeCell ref="B13:E13"/>
    <mergeCell ref="I13:J13"/>
    <mergeCell ref="I15:J15"/>
    <mergeCell ref="I16:J16"/>
    <mergeCell ref="I17:J17"/>
    <mergeCell ref="B19:E19"/>
    <mergeCell ref="I19:J19"/>
    <mergeCell ref="B11:E12"/>
    <mergeCell ref="I11:J12"/>
  </mergeCells>
  <printOptions horizontalCentered="1"/>
  <pageMargins left="0.118055555555556" right="0.118055555555556" top="0.39305555555555599" bottom="0.39305555555555599" header="0.39305555555555599" footer="0"/>
  <pageSetup paperSize="9" scale="65" orientation="portrait" r:id="rId1"/>
  <headerFooter alignWithMargins="0">
    <oddHeader>&amp;CCONSTRUCTION OF ROAD 
BRGY. L. PIMENTEL, SAN LUIS, AURORA
DETAILED UNIT PRICE ANALYSIS (DUPA)</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DDD9C3"/>
    <pageSetUpPr fitToPage="1"/>
  </sheetPr>
  <dimension ref="A1:P100"/>
  <sheetViews>
    <sheetView topLeftCell="A30" workbookViewId="0">
      <selection activeCell="G38" sqref="G38"/>
    </sheetView>
  </sheetViews>
  <sheetFormatPr defaultColWidth="9" defaultRowHeight="14.25"/>
  <cols>
    <col min="1" max="1" width="5.375" customWidth="1"/>
    <col min="2" max="2" width="2.25" customWidth="1"/>
    <col min="3" max="3" width="15.75" style="158" customWidth="1"/>
    <col min="4" max="4" width="12.625" customWidth="1"/>
    <col min="5" max="5" width="6.375" customWidth="1"/>
    <col min="6" max="6" width="14.875" customWidth="1"/>
    <col min="7" max="7" width="13" customWidth="1"/>
    <col min="8" max="8" width="18.5" customWidth="1"/>
    <col min="9" max="9" width="6.125" customWidth="1"/>
    <col min="10" max="10" width="11.875" customWidth="1"/>
    <col min="11" max="11" width="12.75" customWidth="1"/>
    <col min="12" max="12" width="18.625" customWidth="1"/>
    <col min="13" max="1024" width="8.5" customWidth="1"/>
    <col min="1025" max="1025" width="9" customWidth="1"/>
  </cols>
  <sheetData>
    <row r="1" spans="1:11" ht="14.25" customHeight="1"/>
    <row r="2" spans="1:11" ht="14.25" customHeight="1">
      <c r="H2" s="1501"/>
      <c r="I2" s="1501"/>
      <c r="J2" s="1501"/>
    </row>
    <row r="3" spans="1:11" ht="14.25" customHeight="1">
      <c r="H3" s="295"/>
      <c r="I3" s="295"/>
      <c r="J3" s="295"/>
    </row>
    <row r="4" spans="1:11" ht="14.25" customHeight="1">
      <c r="H4" s="295"/>
      <c r="I4" s="295"/>
      <c r="J4" s="295"/>
    </row>
    <row r="5" spans="1:11" ht="14.25" customHeight="1">
      <c r="A5" s="1539" t="s">
        <v>331</v>
      </c>
      <c r="B5" s="1539"/>
      <c r="C5" s="1539"/>
      <c r="D5" s="1539"/>
      <c r="E5" s="296" t="s">
        <v>49</v>
      </c>
      <c r="F5" t="s">
        <v>506</v>
      </c>
      <c r="G5" t="s">
        <v>507</v>
      </c>
    </row>
    <row r="6" spans="1:11" ht="14.25" customHeight="1">
      <c r="A6" t="s">
        <v>334</v>
      </c>
      <c r="E6" s="296" t="s">
        <v>49</v>
      </c>
      <c r="F6" t="s">
        <v>335</v>
      </c>
    </row>
    <row r="7" spans="1:11" ht="14.25" customHeight="1">
      <c r="A7" t="s">
        <v>473</v>
      </c>
      <c r="E7" s="296" t="s">
        <v>49</v>
      </c>
      <c r="F7" s="297">
        <v>1</v>
      </c>
    </row>
    <row r="8" spans="1:11" ht="14.25" customHeight="1">
      <c r="A8" t="s">
        <v>474</v>
      </c>
      <c r="E8" s="296" t="s">
        <v>49</v>
      </c>
    </row>
    <row r="9" spans="1:11" ht="14.25" customHeight="1">
      <c r="A9" s="5"/>
      <c r="B9" s="5"/>
      <c r="C9" s="171"/>
      <c r="D9" s="5"/>
      <c r="E9" s="296"/>
    </row>
    <row r="10" spans="1:11" ht="14.25" customHeight="1">
      <c r="A10" s="5"/>
      <c r="B10" s="5"/>
      <c r="C10" s="171"/>
      <c r="D10" s="5"/>
      <c r="E10" s="296"/>
    </row>
    <row r="11" spans="1:11" ht="14.25" customHeight="1">
      <c r="A11" s="1547" t="s">
        <v>338</v>
      </c>
      <c r="B11" s="1546" t="s">
        <v>339</v>
      </c>
      <c r="C11" s="1546"/>
      <c r="D11" s="1546"/>
      <c r="E11" s="1546"/>
      <c r="F11" s="1546" t="s">
        <v>340</v>
      </c>
      <c r="G11" s="1546" t="s">
        <v>475</v>
      </c>
      <c r="H11" s="1546" t="s">
        <v>476</v>
      </c>
      <c r="I11" s="1545" t="s">
        <v>343</v>
      </c>
      <c r="J11" s="1545"/>
    </row>
    <row r="12" spans="1:11" ht="14.25" customHeight="1">
      <c r="A12" s="1547"/>
      <c r="B12" s="1546"/>
      <c r="C12" s="1546"/>
      <c r="D12" s="1546"/>
      <c r="E12" s="1546"/>
      <c r="F12" s="1546"/>
      <c r="G12" s="1546"/>
      <c r="H12" s="1546"/>
      <c r="I12" s="1545"/>
      <c r="J12" s="1545"/>
    </row>
    <row r="13" spans="1:11" ht="14.25" customHeight="1">
      <c r="A13" s="1547"/>
      <c r="B13" s="1540" t="s">
        <v>344</v>
      </c>
      <c r="C13" s="1540"/>
      <c r="D13" s="1540"/>
      <c r="E13" s="1540"/>
      <c r="F13" s="300"/>
      <c r="G13" s="300"/>
      <c r="H13" s="300"/>
      <c r="I13" s="1541"/>
      <c r="J13" s="1541"/>
    </row>
    <row r="14" spans="1:11" ht="14.25" customHeight="1">
      <c r="A14" s="1547"/>
      <c r="B14" s="160"/>
      <c r="D14" s="158"/>
      <c r="E14" s="158"/>
      <c r="F14" s="301"/>
      <c r="G14" s="302"/>
      <c r="H14" s="268"/>
      <c r="I14" s="1543"/>
      <c r="J14" s="1543"/>
    </row>
    <row r="15" spans="1:11" ht="14.25" customHeight="1">
      <c r="A15" s="1547"/>
      <c r="B15" s="1549" t="s">
        <v>351</v>
      </c>
      <c r="C15" s="1549"/>
      <c r="D15" s="1549"/>
      <c r="E15" s="1549"/>
      <c r="F15" s="304"/>
      <c r="G15" s="304"/>
      <c r="H15" s="304"/>
      <c r="I15" s="1548">
        <f>+SUM(I14)</f>
        <v>0</v>
      </c>
      <c r="J15" s="1548"/>
      <c r="K15" s="377">
        <f>ROUND(I15/F7,2)</f>
        <v>0</v>
      </c>
    </row>
    <row r="16" spans="1:11" ht="14.25" customHeight="1">
      <c r="A16" s="1560" t="s">
        <v>352</v>
      </c>
      <c r="B16" s="1540" t="s">
        <v>344</v>
      </c>
      <c r="C16" s="1540"/>
      <c r="D16" s="1540"/>
      <c r="E16" s="1540"/>
      <c r="F16" s="300"/>
      <c r="G16" s="300"/>
      <c r="H16" s="300"/>
      <c r="I16" s="1541"/>
      <c r="J16" s="1541"/>
    </row>
    <row r="17" spans="1:11" ht="14.25" customHeight="1">
      <c r="A17" s="1560"/>
      <c r="B17" s="1542"/>
      <c r="C17" s="1542"/>
      <c r="D17" s="1542"/>
      <c r="E17" s="1542"/>
      <c r="F17" s="253"/>
      <c r="G17" s="253"/>
      <c r="H17" s="360"/>
      <c r="I17" s="1543"/>
      <c r="J17" s="1543"/>
    </row>
    <row r="18" spans="1:11" ht="14.25" customHeight="1">
      <c r="A18" s="1560"/>
      <c r="B18" s="1549" t="s">
        <v>353</v>
      </c>
      <c r="C18" s="1549"/>
      <c r="D18" s="1549"/>
      <c r="E18" s="1549"/>
      <c r="F18" s="305"/>
      <c r="G18" s="305"/>
      <c r="H18" s="305"/>
      <c r="I18" s="1548">
        <v>0</v>
      </c>
      <c r="J18" s="1548"/>
    </row>
    <row r="19" spans="1:11" ht="14.25" customHeight="1">
      <c r="A19" s="1562" t="s">
        <v>481</v>
      </c>
      <c r="B19" s="1550" t="s">
        <v>355</v>
      </c>
      <c r="C19" s="1550"/>
      <c r="D19" s="1550"/>
      <c r="E19" s="1550"/>
      <c r="F19" s="1550" t="s">
        <v>356</v>
      </c>
      <c r="G19" s="1550" t="s">
        <v>341</v>
      </c>
      <c r="H19" s="1550" t="s">
        <v>342</v>
      </c>
      <c r="I19" s="1551" t="s">
        <v>359</v>
      </c>
      <c r="J19" s="1551"/>
    </row>
    <row r="20" spans="1:11" ht="14.25" customHeight="1">
      <c r="A20" s="1562"/>
      <c r="B20" s="1550"/>
      <c r="C20" s="1550"/>
      <c r="D20" s="1550"/>
      <c r="E20" s="1550"/>
      <c r="F20" s="1550"/>
      <c r="G20" s="1550"/>
      <c r="H20" s="1550"/>
      <c r="I20" s="1551"/>
      <c r="J20" s="1551"/>
    </row>
    <row r="21" spans="1:11" ht="14.25" customHeight="1">
      <c r="A21" s="1562"/>
      <c r="B21" s="1540" t="s">
        <v>360</v>
      </c>
      <c r="C21" s="1540"/>
      <c r="D21" s="1540"/>
      <c r="E21" s="1540"/>
      <c r="F21" s="300"/>
      <c r="G21" s="300"/>
      <c r="H21" s="300"/>
      <c r="I21" s="1541"/>
      <c r="J21" s="1541"/>
    </row>
    <row r="22" spans="1:11" ht="14.25" customHeight="1">
      <c r="A22" s="1562"/>
      <c r="B22" s="168"/>
      <c r="D22" s="171"/>
      <c r="E22" s="420"/>
      <c r="F22" s="358"/>
      <c r="G22" s="421"/>
      <c r="H22" s="422"/>
      <c r="I22" s="1543"/>
      <c r="J22" s="1543"/>
    </row>
    <row r="23" spans="1:11" ht="14.25" customHeight="1">
      <c r="A23" s="1562"/>
      <c r="B23" s="1549" t="s">
        <v>361</v>
      </c>
      <c r="C23" s="1549"/>
      <c r="D23" s="1549"/>
      <c r="E23" s="1549"/>
      <c r="F23" s="305"/>
      <c r="G23" s="305"/>
      <c r="H23" s="305"/>
      <c r="I23" s="1548">
        <f>+SUM(I22:J22)</f>
        <v>0</v>
      </c>
      <c r="J23" s="1548"/>
      <c r="K23" s="323">
        <f>+ROUND(I23/F7,2)</f>
        <v>0</v>
      </c>
    </row>
    <row r="24" spans="1:11" ht="14.25" customHeight="1">
      <c r="A24" s="1560" t="s">
        <v>362</v>
      </c>
      <c r="B24" s="1540" t="s">
        <v>360</v>
      </c>
      <c r="C24" s="1540"/>
      <c r="D24" s="1540"/>
      <c r="E24" s="1540"/>
      <c r="F24" s="300"/>
      <c r="G24" s="300"/>
      <c r="H24" s="300"/>
      <c r="I24" s="1541"/>
      <c r="J24" s="1541"/>
    </row>
    <row r="25" spans="1:11" ht="14.25" customHeight="1">
      <c r="A25" s="1560"/>
      <c r="B25" s="1542"/>
      <c r="C25" s="1542"/>
      <c r="D25" s="1542"/>
      <c r="E25" s="1542"/>
      <c r="F25" s="306"/>
      <c r="G25" s="306"/>
      <c r="H25" s="423"/>
      <c r="I25" s="1543"/>
      <c r="J25" s="1543"/>
    </row>
    <row r="26" spans="1:11" ht="14.25" customHeight="1">
      <c r="A26" s="1560"/>
      <c r="B26" s="1549" t="s">
        <v>363</v>
      </c>
      <c r="C26" s="1549"/>
      <c r="D26" s="1549"/>
      <c r="E26" s="1549"/>
      <c r="F26" s="305"/>
      <c r="G26" s="305"/>
      <c r="H26" s="305"/>
      <c r="I26" s="1548">
        <v>0</v>
      </c>
      <c r="J26" s="1548"/>
    </row>
    <row r="27" spans="1:11" ht="14.25" customHeight="1">
      <c r="A27" s="311" t="s">
        <v>364</v>
      </c>
      <c r="B27" s="1554" t="s">
        <v>365</v>
      </c>
      <c r="C27" s="1554"/>
      <c r="D27" s="1554"/>
      <c r="E27" s="1554"/>
      <c r="F27" s="1554"/>
      <c r="G27" s="1554"/>
      <c r="H27" s="1554"/>
      <c r="I27" s="1555">
        <f>I15+I23</f>
        <v>0</v>
      </c>
      <c r="J27" s="1555"/>
    </row>
    <row r="28" spans="1:11" ht="14.25" customHeight="1">
      <c r="A28" s="313" t="s">
        <v>366</v>
      </c>
      <c r="B28" s="1554" t="s">
        <v>367</v>
      </c>
      <c r="C28" s="1554"/>
      <c r="D28" s="1554"/>
      <c r="E28" s="1554"/>
      <c r="F28" s="1554"/>
      <c r="G28" s="1554"/>
      <c r="H28" s="1554"/>
      <c r="I28" s="1557"/>
      <c r="J28" s="1557"/>
    </row>
    <row r="29" spans="1:11" ht="14.25" customHeight="1">
      <c r="A29" s="313" t="s">
        <v>368</v>
      </c>
      <c r="B29" s="1554" t="s">
        <v>473</v>
      </c>
      <c r="C29" s="1554"/>
      <c r="D29" s="1554"/>
      <c r="E29" s="1554"/>
      <c r="F29" s="1554"/>
      <c r="G29" s="1554"/>
      <c r="H29" s="1554"/>
      <c r="I29" s="1570">
        <f>F7</f>
        <v>1</v>
      </c>
      <c r="J29" s="1570"/>
    </row>
    <row r="30" spans="1:11" ht="14.25" customHeight="1">
      <c r="A30" s="313" t="s">
        <v>369</v>
      </c>
      <c r="B30" s="1554" t="s">
        <v>474</v>
      </c>
      <c r="C30" s="1554"/>
      <c r="D30" s="1554"/>
      <c r="E30" s="1554"/>
      <c r="F30" s="1554"/>
      <c r="G30" s="1554"/>
      <c r="H30" s="1554"/>
      <c r="I30" s="1557"/>
      <c r="J30" s="1557"/>
    </row>
    <row r="31" spans="1:11" ht="14.25" customHeight="1">
      <c r="A31" s="313" t="s">
        <v>370</v>
      </c>
      <c r="B31" s="1554" t="s">
        <v>371</v>
      </c>
      <c r="C31" s="1554"/>
      <c r="D31" s="1554"/>
      <c r="E31" s="1554"/>
      <c r="F31" s="1554"/>
      <c r="G31" s="1554"/>
      <c r="H31" s="1554"/>
      <c r="I31" s="1555">
        <f>I27/I29</f>
        <v>0</v>
      </c>
      <c r="J31" s="1555"/>
    </row>
    <row r="32" spans="1:11" ht="14.25" customHeight="1">
      <c r="A32" s="313" t="s">
        <v>372</v>
      </c>
      <c r="B32" s="1554" t="s">
        <v>373</v>
      </c>
      <c r="C32" s="1554"/>
      <c r="D32" s="1554"/>
      <c r="E32" s="1554"/>
      <c r="F32" s="1554"/>
      <c r="G32" s="1554"/>
      <c r="H32" s="1554"/>
      <c r="I32" s="1557"/>
      <c r="J32" s="1557"/>
    </row>
    <row r="33" spans="1:16" ht="14.25" customHeight="1">
      <c r="A33" s="1561" t="s">
        <v>428</v>
      </c>
      <c r="B33" s="1550" t="s">
        <v>375</v>
      </c>
      <c r="C33" s="1550"/>
      <c r="D33" s="1550"/>
      <c r="E33" s="1550"/>
      <c r="F33" s="1550" t="s">
        <v>376</v>
      </c>
      <c r="G33" s="1550" t="s">
        <v>377</v>
      </c>
      <c r="H33" s="1550" t="s">
        <v>378</v>
      </c>
      <c r="I33" s="1551" t="s">
        <v>343</v>
      </c>
      <c r="J33" s="1551"/>
    </row>
    <row r="34" spans="1:16" ht="14.25" customHeight="1">
      <c r="A34" s="1561"/>
      <c r="B34" s="1550"/>
      <c r="C34" s="1550"/>
      <c r="D34" s="1550"/>
      <c r="E34" s="1550"/>
      <c r="F34" s="1550"/>
      <c r="G34" s="1550"/>
      <c r="H34" s="1550"/>
      <c r="I34" s="1551"/>
      <c r="J34" s="1551"/>
      <c r="K34" s="429">
        <f>+cd!D30</f>
        <v>65</v>
      </c>
      <c r="L34" s="23" t="s">
        <v>288</v>
      </c>
    </row>
    <row r="35" spans="1:16" ht="14.25" customHeight="1">
      <c r="A35" s="1561"/>
      <c r="B35" s="1540" t="s">
        <v>379</v>
      </c>
      <c r="C35" s="1540"/>
      <c r="D35" s="1540"/>
      <c r="E35" s="1540"/>
      <c r="F35" s="314"/>
      <c r="G35" s="314"/>
      <c r="H35" s="314"/>
      <c r="I35" s="1541"/>
      <c r="J35" s="1541"/>
      <c r="K35" s="430">
        <f>+cd!D9</f>
        <v>39</v>
      </c>
      <c r="L35" s="23" t="s">
        <v>508</v>
      </c>
    </row>
    <row r="36" spans="1:16" ht="14.25" customHeight="1">
      <c r="A36" s="1561"/>
      <c r="B36" s="269"/>
      <c r="D36" s="158"/>
      <c r="E36" s="315"/>
      <c r="F36" s="253"/>
      <c r="G36" s="253"/>
      <c r="H36" s="253"/>
      <c r="I36" s="168"/>
      <c r="J36" s="328"/>
      <c r="K36" s="332"/>
    </row>
    <row r="37" spans="1:16" ht="14.25" customHeight="1">
      <c r="A37" s="1561"/>
      <c r="B37" s="1568" t="s">
        <v>509</v>
      </c>
      <c r="C37" s="1568"/>
      <c r="D37" s="1568"/>
      <c r="E37" s="1568"/>
      <c r="F37" s="358" t="s">
        <v>215</v>
      </c>
      <c r="G37" s="364">
        <v>4</v>
      </c>
      <c r="H37" s="424">
        <f>L37</f>
        <v>711.75</v>
      </c>
      <c r="I37" s="1556">
        <f>+G37*H37</f>
        <v>2847</v>
      </c>
      <c r="J37" s="1556"/>
      <c r="K37">
        <v>10.95</v>
      </c>
      <c r="L37" s="403">
        <f>K37*K34</f>
        <v>711.75</v>
      </c>
      <c r="M37" s="431" t="s">
        <v>510</v>
      </c>
      <c r="N37" s="431"/>
      <c r="O37" s="431"/>
      <c r="P37" s="431"/>
    </row>
    <row r="38" spans="1:16" ht="14.25" customHeight="1">
      <c r="A38" s="1561"/>
      <c r="B38" s="1568" t="s">
        <v>511</v>
      </c>
      <c r="C38" s="1568"/>
      <c r="D38" s="1568"/>
      <c r="E38" s="1568"/>
      <c r="F38" s="358" t="s">
        <v>215</v>
      </c>
      <c r="G38" s="364">
        <f>+G37</f>
        <v>4</v>
      </c>
      <c r="H38" s="424">
        <f>L38</f>
        <v>711.75</v>
      </c>
      <c r="I38" s="1556">
        <f>+G38*H38</f>
        <v>2847</v>
      </c>
      <c r="J38" s="1556"/>
      <c r="K38">
        <v>10.95</v>
      </c>
      <c r="L38" s="403">
        <f>K38*K34</f>
        <v>711.75</v>
      </c>
      <c r="M38" s="431"/>
      <c r="N38" s="431"/>
      <c r="O38" s="431"/>
      <c r="P38" s="431"/>
    </row>
    <row r="39" spans="1:16" ht="14.25" customHeight="1">
      <c r="A39" s="1561"/>
      <c r="B39" s="1568" t="s">
        <v>512</v>
      </c>
      <c r="C39" s="1568"/>
      <c r="D39" s="1568"/>
      <c r="E39" s="1568"/>
      <c r="F39" s="358" t="s">
        <v>215</v>
      </c>
      <c r="G39" s="364">
        <f>+G37*2</f>
        <v>8</v>
      </c>
      <c r="H39" s="424">
        <f>L39</f>
        <v>366.59999999999997</v>
      </c>
      <c r="I39" s="1556">
        <f>+G39*H39</f>
        <v>2932.7999999999997</v>
      </c>
      <c r="J39" s="1556"/>
      <c r="K39">
        <v>5.64</v>
      </c>
      <c r="L39" s="403">
        <f>K39*K34</f>
        <v>366.59999999999997</v>
      </c>
      <c r="M39" s="431"/>
      <c r="N39" s="431"/>
      <c r="O39" s="431"/>
      <c r="P39" s="431"/>
    </row>
    <row r="40" spans="1:16" ht="14.25" customHeight="1">
      <c r="A40" s="1561"/>
      <c r="B40" s="1568" t="s">
        <v>513</v>
      </c>
      <c r="C40" s="1568"/>
      <c r="D40" s="1568"/>
      <c r="E40" s="1568"/>
      <c r="F40" s="358" t="s">
        <v>215</v>
      </c>
      <c r="G40" s="364">
        <f>+G37*2</f>
        <v>8</v>
      </c>
      <c r="H40" s="424">
        <f>L40</f>
        <v>366.59999999999997</v>
      </c>
      <c r="I40" s="1556">
        <f>+G40*H40</f>
        <v>2932.7999999999997</v>
      </c>
      <c r="J40" s="1556"/>
      <c r="K40">
        <v>5.64</v>
      </c>
      <c r="L40" s="403">
        <f>K40*K34</f>
        <v>366.59999999999997</v>
      </c>
      <c r="M40" s="431"/>
      <c r="N40" s="431"/>
      <c r="O40" s="431"/>
      <c r="P40" s="431"/>
    </row>
    <row r="41" spans="1:16" ht="14.25" customHeight="1">
      <c r="A41" s="1561"/>
      <c r="B41" s="1542"/>
      <c r="C41" s="1542"/>
      <c r="D41" s="1542"/>
      <c r="E41" s="1542"/>
      <c r="F41" s="358"/>
      <c r="G41" s="364"/>
      <c r="H41" s="317"/>
      <c r="I41" s="1543"/>
      <c r="J41" s="1543"/>
      <c r="K41" s="432"/>
      <c r="L41" s="403"/>
      <c r="M41" s="431"/>
      <c r="N41" s="431"/>
      <c r="O41" s="431"/>
      <c r="P41" s="431"/>
    </row>
    <row r="42" spans="1:16" ht="14.25" customHeight="1">
      <c r="A42" s="1561"/>
      <c r="B42" s="1587" t="s">
        <v>514</v>
      </c>
      <c r="C42" s="1587"/>
      <c r="D42" s="1587"/>
      <c r="E42" s="1587"/>
      <c r="F42" s="358"/>
      <c r="G42" s="364"/>
      <c r="H42" s="317"/>
      <c r="I42" s="1543"/>
      <c r="J42" s="1543"/>
      <c r="K42" s="432"/>
      <c r="L42" s="403"/>
      <c r="M42" s="431"/>
      <c r="N42" s="431"/>
      <c r="O42" s="431"/>
      <c r="P42" s="431"/>
    </row>
    <row r="43" spans="1:16" ht="14.25" customHeight="1">
      <c r="A43" s="1561"/>
      <c r="B43" s="1587"/>
      <c r="C43" s="1587"/>
      <c r="D43" s="1587"/>
      <c r="E43" s="1587"/>
      <c r="F43" s="358"/>
      <c r="G43" s="364"/>
      <c r="H43" s="317"/>
      <c r="I43" s="1543"/>
      <c r="J43" s="1543"/>
      <c r="K43" s="432"/>
      <c r="L43" s="403"/>
      <c r="M43" s="431"/>
      <c r="N43" s="431"/>
      <c r="O43" s="431"/>
      <c r="P43" s="431"/>
    </row>
    <row r="44" spans="1:16" ht="14.25" customHeight="1">
      <c r="A44" s="1561"/>
      <c r="B44" s="425"/>
      <c r="C44" s="426"/>
      <c r="D44" s="426"/>
      <c r="E44" s="427"/>
      <c r="F44" s="358"/>
      <c r="G44" s="364"/>
      <c r="H44" s="317"/>
      <c r="I44" s="356"/>
      <c r="J44" s="328"/>
      <c r="K44" s="432"/>
      <c r="L44" s="403"/>
      <c r="M44" s="431"/>
      <c r="N44" s="431"/>
      <c r="O44" s="431"/>
      <c r="P44" s="431"/>
    </row>
    <row r="45" spans="1:16" ht="14.25" customHeight="1">
      <c r="A45" s="1561"/>
      <c r="B45" s="1549" t="s">
        <v>398</v>
      </c>
      <c r="C45" s="1549"/>
      <c r="D45" s="1549"/>
      <c r="E45" s="1549"/>
      <c r="F45" s="304"/>
      <c r="G45" s="304"/>
      <c r="H45" s="304"/>
      <c r="I45" s="1552">
        <f>+SUM(I35:J43)</f>
        <v>11559.599999999999</v>
      </c>
      <c r="J45" s="1552"/>
      <c r="K45" s="377">
        <f>+ROUND(I45,2)</f>
        <v>11559.6</v>
      </c>
    </row>
    <row r="46" spans="1:16" ht="14.25" customHeight="1">
      <c r="A46" s="1560" t="s">
        <v>399</v>
      </c>
      <c r="B46" s="1540" t="s">
        <v>379</v>
      </c>
      <c r="C46" s="1540"/>
      <c r="D46" s="1540"/>
      <c r="E46" s="1540"/>
      <c r="F46" s="314"/>
      <c r="G46" s="314"/>
      <c r="H46" s="314"/>
      <c r="I46" s="1541"/>
      <c r="J46" s="1541"/>
    </row>
    <row r="47" spans="1:16" ht="14.25" customHeight="1">
      <c r="A47" s="1560"/>
      <c r="B47" s="1542"/>
      <c r="C47" s="1542"/>
      <c r="D47" s="1542"/>
      <c r="E47" s="1542"/>
      <c r="F47" s="253"/>
      <c r="G47" s="253"/>
      <c r="H47" s="253"/>
      <c r="I47" s="1543"/>
      <c r="J47" s="1543"/>
    </row>
    <row r="48" spans="1:16" ht="14.25" customHeight="1">
      <c r="A48" s="1560"/>
      <c r="B48" s="1549" t="s">
        <v>400</v>
      </c>
      <c r="C48" s="1549"/>
      <c r="D48" s="1549"/>
      <c r="E48" s="1549"/>
      <c r="F48" s="304"/>
      <c r="G48" s="304"/>
      <c r="H48" s="304"/>
      <c r="I48" s="1548">
        <v>0</v>
      </c>
      <c r="J48" s="1548"/>
    </row>
    <row r="49" spans="1:12" ht="14.25" customHeight="1">
      <c r="A49" s="313" t="s">
        <v>401</v>
      </c>
      <c r="B49" s="1554" t="s">
        <v>402</v>
      </c>
      <c r="C49" s="1554"/>
      <c r="D49" s="1554"/>
      <c r="E49" s="1554"/>
      <c r="F49" s="1554"/>
      <c r="G49" s="1554"/>
      <c r="H49" s="1554"/>
      <c r="I49" s="1555">
        <f>ROUND(I31+I45,2)</f>
        <v>11559.6</v>
      </c>
      <c r="J49" s="1555"/>
      <c r="K49" s="332">
        <f>+K15+K23+K45</f>
        <v>11559.6</v>
      </c>
      <c r="L49" s="332">
        <f>+I49-K49</f>
        <v>0</v>
      </c>
    </row>
    <row r="50" spans="1:12" ht="14.25" customHeight="1">
      <c r="A50" s="313" t="s">
        <v>403</v>
      </c>
      <c r="B50" s="1554" t="s">
        <v>404</v>
      </c>
      <c r="C50" s="1554"/>
      <c r="D50" s="1554"/>
      <c r="E50" s="1554"/>
      <c r="F50" s="1554"/>
      <c r="G50" s="1554"/>
      <c r="H50" s="1554"/>
      <c r="I50" s="1557"/>
      <c r="J50" s="1557"/>
    </row>
    <row r="51" spans="1:12" ht="14.25" customHeight="1">
      <c r="A51" s="313" t="s">
        <v>405</v>
      </c>
      <c r="B51" s="1554" t="s">
        <v>406</v>
      </c>
      <c r="C51" s="1554"/>
      <c r="D51" s="1554"/>
      <c r="E51" s="1554"/>
      <c r="F51" s="1554"/>
      <c r="G51" s="1554"/>
      <c r="H51" s="318">
        <v>0</v>
      </c>
      <c r="I51" s="1555">
        <f>+ROUND(H51*I49,2)</f>
        <v>0</v>
      </c>
      <c r="J51" s="1555"/>
      <c r="K51" s="389"/>
    </row>
    <row r="52" spans="1:12" ht="14.25" customHeight="1">
      <c r="A52" s="313" t="s">
        <v>407</v>
      </c>
      <c r="B52" s="1554" t="s">
        <v>408</v>
      </c>
      <c r="C52" s="1554"/>
      <c r="D52" s="1554"/>
      <c r="E52" s="1554"/>
      <c r="F52" s="1554"/>
      <c r="G52" s="1554"/>
      <c r="H52" s="319"/>
      <c r="I52" s="1557"/>
      <c r="J52" s="1557"/>
      <c r="K52" s="333"/>
    </row>
    <row r="53" spans="1:12" ht="14.25" customHeight="1">
      <c r="A53" s="313" t="s">
        <v>409</v>
      </c>
      <c r="B53" s="1554" t="s">
        <v>410</v>
      </c>
      <c r="C53" s="1554"/>
      <c r="D53" s="1554"/>
      <c r="E53" s="1554"/>
      <c r="F53" s="1554"/>
      <c r="G53" s="1554"/>
      <c r="H53" s="318">
        <v>0.08</v>
      </c>
      <c r="I53" s="1555">
        <f>+ROUND(H53*I49,2)</f>
        <v>924.77</v>
      </c>
      <c r="J53" s="1555"/>
      <c r="K53" s="389"/>
    </row>
    <row r="54" spans="1:12" ht="14.25" customHeight="1">
      <c r="A54" s="313" t="s">
        <v>411</v>
      </c>
      <c r="B54" s="1554" t="s">
        <v>412</v>
      </c>
      <c r="C54" s="1554"/>
      <c r="D54" s="1554"/>
      <c r="E54" s="1554"/>
      <c r="F54" s="1554"/>
      <c r="G54" s="1554"/>
      <c r="H54" s="319"/>
      <c r="I54" s="1557"/>
      <c r="J54" s="1557"/>
      <c r="K54" s="333"/>
    </row>
    <row r="55" spans="1:12" ht="14.25" customHeight="1">
      <c r="A55" s="313" t="s">
        <v>413</v>
      </c>
      <c r="B55" s="1554" t="s">
        <v>414</v>
      </c>
      <c r="C55" s="1554"/>
      <c r="D55" s="1554"/>
      <c r="E55" s="1554"/>
      <c r="F55" s="1554"/>
      <c r="G55" s="1554"/>
      <c r="H55" s="335">
        <v>0.05</v>
      </c>
      <c r="I55" s="1555">
        <f>ROUND(H55*(I49+I51+I53),2)</f>
        <v>624.22</v>
      </c>
      <c r="J55" s="1555"/>
      <c r="K55" s="389"/>
    </row>
    <row r="56" spans="1:12" ht="14.25" customHeight="1">
      <c r="A56" s="313" t="s">
        <v>415</v>
      </c>
      <c r="B56" s="1554" t="s">
        <v>416</v>
      </c>
      <c r="C56" s="1554"/>
      <c r="D56" s="1554"/>
      <c r="E56" s="1554"/>
      <c r="F56" s="1554"/>
      <c r="G56" s="1554"/>
      <c r="H56" s="319"/>
      <c r="I56" s="1557"/>
      <c r="J56" s="1557"/>
    </row>
    <row r="57" spans="1:12" ht="14.25" customHeight="1">
      <c r="A57" s="313" t="s">
        <v>417</v>
      </c>
      <c r="B57" s="1554" t="s">
        <v>418</v>
      </c>
      <c r="C57" s="1554"/>
      <c r="D57" s="1554"/>
      <c r="E57" s="1554"/>
      <c r="F57" s="1554"/>
      <c r="G57" s="1554"/>
      <c r="H57" s="319" t="s">
        <v>419</v>
      </c>
      <c r="I57" s="1555">
        <f>+ROUND(SUM(I49:J56),2)</f>
        <v>13108.59</v>
      </c>
      <c r="J57" s="1555"/>
    </row>
    <row r="58" spans="1:12" ht="14.25" customHeight="1">
      <c r="A58" s="336" t="s">
        <v>420</v>
      </c>
      <c r="B58" s="1566" t="s">
        <v>421</v>
      </c>
      <c r="C58" s="1566"/>
      <c r="D58" s="1566"/>
      <c r="E58" s="1566"/>
      <c r="F58" s="1566"/>
      <c r="G58" s="1566"/>
      <c r="H58" s="428"/>
      <c r="I58" s="1572"/>
      <c r="J58" s="1572"/>
    </row>
    <row r="59" spans="1:12" ht="39.950000000000003" customHeight="1">
      <c r="A59" s="1563" t="str">
        <f>'POW-2015-01-00_'!A42:AG42</f>
        <v>Note: Prices/Rates were based on CMPD 4TH Quarter CY 2022 for Materials, Memorandum dated December 29, 2022 for Labor cost and Memorandum dated May 18, 2022 for Equipment rental including Fuel &amp; Oil/Lubricant cost as of January 4, 2023 for DPWH Regional/District Engineering Offices</v>
      </c>
      <c r="B59" s="1563"/>
      <c r="C59" s="1563"/>
      <c r="D59" s="1563"/>
      <c r="E59" s="1563"/>
      <c r="F59" s="1563"/>
      <c r="G59" s="1563"/>
      <c r="H59" s="1563"/>
      <c r="I59" s="1563"/>
      <c r="J59" s="1563"/>
    </row>
    <row r="60" spans="1:12" ht="14.25" customHeight="1">
      <c r="A60" s="1564" t="s">
        <v>20</v>
      </c>
      <c r="B60" s="1564"/>
      <c r="C60" s="1564"/>
      <c r="H60" s="5" t="s">
        <v>422</v>
      </c>
    </row>
    <row r="61" spans="1:12" ht="14.25" customHeight="1">
      <c r="A61" s="171"/>
      <c r="B61" s="171"/>
      <c r="C61" s="171"/>
      <c r="H61" s="5"/>
    </row>
    <row r="62" spans="1:12" ht="14.25" customHeight="1">
      <c r="A62" s="171"/>
      <c r="B62" s="171"/>
      <c r="C62" s="171"/>
      <c r="H62" s="5"/>
    </row>
    <row r="63" spans="1:12" ht="14.25" customHeight="1">
      <c r="A63" s="1502" t="str">
        <f>+'POW-2015-01-00_'!A48:E48</f>
        <v xml:space="preserve">WINLOVE A. ESTEVES
</v>
      </c>
      <c r="B63" s="1502"/>
      <c r="C63" s="1502"/>
      <c r="D63" s="1502"/>
      <c r="H63" s="1502" t="str">
        <f>+'POW-2015-01-00_'!H48:L48</f>
        <v>MARK ANGELO E. SURIL</v>
      </c>
      <c r="I63" s="1502"/>
      <c r="J63" s="1502"/>
    </row>
    <row r="64" spans="1:12" ht="14.25" customHeight="1">
      <c r="A64" s="1565" t="s">
        <v>102</v>
      </c>
      <c r="B64" s="1565"/>
      <c r="C64" s="1565"/>
      <c r="D64" s="1565"/>
      <c r="H64" s="1565" t="s">
        <v>102</v>
      </c>
      <c r="I64" s="1565"/>
      <c r="J64" s="1565"/>
    </row>
    <row r="65" spans="1:10" ht="14.25" customHeight="1">
      <c r="A65" s="1521" t="s">
        <v>423</v>
      </c>
      <c r="B65" s="1521"/>
      <c r="C65" s="1521"/>
      <c r="D65" s="1521"/>
      <c r="H65" s="1521" t="s">
        <v>423</v>
      </c>
      <c r="I65" s="1521"/>
      <c r="J65" s="1521"/>
    </row>
    <row r="66" spans="1:10" ht="14.25" customHeight="1">
      <c r="A66" s="1501"/>
      <c r="B66" s="1501"/>
      <c r="C66" s="1501"/>
      <c r="D66" s="1501"/>
      <c r="E66" s="1501"/>
      <c r="F66" s="1501"/>
      <c r="G66" s="1501"/>
      <c r="H66" s="1501"/>
      <c r="I66" s="1501"/>
      <c r="J66" s="1501"/>
    </row>
    <row r="67" spans="1:10" ht="14.25" customHeight="1"/>
    <row r="68" spans="1:10" ht="14.25" customHeight="1"/>
    <row r="69" spans="1:10" ht="14.25" customHeight="1"/>
    <row r="70" spans="1:10" ht="14.25" customHeight="1"/>
    <row r="71" spans="1:10" ht="14.25" customHeight="1"/>
    <row r="72" spans="1:10" ht="14.25" customHeight="1"/>
    <row r="73" spans="1:10" ht="14.25" customHeight="1"/>
    <row r="74" spans="1:10" ht="14.25" customHeight="1"/>
    <row r="75" spans="1:10" ht="14.25" customHeight="1"/>
    <row r="76" spans="1:10" ht="14.25" customHeight="1"/>
    <row r="77" spans="1:10" ht="14.25" customHeight="1"/>
    <row r="78" spans="1:10" ht="14.25" customHeight="1"/>
    <row r="79" spans="1:10" ht="14.25" customHeight="1"/>
    <row r="80" spans="1:1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mergeCells count="109">
    <mergeCell ref="A33:A45"/>
    <mergeCell ref="A46:A48"/>
    <mergeCell ref="F11:F12"/>
    <mergeCell ref="F19:F20"/>
    <mergeCell ref="F33:F34"/>
    <mergeCell ref="G11:G12"/>
    <mergeCell ref="G19:G20"/>
    <mergeCell ref="G33:G34"/>
    <mergeCell ref="B11:E12"/>
    <mergeCell ref="B19:E20"/>
    <mergeCell ref="B33:E34"/>
    <mergeCell ref="B42:E43"/>
    <mergeCell ref="B37:E37"/>
    <mergeCell ref="B29:H29"/>
    <mergeCell ref="B24:E24"/>
    <mergeCell ref="B17:E17"/>
    <mergeCell ref="B38:E38"/>
    <mergeCell ref="B26:E26"/>
    <mergeCell ref="H19:H20"/>
    <mergeCell ref="B27:H27"/>
    <mergeCell ref="A59:J59"/>
    <mergeCell ref="A60:C60"/>
    <mergeCell ref="A63:D63"/>
    <mergeCell ref="H63:J63"/>
    <mergeCell ref="A64:D64"/>
    <mergeCell ref="H64:J64"/>
    <mergeCell ref="A65:D65"/>
    <mergeCell ref="H65:J65"/>
    <mergeCell ref="A66:J66"/>
    <mergeCell ref="B54:G54"/>
    <mergeCell ref="I54:J54"/>
    <mergeCell ref="B55:G55"/>
    <mergeCell ref="I55:J55"/>
    <mergeCell ref="B56:G56"/>
    <mergeCell ref="I56:J56"/>
    <mergeCell ref="B57:G57"/>
    <mergeCell ref="I57:J57"/>
    <mergeCell ref="B58:G58"/>
    <mergeCell ref="I58:J58"/>
    <mergeCell ref="B49:H49"/>
    <mergeCell ref="I49:J49"/>
    <mergeCell ref="B50:H50"/>
    <mergeCell ref="I50:J50"/>
    <mergeCell ref="B51:G51"/>
    <mergeCell ref="I51:J51"/>
    <mergeCell ref="B52:G52"/>
    <mergeCell ref="I52:J52"/>
    <mergeCell ref="B53:G53"/>
    <mergeCell ref="I53:J53"/>
    <mergeCell ref="I43:J43"/>
    <mergeCell ref="B45:E45"/>
    <mergeCell ref="I45:J45"/>
    <mergeCell ref="B46:E46"/>
    <mergeCell ref="I46:J46"/>
    <mergeCell ref="B47:E47"/>
    <mergeCell ref="I47:J47"/>
    <mergeCell ref="B48:E48"/>
    <mergeCell ref="I48:J48"/>
    <mergeCell ref="I38:J38"/>
    <mergeCell ref="B39:E39"/>
    <mergeCell ref="I39:J39"/>
    <mergeCell ref="B40:E40"/>
    <mergeCell ref="I40:J40"/>
    <mergeCell ref="B41:E41"/>
    <mergeCell ref="I41:J41"/>
    <mergeCell ref="I42:J42"/>
    <mergeCell ref="B31:H31"/>
    <mergeCell ref="I31:J31"/>
    <mergeCell ref="B32:H32"/>
    <mergeCell ref="I32:J32"/>
    <mergeCell ref="B35:E35"/>
    <mergeCell ref="I35:J35"/>
    <mergeCell ref="H33:H34"/>
    <mergeCell ref="I33:J34"/>
    <mergeCell ref="I37:J37"/>
    <mergeCell ref="I27:J27"/>
    <mergeCell ref="B28:H28"/>
    <mergeCell ref="I28:J28"/>
    <mergeCell ref="I29:J29"/>
    <mergeCell ref="B30:H30"/>
    <mergeCell ref="I30:J30"/>
    <mergeCell ref="B21:E21"/>
    <mergeCell ref="I21:J21"/>
    <mergeCell ref="I22:J22"/>
    <mergeCell ref="B23:E23"/>
    <mergeCell ref="I23:J23"/>
    <mergeCell ref="I19:J20"/>
    <mergeCell ref="I24:J24"/>
    <mergeCell ref="B25:E25"/>
    <mergeCell ref="I25:J25"/>
    <mergeCell ref="H2:J2"/>
    <mergeCell ref="A5:D5"/>
    <mergeCell ref="B13:E13"/>
    <mergeCell ref="I13:J13"/>
    <mergeCell ref="I14:J14"/>
    <mergeCell ref="B15:E15"/>
    <mergeCell ref="I15:J15"/>
    <mergeCell ref="B16:E16"/>
    <mergeCell ref="I16:J16"/>
    <mergeCell ref="A11:A15"/>
    <mergeCell ref="A16:A18"/>
    <mergeCell ref="H11:H12"/>
    <mergeCell ref="I11:J12"/>
    <mergeCell ref="I17:J17"/>
    <mergeCell ref="B18:E18"/>
    <mergeCell ref="I18:J18"/>
    <mergeCell ref="A19:A23"/>
    <mergeCell ref="A24:A26"/>
    <mergeCell ref="I26:J26"/>
  </mergeCells>
  <printOptions horizontalCentered="1"/>
  <pageMargins left="0.118055555555556" right="0.118055555555556" top="0.39305555555555599" bottom="0.39305555555555599" header="0.39305555555555599" footer="0"/>
  <pageSetup paperSize="9" scale="83" orientation="portrait" r:id="rId1"/>
  <headerFooter alignWithMargins="0">
    <oddHeader>&amp;CCONSTRUCTION OF ROAD 
BRGY. L. PIMENTEL, SAN LUIS, AURORA
DETAILED UNIT PRICE ANALYSIS (DUPA)</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rgb="FFDDD9C3"/>
    <pageSetUpPr fitToPage="1"/>
  </sheetPr>
  <dimension ref="A2:AC97"/>
  <sheetViews>
    <sheetView topLeftCell="A28" zoomScale="68" zoomScaleNormal="68" workbookViewId="0">
      <selection activeCell="G25" sqref="G25"/>
    </sheetView>
  </sheetViews>
  <sheetFormatPr defaultColWidth="9" defaultRowHeight="14.25" outlineLevelCol="1"/>
  <cols>
    <col min="1" max="1" width="5.375" customWidth="1"/>
    <col min="2" max="2" width="2.625" customWidth="1"/>
    <col min="3" max="3" width="28.625" style="158" customWidth="1"/>
    <col min="4" max="4" width="8.875" customWidth="1"/>
    <col min="5" max="5" width="5" customWidth="1"/>
    <col min="6" max="6" width="15.5" customWidth="1"/>
    <col min="7" max="7" width="14.25" customWidth="1"/>
    <col min="8" max="8" width="18.875" customWidth="1"/>
    <col min="9" max="9" width="6.125" customWidth="1"/>
    <col min="10" max="10" width="14.125" customWidth="1"/>
    <col min="11" max="11" width="16.375" customWidth="1"/>
    <col min="12" max="12" width="47.25" customWidth="1" outlineLevel="1"/>
    <col min="13" max="13" width="8.875" customWidth="1" outlineLevel="1"/>
    <col min="14" max="14" width="8.5" customWidth="1" outlineLevel="1"/>
    <col min="15" max="15" width="12.5" customWidth="1" outlineLevel="1"/>
    <col min="16" max="16" width="8.5" customWidth="1" outlineLevel="1"/>
    <col min="17" max="18" width="10.875" customWidth="1" outlineLevel="1"/>
    <col min="19" max="19" width="10.125" customWidth="1" outlineLevel="1"/>
    <col min="20" max="23" width="10.375" customWidth="1" outlineLevel="1"/>
    <col min="24" max="24" width="11.75" customWidth="1" outlineLevel="1"/>
    <col min="25" max="25" width="10.375" customWidth="1" outlineLevel="1"/>
    <col min="26" max="26" width="8.5" customWidth="1" outlineLevel="1"/>
    <col min="27" max="27" width="3.25" customWidth="1"/>
    <col min="28" max="28" width="41.5" customWidth="1"/>
    <col min="29" max="29" width="8.5" style="158" customWidth="1"/>
    <col min="30" max="1024" width="8.5" customWidth="1"/>
    <col min="1025" max="1025" width="9" customWidth="1"/>
  </cols>
  <sheetData>
    <row r="2" spans="1:13" ht="14.25" customHeight="1">
      <c r="L2" s="161"/>
    </row>
    <row r="3" spans="1:13" ht="14.25" customHeight="1">
      <c r="H3" s="1538" t="s">
        <v>330</v>
      </c>
      <c r="I3" s="1538"/>
      <c r="J3" s="1538"/>
      <c r="L3" s="161"/>
      <c r="M3" s="372"/>
    </row>
    <row r="4" spans="1:13" ht="17.25" customHeight="1">
      <c r="H4" s="295"/>
      <c r="I4" s="295"/>
      <c r="J4" s="295"/>
      <c r="L4" s="161"/>
      <c r="M4" s="372"/>
    </row>
    <row r="5" spans="1:13" ht="14.25" customHeight="1">
      <c r="A5" s="1539" t="s">
        <v>331</v>
      </c>
      <c r="B5" s="1539"/>
      <c r="C5" s="1539"/>
      <c r="D5" s="1539"/>
      <c r="E5" s="296" t="s">
        <v>49</v>
      </c>
      <c r="F5" t="s">
        <v>515</v>
      </c>
      <c r="G5" t="s">
        <v>516</v>
      </c>
      <c r="L5" s="161"/>
    </row>
    <row r="6" spans="1:13" ht="14.25" customHeight="1">
      <c r="A6" t="s">
        <v>334</v>
      </c>
      <c r="E6" s="296" t="s">
        <v>49</v>
      </c>
      <c r="F6" t="s">
        <v>335</v>
      </c>
    </row>
    <row r="7" spans="1:13" ht="14.25" customHeight="1">
      <c r="A7" t="s">
        <v>473</v>
      </c>
      <c r="E7" s="296" t="s">
        <v>49</v>
      </c>
      <c r="F7" s="297">
        <v>1</v>
      </c>
    </row>
    <row r="8" spans="1:13" ht="14.25" customHeight="1">
      <c r="A8" t="s">
        <v>474</v>
      </c>
      <c r="E8" s="296" t="s">
        <v>49</v>
      </c>
    </row>
    <row r="9" spans="1:13" ht="10.5" customHeight="1">
      <c r="A9" s="5"/>
      <c r="B9" s="5"/>
      <c r="C9" s="171"/>
      <c r="D9" s="5"/>
      <c r="E9" s="296"/>
    </row>
    <row r="10" spans="1:13" ht="10.5" customHeight="1">
      <c r="A10" s="5"/>
      <c r="B10" s="5"/>
      <c r="C10" s="171"/>
      <c r="D10" s="5"/>
      <c r="E10" s="296"/>
    </row>
    <row r="11" spans="1:13" ht="14.25" customHeight="1">
      <c r="A11" s="1547" t="s">
        <v>338</v>
      </c>
      <c r="B11" s="1546" t="s">
        <v>339</v>
      </c>
      <c r="C11" s="1546"/>
      <c r="D11" s="1546"/>
      <c r="E11" s="1546"/>
      <c r="F11" s="1546" t="s">
        <v>340</v>
      </c>
      <c r="G11" s="1546" t="s">
        <v>475</v>
      </c>
      <c r="H11" s="1546" t="s">
        <v>476</v>
      </c>
      <c r="I11" s="1545" t="s">
        <v>343</v>
      </c>
      <c r="J11" s="1545"/>
      <c r="L11" s="5"/>
      <c r="M11" s="10"/>
    </row>
    <row r="12" spans="1:13" ht="14.25" customHeight="1">
      <c r="A12" s="1547"/>
      <c r="B12" s="1546"/>
      <c r="C12" s="1546"/>
      <c r="D12" s="1546"/>
      <c r="E12" s="1546"/>
      <c r="F12" s="1546"/>
      <c r="G12" s="1546"/>
      <c r="H12" s="1546"/>
      <c r="I12" s="1545"/>
      <c r="J12" s="1545"/>
      <c r="M12" s="10"/>
    </row>
    <row r="13" spans="1:13" ht="14.25" customHeight="1">
      <c r="A13" s="1547"/>
      <c r="B13" s="1540" t="s">
        <v>344</v>
      </c>
      <c r="C13" s="1540"/>
      <c r="D13" s="1540"/>
      <c r="E13" s="1540"/>
      <c r="F13" s="300"/>
      <c r="G13" s="300"/>
      <c r="H13" s="300"/>
      <c r="I13" s="1541"/>
      <c r="J13" s="1541"/>
      <c r="M13" s="10"/>
    </row>
    <row r="14" spans="1:13" ht="14.25" customHeight="1">
      <c r="A14" s="1547"/>
      <c r="B14" s="1542"/>
      <c r="C14" s="1542"/>
      <c r="D14" s="1542"/>
      <c r="E14" s="1542"/>
      <c r="F14" s="301"/>
      <c r="G14" s="302"/>
      <c r="H14" s="303"/>
      <c r="I14" s="1543"/>
      <c r="J14" s="1543"/>
      <c r="M14" s="10"/>
    </row>
    <row r="15" spans="1:13" ht="14.25" customHeight="1">
      <c r="A15" s="1547"/>
      <c r="B15" s="1549" t="s">
        <v>351</v>
      </c>
      <c r="C15" s="1549"/>
      <c r="D15" s="1549"/>
      <c r="E15" s="1549"/>
      <c r="F15" s="304"/>
      <c r="G15" s="304"/>
      <c r="H15" s="304"/>
      <c r="I15" s="1548">
        <v>0</v>
      </c>
      <c r="J15" s="1548"/>
      <c r="L15" s="5"/>
      <c r="M15" s="10"/>
    </row>
    <row r="16" spans="1:13" ht="14.25" customHeight="1">
      <c r="A16" s="1560" t="s">
        <v>352</v>
      </c>
      <c r="B16" s="1540" t="s">
        <v>344</v>
      </c>
      <c r="C16" s="1540"/>
      <c r="D16" s="1540"/>
      <c r="E16" s="1540"/>
      <c r="F16" s="300"/>
      <c r="G16" s="300"/>
      <c r="H16" s="300"/>
      <c r="I16" s="1541"/>
      <c r="J16" s="1541"/>
      <c r="L16" s="5"/>
      <c r="M16" s="10"/>
    </row>
    <row r="17" spans="1:25" ht="14.25" customHeight="1">
      <c r="A17" s="1560"/>
      <c r="B17" s="1542"/>
      <c r="C17" s="1542"/>
      <c r="D17" s="1542"/>
      <c r="E17" s="1542"/>
      <c r="F17" s="253"/>
      <c r="G17" s="253"/>
      <c r="H17" s="253"/>
      <c r="I17" s="1543"/>
      <c r="J17" s="1543"/>
      <c r="M17" s="10"/>
    </row>
    <row r="18" spans="1:25" ht="14.25" customHeight="1">
      <c r="A18" s="1560"/>
      <c r="B18" s="1549" t="s">
        <v>353</v>
      </c>
      <c r="C18" s="1549"/>
      <c r="D18" s="1549"/>
      <c r="E18" s="1549"/>
      <c r="F18" s="305"/>
      <c r="G18" s="305"/>
      <c r="H18" s="305"/>
      <c r="I18" s="1548">
        <v>0</v>
      </c>
      <c r="J18" s="1548"/>
      <c r="L18" s="5"/>
      <c r="M18" s="10"/>
    </row>
    <row r="19" spans="1:25" ht="14.25" customHeight="1">
      <c r="A19" s="1560" t="s">
        <v>481</v>
      </c>
      <c r="B19" s="1550" t="s">
        <v>355</v>
      </c>
      <c r="C19" s="1550"/>
      <c r="D19" s="1550"/>
      <c r="E19" s="1550"/>
      <c r="F19" s="1550" t="s">
        <v>356</v>
      </c>
      <c r="G19" s="1550" t="s">
        <v>475</v>
      </c>
      <c r="H19" s="1550" t="s">
        <v>476</v>
      </c>
      <c r="I19" s="1551" t="s">
        <v>359</v>
      </c>
      <c r="J19" s="1551"/>
      <c r="L19" s="5"/>
      <c r="M19" s="10"/>
    </row>
    <row r="20" spans="1:25" ht="14.25" customHeight="1">
      <c r="A20" s="1560"/>
      <c r="B20" s="1550"/>
      <c r="C20" s="1550"/>
      <c r="D20" s="1550"/>
      <c r="E20" s="1550"/>
      <c r="F20" s="1550"/>
      <c r="G20" s="1550"/>
      <c r="H20" s="1550"/>
      <c r="I20" s="1551"/>
      <c r="J20" s="1551"/>
      <c r="L20" s="373"/>
      <c r="M20" s="374"/>
      <c r="O20" s="332"/>
    </row>
    <row r="21" spans="1:25" ht="14.25" customHeight="1">
      <c r="A21" s="1560"/>
      <c r="B21" s="1540" t="s">
        <v>360</v>
      </c>
      <c r="C21" s="1540"/>
      <c r="D21" s="1540"/>
      <c r="E21" s="1540"/>
      <c r="F21" s="300"/>
      <c r="G21" s="300"/>
      <c r="H21" s="300"/>
      <c r="I21" s="1541"/>
      <c r="J21" s="1541"/>
      <c r="M21" s="10"/>
    </row>
    <row r="22" spans="1:25" ht="14.25" customHeight="1">
      <c r="A22" s="1560"/>
      <c r="B22" s="269"/>
      <c r="D22" s="158"/>
      <c r="E22" s="315"/>
      <c r="F22" s="183"/>
      <c r="G22" s="183"/>
      <c r="H22" s="183"/>
      <c r="I22" s="185"/>
      <c r="J22" s="320"/>
      <c r="M22" s="10"/>
    </row>
    <row r="23" spans="1:25" ht="14.25" customHeight="1">
      <c r="A23" s="1560"/>
      <c r="B23" s="1568" t="s">
        <v>122</v>
      </c>
      <c r="C23" s="1568"/>
      <c r="D23" s="1568"/>
      <c r="E23" s="1568"/>
      <c r="F23" s="168"/>
      <c r="G23" s="168"/>
      <c r="H23" s="371"/>
      <c r="I23" s="1543"/>
      <c r="J23" s="1543"/>
      <c r="M23" s="10"/>
    </row>
    <row r="24" spans="1:25" ht="14.25" customHeight="1">
      <c r="A24" s="1560"/>
      <c r="B24" s="168" t="s">
        <v>345</v>
      </c>
      <c r="C24" s="158" t="s">
        <v>123</v>
      </c>
      <c r="D24" s="158"/>
      <c r="E24" s="315"/>
      <c r="F24" s="358">
        <v>1</v>
      </c>
      <c r="G24" s="364">
        <f>+ROUND(Y92*2,2)+0.41</f>
        <v>0.66999999999999993</v>
      </c>
      <c r="H24" s="355">
        <v>20000</v>
      </c>
      <c r="I24" s="1569">
        <f>+F24*G24*H24</f>
        <v>13399.999999999998</v>
      </c>
      <c r="J24" s="1569"/>
      <c r="K24">
        <f>+G24*8</f>
        <v>5.3599999999999994</v>
      </c>
      <c r="M24" s="10"/>
    </row>
    <row r="25" spans="1:25" ht="14.25" customHeight="1">
      <c r="A25" s="1560"/>
      <c r="B25" s="168" t="s">
        <v>347</v>
      </c>
      <c r="C25" s="158" t="s">
        <v>128</v>
      </c>
      <c r="D25" s="158"/>
      <c r="E25" s="315"/>
      <c r="F25" s="358">
        <v>1</v>
      </c>
      <c r="G25" s="364">
        <f>+G24</f>
        <v>0.66999999999999993</v>
      </c>
      <c r="H25" s="355">
        <v>20000</v>
      </c>
      <c r="I25" s="1569">
        <f>+F25*G25*H25</f>
        <v>13399.999999999998</v>
      </c>
      <c r="J25" s="1569"/>
      <c r="M25" s="375">
        <f>+I57/K57</f>
        <v>9.2571956836698024E-3</v>
      </c>
    </row>
    <row r="26" spans="1:25" ht="14.25" customHeight="1">
      <c r="A26" s="1560"/>
      <c r="B26" s="168" t="s">
        <v>349</v>
      </c>
      <c r="C26" s="158" t="s">
        <v>129</v>
      </c>
      <c r="D26" s="158"/>
      <c r="E26" s="315"/>
      <c r="F26" s="358">
        <v>1</v>
      </c>
      <c r="G26" s="364">
        <f>+G25</f>
        <v>0.66999999999999993</v>
      </c>
      <c r="H26" s="355">
        <v>20000</v>
      </c>
      <c r="I26" s="1569">
        <f>+F26*G26*H26</f>
        <v>13399.999999999998</v>
      </c>
      <c r="J26" s="1569"/>
      <c r="K26">
        <f>+K24*60</f>
        <v>321.59999999999997</v>
      </c>
      <c r="M26" s="10"/>
    </row>
    <row r="27" spans="1:25" ht="14.25" customHeight="1">
      <c r="A27" s="1560"/>
      <c r="B27" s="168" t="s">
        <v>380</v>
      </c>
      <c r="C27" s="158" t="s">
        <v>133</v>
      </c>
      <c r="D27" s="158"/>
      <c r="E27" s="315"/>
      <c r="F27" s="358">
        <v>1</v>
      </c>
      <c r="G27" s="364">
        <f>+G26</f>
        <v>0.66999999999999993</v>
      </c>
      <c r="H27" s="355">
        <v>20000</v>
      </c>
      <c r="I27" s="1569">
        <f>+F27*G27*H27</f>
        <v>13399.999999999998</v>
      </c>
      <c r="J27" s="1569"/>
      <c r="K27">
        <f>+K26/4</f>
        <v>80.399999999999991</v>
      </c>
      <c r="M27" s="10"/>
    </row>
    <row r="28" spans="1:25" ht="14.25" customHeight="1">
      <c r="A28" s="1560"/>
      <c r="B28" s="168" t="s">
        <v>381</v>
      </c>
      <c r="C28" s="158" t="s">
        <v>134</v>
      </c>
      <c r="D28" s="158"/>
      <c r="E28" s="315"/>
      <c r="F28" s="358">
        <v>1</v>
      </c>
      <c r="G28" s="364">
        <f>+G27</f>
        <v>0.66999999999999993</v>
      </c>
      <c r="H28" s="355">
        <v>20000</v>
      </c>
      <c r="I28" s="1569">
        <f>+F28*G28*H28</f>
        <v>13399.999999999998</v>
      </c>
      <c r="J28" s="1569"/>
      <c r="K28">
        <f>K24/4</f>
        <v>1.3399999999999999</v>
      </c>
      <c r="M28" s="10"/>
    </row>
    <row r="29" spans="1:25" ht="14.25" customHeight="1">
      <c r="A29" s="1560"/>
      <c r="B29" s="266" t="s">
        <v>517</v>
      </c>
      <c r="D29" s="158"/>
      <c r="E29" s="315"/>
      <c r="F29" s="358"/>
      <c r="G29" s="364"/>
      <c r="H29" s="355"/>
      <c r="I29" s="1543"/>
      <c r="J29" s="1543"/>
      <c r="M29" s="10"/>
    </row>
    <row r="30" spans="1:25" ht="14.25" customHeight="1">
      <c r="A30" s="1560"/>
      <c r="B30" s="266"/>
      <c r="D30" s="158"/>
      <c r="E30" s="315"/>
      <c r="F30" s="358"/>
      <c r="G30" s="364"/>
      <c r="H30" s="308"/>
      <c r="I30" s="369"/>
      <c r="J30" s="376"/>
      <c r="M30" s="10"/>
    </row>
    <row r="31" spans="1:25" ht="14.25" customHeight="1">
      <c r="A31" s="1560"/>
      <c r="B31" s="1549" t="s">
        <v>361</v>
      </c>
      <c r="C31" s="1549"/>
      <c r="D31" s="1549"/>
      <c r="E31" s="1549"/>
      <c r="F31" s="305"/>
      <c r="G31" s="305"/>
      <c r="H31" s="305"/>
      <c r="I31" s="1552">
        <f>+SUM(I23:J30)</f>
        <v>66999.999999999985</v>
      </c>
      <c r="J31" s="1552"/>
      <c r="K31" s="377">
        <f>ROUND(I31/F7,2)</f>
        <v>67000</v>
      </c>
      <c r="L31" s="5"/>
      <c r="M31" s="10"/>
      <c r="N31" s="378"/>
      <c r="O31" s="378"/>
      <c r="P31" s="378"/>
      <c r="Q31" s="378"/>
      <c r="R31" s="378"/>
      <c r="S31" s="378"/>
      <c r="T31" s="378"/>
      <c r="U31" s="373"/>
      <c r="V31" s="373"/>
      <c r="W31" s="373"/>
      <c r="X31" s="373"/>
    </row>
    <row r="32" spans="1:25" ht="14.25" customHeight="1">
      <c r="A32" s="1560" t="s">
        <v>362</v>
      </c>
      <c r="B32" s="1540" t="s">
        <v>360</v>
      </c>
      <c r="C32" s="1540"/>
      <c r="D32" s="1540"/>
      <c r="E32" s="1540"/>
      <c r="F32" s="300"/>
      <c r="G32" s="300"/>
      <c r="H32" s="300"/>
      <c r="I32" s="1541"/>
      <c r="J32" s="1541"/>
      <c r="M32" s="10"/>
      <c r="N32" s="373"/>
      <c r="O32" s="379"/>
      <c r="P32" s="379"/>
      <c r="Q32" s="383"/>
      <c r="R32" s="383"/>
      <c r="S32" s="393"/>
      <c r="T32" s="393"/>
      <c r="U32" s="373"/>
      <c r="V32" s="373"/>
      <c r="W32" s="373"/>
      <c r="X32" s="373"/>
      <c r="Y32" s="373"/>
    </row>
    <row r="33" spans="1:25" ht="14.25" customHeight="1">
      <c r="A33" s="1560"/>
      <c r="B33" s="1542"/>
      <c r="C33" s="1542"/>
      <c r="D33" s="1542"/>
      <c r="E33" s="1542"/>
      <c r="F33" s="306"/>
      <c r="G33" s="306"/>
      <c r="H33" s="306"/>
      <c r="I33" s="1543"/>
      <c r="J33" s="1543"/>
      <c r="M33" s="10"/>
      <c r="N33" s="373"/>
      <c r="O33" s="379"/>
      <c r="P33" s="379"/>
      <c r="Q33" s="383"/>
      <c r="R33" s="383"/>
      <c r="S33" s="393"/>
      <c r="T33" s="393"/>
      <c r="U33" s="373"/>
      <c r="V33" s="373"/>
      <c r="W33" s="373"/>
      <c r="X33" s="373"/>
      <c r="Y33" s="373"/>
    </row>
    <row r="34" spans="1:25" ht="14.25" customHeight="1">
      <c r="A34" s="1560"/>
      <c r="B34" s="1549" t="s">
        <v>363</v>
      </c>
      <c r="C34" s="1549"/>
      <c r="D34" s="1549"/>
      <c r="E34" s="1549"/>
      <c r="F34" s="305"/>
      <c r="G34" s="305"/>
      <c r="H34" s="305"/>
      <c r="I34" s="1588"/>
      <c r="J34" s="1588"/>
      <c r="M34" s="10"/>
      <c r="N34" s="378"/>
      <c r="O34" s="378"/>
      <c r="P34" s="378"/>
      <c r="Q34" s="378"/>
      <c r="R34" s="378"/>
      <c r="S34" s="378"/>
      <c r="T34" s="378"/>
      <c r="U34" s="373"/>
      <c r="V34" s="373"/>
      <c r="W34" s="373"/>
      <c r="X34" s="373"/>
      <c r="Y34" s="373"/>
    </row>
    <row r="35" spans="1:25" ht="14.25" customHeight="1">
      <c r="A35" s="311" t="s">
        <v>364</v>
      </c>
      <c r="B35" s="1554" t="s">
        <v>365</v>
      </c>
      <c r="C35" s="1554"/>
      <c r="D35" s="1554"/>
      <c r="E35" s="1554"/>
      <c r="F35" s="1554"/>
      <c r="G35" s="1554"/>
      <c r="H35" s="1554"/>
      <c r="I35" s="1555">
        <f>I15+I31</f>
        <v>66999.999999999985</v>
      </c>
      <c r="J35" s="1555"/>
      <c r="M35" s="10"/>
      <c r="N35" s="373"/>
      <c r="O35" s="379"/>
      <c r="P35" s="379"/>
      <c r="Q35" s="383"/>
      <c r="R35" s="383"/>
      <c r="S35" s="393"/>
      <c r="T35" s="393"/>
      <c r="U35" s="373"/>
      <c r="V35" s="373"/>
      <c r="W35" s="373"/>
      <c r="X35" s="373"/>
      <c r="Y35" s="373"/>
    </row>
    <row r="36" spans="1:25" ht="14.25" customHeight="1">
      <c r="A36" s="313" t="s">
        <v>366</v>
      </c>
      <c r="B36" s="1554" t="s">
        <v>367</v>
      </c>
      <c r="C36" s="1554"/>
      <c r="D36" s="1554"/>
      <c r="E36" s="1554"/>
      <c r="F36" s="1554"/>
      <c r="G36" s="1554"/>
      <c r="H36" s="1554"/>
      <c r="I36" s="1557"/>
      <c r="J36" s="1557"/>
      <c r="M36" s="10"/>
      <c r="N36" s="378"/>
      <c r="O36" s="378"/>
      <c r="P36" s="378"/>
      <c r="Q36" s="378"/>
      <c r="R36" s="378"/>
      <c r="S36" s="394"/>
      <c r="T36" s="394"/>
      <c r="U36" s="373"/>
      <c r="V36" s="373"/>
      <c r="W36" s="373"/>
      <c r="X36" s="373"/>
      <c r="Y36" s="373"/>
    </row>
    <row r="37" spans="1:25" ht="14.25" customHeight="1">
      <c r="A37" s="313" t="s">
        <v>368</v>
      </c>
      <c r="B37" s="1554" t="s">
        <v>473</v>
      </c>
      <c r="C37" s="1554"/>
      <c r="D37" s="1554"/>
      <c r="E37" s="1554"/>
      <c r="F37" s="1554"/>
      <c r="G37" s="1554"/>
      <c r="H37" s="1554"/>
      <c r="I37" s="1570">
        <f>F7</f>
        <v>1</v>
      </c>
      <c r="J37" s="1570"/>
      <c r="M37" s="10"/>
      <c r="N37" s="380"/>
      <c r="O37" s="380"/>
      <c r="P37" s="380"/>
      <c r="Q37" s="380"/>
      <c r="R37" s="380"/>
      <c r="S37" s="395"/>
      <c r="T37" s="396"/>
      <c r="U37" s="396"/>
      <c r="V37" s="373"/>
      <c r="W37" s="373"/>
      <c r="X37" s="373"/>
      <c r="Y37" s="396"/>
    </row>
    <row r="38" spans="1:25" ht="14.25" customHeight="1">
      <c r="A38" s="313" t="s">
        <v>369</v>
      </c>
      <c r="B38" s="1554" t="s">
        <v>474</v>
      </c>
      <c r="C38" s="1554"/>
      <c r="D38" s="1554"/>
      <c r="E38" s="1554"/>
      <c r="F38" s="1554"/>
      <c r="G38" s="1554"/>
      <c r="H38" s="1554"/>
      <c r="I38" s="1557"/>
      <c r="J38" s="1557"/>
      <c r="M38" s="10"/>
      <c r="N38" s="381"/>
      <c r="O38" s="381"/>
      <c r="P38" s="381"/>
      <c r="Q38" s="397"/>
      <c r="R38" s="381"/>
      <c r="S38" s="398"/>
      <c r="T38" s="373"/>
      <c r="U38" s="373"/>
      <c r="V38" s="373"/>
      <c r="W38" s="373"/>
      <c r="X38" s="373"/>
      <c r="Y38" s="373"/>
    </row>
    <row r="39" spans="1:25" ht="14.25" customHeight="1">
      <c r="A39" s="313" t="s">
        <v>370</v>
      </c>
      <c r="B39" s="1554" t="s">
        <v>371</v>
      </c>
      <c r="C39" s="1554"/>
      <c r="D39" s="1554"/>
      <c r="E39" s="1554"/>
      <c r="F39" s="1554"/>
      <c r="G39" s="1554"/>
      <c r="H39" s="1554"/>
      <c r="I39" s="1555">
        <f>I35/I37</f>
        <v>66999.999999999985</v>
      </c>
      <c r="J39" s="1555"/>
      <c r="M39" s="12"/>
      <c r="N39" s="381"/>
      <c r="O39" s="381"/>
      <c r="P39" s="381"/>
      <c r="Q39" s="397"/>
      <c r="R39" s="381"/>
      <c r="S39" s="398"/>
      <c r="T39" s="373"/>
      <c r="U39" s="373"/>
      <c r="V39" s="373"/>
      <c r="W39" s="373"/>
      <c r="X39" s="373"/>
      <c r="Y39" s="373"/>
    </row>
    <row r="40" spans="1:25" ht="14.25" customHeight="1">
      <c r="A40" s="313" t="s">
        <v>372</v>
      </c>
      <c r="B40" s="1554" t="s">
        <v>373</v>
      </c>
      <c r="C40" s="1554"/>
      <c r="D40" s="1554"/>
      <c r="E40" s="1554"/>
      <c r="F40" s="1554"/>
      <c r="G40" s="1554"/>
      <c r="H40" s="1554"/>
      <c r="I40" s="1557"/>
      <c r="J40" s="1557"/>
      <c r="M40" s="10"/>
      <c r="N40" s="382"/>
      <c r="O40" s="383"/>
      <c r="P40" s="373"/>
      <c r="Q40" s="373"/>
      <c r="R40" s="373"/>
      <c r="S40" s="373"/>
      <c r="T40" s="373"/>
      <c r="U40" s="373"/>
      <c r="V40" s="373"/>
      <c r="W40" s="373"/>
      <c r="X40" s="373"/>
      <c r="Y40" s="373"/>
    </row>
    <row r="41" spans="1:25" ht="14.25" customHeight="1">
      <c r="A41" s="1562" t="s">
        <v>374</v>
      </c>
      <c r="B41" s="1550" t="s">
        <v>375</v>
      </c>
      <c r="C41" s="1550"/>
      <c r="D41" s="1550"/>
      <c r="E41" s="1550"/>
      <c r="F41" s="1550" t="s">
        <v>376</v>
      </c>
      <c r="G41" s="1550" t="s">
        <v>377</v>
      </c>
      <c r="H41" s="1550" t="s">
        <v>378</v>
      </c>
      <c r="I41" s="1551" t="s">
        <v>343</v>
      </c>
      <c r="J41" s="1551"/>
      <c r="N41" s="384"/>
      <c r="O41" s="385"/>
      <c r="P41" s="373"/>
      <c r="Q41" s="373"/>
      <c r="R41" s="373"/>
      <c r="S41" s="373"/>
      <c r="T41" s="373"/>
      <c r="U41" s="373"/>
      <c r="V41" s="373"/>
      <c r="W41" s="373"/>
      <c r="X41" s="373"/>
      <c r="Y41" s="373"/>
    </row>
    <row r="42" spans="1:25" ht="15" customHeight="1">
      <c r="A42" s="1562"/>
      <c r="B42" s="1550"/>
      <c r="C42" s="1550"/>
      <c r="D42" s="1550"/>
      <c r="E42" s="1550"/>
      <c r="F42" s="1550"/>
      <c r="G42" s="1550"/>
      <c r="H42" s="1550"/>
      <c r="I42" s="1551"/>
      <c r="J42" s="1551"/>
      <c r="N42" s="384"/>
      <c r="O42" s="385"/>
      <c r="P42" s="373"/>
      <c r="Q42" s="373"/>
      <c r="R42" s="373"/>
      <c r="S42" s="373"/>
      <c r="T42" s="373"/>
      <c r="U42" s="373"/>
      <c r="V42" s="373"/>
      <c r="W42" s="373"/>
      <c r="X42" s="373"/>
      <c r="Y42" s="373"/>
    </row>
    <row r="43" spans="1:25" ht="15" customHeight="1">
      <c r="A43" s="1562"/>
      <c r="B43" s="1540" t="s">
        <v>379</v>
      </c>
      <c r="C43" s="1540"/>
      <c r="D43" s="1540"/>
      <c r="E43" s="1540"/>
      <c r="F43" s="314"/>
      <c r="G43" s="314"/>
      <c r="H43" s="314"/>
      <c r="I43" s="1541"/>
      <c r="J43" s="1541"/>
      <c r="N43" s="386"/>
      <c r="O43" s="386"/>
      <c r="P43" s="373"/>
      <c r="Q43" s="373"/>
      <c r="R43" s="373"/>
      <c r="S43" s="373"/>
      <c r="T43" s="373"/>
      <c r="U43" s="373"/>
      <c r="V43" s="373"/>
      <c r="W43" s="373"/>
      <c r="X43" s="373"/>
      <c r="Y43" s="373"/>
    </row>
    <row r="44" spans="1:25">
      <c r="A44" s="1562"/>
      <c r="B44" s="1542"/>
      <c r="C44" s="1542"/>
      <c r="D44" s="1542"/>
      <c r="E44" s="1542"/>
      <c r="F44" s="358"/>
      <c r="G44" s="364"/>
      <c r="H44" s="317"/>
      <c r="I44" s="1543"/>
      <c r="J44" s="1543"/>
      <c r="L44" t="s">
        <v>114</v>
      </c>
      <c r="M44" s="10"/>
      <c r="N44" s="387"/>
    </row>
    <row r="45" spans="1:25">
      <c r="A45" s="1562"/>
      <c r="B45" s="1549" t="s">
        <v>398</v>
      </c>
      <c r="C45" s="1549"/>
      <c r="D45" s="1549"/>
      <c r="E45" s="1549"/>
      <c r="F45" s="304"/>
      <c r="G45" s="304"/>
      <c r="H45" s="304"/>
      <c r="I45" s="1548">
        <v>0</v>
      </c>
      <c r="J45" s="1548"/>
      <c r="M45" s="10"/>
    </row>
    <row r="46" spans="1:25" ht="16.5" customHeight="1">
      <c r="A46" s="1560" t="s">
        <v>399</v>
      </c>
      <c r="B46" s="1540" t="s">
        <v>379</v>
      </c>
      <c r="C46" s="1540"/>
      <c r="D46" s="1540"/>
      <c r="E46" s="1540"/>
      <c r="F46" s="314"/>
      <c r="G46" s="314"/>
      <c r="H46" s="314"/>
      <c r="I46" s="1541"/>
      <c r="J46" s="1541"/>
      <c r="M46" s="10"/>
    </row>
    <row r="47" spans="1:25" ht="16.5" customHeight="1">
      <c r="A47" s="1560"/>
      <c r="B47" s="1542"/>
      <c r="C47" s="1542"/>
      <c r="D47" s="1542"/>
      <c r="E47" s="1542"/>
      <c r="F47" s="253"/>
      <c r="G47" s="253"/>
      <c r="H47" s="253"/>
      <c r="I47" s="1543"/>
      <c r="J47" s="1543"/>
      <c r="M47" s="10"/>
    </row>
    <row r="48" spans="1:25">
      <c r="A48" s="1560"/>
      <c r="B48" s="1549" t="s">
        <v>400</v>
      </c>
      <c r="C48" s="1549"/>
      <c r="D48" s="1549"/>
      <c r="E48" s="1549"/>
      <c r="F48" s="304"/>
      <c r="G48" s="304"/>
      <c r="H48" s="304"/>
      <c r="I48" s="1548">
        <v>0</v>
      </c>
      <c r="J48" s="1548"/>
      <c r="M48" s="10"/>
    </row>
    <row r="49" spans="1:19" ht="15">
      <c r="A49" s="313" t="s">
        <v>401</v>
      </c>
      <c r="B49" s="1554" t="s">
        <v>402</v>
      </c>
      <c r="C49" s="1554"/>
      <c r="D49" s="1554"/>
      <c r="E49" s="1554"/>
      <c r="F49" s="1554"/>
      <c r="G49" s="1554"/>
      <c r="H49" s="1554"/>
      <c r="I49" s="1555">
        <f>ROUND(I39+I45,2)</f>
        <v>67000</v>
      </c>
      <c r="J49" s="1555"/>
      <c r="K49" s="332">
        <f>+K31</f>
        <v>67000</v>
      </c>
      <c r="L49" s="179">
        <f>+I49-K49</f>
        <v>0</v>
      </c>
      <c r="M49" s="10"/>
      <c r="N49" s="388"/>
    </row>
    <row r="50" spans="1:19" ht="16.5" customHeight="1">
      <c r="A50" s="313" t="s">
        <v>403</v>
      </c>
      <c r="B50" s="1554" t="s">
        <v>404</v>
      </c>
      <c r="C50" s="1554"/>
      <c r="D50" s="1554"/>
      <c r="E50" s="1554"/>
      <c r="F50" s="1554"/>
      <c r="G50" s="1554"/>
      <c r="H50" s="1554"/>
      <c r="I50" s="1557"/>
      <c r="J50" s="1557"/>
      <c r="M50" s="10"/>
    </row>
    <row r="51" spans="1:19" ht="15">
      <c r="A51" s="313" t="s">
        <v>405</v>
      </c>
      <c r="B51" s="1554" t="s">
        <v>406</v>
      </c>
      <c r="C51" s="1554"/>
      <c r="D51" s="1554"/>
      <c r="E51" s="1554"/>
      <c r="F51" s="1554"/>
      <c r="G51" s="1554"/>
      <c r="H51" s="318">
        <v>0</v>
      </c>
      <c r="I51" s="1555">
        <f>+ROUND(H51*I49,2)</f>
        <v>0</v>
      </c>
      <c r="J51" s="1555"/>
      <c r="K51" s="389"/>
      <c r="M51" s="10"/>
      <c r="N51" s="388"/>
    </row>
    <row r="52" spans="1:19" ht="16.5" customHeight="1">
      <c r="A52" s="313" t="s">
        <v>407</v>
      </c>
      <c r="B52" s="1554" t="s">
        <v>408</v>
      </c>
      <c r="C52" s="1554"/>
      <c r="D52" s="1554"/>
      <c r="E52" s="1554"/>
      <c r="F52" s="1554"/>
      <c r="G52" s="1554"/>
      <c r="H52" s="319"/>
      <c r="I52" s="1557"/>
      <c r="J52" s="1557"/>
      <c r="K52" s="333"/>
      <c r="M52" s="10"/>
    </row>
    <row r="53" spans="1:19" ht="15">
      <c r="A53" s="313" t="s">
        <v>409</v>
      </c>
      <c r="B53" s="1554" t="s">
        <v>410</v>
      </c>
      <c r="C53" s="1554"/>
      <c r="D53" s="1554"/>
      <c r="E53" s="1554"/>
      <c r="F53" s="1554"/>
      <c r="G53" s="1554"/>
      <c r="H53" s="318">
        <v>0</v>
      </c>
      <c r="I53" s="1555">
        <f>+ROUND(H53*I49,2)</f>
        <v>0</v>
      </c>
      <c r="J53" s="1555"/>
      <c r="K53" s="389"/>
      <c r="L53" s="390"/>
      <c r="M53" s="10"/>
      <c r="O53" s="387"/>
      <c r="P53" s="387"/>
      <c r="Q53" s="387"/>
    </row>
    <row r="54" spans="1:19" ht="16.5" customHeight="1">
      <c r="A54" s="313" t="s">
        <v>411</v>
      </c>
      <c r="B54" s="1554" t="s">
        <v>412</v>
      </c>
      <c r="C54" s="1554"/>
      <c r="D54" s="1554"/>
      <c r="E54" s="1554"/>
      <c r="F54" s="1554"/>
      <c r="G54" s="1554"/>
      <c r="H54" s="319"/>
      <c r="I54" s="1557"/>
      <c r="J54" s="1557"/>
      <c r="K54" s="333"/>
      <c r="M54" s="10"/>
    </row>
    <row r="55" spans="1:19" ht="15">
      <c r="A55" s="313" t="s">
        <v>413</v>
      </c>
      <c r="B55" s="1554" t="s">
        <v>414</v>
      </c>
      <c r="C55" s="1554"/>
      <c r="D55" s="1554"/>
      <c r="E55" s="1554"/>
      <c r="F55" s="1554"/>
      <c r="G55" s="1554"/>
      <c r="H55" s="335">
        <v>0.05</v>
      </c>
      <c r="I55" s="1555">
        <f>ROUND(H55*(I49+I51+I53),2)</f>
        <v>3350</v>
      </c>
      <c r="J55" s="1555"/>
      <c r="K55" s="389"/>
      <c r="M55" s="10"/>
      <c r="N55" s="388"/>
      <c r="S55" s="399"/>
    </row>
    <row r="56" spans="1:19" ht="16.5" customHeight="1">
      <c r="A56" s="313" t="s">
        <v>415</v>
      </c>
      <c r="B56" s="1554" t="s">
        <v>416</v>
      </c>
      <c r="C56" s="1554"/>
      <c r="D56" s="1554"/>
      <c r="E56" s="1554"/>
      <c r="F56" s="1554"/>
      <c r="G56" s="1554"/>
      <c r="H56" s="319"/>
      <c r="I56" s="1557"/>
      <c r="J56" s="1557"/>
      <c r="L56" s="390"/>
      <c r="M56" s="10"/>
    </row>
    <row r="57" spans="1:19" ht="15">
      <c r="A57" s="313" t="s">
        <v>417</v>
      </c>
      <c r="B57" s="1554" t="s">
        <v>418</v>
      </c>
      <c r="C57" s="1554"/>
      <c r="D57" s="1554"/>
      <c r="E57" s="1554"/>
      <c r="F57" s="1554"/>
      <c r="G57" s="1554"/>
      <c r="H57" s="319" t="s">
        <v>419</v>
      </c>
      <c r="I57" s="1555">
        <f>+ROUND(SUM(I49:J56),2)</f>
        <v>70350</v>
      </c>
      <c r="J57" s="1555"/>
      <c r="K57" s="161">
        <f>'POW-2015-01C-00_'!N15+'POW-2015-01C-00_'!N39+'POW-2015-01C-00_'!N44+'POW-2015-01C-00_'!N49+'POW-2015-01C-00_'!N54</f>
        <v>7599493.6700000009</v>
      </c>
      <c r="L57" s="390"/>
      <c r="M57" s="10"/>
    </row>
    <row r="58" spans="1:19" ht="16.5" customHeight="1">
      <c r="A58" s="353" t="s">
        <v>420</v>
      </c>
      <c r="B58" s="1566" t="s">
        <v>421</v>
      </c>
      <c r="C58" s="1566"/>
      <c r="D58" s="1566"/>
      <c r="E58" s="1566"/>
      <c r="F58" s="1566"/>
      <c r="G58" s="1566"/>
      <c r="H58" s="354"/>
      <c r="I58" s="1572"/>
      <c r="J58" s="1572"/>
      <c r="K58" s="391">
        <f>+K57*0.01</f>
        <v>75994.936700000006</v>
      </c>
      <c r="L58" s="392">
        <f>+I57/K57</f>
        <v>9.2571956836698024E-3</v>
      </c>
      <c r="M58" s="10"/>
    </row>
    <row r="59" spans="1:19" ht="39.950000000000003" customHeight="1">
      <c r="A59" s="1563" t="str">
        <f>'POW-2015-01-00_'!A42:AG42</f>
        <v>Note: Prices/Rates were based on CMPD 4TH Quarter CY 2022 for Materials, Memorandum dated December 29, 2022 for Labor cost and Memorandum dated May 18, 2022 for Equipment rental including Fuel &amp; Oil/Lubricant cost as of January 4, 2023 for DPWH Regional/District Engineering Offices</v>
      </c>
      <c r="B59" s="1563"/>
      <c r="C59" s="1563"/>
      <c r="D59" s="1563"/>
      <c r="E59" s="1563"/>
      <c r="F59" s="1563"/>
      <c r="G59" s="1563"/>
      <c r="H59" s="1563"/>
      <c r="I59" s="1563"/>
      <c r="J59" s="1563"/>
      <c r="K59" s="161">
        <f>+K58-I57</f>
        <v>5644.9367000000057</v>
      </c>
    </row>
    <row r="60" spans="1:19">
      <c r="A60" s="1590" t="s">
        <v>518</v>
      </c>
      <c r="B60" s="1590"/>
      <c r="C60" s="1590"/>
      <c r="D60" s="1590"/>
      <c r="E60" s="1590"/>
      <c r="F60" s="1590"/>
      <c r="G60" s="1590"/>
      <c r="H60" s="1590"/>
      <c r="I60" s="1590"/>
      <c r="J60" s="1590"/>
      <c r="K60" s="332"/>
    </row>
    <row r="61" spans="1:19" ht="15">
      <c r="A61" s="1564" t="s">
        <v>20</v>
      </c>
      <c r="B61" s="1564"/>
      <c r="C61" s="1564"/>
      <c r="H61" s="5" t="s">
        <v>422</v>
      </c>
      <c r="M61" s="5"/>
    </row>
    <row r="62" spans="1:19" ht="15">
      <c r="A62" s="171"/>
      <c r="B62" s="171"/>
      <c r="C62" s="171"/>
      <c r="H62" s="5"/>
    </row>
    <row r="63" spans="1:19" ht="15">
      <c r="A63" s="171"/>
      <c r="B63" s="171"/>
      <c r="C63" s="171"/>
      <c r="H63" s="5"/>
    </row>
    <row r="64" spans="1:19" ht="15">
      <c r="A64" s="1502" t="str">
        <f>+'POW-2015-01-00_'!A48:E48</f>
        <v xml:space="preserve">WINLOVE A. ESTEVES
</v>
      </c>
      <c r="B64" s="1502"/>
      <c r="C64" s="1502"/>
      <c r="D64" s="12"/>
      <c r="H64" s="1502" t="str">
        <f>+'POW-2015-01-00_'!H48:L48</f>
        <v>MARK ANGELO E. SURIL</v>
      </c>
      <c r="I64" s="1502"/>
      <c r="J64" s="1502"/>
      <c r="N64" s="297"/>
      <c r="O64" s="161"/>
    </row>
    <row r="65" spans="1:25" ht="15">
      <c r="A65" s="1565" t="s">
        <v>102</v>
      </c>
      <c r="B65" s="1565"/>
      <c r="C65" s="1565"/>
      <c r="D65" s="12"/>
      <c r="H65" s="1565" t="s">
        <v>102</v>
      </c>
      <c r="I65" s="1565"/>
      <c r="J65" s="1565"/>
      <c r="M65" s="158"/>
      <c r="N65" s="400"/>
    </row>
    <row r="66" spans="1:25" ht="15" hidden="1">
      <c r="A66" s="1521" t="s">
        <v>105</v>
      </c>
      <c r="B66" s="1521"/>
      <c r="C66" s="1521"/>
      <c r="D66" s="1521"/>
      <c r="H66" s="1521" t="s">
        <v>105</v>
      </c>
      <c r="I66" s="1521"/>
      <c r="J66" s="1521"/>
      <c r="L66" s="5"/>
      <c r="M66" s="5"/>
      <c r="N66" s="400"/>
    </row>
    <row r="67" spans="1:25" ht="14.25" customHeight="1">
      <c r="A67" s="1521" t="s">
        <v>423</v>
      </c>
      <c r="B67" s="1521"/>
      <c r="C67" s="1521"/>
      <c r="D67" s="10"/>
      <c r="H67" s="1521" t="s">
        <v>423</v>
      </c>
      <c r="I67" s="1521"/>
      <c r="J67" s="1521"/>
    </row>
    <row r="68" spans="1:25" ht="15">
      <c r="L68" s="5"/>
      <c r="M68" s="5"/>
      <c r="N68" s="400"/>
    </row>
    <row r="69" spans="1:25" ht="15" customHeight="1">
      <c r="L69" s="5" t="s">
        <v>519</v>
      </c>
      <c r="M69" s="5" t="s">
        <v>49</v>
      </c>
      <c r="N69" t="s">
        <v>520</v>
      </c>
    </row>
    <row r="70" spans="1:25" ht="15" customHeight="1">
      <c r="L70" s="5" t="s">
        <v>521</v>
      </c>
      <c r="M70" s="5" t="s">
        <v>49</v>
      </c>
      <c r="N70" s="297" t="s">
        <v>522</v>
      </c>
      <c r="O70" s="161">
        <f>20000/8</f>
        <v>2500</v>
      </c>
      <c r="P70" t="s">
        <v>523</v>
      </c>
    </row>
    <row r="71" spans="1:25" ht="15" customHeight="1">
      <c r="L71" s="5" t="s">
        <v>524</v>
      </c>
      <c r="M71" s="5" t="s">
        <v>49</v>
      </c>
      <c r="N71" s="400">
        <f>+M90</f>
        <v>18.2</v>
      </c>
      <c r="O71" t="s">
        <v>194</v>
      </c>
    </row>
    <row r="72" spans="1:25" ht="15" customHeight="1">
      <c r="L72" s="5" t="s">
        <v>525</v>
      </c>
      <c r="M72" s="5" t="s">
        <v>49</v>
      </c>
      <c r="N72" s="400">
        <v>5</v>
      </c>
      <c r="O72" t="s">
        <v>194</v>
      </c>
    </row>
    <row r="73" spans="1:25" ht="15" customHeight="1">
      <c r="L73" s="5" t="s">
        <v>526</v>
      </c>
      <c r="M73" s="5" t="s">
        <v>49</v>
      </c>
      <c r="N73" s="400">
        <f>N71-N72</f>
        <v>13.2</v>
      </c>
      <c r="O73" t="s">
        <v>194</v>
      </c>
    </row>
    <row r="74" spans="1:25">
      <c r="L74" s="1592" t="s">
        <v>527</v>
      </c>
      <c r="M74" s="1592" t="s">
        <v>528</v>
      </c>
      <c r="N74" s="1592"/>
      <c r="O74" s="1593" t="s">
        <v>529</v>
      </c>
      <c r="P74" s="1593" t="s">
        <v>530</v>
      </c>
      <c r="Q74" s="1593" t="s">
        <v>531</v>
      </c>
      <c r="R74" s="1593" t="s">
        <v>532</v>
      </c>
      <c r="S74" s="1593" t="s">
        <v>533</v>
      </c>
      <c r="T74" s="1593" t="s">
        <v>534</v>
      </c>
      <c r="U74" s="1593" t="s">
        <v>529</v>
      </c>
      <c r="V74" s="1593" t="s">
        <v>535</v>
      </c>
      <c r="W74" s="1593" t="s">
        <v>536</v>
      </c>
      <c r="X74" s="1593" t="s">
        <v>537</v>
      </c>
      <c r="Y74" s="1593" t="s">
        <v>538</v>
      </c>
    </row>
    <row r="75" spans="1:25">
      <c r="L75" s="1592"/>
      <c r="M75" s="1592"/>
      <c r="N75" s="1592"/>
      <c r="O75" s="1593"/>
      <c r="P75" s="1593"/>
      <c r="Q75" s="1593"/>
      <c r="R75" s="1593"/>
      <c r="S75" s="1593"/>
      <c r="T75" s="1593"/>
      <c r="U75" s="1593"/>
      <c r="V75" s="1593"/>
      <c r="W75" s="1593"/>
      <c r="X75" s="1593"/>
      <c r="Y75" s="1593"/>
    </row>
    <row r="76" spans="1:25">
      <c r="L76" s="1592"/>
      <c r="M76" s="1592"/>
      <c r="N76" s="1592"/>
      <c r="O76" s="1593"/>
      <c r="P76" s="1593"/>
      <c r="Q76" s="1593"/>
      <c r="R76" s="1593"/>
      <c r="S76" s="1593"/>
      <c r="T76" s="1593"/>
      <c r="U76" s="1593"/>
      <c r="V76" s="1593"/>
      <c r="W76" s="1593"/>
      <c r="X76" s="1593"/>
      <c r="Y76" s="1593"/>
    </row>
    <row r="77" spans="1:25">
      <c r="L77" s="1592"/>
      <c r="M77" s="1592"/>
      <c r="N77" s="1592"/>
      <c r="O77" s="1593"/>
      <c r="P77" s="1593"/>
      <c r="Q77" s="1593"/>
      <c r="R77" s="1593"/>
      <c r="S77" s="1593"/>
      <c r="T77" s="1593"/>
      <c r="U77" s="1593"/>
      <c r="V77" s="1593"/>
      <c r="W77" s="1593"/>
      <c r="X77" s="1593"/>
      <c r="Y77" s="1593"/>
    </row>
    <row r="78" spans="1:25">
      <c r="L78" s="1592"/>
      <c r="M78" s="1592"/>
      <c r="N78" s="1592"/>
      <c r="O78" s="1593"/>
      <c r="P78" s="1593"/>
      <c r="Q78" s="1593"/>
      <c r="R78" s="1593"/>
      <c r="S78" s="1593"/>
      <c r="T78" s="1593"/>
      <c r="U78" s="1593"/>
      <c r="V78" s="1593"/>
      <c r="W78" s="1593"/>
      <c r="X78" s="1593"/>
      <c r="Y78" s="1593"/>
    </row>
    <row r="79" spans="1:25" ht="15">
      <c r="L79" s="5"/>
      <c r="N79" s="387"/>
    </row>
    <row r="80" spans="1:25" ht="75">
      <c r="L80" s="402" t="s">
        <v>527</v>
      </c>
      <c r="M80" s="1592" t="s">
        <v>528</v>
      </c>
      <c r="N80" s="1592"/>
      <c r="O80" s="401" t="s">
        <v>529</v>
      </c>
      <c r="P80" s="401" t="s">
        <v>530</v>
      </c>
      <c r="Q80" s="401" t="s">
        <v>531</v>
      </c>
      <c r="R80" s="401" t="s">
        <v>532</v>
      </c>
      <c r="S80" s="401" t="s">
        <v>533</v>
      </c>
      <c r="T80" s="401" t="s">
        <v>534</v>
      </c>
      <c r="U80" s="401" t="s">
        <v>529</v>
      </c>
      <c r="V80" s="401" t="s">
        <v>535</v>
      </c>
      <c r="W80" s="401" t="s">
        <v>536</v>
      </c>
      <c r="X80" s="401" t="s">
        <v>537</v>
      </c>
      <c r="Y80" s="401" t="s">
        <v>538</v>
      </c>
    </row>
    <row r="81" spans="1:26" ht="15">
      <c r="K81" s="403"/>
      <c r="L81" s="404" t="s">
        <v>539</v>
      </c>
      <c r="M81" s="1518"/>
      <c r="N81" s="1518"/>
      <c r="O81" s="180"/>
      <c r="P81" s="180"/>
      <c r="Q81" s="180"/>
      <c r="R81" s="180"/>
      <c r="S81" s="180"/>
      <c r="T81" s="180"/>
      <c r="U81" s="180"/>
      <c r="V81" s="180"/>
      <c r="W81" s="180"/>
      <c r="X81" s="180"/>
      <c r="Y81" s="180"/>
    </row>
    <row r="82" spans="1:26">
      <c r="L82" s="312" t="s">
        <v>540</v>
      </c>
      <c r="M82" s="1589">
        <f>+'HAULING_COST_(cement)'!B12</f>
        <v>18.2</v>
      </c>
      <c r="N82" s="1589"/>
      <c r="O82" s="180">
        <v>35</v>
      </c>
      <c r="P82" s="180">
        <v>3</v>
      </c>
      <c r="Q82" s="410">
        <f>P82/60</f>
        <v>0.05</v>
      </c>
      <c r="R82" s="410">
        <f>(M82/O82)+Q82</f>
        <v>0.57000000000000006</v>
      </c>
      <c r="S82" s="180">
        <v>2</v>
      </c>
      <c r="T82" s="410">
        <f>S82/60</f>
        <v>3.3333333333333333E-2</v>
      </c>
      <c r="U82" s="180">
        <v>55</v>
      </c>
      <c r="V82" s="410">
        <f>(M82/U82)+T82</f>
        <v>0.3642424242424242</v>
      </c>
      <c r="W82" s="410">
        <f>V82+R82</f>
        <v>0.93424242424242432</v>
      </c>
      <c r="X82" s="411">
        <f>W82*0.1</f>
        <v>9.3424242424242437E-2</v>
      </c>
      <c r="Y82" s="411">
        <f>X82+W82</f>
        <v>1.0276666666666667</v>
      </c>
      <c r="Z82" s="329">
        <f>R82*0.1</f>
        <v>5.7000000000000009E-2</v>
      </c>
    </row>
    <row r="83" spans="1:26">
      <c r="L83" s="312" t="s">
        <v>541</v>
      </c>
      <c r="M83" s="1518"/>
      <c r="N83" s="1518"/>
      <c r="O83" s="180">
        <v>30</v>
      </c>
      <c r="P83" s="180"/>
      <c r="Q83" s="180">
        <f>P83/60</f>
        <v>0</v>
      </c>
      <c r="R83" s="410">
        <f>(M83/O83)+Q83</f>
        <v>0</v>
      </c>
      <c r="S83" s="180"/>
      <c r="T83" s="410">
        <f>S83/60</f>
        <v>0</v>
      </c>
      <c r="U83" s="180">
        <v>45</v>
      </c>
      <c r="V83" s="410">
        <f>(M83/U83)+T83</f>
        <v>0</v>
      </c>
      <c r="W83" s="410">
        <f>V83+R83</f>
        <v>0</v>
      </c>
      <c r="X83" s="411">
        <f>W83*0.1</f>
        <v>0</v>
      </c>
      <c r="Y83" s="411">
        <f>X83+W83</f>
        <v>0</v>
      </c>
    </row>
    <row r="84" spans="1:26" ht="15">
      <c r="L84" s="404" t="s">
        <v>542</v>
      </c>
      <c r="M84" s="1518"/>
      <c r="N84" s="1518"/>
      <c r="O84" s="10"/>
      <c r="P84" s="180"/>
      <c r="Q84" s="180"/>
      <c r="R84" s="180"/>
      <c r="S84" s="180"/>
      <c r="T84" s="180"/>
      <c r="U84" s="180"/>
      <c r="V84" s="180"/>
      <c r="W84" s="180"/>
      <c r="X84" s="180"/>
      <c r="Y84" s="180"/>
    </row>
    <row r="85" spans="1:26">
      <c r="L85" s="312" t="s">
        <v>540</v>
      </c>
      <c r="M85" s="1589">
        <f>+'HAULING_COST_(cement)'!B15</f>
        <v>0</v>
      </c>
      <c r="N85" s="1589"/>
      <c r="O85" s="180">
        <v>30</v>
      </c>
      <c r="P85" s="180"/>
      <c r="Q85" s="180">
        <f>P85/60</f>
        <v>0</v>
      </c>
      <c r="R85" s="410">
        <f>(M85/O85)+Q85</f>
        <v>0</v>
      </c>
      <c r="S85" s="180"/>
      <c r="T85" s="410">
        <f>S85/60</f>
        <v>0</v>
      </c>
      <c r="U85" s="180">
        <v>40</v>
      </c>
      <c r="V85" s="410">
        <f>(M85/U85)+T85</f>
        <v>0</v>
      </c>
      <c r="W85" s="410">
        <f>V85+R85</f>
        <v>0</v>
      </c>
      <c r="X85" s="411">
        <f>W85*0.1</f>
        <v>0</v>
      </c>
      <c r="Y85" s="411">
        <f>X85+W85</f>
        <v>0</v>
      </c>
      <c r="Z85" s="329">
        <f>R85*0.1</f>
        <v>0</v>
      </c>
    </row>
    <row r="86" spans="1:26">
      <c r="L86" s="312" t="s">
        <v>541</v>
      </c>
      <c r="M86" s="1518"/>
      <c r="N86" s="1518"/>
      <c r="O86" s="180">
        <v>25</v>
      </c>
      <c r="P86" s="180"/>
      <c r="Q86" s="180">
        <f>P86/60</f>
        <v>0</v>
      </c>
      <c r="R86" s="410">
        <f>(M86/O86)+Q86</f>
        <v>0</v>
      </c>
      <c r="S86" s="180"/>
      <c r="T86" s="410">
        <f>S86/60</f>
        <v>0</v>
      </c>
      <c r="U86" s="180">
        <v>35</v>
      </c>
      <c r="V86" s="410">
        <f>(M86/U86)+T86</f>
        <v>0</v>
      </c>
      <c r="W86" s="410">
        <f>V86+R86</f>
        <v>0</v>
      </c>
      <c r="X86" s="411">
        <f>W86*0.1</f>
        <v>0</v>
      </c>
      <c r="Y86" s="411">
        <f>X86+W86</f>
        <v>0</v>
      </c>
    </row>
    <row r="87" spans="1:26" ht="15">
      <c r="L87" s="404" t="s">
        <v>543</v>
      </c>
      <c r="M87" s="1518"/>
      <c r="N87" s="1518"/>
      <c r="O87" s="10"/>
      <c r="P87" s="180"/>
      <c r="Q87" s="180"/>
      <c r="R87" s="180"/>
      <c r="S87" s="180"/>
      <c r="T87" s="180"/>
      <c r="U87" s="180"/>
      <c r="V87" s="180"/>
      <c r="W87" s="180"/>
      <c r="X87" s="180"/>
      <c r="Y87" s="180"/>
    </row>
    <row r="88" spans="1:26">
      <c r="L88" s="312" t="s">
        <v>540</v>
      </c>
      <c r="M88" s="1589">
        <f>+'HAULING_COST_(cement)'!B18</f>
        <v>0</v>
      </c>
      <c r="N88" s="1589"/>
      <c r="O88" s="180">
        <v>20</v>
      </c>
      <c r="P88" s="180"/>
      <c r="Q88" s="180">
        <f>P88/60</f>
        <v>0</v>
      </c>
      <c r="R88" s="410">
        <f>(M88/O88)+Q88</f>
        <v>0</v>
      </c>
      <c r="S88" s="180"/>
      <c r="T88" s="410">
        <f>S88/60</f>
        <v>0</v>
      </c>
      <c r="U88" s="180">
        <v>30</v>
      </c>
      <c r="V88" s="410">
        <f>(M88/U88)+T88</f>
        <v>0</v>
      </c>
      <c r="W88" s="410">
        <f>V88+R88</f>
        <v>0</v>
      </c>
      <c r="X88" s="411">
        <f>W88*0.1</f>
        <v>0</v>
      </c>
      <c r="Y88" s="411">
        <f>X88+W88</f>
        <v>0</v>
      </c>
      <c r="Z88" s="329">
        <f>R88*0.1</f>
        <v>0</v>
      </c>
    </row>
    <row r="89" spans="1:26" ht="15">
      <c r="A89" s="1501"/>
      <c r="B89" s="1501"/>
      <c r="C89" s="1501"/>
      <c r="D89" s="1501"/>
      <c r="E89" s="296"/>
      <c r="L89" s="299" t="s">
        <v>541</v>
      </c>
      <c r="M89" s="1518"/>
      <c r="N89" s="1518"/>
      <c r="O89" s="405">
        <v>15</v>
      </c>
      <c r="P89" s="405"/>
      <c r="Q89" s="405">
        <f>P89/60</f>
        <v>0</v>
      </c>
      <c r="R89" s="412">
        <f>(M89/O89)+Q89</f>
        <v>0</v>
      </c>
      <c r="S89" s="405"/>
      <c r="T89" s="412">
        <f>S89/60</f>
        <v>0</v>
      </c>
      <c r="U89" s="405">
        <v>25</v>
      </c>
      <c r="V89" s="412">
        <f>(M89/U89)+T89</f>
        <v>0</v>
      </c>
      <c r="W89" s="412">
        <f>V89+R89</f>
        <v>0</v>
      </c>
      <c r="X89" s="413">
        <f>W89*0.1</f>
        <v>0</v>
      </c>
      <c r="Y89" s="413">
        <f>X89+W89</f>
        <v>0</v>
      </c>
    </row>
    <row r="90" spans="1:26" ht="15">
      <c r="A90" s="171"/>
      <c r="B90" s="171"/>
      <c r="C90" s="171"/>
      <c r="D90" s="171"/>
      <c r="E90" s="296"/>
      <c r="L90" s="406" t="s">
        <v>544</v>
      </c>
      <c r="M90" s="1591">
        <f>+SUM(M82:N89)</f>
        <v>18.2</v>
      </c>
      <c r="N90" s="1591"/>
      <c r="O90" s="407"/>
      <c r="P90" s="407"/>
      <c r="Q90" s="407"/>
      <c r="R90" s="414">
        <f>+SUM(R82:R89)</f>
        <v>0.57000000000000006</v>
      </c>
      <c r="S90" s="407"/>
      <c r="T90" s="407"/>
      <c r="U90" s="407"/>
      <c r="V90" s="414">
        <f>+SUM(V82:V89)</f>
        <v>0.3642424242424242</v>
      </c>
      <c r="W90" s="414"/>
      <c r="X90" s="414">
        <f>+SUM(X82:X89)</f>
        <v>9.3424242424242437E-2</v>
      </c>
      <c r="Y90" s="414">
        <f>+SUM(Y82:Y89)</f>
        <v>1.0276666666666667</v>
      </c>
      <c r="Z90" t="b">
        <f>+Y90=R90+V90+X90</f>
        <v>1</v>
      </c>
    </row>
    <row r="91" spans="1:26" ht="15">
      <c r="A91" s="171"/>
      <c r="B91" s="171"/>
      <c r="C91" s="171"/>
      <c r="D91" s="171"/>
      <c r="E91" s="296"/>
      <c r="L91" s="408" t="str">
        <f>+CONCATENATE("Note:  ",A60)</f>
        <v>Note:  Mobilization and demobilization shall not exceed 1% of the Estimated Direct Cost (EDC) of the civil works items. (D.O. No. 197, Series of 2016)</v>
      </c>
      <c r="M91" s="409"/>
      <c r="N91" s="409"/>
      <c r="O91" s="408"/>
      <c r="P91" s="408"/>
      <c r="Q91" s="408"/>
      <c r="R91" s="415"/>
      <c r="S91" s="408"/>
      <c r="T91" s="408"/>
      <c r="U91" s="408"/>
      <c r="V91" s="415"/>
      <c r="W91" s="415"/>
      <c r="X91" s="415"/>
      <c r="Y91" s="415"/>
    </row>
    <row r="92" spans="1:26" ht="15">
      <c r="A92" s="171"/>
      <c r="B92" s="171"/>
      <c r="C92" s="171"/>
      <c r="D92" s="171"/>
      <c r="E92" s="296"/>
      <c r="L92" s="5" t="s">
        <v>545</v>
      </c>
      <c r="M92" s="378" t="b">
        <f>+M90=N71</f>
        <v>1</v>
      </c>
      <c r="R92" s="416">
        <f>R90*1.1</f>
        <v>0.62700000000000011</v>
      </c>
      <c r="S92" s="417"/>
      <c r="Y92" s="418">
        <f>Y90/8</f>
        <v>0.12845833333333334</v>
      </c>
      <c r="Z92" s="5" t="s">
        <v>462</v>
      </c>
    </row>
    <row r="93" spans="1:26" ht="15">
      <c r="A93" s="5"/>
      <c r="B93" s="5"/>
      <c r="C93" s="171"/>
      <c r="D93" s="5"/>
      <c r="E93" s="296"/>
      <c r="L93" s="5"/>
      <c r="M93" s="378"/>
      <c r="R93" s="416">
        <f>R92/8</f>
        <v>7.8375000000000014E-2</v>
      </c>
      <c r="S93" s="417" t="s">
        <v>546</v>
      </c>
      <c r="Y93" s="419"/>
    </row>
    <row r="94" spans="1:26" ht="15">
      <c r="A94" s="5"/>
      <c r="B94" s="5"/>
      <c r="C94" s="171"/>
      <c r="D94" s="5"/>
      <c r="E94" s="296"/>
      <c r="F94" s="297"/>
      <c r="Y94">
        <f>+Y90*60</f>
        <v>61.660000000000004</v>
      </c>
    </row>
    <row r="95" spans="1:26" ht="15">
      <c r="A95" s="5"/>
      <c r="B95" s="5"/>
      <c r="C95" s="171"/>
      <c r="D95" s="5"/>
      <c r="E95" s="296"/>
    </row>
    <row r="96" spans="1:26" ht="15">
      <c r="A96" s="5"/>
      <c r="B96" s="5"/>
      <c r="C96" s="171"/>
      <c r="D96" s="5"/>
      <c r="E96" s="296"/>
    </row>
    <row r="97" spans="1:5" ht="15">
      <c r="A97" s="5"/>
      <c r="B97" s="5"/>
      <c r="C97" s="171"/>
      <c r="D97" s="5"/>
      <c r="E97" s="296"/>
    </row>
  </sheetData>
  <mergeCells count="133">
    <mergeCell ref="X74:X78"/>
    <mergeCell ref="Y74:Y78"/>
    <mergeCell ref="B11:E12"/>
    <mergeCell ref="I11:J12"/>
    <mergeCell ref="B19:E20"/>
    <mergeCell ref="I19:J20"/>
    <mergeCell ref="B41:E42"/>
    <mergeCell ref="I41:J42"/>
    <mergeCell ref="M74:N78"/>
    <mergeCell ref="O74:O78"/>
    <mergeCell ref="P74:P78"/>
    <mergeCell ref="Q74:Q78"/>
    <mergeCell ref="R74:R78"/>
    <mergeCell ref="S74:S78"/>
    <mergeCell ref="T74:T78"/>
    <mergeCell ref="U74:U78"/>
    <mergeCell ref="V74:V78"/>
    <mergeCell ref="W74:W78"/>
    <mergeCell ref="B55:G55"/>
    <mergeCell ref="I55:J55"/>
    <mergeCell ref="B56:G56"/>
    <mergeCell ref="I56:J56"/>
    <mergeCell ref="B57:G57"/>
    <mergeCell ref="I57:J57"/>
    <mergeCell ref="A89:D89"/>
    <mergeCell ref="M89:N89"/>
    <mergeCell ref="M90:N90"/>
    <mergeCell ref="A11:A15"/>
    <mergeCell ref="A16:A18"/>
    <mergeCell ref="A19:A31"/>
    <mergeCell ref="A32:A34"/>
    <mergeCell ref="A41:A45"/>
    <mergeCell ref="A46:A48"/>
    <mergeCell ref="F11:F12"/>
    <mergeCell ref="F19:F20"/>
    <mergeCell ref="F41:F42"/>
    <mergeCell ref="G11:G12"/>
    <mergeCell ref="G19:G20"/>
    <mergeCell ref="G41:G42"/>
    <mergeCell ref="H11:H12"/>
    <mergeCell ref="H19:H20"/>
    <mergeCell ref="H41:H42"/>
    <mergeCell ref="L74:L78"/>
    <mergeCell ref="M80:N80"/>
    <mergeCell ref="M81:N81"/>
    <mergeCell ref="M82:N82"/>
    <mergeCell ref="M83:N83"/>
    <mergeCell ref="M84:N84"/>
    <mergeCell ref="M85:N85"/>
    <mergeCell ref="M86:N86"/>
    <mergeCell ref="M87:N87"/>
    <mergeCell ref="M88:N88"/>
    <mergeCell ref="A60:J60"/>
    <mergeCell ref="A61:C61"/>
    <mergeCell ref="A64:C64"/>
    <mergeCell ref="H64:J64"/>
    <mergeCell ref="A65:C65"/>
    <mergeCell ref="H65:J65"/>
    <mergeCell ref="A66:D66"/>
    <mergeCell ref="H66:J66"/>
    <mergeCell ref="A67:C67"/>
    <mergeCell ref="H67:J67"/>
    <mergeCell ref="B58:G58"/>
    <mergeCell ref="I58:J58"/>
    <mergeCell ref="A59:J59"/>
    <mergeCell ref="B50:H50"/>
    <mergeCell ref="I50:J50"/>
    <mergeCell ref="B51:G51"/>
    <mergeCell ref="I51:J51"/>
    <mergeCell ref="B52:G52"/>
    <mergeCell ref="I52:J52"/>
    <mergeCell ref="B53:G53"/>
    <mergeCell ref="I53:J53"/>
    <mergeCell ref="B54:G54"/>
    <mergeCell ref="I54:J54"/>
    <mergeCell ref="B45:E45"/>
    <mergeCell ref="I45:J45"/>
    <mergeCell ref="B46:E46"/>
    <mergeCell ref="I46:J46"/>
    <mergeCell ref="B47:E47"/>
    <mergeCell ref="I47:J47"/>
    <mergeCell ref="B48:E48"/>
    <mergeCell ref="I48:J48"/>
    <mergeCell ref="B49:H49"/>
    <mergeCell ref="I49:J49"/>
    <mergeCell ref="B38:H38"/>
    <mergeCell ref="I38:J38"/>
    <mergeCell ref="B39:H39"/>
    <mergeCell ref="I39:J39"/>
    <mergeCell ref="B40:H40"/>
    <mergeCell ref="I40:J40"/>
    <mergeCell ref="B43:E43"/>
    <mergeCell ref="I43:J43"/>
    <mergeCell ref="B44:E44"/>
    <mergeCell ref="I44:J44"/>
    <mergeCell ref="B33:E33"/>
    <mergeCell ref="I33:J33"/>
    <mergeCell ref="B34:E34"/>
    <mergeCell ref="I34:J34"/>
    <mergeCell ref="B35:H35"/>
    <mergeCell ref="I35:J35"/>
    <mergeCell ref="B36:H36"/>
    <mergeCell ref="I36:J36"/>
    <mergeCell ref="B37:H37"/>
    <mergeCell ref="I37:J37"/>
    <mergeCell ref="I25:J25"/>
    <mergeCell ref="I26:J26"/>
    <mergeCell ref="I27:J27"/>
    <mergeCell ref="I28:J28"/>
    <mergeCell ref="I29:J29"/>
    <mergeCell ref="B31:E31"/>
    <mergeCell ref="I31:J31"/>
    <mergeCell ref="B32:E32"/>
    <mergeCell ref="I32:J32"/>
    <mergeCell ref="B17:E17"/>
    <mergeCell ref="I17:J17"/>
    <mergeCell ref="B18:E18"/>
    <mergeCell ref="I18:J18"/>
    <mergeCell ref="B21:E21"/>
    <mergeCell ref="I21:J21"/>
    <mergeCell ref="B23:E23"/>
    <mergeCell ref="I23:J23"/>
    <mergeCell ref="I24:J24"/>
    <mergeCell ref="H3:J3"/>
    <mergeCell ref="A5:D5"/>
    <mergeCell ref="B13:E13"/>
    <mergeCell ref="I13:J13"/>
    <mergeCell ref="B14:E14"/>
    <mergeCell ref="I14:J14"/>
    <mergeCell ref="B15:E15"/>
    <mergeCell ref="I15:J15"/>
    <mergeCell ref="B16:E16"/>
    <mergeCell ref="I16:J16"/>
  </mergeCells>
  <printOptions horizontalCentered="1"/>
  <pageMargins left="0.118055555555556" right="0.118055555555556" top="0.39305555555555599" bottom="0.39305555555555599" header="0.39305555555555599" footer="0"/>
  <pageSetup paperSize="9" scale="77" orientation="portrait" r:id="rId1"/>
  <headerFooter alignWithMargins="0">
    <oddHeader>&amp;CCONSTRUCTION OF ROAD 
BRGY. L. PIMENTEL, SAN LUIS, AURORA
DETAILED UNIT PRICE ANALYSIS (DUPA)</oddHead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M103"/>
  <sheetViews>
    <sheetView topLeftCell="A7" workbookViewId="0">
      <selection activeCell="H15" sqref="H15"/>
    </sheetView>
  </sheetViews>
  <sheetFormatPr defaultColWidth="9" defaultRowHeight="14.25"/>
  <cols>
    <col min="1" max="1" width="5.375" customWidth="1"/>
    <col min="2" max="2" width="2.625" customWidth="1"/>
    <col min="3" max="3" width="8.375" style="158" customWidth="1"/>
    <col min="4" max="4" width="21.625" customWidth="1"/>
    <col min="5" max="5" width="8.75" customWidth="1"/>
    <col min="6" max="6" width="15.5" customWidth="1"/>
    <col min="7" max="7" width="18.75" customWidth="1"/>
    <col min="8" max="8" width="18.5" customWidth="1"/>
    <col min="9" max="9" width="6.125" customWidth="1"/>
    <col min="10" max="10" width="22.25" customWidth="1"/>
    <col min="11" max="12" width="9.75" customWidth="1"/>
    <col min="13" max="13" width="13.75" customWidth="1"/>
    <col min="14" max="1024" width="8.5" customWidth="1"/>
    <col min="1025" max="1025" width="9" customWidth="1"/>
  </cols>
  <sheetData>
    <row r="1" spans="1:10" ht="14.25" customHeight="1"/>
    <row r="2" spans="1:10" ht="14.25" customHeight="1">
      <c r="H2" s="1538" t="s">
        <v>330</v>
      </c>
      <c r="I2" s="1538"/>
      <c r="J2" s="1538"/>
    </row>
    <row r="3" spans="1:10" ht="14.25" customHeight="1">
      <c r="H3" s="295"/>
      <c r="I3" s="295"/>
      <c r="J3" s="295"/>
    </row>
    <row r="4" spans="1:10" ht="14.25" customHeight="1">
      <c r="H4" s="295"/>
      <c r="I4" s="295"/>
      <c r="J4" s="295"/>
    </row>
    <row r="5" spans="1:10" ht="14.25" customHeight="1">
      <c r="A5" s="1539" t="s">
        <v>331</v>
      </c>
      <c r="B5" s="1539"/>
      <c r="C5" s="1539"/>
      <c r="D5" s="1539"/>
      <c r="E5" s="296" t="s">
        <v>49</v>
      </c>
      <c r="F5" t="s">
        <v>547</v>
      </c>
      <c r="G5" s="158" t="s">
        <v>548</v>
      </c>
      <c r="H5" s="345"/>
      <c r="I5" s="345"/>
      <c r="J5" s="345"/>
    </row>
    <row r="6" spans="1:10" ht="14.25" customHeight="1">
      <c r="A6" t="s">
        <v>334</v>
      </c>
      <c r="E6" s="296" t="s">
        <v>49</v>
      </c>
      <c r="F6" t="s">
        <v>215</v>
      </c>
    </row>
    <row r="7" spans="1:10" ht="14.25" customHeight="1">
      <c r="A7" t="s">
        <v>336</v>
      </c>
      <c r="E7" s="296" t="s">
        <v>49</v>
      </c>
      <c r="F7" s="297">
        <v>1</v>
      </c>
    </row>
    <row r="8" spans="1:10" ht="14.25" customHeight="1">
      <c r="A8" t="s">
        <v>337</v>
      </c>
      <c r="E8" s="296" t="s">
        <v>49</v>
      </c>
    </row>
    <row r="9" spans="1:10" ht="14.25" customHeight="1">
      <c r="A9" s="5"/>
      <c r="B9" s="5"/>
      <c r="C9" s="171"/>
      <c r="D9" s="5"/>
      <c r="E9" s="296"/>
    </row>
    <row r="10" spans="1:10" ht="14.25" customHeight="1">
      <c r="A10" s="5"/>
      <c r="B10" s="5"/>
      <c r="C10" s="171"/>
      <c r="D10" s="5"/>
      <c r="E10" s="296"/>
    </row>
    <row r="11" spans="1:10" ht="14.25" customHeight="1">
      <c r="A11" s="1573" t="s">
        <v>426</v>
      </c>
      <c r="B11" s="1546" t="s">
        <v>339</v>
      </c>
      <c r="C11" s="1546"/>
      <c r="D11" s="1546"/>
      <c r="E11" s="1546"/>
      <c r="F11" s="1546" t="s">
        <v>340</v>
      </c>
      <c r="G11" s="1546" t="s">
        <v>341</v>
      </c>
      <c r="H11" s="1546" t="s">
        <v>342</v>
      </c>
      <c r="I11" s="1545" t="s">
        <v>343</v>
      </c>
      <c r="J11" s="1545"/>
    </row>
    <row r="12" spans="1:10" ht="14.25" customHeight="1">
      <c r="A12" s="1573"/>
      <c r="B12" s="1546"/>
      <c r="C12" s="1546"/>
      <c r="D12" s="1546"/>
      <c r="E12" s="1546"/>
      <c r="F12" s="1546"/>
      <c r="G12" s="1546"/>
      <c r="H12" s="1546"/>
      <c r="I12" s="1545"/>
      <c r="J12" s="1545"/>
    </row>
    <row r="13" spans="1:10" ht="14.25" customHeight="1">
      <c r="A13" s="1573"/>
      <c r="B13" s="1540" t="s">
        <v>344</v>
      </c>
      <c r="C13" s="1540"/>
      <c r="D13" s="1540"/>
      <c r="E13" s="1540"/>
      <c r="F13" s="300"/>
      <c r="G13" s="300"/>
      <c r="H13" s="300"/>
      <c r="I13" s="1541"/>
      <c r="J13" s="1541"/>
    </row>
    <row r="14" spans="1:10" ht="14.25" customHeight="1">
      <c r="A14" s="1573"/>
      <c r="B14" s="269"/>
      <c r="D14" s="158"/>
      <c r="E14" s="158"/>
      <c r="F14" s="183"/>
      <c r="G14" s="183"/>
      <c r="H14" s="183"/>
      <c r="I14" s="185"/>
      <c r="J14" s="320"/>
    </row>
    <row r="15" spans="1:10" ht="14.25" customHeight="1">
      <c r="A15" s="1573"/>
      <c r="B15" s="168" t="s">
        <v>345</v>
      </c>
      <c r="C15" s="158" t="s">
        <v>346</v>
      </c>
      <c r="D15" s="158"/>
      <c r="E15" s="158"/>
      <c r="F15" s="301">
        <v>1</v>
      </c>
      <c r="G15" s="302">
        <v>0.33</v>
      </c>
      <c r="H15" s="268">
        <f>+VLOOKUP(C15,LABOR,2,0)</f>
        <v>110.65</v>
      </c>
      <c r="I15" s="1544">
        <f>F15*G15*H15</f>
        <v>36.514500000000005</v>
      </c>
      <c r="J15" s="1544"/>
    </row>
    <row r="16" spans="1:10" ht="14.25" customHeight="1">
      <c r="A16" s="1573"/>
      <c r="B16" s="168" t="s">
        <v>347</v>
      </c>
      <c r="C16" s="158" t="s">
        <v>348</v>
      </c>
      <c r="D16" s="158"/>
      <c r="E16" s="158"/>
      <c r="F16" s="301">
        <v>1</v>
      </c>
      <c r="G16" s="302">
        <v>0.33</v>
      </c>
      <c r="H16" s="268">
        <f>+VLOOKUP(C16,LABOR,2,0)</f>
        <v>80.05</v>
      </c>
      <c r="I16" s="1544">
        <f>F16*G16*H16</f>
        <v>26.416499999999999</v>
      </c>
      <c r="J16" s="1544"/>
    </row>
    <row r="17" spans="1:13" ht="14.25" customHeight="1">
      <c r="A17" s="1573"/>
      <c r="B17" s="168" t="s">
        <v>349</v>
      </c>
      <c r="C17" s="158" t="s">
        <v>350</v>
      </c>
      <c r="D17" s="158"/>
      <c r="E17" s="158"/>
      <c r="F17" s="301">
        <v>2</v>
      </c>
      <c r="G17" s="302">
        <v>0.33</v>
      </c>
      <c r="H17" s="268">
        <f>+VLOOKUP(C17,LABOR,2,0)</f>
        <v>61.75</v>
      </c>
      <c r="I17" s="1544">
        <f>F17*G17*H17</f>
        <v>40.755000000000003</v>
      </c>
      <c r="J17" s="1544"/>
    </row>
    <row r="18" spans="1:13" ht="14.25" customHeight="1">
      <c r="A18" s="1573"/>
      <c r="B18" s="168"/>
      <c r="D18" s="158"/>
      <c r="E18" s="158"/>
      <c r="F18" s="301"/>
      <c r="G18" s="302"/>
      <c r="H18" s="303"/>
      <c r="I18" s="321"/>
      <c r="J18" s="322"/>
    </row>
    <row r="19" spans="1:13" ht="14.25" customHeight="1">
      <c r="A19" s="1573"/>
      <c r="B19" s="1549" t="s">
        <v>351</v>
      </c>
      <c r="C19" s="1549"/>
      <c r="D19" s="1549"/>
      <c r="E19" s="1549"/>
      <c r="F19" s="304"/>
      <c r="G19" s="304"/>
      <c r="H19" s="304"/>
      <c r="I19" s="1548">
        <f>+SUM(I14:J18)</f>
        <v>103.68600000000001</v>
      </c>
      <c r="J19" s="1548"/>
      <c r="K19" s="323">
        <f>+ROUND(I19/F7,2)</f>
        <v>103.69</v>
      </c>
      <c r="L19" s="161">
        <f>+I19/F7</f>
        <v>103.68600000000001</v>
      </c>
      <c r="M19" s="368">
        <f>+K19-L19</f>
        <v>3.9999999999906777E-3</v>
      </c>
    </row>
    <row r="20" spans="1:13" ht="14.25" customHeight="1">
      <c r="A20" s="1560" t="s">
        <v>352</v>
      </c>
      <c r="B20" s="1540" t="s">
        <v>344</v>
      </c>
      <c r="C20" s="1540"/>
      <c r="D20" s="1540"/>
      <c r="E20" s="1540"/>
      <c r="F20" s="300"/>
      <c r="G20" s="300"/>
      <c r="H20" s="300"/>
      <c r="I20" s="1541"/>
      <c r="J20" s="1541"/>
    </row>
    <row r="21" spans="1:13" ht="14.25" customHeight="1">
      <c r="A21" s="1560"/>
      <c r="B21" s="1542"/>
      <c r="C21" s="1542"/>
      <c r="D21" s="1542"/>
      <c r="E21" s="1542"/>
      <c r="F21" s="253"/>
      <c r="G21" s="253"/>
      <c r="H21" s="253"/>
      <c r="I21" s="1543"/>
      <c r="J21" s="1543"/>
    </row>
    <row r="22" spans="1:13" ht="14.25" customHeight="1">
      <c r="A22" s="1560"/>
      <c r="B22" s="1549" t="s">
        <v>353</v>
      </c>
      <c r="C22" s="1549"/>
      <c r="D22" s="1549"/>
      <c r="E22" s="1549"/>
      <c r="F22" s="305"/>
      <c r="G22" s="305"/>
      <c r="H22" s="305"/>
      <c r="I22" s="1548">
        <v>0</v>
      </c>
      <c r="J22" s="1548"/>
    </row>
    <row r="23" spans="1:13" ht="14.25" customHeight="1">
      <c r="A23" s="1561" t="s">
        <v>354</v>
      </c>
      <c r="B23" s="1550" t="s">
        <v>355</v>
      </c>
      <c r="C23" s="1550"/>
      <c r="D23" s="1550"/>
      <c r="E23" s="1550"/>
      <c r="F23" s="1550" t="s">
        <v>356</v>
      </c>
      <c r="G23" s="1550" t="s">
        <v>341</v>
      </c>
      <c r="H23" s="1550" t="s">
        <v>342</v>
      </c>
      <c r="I23" s="1551" t="s">
        <v>359</v>
      </c>
      <c r="J23" s="1551"/>
    </row>
    <row r="24" spans="1:13" ht="14.25" customHeight="1">
      <c r="A24" s="1561"/>
      <c r="B24" s="1550"/>
      <c r="C24" s="1550"/>
      <c r="D24" s="1550"/>
      <c r="E24" s="1550"/>
      <c r="F24" s="1550"/>
      <c r="G24" s="1550"/>
      <c r="H24" s="1550"/>
      <c r="I24" s="1551"/>
      <c r="J24" s="1551"/>
    </row>
    <row r="25" spans="1:13" ht="14.25" customHeight="1">
      <c r="A25" s="1561"/>
      <c r="B25" s="1540" t="s">
        <v>360</v>
      </c>
      <c r="C25" s="1540"/>
      <c r="D25" s="1540"/>
      <c r="E25" s="1540"/>
      <c r="F25" s="300"/>
      <c r="G25" s="300"/>
      <c r="H25" s="300"/>
      <c r="I25" s="1541"/>
      <c r="J25" s="1541"/>
    </row>
    <row r="26" spans="1:13" ht="14.25" customHeight="1">
      <c r="A26" s="1561"/>
      <c r="B26" s="269"/>
      <c r="D26" s="158"/>
      <c r="E26" s="315"/>
      <c r="F26" s="183"/>
      <c r="G26" s="183"/>
      <c r="H26" s="183"/>
      <c r="I26" s="185"/>
      <c r="J26" s="320"/>
    </row>
    <row r="27" spans="1:13" ht="14.25" customHeight="1">
      <c r="A27" s="1561"/>
      <c r="B27" s="168" t="s">
        <v>345</v>
      </c>
      <c r="C27" s="158" t="s">
        <v>123</v>
      </c>
      <c r="D27" s="158"/>
      <c r="E27" s="315"/>
      <c r="F27" s="168">
        <v>1</v>
      </c>
      <c r="G27" s="307">
        <v>0.25</v>
      </c>
      <c r="H27" s="365">
        <f>+VLOOKUP(C27,equipment,3,0)</f>
        <v>2588.75</v>
      </c>
      <c r="I27" s="1569">
        <f>F27*G27*H27</f>
        <v>647.1875</v>
      </c>
      <c r="J27" s="1569"/>
    </row>
    <row r="28" spans="1:13" ht="14.25" customHeight="1">
      <c r="A28" s="1561"/>
      <c r="B28" s="168" t="s">
        <v>347</v>
      </c>
      <c r="C28" s="158" t="s">
        <v>125</v>
      </c>
      <c r="D28" s="158"/>
      <c r="E28" s="158"/>
      <c r="F28" s="168">
        <v>1</v>
      </c>
      <c r="G28" s="307">
        <v>0.17</v>
      </c>
      <c r="H28" s="366">
        <f>+VLOOKUP(C28,equipment,3,0)</f>
        <v>2932.45</v>
      </c>
      <c r="I28" s="1569">
        <f>F28*G28*H28</f>
        <v>498.51650000000001</v>
      </c>
      <c r="J28" s="1569"/>
    </row>
    <row r="29" spans="1:13" ht="14.25" customHeight="1">
      <c r="A29" s="1561"/>
      <c r="B29" s="168" t="s">
        <v>349</v>
      </c>
      <c r="C29" s="158" t="s">
        <v>127</v>
      </c>
      <c r="D29" s="158"/>
      <c r="E29" s="158"/>
      <c r="F29" s="168">
        <v>1</v>
      </c>
      <c r="G29" s="307">
        <v>0.17</v>
      </c>
      <c r="H29" s="366">
        <f>+VLOOKUP(C29,equipment,3,0)</f>
        <v>75.36</v>
      </c>
      <c r="I29" s="1569">
        <f>F29*G29*H29</f>
        <v>12.811200000000001</v>
      </c>
      <c r="J29" s="1569"/>
    </row>
    <row r="30" spans="1:13" ht="14.25" customHeight="1">
      <c r="A30" s="1561"/>
      <c r="B30" s="1568" t="s">
        <v>549</v>
      </c>
      <c r="C30" s="1568"/>
      <c r="D30" s="1568"/>
      <c r="E30" s="1568"/>
      <c r="F30" s="168"/>
      <c r="G30" s="307"/>
      <c r="H30" s="347"/>
      <c r="I30" s="1569">
        <f>K30*I19</f>
        <v>5.1843000000000004</v>
      </c>
      <c r="J30" s="1569"/>
      <c r="K30" s="324">
        <v>0.05</v>
      </c>
    </row>
    <row r="31" spans="1:13" ht="14.25" customHeight="1">
      <c r="A31" s="1561"/>
      <c r="B31" s="269"/>
      <c r="D31" s="158"/>
      <c r="E31" s="158"/>
      <c r="F31" s="168"/>
      <c r="G31" s="307"/>
      <c r="H31" s="367"/>
      <c r="I31" s="369"/>
      <c r="J31" s="327"/>
      <c r="K31" s="324"/>
    </row>
    <row r="32" spans="1:13" ht="14.25" customHeight="1">
      <c r="A32" s="1561"/>
      <c r="B32" s="1549" t="s">
        <v>361</v>
      </c>
      <c r="C32" s="1549"/>
      <c r="D32" s="1549"/>
      <c r="E32" s="1549"/>
      <c r="F32" s="305"/>
      <c r="G32" s="305"/>
      <c r="H32" s="305"/>
      <c r="I32" s="1552">
        <f>+SUM(I26:J31)</f>
        <v>1163.6994999999999</v>
      </c>
      <c r="J32" s="1552"/>
      <c r="K32" s="323">
        <f>+ROUND(I52-K19-K48,2)</f>
        <v>1163.7</v>
      </c>
      <c r="L32" s="161">
        <f>+I32/F7</f>
        <v>1163.6994999999999</v>
      </c>
      <c r="M32" s="368">
        <f>+K32-L32</f>
        <v>5.0000000010186341E-4</v>
      </c>
    </row>
    <row r="33" spans="1:13" ht="14.25" customHeight="1">
      <c r="A33" s="1560" t="s">
        <v>362</v>
      </c>
      <c r="B33" s="1540" t="s">
        <v>360</v>
      </c>
      <c r="C33" s="1540"/>
      <c r="D33" s="1540"/>
      <c r="E33" s="1540"/>
      <c r="F33" s="300"/>
      <c r="G33" s="300"/>
      <c r="H33" s="300"/>
      <c r="I33" s="1541"/>
      <c r="J33" s="1541"/>
    </row>
    <row r="34" spans="1:13" ht="14.25" customHeight="1">
      <c r="A34" s="1560"/>
      <c r="B34" s="1542"/>
      <c r="C34" s="1542"/>
      <c r="D34" s="1542"/>
      <c r="E34" s="1542"/>
      <c r="F34" s="306"/>
      <c r="G34" s="306"/>
      <c r="H34" s="306"/>
      <c r="I34" s="1543"/>
      <c r="J34" s="1543"/>
    </row>
    <row r="35" spans="1:13" ht="14.25" customHeight="1">
      <c r="A35" s="1560"/>
      <c r="B35" s="1549" t="s">
        <v>363</v>
      </c>
      <c r="C35" s="1549"/>
      <c r="D35" s="1549"/>
      <c r="E35" s="1549"/>
      <c r="F35" s="305"/>
      <c r="G35" s="305"/>
      <c r="H35" s="305"/>
      <c r="I35" s="1548">
        <v>0</v>
      </c>
      <c r="J35" s="1548"/>
    </row>
    <row r="36" spans="1:13" ht="14.25" customHeight="1">
      <c r="A36" s="311" t="s">
        <v>364</v>
      </c>
      <c r="B36" s="1554" t="s">
        <v>365</v>
      </c>
      <c r="C36" s="1554"/>
      <c r="D36" s="1554"/>
      <c r="E36" s="1554"/>
      <c r="F36" s="1554"/>
      <c r="G36" s="1554"/>
      <c r="H36" s="1554"/>
      <c r="I36" s="1555">
        <f>I19+I32</f>
        <v>1267.3854999999999</v>
      </c>
      <c r="J36" s="1555"/>
    </row>
    <row r="37" spans="1:13" ht="14.25" customHeight="1">
      <c r="A37" s="313" t="s">
        <v>366</v>
      </c>
      <c r="B37" s="1554" t="s">
        <v>367</v>
      </c>
      <c r="C37" s="1554"/>
      <c r="D37" s="1554"/>
      <c r="E37" s="1554"/>
      <c r="F37" s="1554"/>
      <c r="G37" s="1554"/>
      <c r="H37" s="1554"/>
      <c r="I37" s="1557"/>
      <c r="J37" s="1557"/>
    </row>
    <row r="38" spans="1:13" ht="14.25" customHeight="1">
      <c r="A38" s="313" t="s">
        <v>368</v>
      </c>
      <c r="B38" s="1554" t="s">
        <v>336</v>
      </c>
      <c r="C38" s="1554"/>
      <c r="D38" s="1554"/>
      <c r="E38" s="1554"/>
      <c r="F38" s="1554"/>
      <c r="G38" s="1554"/>
      <c r="H38" s="1554"/>
      <c r="I38" s="1570">
        <f>F7</f>
        <v>1</v>
      </c>
      <c r="J38" s="1570"/>
    </row>
    <row r="39" spans="1:13" ht="14.25" customHeight="1">
      <c r="A39" s="313" t="s">
        <v>369</v>
      </c>
      <c r="B39" s="1554" t="s">
        <v>337</v>
      </c>
      <c r="C39" s="1554"/>
      <c r="D39" s="1554"/>
      <c r="E39" s="1554"/>
      <c r="F39" s="1554"/>
      <c r="G39" s="1554"/>
      <c r="H39" s="1554"/>
      <c r="I39" s="1557"/>
      <c r="J39" s="1557"/>
    </row>
    <row r="40" spans="1:13" ht="14.25" customHeight="1">
      <c r="A40" s="313" t="s">
        <v>370</v>
      </c>
      <c r="B40" s="1554" t="s">
        <v>371</v>
      </c>
      <c r="C40" s="1554"/>
      <c r="D40" s="1554"/>
      <c r="E40" s="1554"/>
      <c r="F40" s="1554"/>
      <c r="G40" s="1554"/>
      <c r="H40" s="1554"/>
      <c r="I40" s="1555">
        <f>I36/I38</f>
        <v>1267.3854999999999</v>
      </c>
      <c r="J40" s="1555"/>
    </row>
    <row r="41" spans="1:13" ht="14.25" customHeight="1">
      <c r="A41" s="313" t="s">
        <v>372</v>
      </c>
      <c r="B41" s="1554" t="s">
        <v>373</v>
      </c>
      <c r="C41" s="1554"/>
      <c r="D41" s="1554"/>
      <c r="E41" s="1554"/>
      <c r="F41" s="1554"/>
      <c r="G41" s="1554"/>
      <c r="H41" s="1554"/>
      <c r="I41" s="1557"/>
      <c r="J41" s="1557"/>
    </row>
    <row r="42" spans="1:13" ht="14.25" customHeight="1">
      <c r="A42" s="1561" t="s">
        <v>428</v>
      </c>
      <c r="B42" s="1550" t="s">
        <v>375</v>
      </c>
      <c r="C42" s="1550"/>
      <c r="D42" s="1550"/>
      <c r="E42" s="1550"/>
      <c r="F42" s="1550" t="s">
        <v>376</v>
      </c>
      <c r="G42" s="1550" t="s">
        <v>377</v>
      </c>
      <c r="H42" s="1550" t="s">
        <v>378</v>
      </c>
      <c r="I42" s="1551" t="s">
        <v>343</v>
      </c>
      <c r="J42" s="1551"/>
    </row>
    <row r="43" spans="1:13" ht="14.25" customHeight="1">
      <c r="A43" s="1561"/>
      <c r="B43" s="1550"/>
      <c r="C43" s="1550"/>
      <c r="D43" s="1550"/>
      <c r="E43" s="1550"/>
      <c r="F43" s="1550"/>
      <c r="G43" s="1550"/>
      <c r="H43" s="1550"/>
      <c r="I43" s="1551"/>
      <c r="J43" s="1551"/>
    </row>
    <row r="44" spans="1:13" ht="14.25" customHeight="1">
      <c r="A44" s="1561"/>
      <c r="B44" s="1540" t="s">
        <v>379</v>
      </c>
      <c r="C44" s="1540"/>
      <c r="D44" s="1540"/>
      <c r="E44" s="1540"/>
      <c r="F44" s="314"/>
      <c r="G44" s="314"/>
      <c r="H44" s="314"/>
      <c r="I44" s="1541"/>
      <c r="J44" s="1541"/>
    </row>
    <row r="45" spans="1:13" ht="14.25" customHeight="1">
      <c r="A45" s="1561"/>
      <c r="B45" s="269"/>
      <c r="D45" s="158"/>
      <c r="E45" s="158"/>
      <c r="F45" s="160"/>
      <c r="G45" s="160"/>
      <c r="H45" s="160"/>
      <c r="I45" s="168"/>
      <c r="J45" s="328"/>
    </row>
    <row r="46" spans="1:13" ht="14.25" customHeight="1">
      <c r="A46" s="1561"/>
      <c r="B46" s="1568" t="s">
        <v>550</v>
      </c>
      <c r="C46" s="1568"/>
      <c r="D46" s="1568"/>
      <c r="E46" s="1568"/>
      <c r="F46" s="168" t="s">
        <v>108</v>
      </c>
      <c r="G46" s="302">
        <v>20</v>
      </c>
      <c r="H46" s="268">
        <f>+PRICE_LIST!D136</f>
        <v>120</v>
      </c>
      <c r="I46" s="1556">
        <f>G46*H46/5</f>
        <v>480</v>
      </c>
      <c r="J46" s="1556"/>
    </row>
    <row r="47" spans="1:13" ht="14.25" customHeight="1">
      <c r="A47" s="1561"/>
      <c r="B47" s="269"/>
      <c r="D47" s="158"/>
      <c r="E47" s="158"/>
      <c r="F47" s="168"/>
      <c r="G47" s="267"/>
      <c r="H47" s="303"/>
      <c r="I47" s="356"/>
      <c r="J47" s="328"/>
    </row>
    <row r="48" spans="1:13" ht="14.25" customHeight="1">
      <c r="A48" s="1561"/>
      <c r="B48" s="1549" t="s">
        <v>398</v>
      </c>
      <c r="C48" s="1549"/>
      <c r="D48" s="1549"/>
      <c r="E48" s="1549"/>
      <c r="F48" s="304"/>
      <c r="G48" s="304"/>
      <c r="H48" s="304"/>
      <c r="I48" s="1552">
        <f>SUM(I46:J46)</f>
        <v>480</v>
      </c>
      <c r="J48" s="1552"/>
      <c r="K48" s="323">
        <f>+ROUND(I48,2)</f>
        <v>480</v>
      </c>
      <c r="L48" s="161">
        <f>+I48</f>
        <v>480</v>
      </c>
      <c r="M48" s="368">
        <f>+K48-L48</f>
        <v>0</v>
      </c>
    </row>
    <row r="49" spans="1:12" ht="14.25" customHeight="1">
      <c r="A49" s="1560" t="s">
        <v>399</v>
      </c>
      <c r="B49" s="1540" t="s">
        <v>379</v>
      </c>
      <c r="C49" s="1540"/>
      <c r="D49" s="1540"/>
      <c r="E49" s="1540"/>
      <c r="F49" s="314"/>
      <c r="G49" s="314"/>
      <c r="H49" s="314"/>
      <c r="I49" s="1541"/>
      <c r="J49" s="1541"/>
    </row>
    <row r="50" spans="1:12" ht="14.25" customHeight="1">
      <c r="A50" s="1560"/>
      <c r="B50" s="1542"/>
      <c r="C50" s="1542"/>
      <c r="D50" s="1542"/>
      <c r="E50" s="1542"/>
      <c r="F50" s="253"/>
      <c r="G50" s="253"/>
      <c r="H50" s="253"/>
      <c r="I50" s="1543"/>
      <c r="J50" s="1543"/>
    </row>
    <row r="51" spans="1:12" ht="14.25" customHeight="1">
      <c r="A51" s="1560"/>
      <c r="B51" s="1549" t="s">
        <v>400</v>
      </c>
      <c r="C51" s="1549"/>
      <c r="D51" s="1549"/>
      <c r="E51" s="1549"/>
      <c r="F51" s="304"/>
      <c r="G51" s="304"/>
      <c r="H51" s="304"/>
      <c r="I51" s="1548">
        <v>0</v>
      </c>
      <c r="J51" s="1548"/>
    </row>
    <row r="52" spans="1:12" ht="14.25" customHeight="1">
      <c r="A52" s="313" t="s">
        <v>401</v>
      </c>
      <c r="B52" s="1554" t="s">
        <v>402</v>
      </c>
      <c r="C52" s="1554"/>
      <c r="D52" s="1554"/>
      <c r="E52" s="1554"/>
      <c r="F52" s="1554"/>
      <c r="G52" s="1554"/>
      <c r="H52" s="1554"/>
      <c r="I52" s="1555">
        <f>ROUND(I40+I48,2)</f>
        <v>1747.39</v>
      </c>
      <c r="J52" s="1555"/>
      <c r="K52" s="332">
        <f>+K19+K32+K48</f>
        <v>1747.39</v>
      </c>
      <c r="L52" s="161">
        <f>+I52-K52</f>
        <v>0</v>
      </c>
    </row>
    <row r="53" spans="1:12" ht="14.25" customHeight="1">
      <c r="A53" s="313" t="s">
        <v>403</v>
      </c>
      <c r="B53" s="1554" t="s">
        <v>404</v>
      </c>
      <c r="C53" s="1554"/>
      <c r="D53" s="1554"/>
      <c r="E53" s="1554"/>
      <c r="F53" s="1554"/>
      <c r="G53" s="1554"/>
      <c r="H53" s="1554"/>
      <c r="I53" s="1557"/>
      <c r="J53" s="1557"/>
    </row>
    <row r="54" spans="1:12" ht="14.25" customHeight="1">
      <c r="A54" s="313" t="s">
        <v>405</v>
      </c>
      <c r="B54" s="1554" t="s">
        <v>406</v>
      </c>
      <c r="C54" s="1554"/>
      <c r="D54" s="1554"/>
      <c r="E54" s="1554"/>
      <c r="F54" s="1554"/>
      <c r="G54" s="1554"/>
      <c r="H54" s="318">
        <v>0.12</v>
      </c>
      <c r="I54" s="1555">
        <f>+ROUND(H54*I52,4)</f>
        <v>209.68680000000001</v>
      </c>
      <c r="J54" s="1555"/>
      <c r="K54" s="333"/>
    </row>
    <row r="55" spans="1:12" ht="14.25" customHeight="1">
      <c r="A55" s="313" t="s">
        <v>407</v>
      </c>
      <c r="B55" s="1554" t="s">
        <v>408</v>
      </c>
      <c r="C55" s="1554"/>
      <c r="D55" s="1554"/>
      <c r="E55" s="1554"/>
      <c r="F55" s="1554"/>
      <c r="G55" s="1554"/>
      <c r="H55" s="319"/>
      <c r="I55" s="1557"/>
      <c r="J55" s="1557"/>
      <c r="K55" s="333"/>
    </row>
    <row r="56" spans="1:12" ht="14.25" customHeight="1">
      <c r="A56" s="313" t="s">
        <v>409</v>
      </c>
      <c r="B56" s="1554" t="s">
        <v>410</v>
      </c>
      <c r="C56" s="1554"/>
      <c r="D56" s="1554"/>
      <c r="E56" s="1554"/>
      <c r="F56" s="1554"/>
      <c r="G56" s="1554"/>
      <c r="H56" s="318">
        <v>0.08</v>
      </c>
      <c r="I56" s="1555">
        <f>+ROUND(H56*I52,4)</f>
        <v>139.7912</v>
      </c>
      <c r="J56" s="1555"/>
      <c r="K56" s="333"/>
    </row>
    <row r="57" spans="1:12" ht="14.25" customHeight="1">
      <c r="A57" s="313" t="s">
        <v>411</v>
      </c>
      <c r="B57" s="1554" t="s">
        <v>412</v>
      </c>
      <c r="C57" s="1554"/>
      <c r="D57" s="1554"/>
      <c r="E57" s="1554"/>
      <c r="F57" s="1554"/>
      <c r="G57" s="1554"/>
      <c r="H57" s="319"/>
      <c r="I57" s="1557"/>
      <c r="J57" s="1557"/>
      <c r="K57" s="333"/>
    </row>
    <row r="58" spans="1:12" ht="14.25" customHeight="1">
      <c r="A58" s="313" t="s">
        <v>413</v>
      </c>
      <c r="B58" s="1554" t="s">
        <v>414</v>
      </c>
      <c r="C58" s="1554"/>
      <c r="D58" s="1554"/>
      <c r="E58" s="1554"/>
      <c r="F58" s="1554"/>
      <c r="G58" s="1554"/>
      <c r="H58" s="335">
        <v>0.05</v>
      </c>
      <c r="I58" s="1555">
        <f>ROUND(H58*(I52+I54+I56),4)</f>
        <v>104.8434</v>
      </c>
      <c r="J58" s="1555"/>
      <c r="K58" s="333"/>
    </row>
    <row r="59" spans="1:12" ht="14.25" customHeight="1">
      <c r="A59" s="313" t="s">
        <v>415</v>
      </c>
      <c r="B59" s="1554" t="s">
        <v>416</v>
      </c>
      <c r="C59" s="1554"/>
      <c r="D59" s="1554"/>
      <c r="E59" s="1554"/>
      <c r="F59" s="1554"/>
      <c r="G59" s="1554"/>
      <c r="H59" s="319"/>
      <c r="I59" s="1557"/>
      <c r="J59" s="1557"/>
    </row>
    <row r="60" spans="1:12" ht="14.25" customHeight="1">
      <c r="A60" s="313" t="s">
        <v>417</v>
      </c>
      <c r="B60" s="1554" t="s">
        <v>418</v>
      </c>
      <c r="C60" s="1554"/>
      <c r="D60" s="1554"/>
      <c r="E60" s="1554"/>
      <c r="F60" s="1554"/>
      <c r="G60" s="1554"/>
      <c r="H60" s="319" t="s">
        <v>419</v>
      </c>
      <c r="I60" s="1555">
        <f>+ROUND(SUM(I52:J59),2)</f>
        <v>2201.71</v>
      </c>
      <c r="J60" s="1555"/>
    </row>
    <row r="61" spans="1:12" ht="14.25" customHeight="1">
      <c r="A61" s="353" t="s">
        <v>420</v>
      </c>
      <c r="B61" s="1566" t="s">
        <v>421</v>
      </c>
      <c r="C61" s="1566"/>
      <c r="D61" s="1566"/>
      <c r="E61" s="1566"/>
      <c r="F61" s="1566"/>
      <c r="G61" s="1566"/>
      <c r="H61" s="354"/>
      <c r="I61" s="1572"/>
      <c r="J61" s="1572"/>
    </row>
    <row r="62" spans="1:12" ht="39.950000000000003" customHeight="1">
      <c r="A62" s="1563" t="str">
        <f>'POW-2015-01-00_'!A42:AG42</f>
        <v>Note: Prices/Rates were based on CMPD 4TH Quarter CY 2022 for Materials, Memorandum dated December 29, 2022 for Labor cost and Memorandum dated May 18, 2022 for Equipment rental including Fuel &amp; Oil/Lubricant cost as of January 4, 2023 for DPWH Regional/District Engineering Offices</v>
      </c>
      <c r="B62" s="1563"/>
      <c r="C62" s="1563"/>
      <c r="D62" s="1563"/>
      <c r="E62" s="1563"/>
      <c r="F62" s="1563"/>
      <c r="G62" s="1563"/>
      <c r="H62" s="1563"/>
      <c r="I62" s="1563"/>
      <c r="J62" s="1563"/>
    </row>
    <row r="63" spans="1:12" ht="14.25" customHeight="1">
      <c r="A63" s="1564" t="s">
        <v>20</v>
      </c>
      <c r="B63" s="1564"/>
      <c r="C63" s="1564"/>
      <c r="H63" s="5" t="s">
        <v>422</v>
      </c>
    </row>
    <row r="64" spans="1:12" ht="14.25" customHeight="1">
      <c r="A64" s="171"/>
      <c r="B64" s="171"/>
      <c r="C64" s="171"/>
      <c r="H64" s="5"/>
    </row>
    <row r="65" spans="1:10" ht="14.25" customHeight="1">
      <c r="A65" s="171"/>
      <c r="B65" s="171"/>
      <c r="C65" s="171"/>
      <c r="H65" s="5"/>
    </row>
    <row r="66" spans="1:10" ht="14.25" customHeight="1">
      <c r="A66" s="1502" t="str">
        <f>+'POW-2015-01-00_'!A48:E48</f>
        <v xml:space="preserve">WINLOVE A. ESTEVES
</v>
      </c>
      <c r="B66" s="1502"/>
      <c r="C66" s="1502"/>
      <c r="D66" s="1502"/>
      <c r="H66" s="1502" t="str">
        <f>+'POW-2015-01-00_'!H48:L48</f>
        <v>MARK ANGELO E. SURIL</v>
      </c>
      <c r="I66" s="1502"/>
      <c r="J66" s="1502"/>
    </row>
    <row r="67" spans="1:10" ht="14.25" customHeight="1">
      <c r="A67" s="1565" t="s">
        <v>102</v>
      </c>
      <c r="B67" s="1565"/>
      <c r="C67" s="1565"/>
      <c r="D67" s="1565"/>
      <c r="H67" s="1565" t="s">
        <v>102</v>
      </c>
      <c r="I67" s="1565"/>
      <c r="J67" s="1565"/>
    </row>
    <row r="68" spans="1:10" ht="14.25" customHeight="1">
      <c r="A68" s="1521" t="s">
        <v>423</v>
      </c>
      <c r="B68" s="1521"/>
      <c r="C68" s="1521"/>
      <c r="D68" s="1521"/>
      <c r="H68" s="1521" t="str">
        <f>A68</f>
        <v>DPWH-ADEO</v>
      </c>
      <c r="I68" s="1521"/>
      <c r="J68" s="1521"/>
    </row>
    <row r="69" spans="1:10" ht="14.25" customHeight="1"/>
    <row r="70" spans="1:10" ht="14.25" customHeight="1"/>
    <row r="71" spans="1:10" ht="14.25" customHeight="1"/>
    <row r="72" spans="1:10" ht="14.25" customHeight="1"/>
    <row r="73" spans="1:10" ht="14.25" customHeight="1"/>
    <row r="74" spans="1:10" ht="14.25" customHeight="1"/>
    <row r="75" spans="1:10" ht="14.25" customHeight="1"/>
    <row r="76" spans="1:10" ht="14.25" customHeight="1"/>
    <row r="77" spans="1:10" ht="14.25" customHeight="1"/>
    <row r="78" spans="1:10" ht="14.25" customHeight="1"/>
    <row r="79" spans="1:10" ht="14.25" customHeight="1"/>
    <row r="80" spans="1:1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sheetData>
  <mergeCells count="103">
    <mergeCell ref="A67:D67"/>
    <mergeCell ref="H67:J67"/>
    <mergeCell ref="A68:D68"/>
    <mergeCell ref="H68:J68"/>
    <mergeCell ref="A11:A19"/>
    <mergeCell ref="A20:A22"/>
    <mergeCell ref="A23:A32"/>
    <mergeCell ref="A33:A35"/>
    <mergeCell ref="A42:A48"/>
    <mergeCell ref="A49:A51"/>
    <mergeCell ref="F11:F12"/>
    <mergeCell ref="F23:F24"/>
    <mergeCell ref="F42:F43"/>
    <mergeCell ref="G11:G12"/>
    <mergeCell ref="G23:G24"/>
    <mergeCell ref="G42:G43"/>
    <mergeCell ref="H11:H12"/>
    <mergeCell ref="H23:H24"/>
    <mergeCell ref="H42:H43"/>
    <mergeCell ref="B42:E43"/>
    <mergeCell ref="I42:J43"/>
    <mergeCell ref="B11:E12"/>
    <mergeCell ref="I11:J12"/>
    <mergeCell ref="B23:E24"/>
    <mergeCell ref="B59:G59"/>
    <mergeCell ref="I59:J59"/>
    <mergeCell ref="B60:G60"/>
    <mergeCell ref="I60:J60"/>
    <mergeCell ref="B61:G61"/>
    <mergeCell ref="I61:J61"/>
    <mergeCell ref="A62:J62"/>
    <mergeCell ref="A63:C63"/>
    <mergeCell ref="A66:D66"/>
    <mergeCell ref="H66:J66"/>
    <mergeCell ref="B54:G54"/>
    <mergeCell ref="I54:J54"/>
    <mergeCell ref="B55:G55"/>
    <mergeCell ref="I55:J55"/>
    <mergeCell ref="B56:G56"/>
    <mergeCell ref="I56:J56"/>
    <mergeCell ref="B57:G57"/>
    <mergeCell ref="I57:J57"/>
    <mergeCell ref="B58:G58"/>
    <mergeCell ref="I58:J58"/>
    <mergeCell ref="B49:E49"/>
    <mergeCell ref="I49:J49"/>
    <mergeCell ref="B50:E50"/>
    <mergeCell ref="I50:J50"/>
    <mergeCell ref="B51:E51"/>
    <mergeCell ref="I51:J51"/>
    <mergeCell ref="B52:H52"/>
    <mergeCell ref="I52:J52"/>
    <mergeCell ref="B53:H53"/>
    <mergeCell ref="I53:J53"/>
    <mergeCell ref="B40:H40"/>
    <mergeCell ref="I40:J40"/>
    <mergeCell ref="B41:H41"/>
    <mergeCell ref="I41:J41"/>
    <mergeCell ref="B44:E44"/>
    <mergeCell ref="I44:J44"/>
    <mergeCell ref="B46:E46"/>
    <mergeCell ref="I46:J46"/>
    <mergeCell ref="B48:E48"/>
    <mergeCell ref="I48:J48"/>
    <mergeCell ref="B35:E35"/>
    <mergeCell ref="I35:J35"/>
    <mergeCell ref="B36:H36"/>
    <mergeCell ref="I36:J36"/>
    <mergeCell ref="B37:H37"/>
    <mergeCell ref="I37:J37"/>
    <mergeCell ref="B38:H38"/>
    <mergeCell ref="I38:J38"/>
    <mergeCell ref="B39:H39"/>
    <mergeCell ref="I39:J39"/>
    <mergeCell ref="I28:J28"/>
    <mergeCell ref="I29:J29"/>
    <mergeCell ref="B30:E30"/>
    <mergeCell ref="I30:J30"/>
    <mergeCell ref="B32:E32"/>
    <mergeCell ref="I32:J32"/>
    <mergeCell ref="B33:E33"/>
    <mergeCell ref="I33:J33"/>
    <mergeCell ref="B34:E34"/>
    <mergeCell ref="I34:J34"/>
    <mergeCell ref="B20:E20"/>
    <mergeCell ref="I20:J20"/>
    <mergeCell ref="B21:E21"/>
    <mergeCell ref="I21:J21"/>
    <mergeCell ref="B22:E22"/>
    <mergeCell ref="I22:J22"/>
    <mergeCell ref="B25:E25"/>
    <mergeCell ref="I25:J25"/>
    <mergeCell ref="I27:J27"/>
    <mergeCell ref="I23:J24"/>
    <mergeCell ref="H2:J2"/>
    <mergeCell ref="A5:D5"/>
    <mergeCell ref="B13:E13"/>
    <mergeCell ref="I13:J13"/>
    <mergeCell ref="I15:J15"/>
    <mergeCell ref="I16:J16"/>
    <mergeCell ref="I17:J17"/>
    <mergeCell ref="B19:E19"/>
    <mergeCell ref="I19:J19"/>
  </mergeCells>
  <printOptions horizontalCentered="1"/>
  <pageMargins left="0.118055555555556" right="0.118055555555556" top="0.39305555555555599" bottom="0.39305555555555599" header="0.39305555555555599" footer="0"/>
  <pageSetup paperSize="9" scale="73" orientation="portrait"/>
  <headerFooter alignWithMargins="0">
    <oddHeader>&amp;CCONSTRUCTION OF ROAD 
BRGY. L. PIMENTEL, SAN LUIS, AURORA
DETAILED UNIT PRICE ANALYSIS (DUPA)</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DDD9C3"/>
    <pageSetUpPr fitToPage="1"/>
  </sheetPr>
  <dimension ref="A1:P101"/>
  <sheetViews>
    <sheetView topLeftCell="A40" workbookViewId="0">
      <selection activeCell="F26" sqref="F26"/>
    </sheetView>
  </sheetViews>
  <sheetFormatPr defaultColWidth="9" defaultRowHeight="14.25"/>
  <cols>
    <col min="1" max="1" width="5.375" customWidth="1"/>
    <col min="2" max="2" width="3" customWidth="1"/>
    <col min="3" max="3" width="8.375" style="158" customWidth="1"/>
    <col min="4" max="4" width="21.5" customWidth="1"/>
    <col min="5" max="5" width="18" customWidth="1"/>
    <col min="6" max="6" width="15.5" customWidth="1"/>
    <col min="7" max="7" width="15" customWidth="1"/>
    <col min="8" max="8" width="18.5" customWidth="1"/>
    <col min="9" max="9" width="6.125" customWidth="1"/>
    <col min="10" max="10" width="11.875" customWidth="1"/>
    <col min="11" max="12" width="8.5" customWidth="1"/>
    <col min="13" max="13" width="13.25" customWidth="1"/>
    <col min="14" max="15" width="8.5" customWidth="1"/>
    <col min="16" max="16" width="9.75" customWidth="1"/>
    <col min="17" max="1024" width="8.5" customWidth="1"/>
    <col min="1025" max="1025" width="9" customWidth="1"/>
  </cols>
  <sheetData>
    <row r="1" spans="1:10" ht="14.25" customHeight="1"/>
    <row r="2" spans="1:10" ht="14.25" customHeight="1">
      <c r="H2" s="1538" t="s">
        <v>330</v>
      </c>
      <c r="I2" s="1538"/>
      <c r="J2" s="1538"/>
    </row>
    <row r="3" spans="1:10" ht="14.25" customHeight="1">
      <c r="H3" s="295"/>
      <c r="I3" s="295"/>
      <c r="J3" s="295"/>
    </row>
    <row r="4" spans="1:10" ht="14.25" customHeight="1">
      <c r="H4" s="295"/>
      <c r="I4" s="295"/>
      <c r="J4" s="295"/>
    </row>
    <row r="5" spans="1:10" ht="14.25" customHeight="1">
      <c r="A5" s="1539" t="s">
        <v>331</v>
      </c>
      <c r="B5" s="1539"/>
      <c r="C5" s="1539"/>
      <c r="D5" s="1539"/>
      <c r="E5" s="296" t="s">
        <v>49</v>
      </c>
      <c r="F5" t="s">
        <v>551</v>
      </c>
      <c r="G5" t="s">
        <v>552</v>
      </c>
    </row>
    <row r="6" spans="1:10" ht="14.25" customHeight="1">
      <c r="A6" t="s">
        <v>334</v>
      </c>
      <c r="E6" s="296" t="s">
        <v>49</v>
      </c>
      <c r="F6" t="s">
        <v>204</v>
      </c>
    </row>
    <row r="7" spans="1:10" ht="14.25" customHeight="1">
      <c r="A7" t="s">
        <v>336</v>
      </c>
      <c r="E7" s="296" t="s">
        <v>49</v>
      </c>
      <c r="F7" s="297">
        <v>80</v>
      </c>
    </row>
    <row r="8" spans="1:10" ht="14.25" customHeight="1">
      <c r="A8" t="s">
        <v>337</v>
      </c>
      <c r="E8" s="296" t="s">
        <v>49</v>
      </c>
    </row>
    <row r="9" spans="1:10" ht="14.25" customHeight="1">
      <c r="A9" s="5"/>
      <c r="B9" s="5"/>
      <c r="C9" s="171"/>
      <c r="D9" s="5"/>
      <c r="E9" s="296"/>
    </row>
    <row r="10" spans="1:10" ht="14.25" customHeight="1">
      <c r="A10" s="5"/>
      <c r="B10" s="5"/>
      <c r="C10" s="171"/>
      <c r="D10" s="5"/>
      <c r="E10" s="296"/>
    </row>
    <row r="11" spans="1:10" ht="14.25" customHeight="1">
      <c r="A11" s="1573" t="s">
        <v>426</v>
      </c>
      <c r="B11" s="1546" t="s">
        <v>339</v>
      </c>
      <c r="C11" s="1546"/>
      <c r="D11" s="1546"/>
      <c r="E11" s="1546"/>
      <c r="F11" s="1546" t="s">
        <v>340</v>
      </c>
      <c r="G11" s="1546" t="s">
        <v>341</v>
      </c>
      <c r="H11" s="1546" t="s">
        <v>342</v>
      </c>
      <c r="I11" s="1545" t="s">
        <v>343</v>
      </c>
      <c r="J11" s="1545"/>
    </row>
    <row r="12" spans="1:10" ht="14.25" customHeight="1">
      <c r="A12" s="1573"/>
      <c r="B12" s="1546"/>
      <c r="C12" s="1546"/>
      <c r="D12" s="1546"/>
      <c r="E12" s="1546"/>
      <c r="F12" s="1546"/>
      <c r="G12" s="1546"/>
      <c r="H12" s="1546"/>
      <c r="I12" s="1545"/>
      <c r="J12" s="1545"/>
    </row>
    <row r="13" spans="1:10" ht="14.25" customHeight="1">
      <c r="A13" s="1573"/>
      <c r="B13" s="1540" t="s">
        <v>344</v>
      </c>
      <c r="C13" s="1540"/>
      <c r="D13" s="1540"/>
      <c r="E13" s="1540"/>
      <c r="F13" s="300"/>
      <c r="G13" s="300"/>
      <c r="H13" s="300"/>
      <c r="I13" s="1541"/>
      <c r="J13" s="1541"/>
    </row>
    <row r="14" spans="1:10" ht="14.25" customHeight="1">
      <c r="A14" s="1573"/>
      <c r="B14" s="269"/>
      <c r="D14" s="158"/>
      <c r="E14" s="158"/>
      <c r="F14" s="183"/>
      <c r="G14" s="183"/>
      <c r="H14" s="183"/>
      <c r="I14" s="185"/>
      <c r="J14" s="320"/>
    </row>
    <row r="15" spans="1:10" ht="14.25" customHeight="1">
      <c r="A15" s="1573"/>
      <c r="B15" s="168" t="s">
        <v>345</v>
      </c>
      <c r="C15" s="158" t="s">
        <v>346</v>
      </c>
      <c r="D15" s="158"/>
      <c r="E15" s="158"/>
      <c r="F15" s="301">
        <v>1</v>
      </c>
      <c r="G15" s="302">
        <v>1</v>
      </c>
      <c r="H15" s="268">
        <f>+VLOOKUP(C15,LABOR,2,0)</f>
        <v>110.65</v>
      </c>
      <c r="I15" s="1544">
        <f>F15*G15*H15</f>
        <v>110.65</v>
      </c>
      <c r="J15" s="1544"/>
    </row>
    <row r="16" spans="1:10" ht="14.25" customHeight="1">
      <c r="A16" s="1573"/>
      <c r="B16" s="168" t="s">
        <v>347</v>
      </c>
      <c r="C16" s="158" t="s">
        <v>350</v>
      </c>
      <c r="D16" s="158"/>
      <c r="E16" s="158"/>
      <c r="F16" s="301">
        <v>2</v>
      </c>
      <c r="G16" s="302">
        <v>1</v>
      </c>
      <c r="H16" s="268">
        <f>+VLOOKUP(C16,LABOR,2,0)</f>
        <v>61.75</v>
      </c>
      <c r="I16" s="1544">
        <f>F16*G16*H16</f>
        <v>123.5</v>
      </c>
      <c r="J16" s="1544"/>
    </row>
    <row r="17" spans="1:13" ht="14.25" customHeight="1">
      <c r="A17" s="1573"/>
      <c r="B17" s="168"/>
      <c r="D17" s="158"/>
      <c r="E17" s="158"/>
      <c r="F17" s="301"/>
      <c r="G17" s="302"/>
      <c r="H17" s="303"/>
      <c r="I17" s="321"/>
      <c r="J17" s="322"/>
    </row>
    <row r="18" spans="1:13" ht="14.25" customHeight="1">
      <c r="A18" s="1573"/>
      <c r="B18" s="1549" t="s">
        <v>351</v>
      </c>
      <c r="C18" s="1549"/>
      <c r="D18" s="1549"/>
      <c r="E18" s="1549"/>
      <c r="F18" s="304"/>
      <c r="G18" s="304"/>
      <c r="H18" s="304"/>
      <c r="I18" s="1548">
        <f>SUM(I15:J16)</f>
        <v>234.15</v>
      </c>
      <c r="J18" s="1548"/>
      <c r="K18" s="323">
        <f>ROUND(I18/F7,2)</f>
        <v>2.93</v>
      </c>
      <c r="L18" s="161"/>
      <c r="M18" s="344"/>
    </row>
    <row r="19" spans="1:13" ht="14.25" customHeight="1">
      <c r="A19" s="1560" t="s">
        <v>352</v>
      </c>
      <c r="B19" s="1540" t="s">
        <v>344</v>
      </c>
      <c r="C19" s="1540"/>
      <c r="D19" s="1540"/>
      <c r="E19" s="1540"/>
      <c r="F19" s="300"/>
      <c r="G19" s="300"/>
      <c r="H19" s="300"/>
      <c r="I19" s="1541"/>
      <c r="J19" s="1541"/>
    </row>
    <row r="20" spans="1:13" ht="14.25" customHeight="1">
      <c r="A20" s="1560"/>
      <c r="B20" s="1542"/>
      <c r="C20" s="1542"/>
      <c r="D20" s="1542"/>
      <c r="E20" s="1542"/>
      <c r="F20" s="253"/>
      <c r="G20" s="253"/>
      <c r="H20" s="253"/>
      <c r="I20" s="1543"/>
      <c r="J20" s="1543"/>
    </row>
    <row r="21" spans="1:13" ht="14.25" customHeight="1">
      <c r="A21" s="1560"/>
      <c r="B21" s="1549" t="s">
        <v>353</v>
      </c>
      <c r="C21" s="1549"/>
      <c r="D21" s="1549"/>
      <c r="E21" s="1549"/>
      <c r="F21" s="305"/>
      <c r="G21" s="305"/>
      <c r="H21" s="305"/>
      <c r="I21" s="1575">
        <v>0</v>
      </c>
      <c r="J21" s="1575"/>
    </row>
    <row r="22" spans="1:13" ht="14.25" customHeight="1">
      <c r="A22" s="1561" t="s">
        <v>354</v>
      </c>
      <c r="B22" s="1550" t="s">
        <v>355</v>
      </c>
      <c r="C22" s="1550"/>
      <c r="D22" s="1550"/>
      <c r="E22" s="1550"/>
      <c r="F22" s="1550" t="s">
        <v>356</v>
      </c>
      <c r="G22" s="1550" t="s">
        <v>341</v>
      </c>
      <c r="H22" s="1550" t="s">
        <v>342</v>
      </c>
      <c r="I22" s="1551" t="s">
        <v>359</v>
      </c>
      <c r="J22" s="1551"/>
    </row>
    <row r="23" spans="1:13" ht="14.25" customHeight="1">
      <c r="A23" s="1561"/>
      <c r="B23" s="1550"/>
      <c r="C23" s="1550"/>
      <c r="D23" s="1550"/>
      <c r="E23" s="1550"/>
      <c r="F23" s="1550"/>
      <c r="G23" s="1550"/>
      <c r="H23" s="1550"/>
      <c r="I23" s="1551"/>
      <c r="J23" s="1551"/>
    </row>
    <row r="24" spans="1:13" ht="14.25" customHeight="1">
      <c r="A24" s="1561"/>
      <c r="B24" s="1540" t="s">
        <v>360</v>
      </c>
      <c r="C24" s="1540"/>
      <c r="D24" s="1540"/>
      <c r="E24" s="1540"/>
      <c r="F24" s="300"/>
      <c r="G24" s="300"/>
      <c r="H24" s="300"/>
      <c r="I24" s="1541"/>
      <c r="J24" s="1541"/>
    </row>
    <row r="25" spans="1:13" ht="14.25" customHeight="1">
      <c r="A25" s="1561"/>
      <c r="B25" s="269"/>
      <c r="D25" s="158"/>
      <c r="E25" s="315"/>
      <c r="F25" s="178"/>
      <c r="G25" s="183"/>
      <c r="H25" s="306"/>
      <c r="I25" s="12"/>
      <c r="J25" s="320"/>
    </row>
    <row r="26" spans="1:13" ht="14.25" customHeight="1">
      <c r="A26" s="1561"/>
      <c r="B26" s="168" t="s">
        <v>345</v>
      </c>
      <c r="C26" s="158" t="s">
        <v>128</v>
      </c>
      <c r="D26" s="158"/>
      <c r="E26" s="315"/>
      <c r="F26" s="338">
        <v>1</v>
      </c>
      <c r="G26" s="307">
        <v>1</v>
      </c>
      <c r="H26" s="355">
        <f>+VLOOKUP(C26,equipment,3,0)</f>
        <v>4060.69</v>
      </c>
      <c r="I26" s="1569">
        <f>F26*G26*H26</f>
        <v>4060.69</v>
      </c>
      <c r="J26" s="1569"/>
    </row>
    <row r="27" spans="1:13" ht="14.25" customHeight="1">
      <c r="A27" s="1561"/>
      <c r="B27" s="168" t="s">
        <v>347</v>
      </c>
      <c r="C27" s="158" t="s">
        <v>129</v>
      </c>
      <c r="D27" s="158"/>
      <c r="E27" s="315"/>
      <c r="F27" s="338">
        <v>1</v>
      </c>
      <c r="G27" s="307">
        <v>1</v>
      </c>
      <c r="H27" s="355">
        <f>+VLOOKUP(C27,equipment,3,0)</f>
        <v>2114.8000000000002</v>
      </c>
      <c r="I27" s="1569">
        <f>F27*G27*H27</f>
        <v>2114.8000000000002</v>
      </c>
      <c r="J27" s="1569"/>
    </row>
    <row r="28" spans="1:13" ht="14.25" customHeight="1">
      <c r="A28" s="1561"/>
      <c r="B28" s="168" t="s">
        <v>349</v>
      </c>
      <c r="C28" s="158" t="s">
        <v>131</v>
      </c>
      <c r="D28" s="158"/>
      <c r="E28" s="315"/>
      <c r="F28" s="338">
        <v>1</v>
      </c>
      <c r="G28" s="307">
        <v>0.3</v>
      </c>
      <c r="H28" s="355">
        <f>+VLOOKUP(C28,equipment,3,0)</f>
        <v>2114.8000000000002</v>
      </c>
      <c r="I28" s="1569">
        <f>F28*G28*H28</f>
        <v>634.44000000000005</v>
      </c>
      <c r="J28" s="1569"/>
    </row>
    <row r="29" spans="1:13" ht="14.25" customHeight="1">
      <c r="A29" s="1561"/>
      <c r="B29" s="168" t="s">
        <v>380</v>
      </c>
      <c r="C29" s="158" t="s">
        <v>125</v>
      </c>
      <c r="D29" s="158"/>
      <c r="E29" s="315"/>
      <c r="F29" s="338">
        <v>3</v>
      </c>
      <c r="G29" s="307">
        <v>1</v>
      </c>
      <c r="H29" s="355">
        <f>+VLOOKUP(C29,equipment,3,0)</f>
        <v>2932.45</v>
      </c>
      <c r="I29" s="1569">
        <f>F29*G29*H29</f>
        <v>8797.3499999999985</v>
      </c>
      <c r="J29" s="1569"/>
    </row>
    <row r="30" spans="1:13" ht="14.25" customHeight="1">
      <c r="A30" s="1561"/>
      <c r="B30" s="168" t="s">
        <v>381</v>
      </c>
      <c r="C30" s="158" t="s">
        <v>123</v>
      </c>
      <c r="D30" s="158"/>
      <c r="E30" s="315"/>
      <c r="F30" s="338">
        <v>1</v>
      </c>
      <c r="G30" s="307">
        <v>1</v>
      </c>
      <c r="H30" s="355">
        <f>+VLOOKUP(C30,equipment,3,0)</f>
        <v>2588.75</v>
      </c>
      <c r="I30" s="1569">
        <f>F30*G30*H30</f>
        <v>2588.75</v>
      </c>
      <c r="J30" s="1569"/>
    </row>
    <row r="31" spans="1:13" ht="14.25" customHeight="1">
      <c r="A31" s="1561"/>
      <c r="B31" s="168"/>
      <c r="D31" s="158"/>
      <c r="E31" s="315"/>
      <c r="F31" s="338"/>
      <c r="G31" s="307"/>
      <c r="H31" s="308"/>
      <c r="I31" s="326"/>
      <c r="J31" s="327"/>
    </row>
    <row r="32" spans="1:13" ht="14.25" customHeight="1">
      <c r="A32" s="1561"/>
      <c r="B32" s="1549" t="s">
        <v>361</v>
      </c>
      <c r="C32" s="1549"/>
      <c r="D32" s="1549"/>
      <c r="E32" s="1549"/>
      <c r="F32" s="305"/>
      <c r="G32" s="305"/>
      <c r="H32" s="305"/>
      <c r="I32" s="1552">
        <f>+SUM(I25:J31)</f>
        <v>18196.03</v>
      </c>
      <c r="J32" s="1552"/>
      <c r="K32" s="323">
        <f>+ROUND(I32/F7,2)</f>
        <v>227.45</v>
      </c>
      <c r="L32" s="161"/>
      <c r="M32" s="344"/>
    </row>
    <row r="33" spans="1:10" ht="14.25" customHeight="1">
      <c r="A33" s="1560" t="s">
        <v>362</v>
      </c>
      <c r="B33" s="1540" t="s">
        <v>360</v>
      </c>
      <c r="C33" s="1540"/>
      <c r="D33" s="1540"/>
      <c r="E33" s="1540"/>
      <c r="F33" s="300"/>
      <c r="G33" s="300"/>
      <c r="H33" s="300"/>
      <c r="I33" s="1541"/>
      <c r="J33" s="1541"/>
    </row>
    <row r="34" spans="1:10" ht="14.25" customHeight="1">
      <c r="A34" s="1560"/>
      <c r="B34" s="1542"/>
      <c r="C34" s="1542"/>
      <c r="D34" s="1542"/>
      <c r="E34" s="1542"/>
      <c r="F34" s="306"/>
      <c r="G34" s="306"/>
      <c r="H34" s="306"/>
      <c r="I34" s="1543"/>
      <c r="J34" s="1543"/>
    </row>
    <row r="35" spans="1:10" ht="14.25" customHeight="1">
      <c r="A35" s="1560"/>
      <c r="B35" s="1549" t="s">
        <v>363</v>
      </c>
      <c r="C35" s="1549"/>
      <c r="D35" s="1549"/>
      <c r="E35" s="1549"/>
      <c r="F35" s="305"/>
      <c r="G35" s="305"/>
      <c r="H35" s="305"/>
      <c r="I35" s="1575">
        <v>0</v>
      </c>
      <c r="J35" s="1575"/>
    </row>
    <row r="36" spans="1:10" ht="14.25" customHeight="1">
      <c r="A36" s="311" t="s">
        <v>364</v>
      </c>
      <c r="B36" s="1554" t="s">
        <v>365</v>
      </c>
      <c r="C36" s="1554"/>
      <c r="D36" s="1554"/>
      <c r="E36" s="1554"/>
      <c r="F36" s="1554"/>
      <c r="G36" s="1554"/>
      <c r="H36" s="1554"/>
      <c r="I36" s="1555">
        <f>I18+I32</f>
        <v>18430.18</v>
      </c>
      <c r="J36" s="1555"/>
    </row>
    <row r="37" spans="1:10" ht="14.25" customHeight="1">
      <c r="A37" s="313" t="s">
        <v>366</v>
      </c>
      <c r="B37" s="1554" t="s">
        <v>367</v>
      </c>
      <c r="C37" s="1554"/>
      <c r="D37" s="1554"/>
      <c r="E37" s="1554"/>
      <c r="F37" s="1554"/>
      <c r="G37" s="1554"/>
      <c r="H37" s="1554"/>
      <c r="I37" s="1557"/>
      <c r="J37" s="1557"/>
    </row>
    <row r="38" spans="1:10" ht="14.25" customHeight="1">
      <c r="A38" s="313" t="s">
        <v>368</v>
      </c>
      <c r="B38" s="1554" t="s">
        <v>336</v>
      </c>
      <c r="C38" s="1554"/>
      <c r="D38" s="1554"/>
      <c r="E38" s="1554"/>
      <c r="F38" s="1554"/>
      <c r="G38" s="1554"/>
      <c r="H38" s="1554"/>
      <c r="I38" s="1570">
        <f>F7</f>
        <v>80</v>
      </c>
      <c r="J38" s="1570"/>
    </row>
    <row r="39" spans="1:10" ht="14.25" customHeight="1">
      <c r="A39" s="313" t="s">
        <v>369</v>
      </c>
      <c r="B39" s="1554" t="s">
        <v>337</v>
      </c>
      <c r="C39" s="1554"/>
      <c r="D39" s="1554"/>
      <c r="E39" s="1554"/>
      <c r="F39" s="1554"/>
      <c r="G39" s="1554"/>
      <c r="H39" s="1554"/>
      <c r="I39" s="1557"/>
      <c r="J39" s="1557"/>
    </row>
    <row r="40" spans="1:10" ht="14.25" customHeight="1">
      <c r="A40" s="313" t="s">
        <v>370</v>
      </c>
      <c r="B40" s="1554" t="s">
        <v>371</v>
      </c>
      <c r="C40" s="1554"/>
      <c r="D40" s="1554"/>
      <c r="E40" s="1554"/>
      <c r="F40" s="1554"/>
      <c r="G40" s="1554"/>
      <c r="H40" s="1554"/>
      <c r="I40" s="1555">
        <f>I36/I38</f>
        <v>230.37725</v>
      </c>
      <c r="J40" s="1555"/>
    </row>
    <row r="41" spans="1:10" ht="14.25" customHeight="1">
      <c r="A41" s="313" t="s">
        <v>372</v>
      </c>
      <c r="B41" s="1554" t="s">
        <v>373</v>
      </c>
      <c r="C41" s="1554"/>
      <c r="D41" s="1554"/>
      <c r="E41" s="1554"/>
      <c r="F41" s="1554"/>
      <c r="G41" s="1554"/>
      <c r="H41" s="1554"/>
      <c r="I41" s="1557"/>
      <c r="J41" s="1557"/>
    </row>
    <row r="42" spans="1:10" ht="14.25" customHeight="1">
      <c r="A42" s="1562" t="s">
        <v>374</v>
      </c>
      <c r="B42" s="1550" t="s">
        <v>375</v>
      </c>
      <c r="C42" s="1550"/>
      <c r="D42" s="1550"/>
      <c r="E42" s="1550"/>
      <c r="F42" s="1550" t="s">
        <v>376</v>
      </c>
      <c r="G42" s="1550" t="s">
        <v>377</v>
      </c>
      <c r="H42" s="1550" t="s">
        <v>378</v>
      </c>
      <c r="I42" s="1551" t="s">
        <v>343</v>
      </c>
      <c r="J42" s="1551"/>
    </row>
    <row r="43" spans="1:10" ht="14.25" customHeight="1">
      <c r="A43" s="1562"/>
      <c r="B43" s="1550"/>
      <c r="C43" s="1550"/>
      <c r="D43" s="1550"/>
      <c r="E43" s="1550"/>
      <c r="F43" s="1550"/>
      <c r="G43" s="1550"/>
      <c r="H43" s="1550"/>
      <c r="I43" s="1551"/>
      <c r="J43" s="1551"/>
    </row>
    <row r="44" spans="1:10" ht="14.25" customHeight="1">
      <c r="A44" s="1562"/>
      <c r="B44" s="1540" t="s">
        <v>379</v>
      </c>
      <c r="C44" s="1540"/>
      <c r="D44" s="1540"/>
      <c r="E44" s="1540"/>
      <c r="F44" s="314"/>
      <c r="G44" s="314"/>
      <c r="H44" s="314"/>
      <c r="I44" s="1541"/>
      <c r="J44" s="1541"/>
    </row>
    <row r="45" spans="1:10" ht="14.25" customHeight="1">
      <c r="A45" s="1562"/>
      <c r="B45" s="1542"/>
      <c r="C45" s="1542"/>
      <c r="D45" s="1542"/>
      <c r="E45" s="1542"/>
      <c r="F45" s="358"/>
      <c r="G45" s="364"/>
      <c r="H45" s="317"/>
      <c r="I45" s="1543"/>
      <c r="J45" s="1543"/>
    </row>
    <row r="46" spans="1:10" ht="14.25" customHeight="1">
      <c r="A46" s="1562"/>
      <c r="B46" s="1549" t="s">
        <v>398</v>
      </c>
      <c r="C46" s="1549"/>
      <c r="D46" s="1549"/>
      <c r="E46" s="1549"/>
      <c r="F46" s="304"/>
      <c r="G46" s="304"/>
      <c r="H46" s="304"/>
      <c r="I46" s="1575">
        <v>0</v>
      </c>
      <c r="J46" s="1575"/>
    </row>
    <row r="47" spans="1:10" ht="14.25" customHeight="1">
      <c r="A47" s="1560" t="s">
        <v>399</v>
      </c>
      <c r="B47" s="1540" t="s">
        <v>379</v>
      </c>
      <c r="C47" s="1540"/>
      <c r="D47" s="1540"/>
      <c r="E47" s="1540"/>
      <c r="F47" s="314"/>
      <c r="G47" s="314"/>
      <c r="H47" s="314"/>
      <c r="I47" s="1541"/>
      <c r="J47" s="1541"/>
    </row>
    <row r="48" spans="1:10" ht="14.25" customHeight="1">
      <c r="A48" s="1560"/>
      <c r="B48" s="1542"/>
      <c r="C48" s="1542"/>
      <c r="D48" s="1542"/>
      <c r="E48" s="1542"/>
      <c r="F48" s="253"/>
      <c r="G48" s="253"/>
      <c r="H48" s="253"/>
      <c r="I48" s="1543"/>
      <c r="J48" s="1543"/>
    </row>
    <row r="49" spans="1:16" ht="14.25" customHeight="1">
      <c r="A49" s="1560"/>
      <c r="B49" s="1549" t="s">
        <v>400</v>
      </c>
      <c r="C49" s="1549"/>
      <c r="D49" s="1549"/>
      <c r="E49" s="1549"/>
      <c r="F49" s="304"/>
      <c r="G49" s="304"/>
      <c r="H49" s="304"/>
      <c r="I49" s="1575">
        <v>0</v>
      </c>
      <c r="J49" s="1575"/>
      <c r="P49" s="332"/>
    </row>
    <row r="50" spans="1:16" ht="14.25" customHeight="1">
      <c r="A50" s="313" t="s">
        <v>401</v>
      </c>
      <c r="B50" s="1554" t="s">
        <v>402</v>
      </c>
      <c r="C50" s="1554"/>
      <c r="D50" s="1554"/>
      <c r="E50" s="1554"/>
      <c r="F50" s="1554"/>
      <c r="G50" s="1554"/>
      <c r="H50" s="1554"/>
      <c r="I50" s="1555">
        <f>ROUND(I40+I46,2)</f>
        <v>230.38</v>
      </c>
      <c r="J50" s="1555"/>
      <c r="K50" s="332">
        <f>+K18+K32</f>
        <v>230.38</v>
      </c>
      <c r="L50" s="332">
        <f>+I50-K50</f>
        <v>0</v>
      </c>
    </row>
    <row r="51" spans="1:16" ht="14.25" customHeight="1">
      <c r="A51" s="313" t="s">
        <v>403</v>
      </c>
      <c r="B51" s="1554" t="s">
        <v>404</v>
      </c>
      <c r="C51" s="1554"/>
      <c r="D51" s="1554"/>
      <c r="E51" s="1554"/>
      <c r="F51" s="1554"/>
      <c r="G51" s="1554"/>
      <c r="H51" s="1554"/>
      <c r="I51" s="1557"/>
      <c r="J51" s="1557"/>
    </row>
    <row r="52" spans="1:16" ht="14.25" customHeight="1">
      <c r="A52" s="313" t="s">
        <v>405</v>
      </c>
      <c r="B52" s="1554" t="s">
        <v>406</v>
      </c>
      <c r="C52" s="1554"/>
      <c r="D52" s="1554"/>
      <c r="E52" s="1554"/>
      <c r="F52" s="1554"/>
      <c r="G52" s="1554"/>
      <c r="H52" s="318">
        <v>0.12</v>
      </c>
      <c r="I52" s="1555">
        <f>+ROUND(H52*I50,2)</f>
        <v>27.65</v>
      </c>
      <c r="J52" s="1555"/>
      <c r="K52" s="333"/>
    </row>
    <row r="53" spans="1:16" ht="14.25" customHeight="1">
      <c r="A53" s="313" t="s">
        <v>407</v>
      </c>
      <c r="B53" s="341" t="s">
        <v>408</v>
      </c>
      <c r="C53" s="342"/>
      <c r="D53" s="342"/>
      <c r="E53" s="342"/>
      <c r="F53" s="342"/>
      <c r="G53" s="343"/>
      <c r="H53" s="319"/>
      <c r="I53" s="1557"/>
      <c r="J53" s="1557"/>
      <c r="K53" s="333"/>
    </row>
    <row r="54" spans="1:16" ht="14.25" customHeight="1">
      <c r="A54" s="313" t="s">
        <v>409</v>
      </c>
      <c r="B54" s="1554" t="s">
        <v>410</v>
      </c>
      <c r="C54" s="1554"/>
      <c r="D54" s="1554"/>
      <c r="E54" s="1554"/>
      <c r="F54" s="1554"/>
      <c r="G54" s="1554"/>
      <c r="H54" s="318">
        <v>0.08</v>
      </c>
      <c r="I54" s="1555">
        <f>+ROUND(H54*I50,2)</f>
        <v>18.43</v>
      </c>
      <c r="J54" s="1555"/>
      <c r="K54" s="333"/>
    </row>
    <row r="55" spans="1:16" ht="14.25" customHeight="1">
      <c r="A55" s="313" t="s">
        <v>411</v>
      </c>
      <c r="B55" s="1554" t="s">
        <v>412</v>
      </c>
      <c r="C55" s="1554"/>
      <c r="D55" s="1554"/>
      <c r="E55" s="1554"/>
      <c r="F55" s="1554"/>
      <c r="G55" s="1554"/>
      <c r="H55" s="319"/>
      <c r="I55" s="1557"/>
      <c r="J55" s="1557"/>
      <c r="K55" s="333"/>
    </row>
    <row r="56" spans="1:16" ht="14.25" customHeight="1">
      <c r="A56" s="313" t="s">
        <v>413</v>
      </c>
      <c r="B56" s="1554" t="s">
        <v>414</v>
      </c>
      <c r="C56" s="1554"/>
      <c r="D56" s="1554"/>
      <c r="E56" s="1554"/>
      <c r="F56" s="1554"/>
      <c r="G56" s="1554"/>
      <c r="H56" s="335">
        <v>0.05</v>
      </c>
      <c r="I56" s="1555">
        <f>ROUND(H56*(I50+I52+I54),2)</f>
        <v>13.82</v>
      </c>
      <c r="J56" s="1555"/>
      <c r="K56" s="333"/>
    </row>
    <row r="57" spans="1:16" ht="14.25" customHeight="1">
      <c r="A57" s="313" t="s">
        <v>415</v>
      </c>
      <c r="B57" s="1554" t="s">
        <v>416</v>
      </c>
      <c r="C57" s="1554"/>
      <c r="D57" s="1554"/>
      <c r="E57" s="1554"/>
      <c r="F57" s="1554"/>
      <c r="G57" s="1554"/>
      <c r="H57" s="319"/>
      <c r="I57" s="1557"/>
      <c r="J57" s="1557"/>
      <c r="K57" s="333"/>
    </row>
    <row r="58" spans="1:16" ht="14.25" customHeight="1">
      <c r="A58" s="313" t="s">
        <v>417</v>
      </c>
      <c r="B58" s="1554" t="s">
        <v>418</v>
      </c>
      <c r="C58" s="1554"/>
      <c r="D58" s="1554"/>
      <c r="E58" s="1554"/>
      <c r="F58" s="1554"/>
      <c r="G58" s="1554"/>
      <c r="H58" s="319" t="s">
        <v>419</v>
      </c>
      <c r="I58" s="1555">
        <f>+ROUND(SUM(I50:J57),2)</f>
        <v>290.27999999999997</v>
      </c>
      <c r="J58" s="1555"/>
      <c r="K58" s="333"/>
    </row>
    <row r="59" spans="1:16" ht="14.25" customHeight="1">
      <c r="A59" s="336" t="s">
        <v>420</v>
      </c>
      <c r="B59" s="1566" t="s">
        <v>421</v>
      </c>
      <c r="C59" s="1566"/>
      <c r="D59" s="1566"/>
      <c r="E59" s="1566"/>
      <c r="F59" s="1566"/>
      <c r="G59" s="1566"/>
      <c r="H59" s="337"/>
      <c r="I59" s="1572"/>
      <c r="J59" s="1572"/>
    </row>
    <row r="60" spans="1:16" ht="39.950000000000003" customHeight="1">
      <c r="A60" s="1563" t="str">
        <f>'POW-2015-01-00_'!A42:AG42</f>
        <v>Note: Prices/Rates were based on CMPD 4TH Quarter CY 2022 for Materials, Memorandum dated December 29, 2022 for Labor cost and Memorandum dated May 18, 2022 for Equipment rental including Fuel &amp; Oil/Lubricant cost as of January 4, 2023 for DPWH Regional/District Engineering Offices</v>
      </c>
      <c r="B60" s="1563"/>
      <c r="C60" s="1563"/>
      <c r="D60" s="1563"/>
      <c r="E60" s="1563"/>
      <c r="F60" s="1563"/>
      <c r="G60" s="1563"/>
      <c r="H60" s="1563"/>
      <c r="I60" s="1563"/>
      <c r="J60" s="1563"/>
    </row>
    <row r="61" spans="1:16" ht="14.25" customHeight="1">
      <c r="A61" s="1564" t="s">
        <v>20</v>
      </c>
      <c r="B61" s="1564"/>
      <c r="C61" s="1564"/>
      <c r="H61" s="5" t="s">
        <v>422</v>
      </c>
    </row>
    <row r="62" spans="1:16" ht="18.75" customHeight="1">
      <c r="A62" s="171"/>
      <c r="B62" s="171"/>
      <c r="C62" s="171"/>
      <c r="H62" s="5"/>
    </row>
    <row r="63" spans="1:16" ht="14.25" customHeight="1">
      <c r="A63" s="171"/>
      <c r="B63" s="171"/>
      <c r="C63" s="171"/>
      <c r="H63" s="5"/>
    </row>
    <row r="64" spans="1:16" ht="14.25" customHeight="1">
      <c r="A64" s="1502" t="str">
        <f>+'POW-2015-01-00_'!A48:E48</f>
        <v xml:space="preserve">WINLOVE A. ESTEVES
</v>
      </c>
      <c r="B64" s="1502"/>
      <c r="C64" s="1502"/>
      <c r="D64" s="1502"/>
      <c r="H64" s="1502" t="str">
        <f>+'POW-2015-01-00_'!H48:L48</f>
        <v>MARK ANGELO E. SURIL</v>
      </c>
      <c r="I64" s="1502"/>
      <c r="J64" s="1502"/>
    </row>
    <row r="65" spans="1:10" ht="14.25" customHeight="1">
      <c r="A65" s="1565" t="s">
        <v>102</v>
      </c>
      <c r="B65" s="1565"/>
      <c r="C65" s="1565"/>
      <c r="D65" s="1565"/>
      <c r="H65" s="1565" t="s">
        <v>102</v>
      </c>
      <c r="I65" s="1565"/>
      <c r="J65" s="1565"/>
    </row>
    <row r="66" spans="1:10" ht="14.25" customHeight="1">
      <c r="A66" s="1521" t="s">
        <v>423</v>
      </c>
      <c r="B66" s="1521"/>
      <c r="C66" s="1521"/>
      <c r="D66" s="1521"/>
      <c r="H66" s="1521" t="str">
        <f>A66</f>
        <v>DPWH-ADEO</v>
      </c>
      <c r="I66" s="1521"/>
      <c r="J66" s="1521"/>
    </row>
    <row r="67" spans="1:10" ht="14.25" customHeight="1"/>
    <row r="68" spans="1:10" ht="14.25" customHeight="1"/>
    <row r="69" spans="1:10" ht="14.25" customHeight="1"/>
    <row r="70" spans="1:10" ht="14.25" customHeight="1"/>
    <row r="71" spans="1:10" ht="14.25" customHeight="1"/>
    <row r="72" spans="1:10" ht="14.25" customHeight="1"/>
    <row r="73" spans="1:10" ht="14.25" customHeight="1"/>
    <row r="74" spans="1:10" ht="14.25" customHeight="1"/>
    <row r="75" spans="1:10" ht="14.25" customHeight="1"/>
    <row r="76" spans="1:10" ht="14.25" customHeight="1"/>
    <row r="77" spans="1:10" ht="14.25" customHeight="1"/>
    <row r="78" spans="1:10" ht="14.25" customHeight="1"/>
    <row r="79" spans="1:10" ht="14.25" customHeight="1"/>
    <row r="80" spans="1:1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sheetData>
  <mergeCells count="101">
    <mergeCell ref="A66:D66"/>
    <mergeCell ref="H66:J66"/>
    <mergeCell ref="A11:A18"/>
    <mergeCell ref="A19:A21"/>
    <mergeCell ref="A22:A32"/>
    <mergeCell ref="A33:A35"/>
    <mergeCell ref="A42:A46"/>
    <mergeCell ref="A47:A49"/>
    <mergeCell ref="F11:F12"/>
    <mergeCell ref="F22:F23"/>
    <mergeCell ref="F42:F43"/>
    <mergeCell ref="G11:G12"/>
    <mergeCell ref="G22:G23"/>
    <mergeCell ref="G42:G43"/>
    <mergeCell ref="H11:H12"/>
    <mergeCell ref="H22:H23"/>
    <mergeCell ref="H42:H43"/>
    <mergeCell ref="B11:E12"/>
    <mergeCell ref="I11:J12"/>
    <mergeCell ref="B22:E23"/>
    <mergeCell ref="I22:J23"/>
    <mergeCell ref="B42:E43"/>
    <mergeCell ref="I42:J43"/>
    <mergeCell ref="B58:G58"/>
    <mergeCell ref="I58:J58"/>
    <mergeCell ref="B59:G59"/>
    <mergeCell ref="I59:J59"/>
    <mergeCell ref="A60:J60"/>
    <mergeCell ref="A61:C61"/>
    <mergeCell ref="A64:D64"/>
    <mergeCell ref="H64:J64"/>
    <mergeCell ref="A65:D65"/>
    <mergeCell ref="H65:J65"/>
    <mergeCell ref="I53:J53"/>
    <mergeCell ref="B54:G54"/>
    <mergeCell ref="I54:J54"/>
    <mergeCell ref="B55:G55"/>
    <mergeCell ref="I55:J55"/>
    <mergeCell ref="B56:G56"/>
    <mergeCell ref="I56:J56"/>
    <mergeCell ref="B57:G57"/>
    <mergeCell ref="I57:J57"/>
    <mergeCell ref="B48:E48"/>
    <mergeCell ref="I48:J48"/>
    <mergeCell ref="B49:E49"/>
    <mergeCell ref="I49:J49"/>
    <mergeCell ref="B50:H50"/>
    <mergeCell ref="I50:J50"/>
    <mergeCell ref="B51:H51"/>
    <mergeCell ref="I51:J51"/>
    <mergeCell ref="B52:G52"/>
    <mergeCell ref="I52:J52"/>
    <mergeCell ref="B41:H41"/>
    <mergeCell ref="I41:J41"/>
    <mergeCell ref="B44:E44"/>
    <mergeCell ref="I44:J44"/>
    <mergeCell ref="B45:E45"/>
    <mergeCell ref="I45:J45"/>
    <mergeCell ref="B46:E46"/>
    <mergeCell ref="I46:J46"/>
    <mergeCell ref="B47:E47"/>
    <mergeCell ref="I47:J47"/>
    <mergeCell ref="B36:H36"/>
    <mergeCell ref="I36:J36"/>
    <mergeCell ref="B37:H37"/>
    <mergeCell ref="I37:J37"/>
    <mergeCell ref="B38:H38"/>
    <mergeCell ref="I38:J38"/>
    <mergeCell ref="B39:H39"/>
    <mergeCell ref="I39:J39"/>
    <mergeCell ref="B40:H40"/>
    <mergeCell ref="I40:J40"/>
    <mergeCell ref="I29:J29"/>
    <mergeCell ref="I30:J30"/>
    <mergeCell ref="B32:E32"/>
    <mergeCell ref="I32:J32"/>
    <mergeCell ref="B33:E33"/>
    <mergeCell ref="I33:J33"/>
    <mergeCell ref="B34:E34"/>
    <mergeCell ref="I34:J34"/>
    <mergeCell ref="B35:E35"/>
    <mergeCell ref="I35:J35"/>
    <mergeCell ref="B20:E20"/>
    <mergeCell ref="I20:J20"/>
    <mergeCell ref="B21:E21"/>
    <mergeCell ref="I21:J21"/>
    <mergeCell ref="B24:E24"/>
    <mergeCell ref="I24:J24"/>
    <mergeCell ref="I26:J26"/>
    <mergeCell ref="I27:J27"/>
    <mergeCell ref="I28:J28"/>
    <mergeCell ref="H2:J2"/>
    <mergeCell ref="A5:D5"/>
    <mergeCell ref="B13:E13"/>
    <mergeCell ref="I13:J13"/>
    <mergeCell ref="I15:J15"/>
    <mergeCell ref="I16:J16"/>
    <mergeCell ref="B18:E18"/>
    <mergeCell ref="I18:J18"/>
    <mergeCell ref="B19:E19"/>
    <mergeCell ref="I19:J19"/>
  </mergeCells>
  <printOptions horizontalCentered="1"/>
  <pageMargins left="0.118055555555556" right="0.118055555555556" top="0.39305555555555599" bottom="0.39305555555555599" header="0.39305555555555599" footer="0"/>
  <pageSetup paperSize="9" scale="75" orientation="portrait" r:id="rId1"/>
  <headerFooter alignWithMargins="0">
    <oddHeader>&amp;CCONSTRUCTION OF ROAD 
BRGY. L. PIMENTEL, SAN LUIS, AURORA
DETAILED UNIT PRICE ANALYSIS (DUPA)</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A1:O110"/>
  <sheetViews>
    <sheetView topLeftCell="A43" workbookViewId="0">
      <selection activeCell="K16" sqref="K1:K1048576"/>
    </sheetView>
  </sheetViews>
  <sheetFormatPr defaultColWidth="9" defaultRowHeight="14.25"/>
  <cols>
    <col min="1" max="1" width="5.375" customWidth="1"/>
    <col min="2" max="2" width="2.75" customWidth="1"/>
    <col min="3" max="3" width="8.375" style="158" customWidth="1"/>
    <col min="4" max="4" width="17.25" customWidth="1"/>
    <col min="5" max="5" width="10.625" customWidth="1"/>
    <col min="6" max="6" width="15.5" customWidth="1"/>
    <col min="7" max="7" width="17" customWidth="1"/>
    <col min="8" max="8" width="18.5" customWidth="1"/>
    <col min="9" max="9" width="6.125" customWidth="1"/>
    <col min="10" max="10" width="11.875" customWidth="1"/>
    <col min="11" max="1024" width="8.5" customWidth="1"/>
    <col min="1025" max="1025" width="9" customWidth="1"/>
  </cols>
  <sheetData>
    <row r="1" spans="1:10" ht="14.25" customHeight="1"/>
    <row r="2" spans="1:10" ht="14.25" customHeight="1">
      <c r="H2" s="1538" t="s">
        <v>330</v>
      </c>
      <c r="I2" s="1538"/>
      <c r="J2" s="1538"/>
    </row>
    <row r="3" spans="1:10" ht="14.25" customHeight="1">
      <c r="H3" s="295"/>
      <c r="I3" s="295"/>
      <c r="J3" s="295"/>
    </row>
    <row r="4" spans="1:10" ht="14.25" customHeight="1">
      <c r="H4" s="295"/>
      <c r="I4" s="295"/>
      <c r="J4" s="295"/>
    </row>
    <row r="5" spans="1:10" ht="14.25" customHeight="1">
      <c r="A5" s="1539" t="s">
        <v>553</v>
      </c>
      <c r="B5" s="1539"/>
      <c r="C5" s="1539"/>
      <c r="D5" s="1539"/>
      <c r="E5" s="296" t="s">
        <v>49</v>
      </c>
      <c r="F5" t="s">
        <v>554</v>
      </c>
      <c r="G5" t="s">
        <v>555</v>
      </c>
    </row>
    <row r="6" spans="1:10" ht="14.25" customHeight="1">
      <c r="A6" t="s">
        <v>334</v>
      </c>
      <c r="E6" s="296" t="s">
        <v>49</v>
      </c>
      <c r="F6" t="s">
        <v>204</v>
      </c>
    </row>
    <row r="7" spans="1:10" ht="14.25" customHeight="1">
      <c r="A7" t="s">
        <v>336</v>
      </c>
      <c r="E7" s="296" t="s">
        <v>49</v>
      </c>
      <c r="F7" s="297">
        <v>50</v>
      </c>
    </row>
    <row r="8" spans="1:10" ht="14.25" customHeight="1">
      <c r="A8" t="s">
        <v>337</v>
      </c>
      <c r="E8" s="296" t="s">
        <v>49</v>
      </c>
    </row>
    <row r="9" spans="1:10" ht="14.25" customHeight="1">
      <c r="E9" s="296"/>
    </row>
    <row r="10" spans="1:10" ht="14.25" customHeight="1">
      <c r="A10" s="5"/>
      <c r="B10" s="5"/>
      <c r="C10" s="171"/>
      <c r="D10" s="5"/>
      <c r="E10" s="296"/>
    </row>
    <row r="11" spans="1:10" ht="14.25" customHeight="1">
      <c r="A11" s="1573" t="s">
        <v>426</v>
      </c>
      <c r="B11" s="1546" t="s">
        <v>339</v>
      </c>
      <c r="C11" s="1546"/>
      <c r="D11" s="1546"/>
      <c r="E11" s="1546"/>
      <c r="F11" s="1546" t="s">
        <v>340</v>
      </c>
      <c r="G11" s="1546" t="s">
        <v>341</v>
      </c>
      <c r="H11" s="1546" t="s">
        <v>342</v>
      </c>
      <c r="I11" s="1545" t="s">
        <v>343</v>
      </c>
      <c r="J11" s="1545"/>
    </row>
    <row r="12" spans="1:10" ht="14.25" customHeight="1">
      <c r="A12" s="1573"/>
      <c r="B12" s="1546"/>
      <c r="C12" s="1546"/>
      <c r="D12" s="1546"/>
      <c r="E12" s="1546"/>
      <c r="F12" s="1546"/>
      <c r="G12" s="1546"/>
      <c r="H12" s="1546"/>
      <c r="I12" s="1545"/>
      <c r="J12" s="1545"/>
    </row>
    <row r="13" spans="1:10" ht="14.25" customHeight="1">
      <c r="A13" s="1573"/>
      <c r="B13" s="1540" t="s">
        <v>344</v>
      </c>
      <c r="C13" s="1540"/>
      <c r="D13" s="1540"/>
      <c r="E13" s="1540"/>
      <c r="F13" s="314"/>
      <c r="G13" s="314"/>
      <c r="H13" s="314"/>
      <c r="I13" s="1541"/>
      <c r="J13" s="1541"/>
    </row>
    <row r="14" spans="1:10" ht="14.25" customHeight="1">
      <c r="A14" s="1573"/>
      <c r="B14" s="269"/>
      <c r="D14" s="158"/>
      <c r="E14" s="158"/>
      <c r="F14" s="160"/>
      <c r="G14" s="160"/>
      <c r="H14" s="160"/>
      <c r="I14" s="168"/>
      <c r="J14" s="328"/>
    </row>
    <row r="15" spans="1:10" ht="14.25" customHeight="1">
      <c r="A15" s="1573"/>
      <c r="B15" s="269" t="s">
        <v>556</v>
      </c>
      <c r="C15" s="171"/>
      <c r="D15" s="171"/>
      <c r="E15" s="171"/>
      <c r="F15" s="160"/>
      <c r="G15" s="160"/>
      <c r="H15" s="160"/>
      <c r="I15" s="168"/>
      <c r="J15" s="328"/>
    </row>
    <row r="16" spans="1:10" ht="14.25" customHeight="1">
      <c r="A16" s="1573"/>
      <c r="B16" s="168" t="s">
        <v>345</v>
      </c>
      <c r="C16" s="158" t="s">
        <v>346</v>
      </c>
      <c r="D16" s="158"/>
      <c r="E16" s="158"/>
      <c r="F16" s="301">
        <v>1</v>
      </c>
      <c r="G16" s="302">
        <v>0.83</v>
      </c>
      <c r="H16" s="268">
        <f>+VLOOKUP(C16,LABOR,2,0)</f>
        <v>110.65</v>
      </c>
      <c r="I16" s="1544">
        <f>+F16*G16*H16</f>
        <v>91.839500000000001</v>
      </c>
      <c r="J16" s="1544"/>
    </row>
    <row r="17" spans="1:11" ht="14.25" customHeight="1">
      <c r="A17" s="1573"/>
      <c r="B17" s="168" t="s">
        <v>347</v>
      </c>
      <c r="C17" s="158" t="s">
        <v>350</v>
      </c>
      <c r="D17" s="158"/>
      <c r="E17" s="158"/>
      <c r="F17" s="301">
        <v>2</v>
      </c>
      <c r="G17" s="302">
        <v>0.83</v>
      </c>
      <c r="H17" s="268">
        <f>+VLOOKUP(C17,LABOR,2,0)</f>
        <v>61.75</v>
      </c>
      <c r="I17" s="1544">
        <f>+F17*G17*H17</f>
        <v>102.505</v>
      </c>
      <c r="J17" s="1544"/>
    </row>
    <row r="18" spans="1:11" ht="14.25" customHeight="1">
      <c r="A18" s="1573"/>
      <c r="B18" s="168"/>
      <c r="D18" s="158"/>
      <c r="E18" s="158"/>
      <c r="F18" s="301"/>
      <c r="G18" s="302"/>
      <c r="H18" s="268"/>
      <c r="I18" s="361"/>
      <c r="J18" s="362"/>
    </row>
    <row r="19" spans="1:11" ht="14.25" customHeight="1">
      <c r="A19" s="1573"/>
      <c r="B19" s="269" t="s">
        <v>557</v>
      </c>
      <c r="D19" s="158"/>
      <c r="E19" s="158"/>
      <c r="F19" s="301"/>
      <c r="G19" s="302"/>
      <c r="H19" s="268"/>
      <c r="I19" s="361"/>
      <c r="J19" s="362"/>
    </row>
    <row r="20" spans="1:11" ht="14.25" customHeight="1">
      <c r="A20" s="1573"/>
      <c r="B20" s="168" t="s">
        <v>345</v>
      </c>
      <c r="C20" s="158" t="s">
        <v>346</v>
      </c>
      <c r="D20" s="158"/>
      <c r="E20" s="158"/>
      <c r="F20" s="301">
        <v>1</v>
      </c>
      <c r="G20" s="302">
        <v>1</v>
      </c>
      <c r="H20" s="268">
        <f>+VLOOKUP(C20,LABOR,2,0)</f>
        <v>110.65</v>
      </c>
      <c r="I20" s="1544">
        <f>+F20*G20*H20</f>
        <v>110.65</v>
      </c>
      <c r="J20" s="1544"/>
    </row>
    <row r="21" spans="1:11" ht="14.25" customHeight="1">
      <c r="A21" s="1573"/>
      <c r="B21" s="168" t="s">
        <v>347</v>
      </c>
      <c r="C21" s="158" t="s">
        <v>350</v>
      </c>
      <c r="D21" s="158"/>
      <c r="E21" s="158"/>
      <c r="F21" s="301">
        <v>2</v>
      </c>
      <c r="G21" s="302">
        <v>1</v>
      </c>
      <c r="H21" s="268">
        <f>+VLOOKUP(C21,LABOR,2,0)</f>
        <v>61.75</v>
      </c>
      <c r="I21" s="1544">
        <f>+F21*G21*H21</f>
        <v>123.5</v>
      </c>
      <c r="J21" s="1544"/>
    </row>
    <row r="22" spans="1:11" ht="14.25" customHeight="1">
      <c r="A22" s="1573"/>
      <c r="B22" s="168"/>
      <c r="D22" s="158"/>
      <c r="E22" s="158"/>
      <c r="F22" s="301"/>
      <c r="G22" s="302"/>
      <c r="H22" s="303"/>
      <c r="I22" s="321"/>
      <c r="J22" s="322"/>
    </row>
    <row r="23" spans="1:11" ht="14.25" customHeight="1">
      <c r="A23" s="1573"/>
      <c r="B23" s="1549" t="s">
        <v>351</v>
      </c>
      <c r="C23" s="1549"/>
      <c r="D23" s="1549"/>
      <c r="E23" s="1549"/>
      <c r="F23" s="304"/>
      <c r="G23" s="304"/>
      <c r="H23" s="304"/>
      <c r="I23" s="1548">
        <f>+SUM(I15:J22)</f>
        <v>428.49450000000002</v>
      </c>
      <c r="J23" s="1548"/>
      <c r="K23" s="323">
        <f>+ROUND(I23/F7,2)</f>
        <v>8.57</v>
      </c>
    </row>
    <row r="24" spans="1:11" ht="14.25" customHeight="1">
      <c r="A24" s="1560" t="s">
        <v>352</v>
      </c>
      <c r="B24" s="1540" t="s">
        <v>344</v>
      </c>
      <c r="C24" s="1540"/>
      <c r="D24" s="1540"/>
      <c r="E24" s="1540"/>
      <c r="F24" s="314"/>
      <c r="G24" s="314"/>
      <c r="H24" s="314"/>
      <c r="I24" s="1541"/>
      <c r="J24" s="1541"/>
    </row>
    <row r="25" spans="1:11" ht="14.25" customHeight="1">
      <c r="A25" s="1560"/>
      <c r="B25" s="1542"/>
      <c r="C25" s="1542"/>
      <c r="D25" s="1542"/>
      <c r="E25" s="1542"/>
      <c r="F25" s="253"/>
      <c r="G25" s="253"/>
      <c r="H25" s="253"/>
      <c r="I25" s="1543"/>
      <c r="J25" s="1543"/>
    </row>
    <row r="26" spans="1:11" ht="14.25" customHeight="1">
      <c r="A26" s="1560"/>
      <c r="B26" s="1549" t="s">
        <v>353</v>
      </c>
      <c r="C26" s="1549"/>
      <c r="D26" s="1549"/>
      <c r="E26" s="1549"/>
      <c r="F26" s="304"/>
      <c r="G26" s="304"/>
      <c r="H26" s="304"/>
      <c r="I26" s="1548">
        <v>0</v>
      </c>
      <c r="J26" s="1548"/>
    </row>
    <row r="27" spans="1:11" ht="14.25" customHeight="1">
      <c r="A27" s="1561" t="s">
        <v>354</v>
      </c>
      <c r="B27" s="1550" t="s">
        <v>355</v>
      </c>
      <c r="C27" s="1550"/>
      <c r="D27" s="1550"/>
      <c r="E27" s="1550"/>
      <c r="F27" s="1550" t="s">
        <v>356</v>
      </c>
      <c r="G27" s="1550" t="s">
        <v>341</v>
      </c>
      <c r="H27" s="1550" t="s">
        <v>342</v>
      </c>
      <c r="I27" s="1551" t="s">
        <v>359</v>
      </c>
      <c r="J27" s="1551"/>
    </row>
    <row r="28" spans="1:11" ht="14.25" customHeight="1">
      <c r="A28" s="1561"/>
      <c r="B28" s="1550"/>
      <c r="C28" s="1550"/>
      <c r="D28" s="1550"/>
      <c r="E28" s="1550"/>
      <c r="F28" s="1550"/>
      <c r="G28" s="1550"/>
      <c r="H28" s="1550"/>
      <c r="I28" s="1551"/>
      <c r="J28" s="1551"/>
    </row>
    <row r="29" spans="1:11" ht="14.25" customHeight="1">
      <c r="A29" s="1561"/>
      <c r="B29" s="1540" t="s">
        <v>360</v>
      </c>
      <c r="C29" s="1540"/>
      <c r="D29" s="1540"/>
      <c r="E29" s="1540"/>
      <c r="F29" s="314"/>
      <c r="G29" s="314"/>
      <c r="H29" s="314"/>
      <c r="I29" s="1541"/>
      <c r="J29" s="1541"/>
    </row>
    <row r="30" spans="1:11" ht="14.25" customHeight="1">
      <c r="A30" s="1561"/>
      <c r="B30" s="269"/>
      <c r="D30" s="158"/>
      <c r="E30" s="158"/>
      <c r="F30" s="160"/>
      <c r="G30" s="160"/>
      <c r="H30" s="253"/>
      <c r="I30" s="10"/>
      <c r="J30" s="328"/>
    </row>
    <row r="31" spans="1:11" ht="14.25" customHeight="1">
      <c r="A31" s="1561"/>
      <c r="B31" s="269" t="s">
        <v>556</v>
      </c>
      <c r="C31" s="171"/>
      <c r="D31" s="171"/>
      <c r="E31" s="171"/>
      <c r="F31" s="160"/>
      <c r="G31" s="160"/>
      <c r="H31" s="253"/>
      <c r="I31" s="10"/>
      <c r="J31" s="328"/>
    </row>
    <row r="32" spans="1:11" ht="14.25" customHeight="1">
      <c r="A32" s="1561"/>
      <c r="B32" s="168" t="s">
        <v>345</v>
      </c>
      <c r="C32" s="158" t="s">
        <v>128</v>
      </c>
      <c r="D32" s="171"/>
      <c r="E32" s="171"/>
      <c r="F32" s="168">
        <v>1</v>
      </c>
      <c r="G32" s="168">
        <v>0.83</v>
      </c>
      <c r="H32" s="355">
        <f>+VLOOKUP(C32,equipment,3,0)</f>
        <v>4060.69</v>
      </c>
      <c r="I32" s="1569">
        <f>F32*G32*H32</f>
        <v>3370.3726999999999</v>
      </c>
      <c r="J32" s="1569"/>
    </row>
    <row r="33" spans="1:15" ht="14.25" customHeight="1">
      <c r="A33" s="1561"/>
      <c r="B33" s="168" t="s">
        <v>347</v>
      </c>
      <c r="C33" s="158" t="s">
        <v>129</v>
      </c>
      <c r="D33" s="171"/>
      <c r="E33" s="171"/>
      <c r="F33" s="168">
        <v>1</v>
      </c>
      <c r="G33" s="168">
        <v>0.83</v>
      </c>
      <c r="H33" s="355">
        <f>+VLOOKUP(C33,equipment,3,0)</f>
        <v>2114.8000000000002</v>
      </c>
      <c r="I33" s="1569">
        <f>F33*G33*H33</f>
        <v>1755.2840000000001</v>
      </c>
      <c r="J33" s="1569"/>
    </row>
    <row r="34" spans="1:15" ht="14.25" customHeight="1">
      <c r="A34" s="1561"/>
      <c r="B34" s="168" t="s">
        <v>349</v>
      </c>
      <c r="C34" s="158" t="s">
        <v>125</v>
      </c>
      <c r="D34" s="171"/>
      <c r="E34" s="171"/>
      <c r="F34" s="168">
        <v>2</v>
      </c>
      <c r="G34" s="168">
        <v>0.83</v>
      </c>
      <c r="H34" s="355">
        <f>+VLOOKUP(C34,equipment,3,0)</f>
        <v>2932.45</v>
      </c>
      <c r="I34" s="1569">
        <f>F34*G34*H34</f>
        <v>4867.8669999999993</v>
      </c>
      <c r="J34" s="1569"/>
    </row>
    <row r="35" spans="1:15" ht="14.25" customHeight="1">
      <c r="A35" s="1561"/>
      <c r="B35" s="168"/>
      <c r="C35" s="171"/>
      <c r="D35" s="171"/>
      <c r="E35" s="171"/>
      <c r="F35" s="160"/>
      <c r="G35" s="160"/>
      <c r="H35" s="360"/>
      <c r="I35" s="363"/>
      <c r="J35" s="288"/>
    </row>
    <row r="36" spans="1:15" ht="14.25" customHeight="1">
      <c r="A36" s="1561"/>
      <c r="B36" s="269" t="s">
        <v>557</v>
      </c>
      <c r="C36" s="171"/>
      <c r="D36" s="171"/>
      <c r="E36" s="171"/>
      <c r="F36" s="160"/>
      <c r="G36" s="160"/>
      <c r="H36" s="360"/>
      <c r="I36" s="363"/>
      <c r="J36" s="288"/>
    </row>
    <row r="37" spans="1:15" ht="14.25" customHeight="1">
      <c r="A37" s="1561"/>
      <c r="B37" s="168" t="s">
        <v>345</v>
      </c>
      <c r="C37" s="158" t="s">
        <v>133</v>
      </c>
      <c r="D37" s="158"/>
      <c r="E37" s="158"/>
      <c r="F37" s="168">
        <v>1</v>
      </c>
      <c r="G37" s="307">
        <v>1</v>
      </c>
      <c r="H37" s="355">
        <f>+VLOOKUP(C37,equipment,3,0)</f>
        <v>2664.75</v>
      </c>
      <c r="I37" s="1569">
        <f>F37*G37*H37</f>
        <v>2664.75</v>
      </c>
      <c r="J37" s="1569"/>
    </row>
    <row r="38" spans="1:15" ht="14.25" customHeight="1">
      <c r="A38" s="1561"/>
      <c r="B38" s="168" t="s">
        <v>347</v>
      </c>
      <c r="C38" s="158" t="s">
        <v>134</v>
      </c>
      <c r="D38" s="158"/>
      <c r="E38" s="158"/>
      <c r="F38" s="168">
        <v>1</v>
      </c>
      <c r="G38" s="307">
        <v>1</v>
      </c>
      <c r="H38" s="355">
        <f>+VLOOKUP(C38,equipment,3,0)</f>
        <v>2396.7800000000002</v>
      </c>
      <c r="I38" s="1569">
        <f>F38*G38*H38</f>
        <v>2396.7800000000002</v>
      </c>
      <c r="J38" s="1569"/>
    </row>
    <row r="39" spans="1:15" ht="14.25" customHeight="1">
      <c r="A39" s="1561"/>
      <c r="B39" s="168" t="s">
        <v>349</v>
      </c>
      <c r="C39" s="158" t="s">
        <v>136</v>
      </c>
      <c r="D39" s="158"/>
      <c r="E39" s="158"/>
      <c r="F39" s="168">
        <v>1</v>
      </c>
      <c r="G39" s="307">
        <v>0.25</v>
      </c>
      <c r="H39" s="355">
        <f>+VLOOKUP(C39,equipment,3,0)</f>
        <v>4217.3100000000004</v>
      </c>
      <c r="I39" s="1569">
        <f>F39*G39*H39</f>
        <v>1054.3275000000001</v>
      </c>
      <c r="J39" s="1569"/>
    </row>
    <row r="40" spans="1:15" ht="14.25" customHeight="1">
      <c r="A40" s="1561"/>
      <c r="B40" s="168"/>
      <c r="D40" s="158"/>
      <c r="E40" s="158"/>
      <c r="F40" s="168"/>
      <c r="G40" s="307"/>
      <c r="H40" s="308"/>
      <c r="I40" s="326"/>
      <c r="J40" s="327"/>
    </row>
    <row r="41" spans="1:15" ht="14.25" customHeight="1">
      <c r="A41" s="1561"/>
      <c r="B41" s="1549" t="s">
        <v>361</v>
      </c>
      <c r="C41" s="1549"/>
      <c r="D41" s="1549"/>
      <c r="E41" s="1549"/>
      <c r="F41" s="304"/>
      <c r="G41" s="304"/>
      <c r="H41" s="304"/>
      <c r="I41" s="1552">
        <f>+SUM(I31:J40)</f>
        <v>16109.381199999998</v>
      </c>
      <c r="J41" s="1552"/>
      <c r="K41" s="323">
        <f>+ROUND(I41/F7,2)</f>
        <v>322.19</v>
      </c>
    </row>
    <row r="42" spans="1:15" ht="14.25" customHeight="1">
      <c r="A42" s="1560" t="s">
        <v>362</v>
      </c>
      <c r="B42" s="1540" t="s">
        <v>360</v>
      </c>
      <c r="C42" s="1540"/>
      <c r="D42" s="1540"/>
      <c r="E42" s="1540"/>
      <c r="F42" s="314"/>
      <c r="G42" s="314"/>
      <c r="H42" s="314"/>
      <c r="I42" s="1541"/>
      <c r="J42" s="1541"/>
    </row>
    <row r="43" spans="1:15" ht="14.25" customHeight="1">
      <c r="A43" s="1560"/>
      <c r="B43" s="1542"/>
      <c r="C43" s="1542"/>
      <c r="D43" s="1542"/>
      <c r="E43" s="1542"/>
      <c r="F43" s="253"/>
      <c r="G43" s="253"/>
      <c r="H43" s="253"/>
      <c r="I43" s="1543"/>
      <c r="J43" s="1543"/>
    </row>
    <row r="44" spans="1:15" ht="14.25" customHeight="1">
      <c r="A44" s="1560"/>
      <c r="B44" s="1549" t="s">
        <v>363</v>
      </c>
      <c r="C44" s="1549"/>
      <c r="D44" s="1549"/>
      <c r="E44" s="1549"/>
      <c r="F44" s="304"/>
      <c r="G44" s="304"/>
      <c r="H44" s="304"/>
      <c r="I44" s="1548">
        <v>0</v>
      </c>
      <c r="J44" s="1548"/>
    </row>
    <row r="45" spans="1:15" ht="14.25" customHeight="1">
      <c r="A45" s="311" t="s">
        <v>364</v>
      </c>
      <c r="B45" s="1554" t="s">
        <v>365</v>
      </c>
      <c r="C45" s="1554"/>
      <c r="D45" s="1554"/>
      <c r="E45" s="1554"/>
      <c r="F45" s="1554"/>
      <c r="G45" s="1554"/>
      <c r="H45" s="1554"/>
      <c r="I45" s="1555">
        <f>I23+I41</f>
        <v>16537.875699999997</v>
      </c>
      <c r="J45" s="1555"/>
    </row>
    <row r="46" spans="1:15" ht="14.25" customHeight="1">
      <c r="A46" s="313" t="s">
        <v>366</v>
      </c>
      <c r="B46" s="1554" t="s">
        <v>367</v>
      </c>
      <c r="C46" s="1554"/>
      <c r="D46" s="1554"/>
      <c r="E46" s="1554"/>
      <c r="F46" s="1554"/>
      <c r="G46" s="1554"/>
      <c r="H46" s="1554"/>
      <c r="I46" s="1557"/>
      <c r="J46" s="1557"/>
    </row>
    <row r="47" spans="1:15" ht="14.25" customHeight="1">
      <c r="A47" s="313" t="s">
        <v>368</v>
      </c>
      <c r="B47" s="1554" t="s">
        <v>336</v>
      </c>
      <c r="C47" s="1554"/>
      <c r="D47" s="1554"/>
      <c r="E47" s="1554"/>
      <c r="F47" s="1554"/>
      <c r="G47" s="1554"/>
      <c r="H47" s="1554"/>
      <c r="I47" s="1570">
        <f>F7</f>
        <v>50</v>
      </c>
      <c r="J47" s="1570"/>
      <c r="O47" s="332"/>
    </row>
    <row r="48" spans="1:15" ht="14.25" customHeight="1">
      <c r="A48" s="313" t="s">
        <v>369</v>
      </c>
      <c r="B48" s="1554" t="s">
        <v>337</v>
      </c>
      <c r="C48" s="1554"/>
      <c r="D48" s="1554"/>
      <c r="E48" s="1554"/>
      <c r="F48" s="1554"/>
      <c r="G48" s="1554"/>
      <c r="H48" s="1554"/>
      <c r="I48" s="1557"/>
      <c r="J48" s="1557"/>
    </row>
    <row r="49" spans="1:12" ht="14.25" customHeight="1">
      <c r="A49" s="313" t="s">
        <v>370</v>
      </c>
      <c r="B49" s="1554" t="s">
        <v>371</v>
      </c>
      <c r="C49" s="1554"/>
      <c r="D49" s="1554"/>
      <c r="E49" s="1554"/>
      <c r="F49" s="1554"/>
      <c r="G49" s="1554"/>
      <c r="H49" s="1554"/>
      <c r="I49" s="1555">
        <f>I45/I47</f>
        <v>330.75751399999996</v>
      </c>
      <c r="J49" s="1555"/>
    </row>
    <row r="50" spans="1:12" ht="14.25" customHeight="1">
      <c r="A50" s="313" t="s">
        <v>372</v>
      </c>
      <c r="B50" s="1554" t="s">
        <v>373</v>
      </c>
      <c r="C50" s="1554"/>
      <c r="D50" s="1554"/>
      <c r="E50" s="1554"/>
      <c r="F50" s="1554"/>
      <c r="G50" s="1554"/>
      <c r="H50" s="1554"/>
      <c r="I50" s="1557"/>
      <c r="J50" s="1557"/>
    </row>
    <row r="51" spans="1:12" ht="14.25" customHeight="1">
      <c r="A51" s="1561" t="s">
        <v>428</v>
      </c>
      <c r="B51" s="1550" t="s">
        <v>375</v>
      </c>
      <c r="C51" s="1550"/>
      <c r="D51" s="1550"/>
      <c r="E51" s="1550"/>
      <c r="F51" s="1550" t="s">
        <v>376</v>
      </c>
      <c r="G51" s="1550" t="s">
        <v>377</v>
      </c>
      <c r="H51" s="1550" t="s">
        <v>378</v>
      </c>
      <c r="I51" s="1551" t="s">
        <v>343</v>
      </c>
      <c r="J51" s="1551"/>
    </row>
    <row r="52" spans="1:12" ht="14.25" customHeight="1">
      <c r="A52" s="1561"/>
      <c r="B52" s="1550"/>
      <c r="C52" s="1550"/>
      <c r="D52" s="1550"/>
      <c r="E52" s="1550"/>
      <c r="F52" s="1550"/>
      <c r="G52" s="1550"/>
      <c r="H52" s="1550"/>
      <c r="I52" s="1551"/>
      <c r="J52" s="1551"/>
    </row>
    <row r="53" spans="1:12" ht="14.25" customHeight="1">
      <c r="A53" s="1561"/>
      <c r="B53" s="1540" t="s">
        <v>379</v>
      </c>
      <c r="C53" s="1540"/>
      <c r="D53" s="1540"/>
      <c r="E53" s="1540"/>
      <c r="F53" s="314"/>
      <c r="G53" s="314"/>
      <c r="H53" s="314"/>
      <c r="I53" s="1541"/>
      <c r="J53" s="1541"/>
    </row>
    <row r="54" spans="1:12" ht="14.25" customHeight="1">
      <c r="A54" s="1561"/>
      <c r="B54" s="1542"/>
      <c r="C54" s="1542"/>
      <c r="D54" s="1542"/>
      <c r="E54" s="1542"/>
      <c r="F54" s="358"/>
      <c r="G54" s="358"/>
      <c r="H54" s="309"/>
      <c r="I54" s="1543"/>
      <c r="J54" s="1543"/>
    </row>
    <row r="55" spans="1:12" ht="14.25" customHeight="1">
      <c r="A55" s="1561"/>
      <c r="B55" s="1549" t="s">
        <v>398</v>
      </c>
      <c r="C55" s="1549"/>
      <c r="D55" s="1549"/>
      <c r="E55" s="1549"/>
      <c r="F55" s="304"/>
      <c r="G55" s="304"/>
      <c r="H55" s="304"/>
      <c r="I55" s="1552">
        <f>+SUM(I54:J54)</f>
        <v>0</v>
      </c>
      <c r="J55" s="1552"/>
      <c r="K55" s="323">
        <f>+ROUND(I55,2)</f>
        <v>0</v>
      </c>
    </row>
    <row r="56" spans="1:12" ht="14.25" customHeight="1">
      <c r="A56" s="1560" t="s">
        <v>399</v>
      </c>
      <c r="B56" s="1540" t="s">
        <v>379</v>
      </c>
      <c r="C56" s="1540"/>
      <c r="D56" s="1540"/>
      <c r="E56" s="1540"/>
      <c r="F56" s="314"/>
      <c r="G56" s="314"/>
      <c r="H56" s="314"/>
      <c r="I56" s="1541"/>
      <c r="J56" s="1541"/>
    </row>
    <row r="57" spans="1:12" ht="14.25" customHeight="1">
      <c r="A57" s="1560"/>
      <c r="B57" s="1542"/>
      <c r="C57" s="1542"/>
      <c r="D57" s="1542"/>
      <c r="E57" s="1542"/>
      <c r="F57" s="253"/>
      <c r="G57" s="253"/>
      <c r="H57" s="253"/>
      <c r="I57" s="1543"/>
      <c r="J57" s="1543"/>
    </row>
    <row r="58" spans="1:12" ht="14.25" customHeight="1">
      <c r="A58" s="1560"/>
      <c r="B58" s="1549" t="s">
        <v>400</v>
      </c>
      <c r="C58" s="1549"/>
      <c r="D58" s="1549"/>
      <c r="E58" s="1549"/>
      <c r="F58" s="304"/>
      <c r="G58" s="304"/>
      <c r="H58" s="304"/>
      <c r="I58" s="1548">
        <v>0</v>
      </c>
      <c r="J58" s="1548"/>
    </row>
    <row r="59" spans="1:12" ht="14.25" customHeight="1">
      <c r="A59" s="313" t="s">
        <v>401</v>
      </c>
      <c r="B59" s="1554" t="s">
        <v>402</v>
      </c>
      <c r="C59" s="1554"/>
      <c r="D59" s="1554"/>
      <c r="E59" s="1554"/>
      <c r="F59" s="1554"/>
      <c r="G59" s="1554"/>
      <c r="H59" s="1554"/>
      <c r="I59" s="1555">
        <f>+ROUND(I49+I55,2)</f>
        <v>330.76</v>
      </c>
      <c r="J59" s="1555"/>
      <c r="K59" s="332">
        <f>+K23+K41+K55</f>
        <v>330.76</v>
      </c>
      <c r="L59" s="332">
        <f>+I59-K59</f>
        <v>0</v>
      </c>
    </row>
    <row r="60" spans="1:12" ht="14.25" customHeight="1">
      <c r="A60" s="313" t="s">
        <v>403</v>
      </c>
      <c r="B60" s="1554" t="s">
        <v>404</v>
      </c>
      <c r="C60" s="1554"/>
      <c r="D60" s="1554"/>
      <c r="E60" s="1554"/>
      <c r="F60" s="1554"/>
      <c r="G60" s="1554"/>
      <c r="H60" s="1554"/>
      <c r="I60" s="1557"/>
      <c r="J60" s="1557"/>
    </row>
    <row r="61" spans="1:12" ht="14.25" customHeight="1">
      <c r="A61" s="313" t="s">
        <v>405</v>
      </c>
      <c r="B61" s="1554" t="s">
        <v>406</v>
      </c>
      <c r="C61" s="1554"/>
      <c r="D61" s="1554"/>
      <c r="E61" s="1554"/>
      <c r="F61" s="1554"/>
      <c r="G61" s="1554"/>
      <c r="H61" s="318">
        <v>0.12</v>
      </c>
      <c r="I61" s="1555">
        <f>+ROUND(H61*I59,3)</f>
        <v>39.691000000000003</v>
      </c>
      <c r="J61" s="1555"/>
      <c r="K61" s="333"/>
    </row>
    <row r="62" spans="1:12" ht="14.25" customHeight="1">
      <c r="A62" s="313" t="s">
        <v>407</v>
      </c>
      <c r="B62" s="1554" t="s">
        <v>408</v>
      </c>
      <c r="C62" s="1554"/>
      <c r="D62" s="1554"/>
      <c r="E62" s="1554"/>
      <c r="F62" s="1554"/>
      <c r="G62" s="1554"/>
      <c r="H62" s="319"/>
      <c r="I62" s="1557"/>
      <c r="J62" s="1557"/>
      <c r="K62" s="333"/>
    </row>
    <row r="63" spans="1:12" ht="14.25" customHeight="1">
      <c r="A63" s="313" t="s">
        <v>409</v>
      </c>
      <c r="B63" s="1554" t="s">
        <v>410</v>
      </c>
      <c r="C63" s="1554"/>
      <c r="D63" s="1554"/>
      <c r="E63" s="1554"/>
      <c r="F63" s="1554"/>
      <c r="G63" s="1554"/>
      <c r="H63" s="318">
        <v>0.08</v>
      </c>
      <c r="I63" s="1555">
        <f>+ROUND(H63*I59,2)</f>
        <v>26.46</v>
      </c>
      <c r="J63" s="1555"/>
      <c r="K63" s="333"/>
    </row>
    <row r="64" spans="1:12" ht="14.25" customHeight="1">
      <c r="A64" s="313" t="s">
        <v>411</v>
      </c>
      <c r="B64" s="1554" t="s">
        <v>412</v>
      </c>
      <c r="C64" s="1554"/>
      <c r="D64" s="1554"/>
      <c r="E64" s="1554"/>
      <c r="F64" s="1554"/>
      <c r="G64" s="1554"/>
      <c r="H64" s="319"/>
      <c r="I64" s="1557"/>
      <c r="J64" s="1557"/>
      <c r="K64" s="333"/>
    </row>
    <row r="65" spans="1:11" ht="14.25" customHeight="1">
      <c r="A65" s="313" t="s">
        <v>413</v>
      </c>
      <c r="B65" s="1554" t="s">
        <v>414</v>
      </c>
      <c r="C65" s="1554"/>
      <c r="D65" s="1554"/>
      <c r="E65" s="1554"/>
      <c r="F65" s="1554"/>
      <c r="G65" s="1554"/>
      <c r="H65" s="335">
        <v>0.05</v>
      </c>
      <c r="I65" s="1555">
        <f>ROUND(H65*(I59+I61+I63),2)</f>
        <v>19.850000000000001</v>
      </c>
      <c r="J65" s="1555"/>
      <c r="K65" s="333"/>
    </row>
    <row r="66" spans="1:11" ht="14.25" customHeight="1">
      <c r="A66" s="313" t="s">
        <v>415</v>
      </c>
      <c r="B66" s="1554" t="s">
        <v>416</v>
      </c>
      <c r="C66" s="1554"/>
      <c r="D66" s="1554"/>
      <c r="E66" s="1554"/>
      <c r="F66" s="1554"/>
      <c r="G66" s="1554"/>
      <c r="H66" s="319"/>
      <c r="I66" s="1557"/>
      <c r="J66" s="1557"/>
    </row>
    <row r="67" spans="1:11" ht="14.25" customHeight="1">
      <c r="A67" s="313" t="s">
        <v>417</v>
      </c>
      <c r="B67" s="1554" t="s">
        <v>418</v>
      </c>
      <c r="C67" s="1554"/>
      <c r="D67" s="1554"/>
      <c r="E67" s="1554"/>
      <c r="F67" s="1554"/>
      <c r="G67" s="1554"/>
      <c r="H67" s="319" t="s">
        <v>419</v>
      </c>
      <c r="I67" s="1555">
        <f>+ROUND(SUM(I59:J66),2)</f>
        <v>416.76</v>
      </c>
      <c r="J67" s="1555"/>
    </row>
    <row r="68" spans="1:11" ht="14.25" customHeight="1">
      <c r="A68" s="336" t="s">
        <v>420</v>
      </c>
      <c r="B68" s="1566" t="s">
        <v>421</v>
      </c>
      <c r="C68" s="1566"/>
      <c r="D68" s="1566"/>
      <c r="E68" s="1566"/>
      <c r="F68" s="1566"/>
      <c r="G68" s="1566"/>
      <c r="H68" s="337"/>
      <c r="I68" s="1572"/>
      <c r="J68" s="1572"/>
    </row>
    <row r="69" spans="1:11" ht="39.950000000000003" customHeight="1">
      <c r="A69" s="1563" t="str">
        <f>'POW-2015-01-00_'!A42:AG42</f>
        <v>Note: Prices/Rates were based on CMPD 4TH Quarter CY 2022 for Materials, Memorandum dated December 29, 2022 for Labor cost and Memorandum dated May 18, 2022 for Equipment rental including Fuel &amp; Oil/Lubricant cost as of January 4, 2023 for DPWH Regional/District Engineering Offices</v>
      </c>
      <c r="B69" s="1563"/>
      <c r="C69" s="1563"/>
      <c r="D69" s="1563"/>
      <c r="E69" s="1563"/>
      <c r="F69" s="1563"/>
      <c r="G69" s="1563"/>
      <c r="H69" s="1563"/>
      <c r="I69" s="1563"/>
      <c r="J69" s="1563"/>
    </row>
    <row r="70" spans="1:11" ht="14.25" customHeight="1">
      <c r="A70" s="1564" t="s">
        <v>20</v>
      </c>
      <c r="B70" s="1564"/>
      <c r="C70" s="1564"/>
      <c r="H70" s="5" t="s">
        <v>422</v>
      </c>
    </row>
    <row r="71" spans="1:11" ht="14.25" customHeight="1">
      <c r="A71" s="171"/>
      <c r="B71" s="171"/>
      <c r="C71" s="171"/>
      <c r="H71" s="5"/>
    </row>
    <row r="72" spans="1:11" ht="14.25" customHeight="1">
      <c r="A72" s="171"/>
      <c r="B72" s="1501"/>
      <c r="C72" s="1501"/>
      <c r="D72" s="1501"/>
      <c r="E72" s="1501"/>
      <c r="F72" s="1501"/>
      <c r="G72" s="1501"/>
      <c r="H72" s="5"/>
    </row>
    <row r="73" spans="1:11" ht="14.25" customHeight="1">
      <c r="A73" s="1502" t="str">
        <f>+'POW-2015-01-00_'!A48:E48</f>
        <v xml:space="preserve">WINLOVE A. ESTEVES
</v>
      </c>
      <c r="B73" s="1502"/>
      <c r="C73" s="1502"/>
      <c r="D73" s="1502"/>
      <c r="H73" s="1502" t="str">
        <f>+'POW-2015-01-00_'!H48:L48</f>
        <v>MARK ANGELO E. SURIL</v>
      </c>
      <c r="I73" s="1502"/>
      <c r="J73" s="1502"/>
    </row>
    <row r="74" spans="1:11" ht="14.25" customHeight="1">
      <c r="A74" s="1565" t="s">
        <v>102</v>
      </c>
      <c r="B74" s="1565"/>
      <c r="C74" s="1565"/>
      <c r="D74" s="1565"/>
      <c r="H74" s="1565" t="s">
        <v>102</v>
      </c>
      <c r="I74" s="1565"/>
      <c r="J74" s="1565"/>
    </row>
    <row r="75" spans="1:11" ht="14.25" customHeight="1">
      <c r="A75" s="1521" t="s">
        <v>423</v>
      </c>
      <c r="B75" s="1521"/>
      <c r="C75" s="1521"/>
      <c r="D75" s="1521"/>
      <c r="H75" s="1521" t="s">
        <v>423</v>
      </c>
      <c r="I75" s="1521"/>
      <c r="J75" s="1521"/>
    </row>
    <row r="76" spans="1:11" ht="14.25" customHeight="1"/>
    <row r="77" spans="1:11" ht="14.25" customHeight="1"/>
    <row r="78" spans="1:11" ht="14.25" customHeight="1"/>
    <row r="79" spans="1:11" ht="14.25" customHeight="1"/>
    <row r="80" spans="1:11"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sheetData>
  <mergeCells count="106">
    <mergeCell ref="A70:C70"/>
    <mergeCell ref="B72:G72"/>
    <mergeCell ref="A73:D73"/>
    <mergeCell ref="H73:J73"/>
    <mergeCell ref="A74:D74"/>
    <mergeCell ref="H74:J74"/>
    <mergeCell ref="A75:D75"/>
    <mergeCell ref="H75:J75"/>
    <mergeCell ref="A11:A23"/>
    <mergeCell ref="A24:A26"/>
    <mergeCell ref="A27:A41"/>
    <mergeCell ref="A42:A44"/>
    <mergeCell ref="A51:A55"/>
    <mergeCell ref="A56:A58"/>
    <mergeCell ref="F11:F12"/>
    <mergeCell ref="F27:F28"/>
    <mergeCell ref="F51:F52"/>
    <mergeCell ref="G11:G12"/>
    <mergeCell ref="G27:G28"/>
    <mergeCell ref="G51:G52"/>
    <mergeCell ref="H11:H12"/>
    <mergeCell ref="H27:H28"/>
    <mergeCell ref="H51:H52"/>
    <mergeCell ref="B11:E12"/>
    <mergeCell ref="B65:G65"/>
    <mergeCell ref="I65:J65"/>
    <mergeCell ref="B66:G66"/>
    <mergeCell ref="I66:J66"/>
    <mergeCell ref="B67:G67"/>
    <mergeCell ref="I67:J67"/>
    <mergeCell ref="B68:G68"/>
    <mergeCell ref="I68:J68"/>
    <mergeCell ref="A69:J69"/>
    <mergeCell ref="B60:H60"/>
    <mergeCell ref="I60:J60"/>
    <mergeCell ref="B61:G61"/>
    <mergeCell ref="I61:J61"/>
    <mergeCell ref="B62:G62"/>
    <mergeCell ref="I62:J62"/>
    <mergeCell ref="B63:G63"/>
    <mergeCell ref="I63:J63"/>
    <mergeCell ref="B64:G64"/>
    <mergeCell ref="I64:J64"/>
    <mergeCell ref="B55:E55"/>
    <mergeCell ref="I55:J55"/>
    <mergeCell ref="B56:E56"/>
    <mergeCell ref="I56:J56"/>
    <mergeCell ref="B57:E57"/>
    <mergeCell ref="I57:J57"/>
    <mergeCell ref="B58:E58"/>
    <mergeCell ref="I58:J58"/>
    <mergeCell ref="B59:H59"/>
    <mergeCell ref="I59:J59"/>
    <mergeCell ref="B48:H48"/>
    <mergeCell ref="I48:J48"/>
    <mergeCell ref="B49:H49"/>
    <mergeCell ref="I49:J49"/>
    <mergeCell ref="B50:H50"/>
    <mergeCell ref="I50:J50"/>
    <mergeCell ref="B53:E53"/>
    <mergeCell ref="I53:J53"/>
    <mergeCell ref="B54:E54"/>
    <mergeCell ref="I54:J54"/>
    <mergeCell ref="B51:E52"/>
    <mergeCell ref="I51:J52"/>
    <mergeCell ref="B43:E43"/>
    <mergeCell ref="I43:J43"/>
    <mergeCell ref="B44:E44"/>
    <mergeCell ref="I44:J44"/>
    <mergeCell ref="B45:H45"/>
    <mergeCell ref="I45:J45"/>
    <mergeCell ref="B46:H46"/>
    <mergeCell ref="I46:J46"/>
    <mergeCell ref="B47:H47"/>
    <mergeCell ref="I47:J47"/>
    <mergeCell ref="I33:J33"/>
    <mergeCell ref="I34:J34"/>
    <mergeCell ref="I37:J37"/>
    <mergeCell ref="I38:J38"/>
    <mergeCell ref="I39:J39"/>
    <mergeCell ref="B41:E41"/>
    <mergeCell ref="I41:J41"/>
    <mergeCell ref="B42:E42"/>
    <mergeCell ref="I42:J42"/>
    <mergeCell ref="B24:E24"/>
    <mergeCell ref="I24:J24"/>
    <mergeCell ref="B25:E25"/>
    <mergeCell ref="I25:J25"/>
    <mergeCell ref="B26:E26"/>
    <mergeCell ref="I26:J26"/>
    <mergeCell ref="B29:E29"/>
    <mergeCell ref="I29:J29"/>
    <mergeCell ref="I32:J32"/>
    <mergeCell ref="B27:E28"/>
    <mergeCell ref="I27:J28"/>
    <mergeCell ref="H2:J2"/>
    <mergeCell ref="A5:D5"/>
    <mergeCell ref="B13:E13"/>
    <mergeCell ref="I13:J13"/>
    <mergeCell ref="I16:J16"/>
    <mergeCell ref="I17:J17"/>
    <mergeCell ref="I20:J20"/>
    <mergeCell ref="I21:J21"/>
    <mergeCell ref="B23:E23"/>
    <mergeCell ref="I23:J23"/>
    <mergeCell ref="I11:J12"/>
  </mergeCells>
  <printOptions horizontalCentered="1"/>
  <pageMargins left="0.118055555555556" right="0.118055555555556" top="0.39305555555555599" bottom="0.39305555555555599" header="0.39305555555555599" footer="0"/>
  <pageSetup paperSize="9" scale="73" orientation="portrait"/>
  <headerFooter alignWithMargins="0">
    <oddHeader>&amp;CCONSTRUCTION OF ROAD 
BRGY. L. PIMENTEL, SAN LUIS, AURORA
DETAILED UNIT PRICE ANALYSIS (DUPA)</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rgb="FFFF0000"/>
    <pageSetUpPr fitToPage="1"/>
  </sheetPr>
  <dimension ref="A1:O101"/>
  <sheetViews>
    <sheetView topLeftCell="A37" workbookViewId="0">
      <selection activeCell="K46" sqref="K46"/>
    </sheetView>
  </sheetViews>
  <sheetFormatPr defaultColWidth="9" defaultRowHeight="14.25"/>
  <cols>
    <col min="1" max="1" width="5.375" customWidth="1"/>
    <col min="2" max="2" width="2.75" customWidth="1"/>
    <col min="3" max="3" width="8.375" style="158" customWidth="1"/>
    <col min="4" max="4" width="17.25" customWidth="1"/>
    <col min="5" max="5" width="11.875" customWidth="1"/>
    <col min="6" max="6" width="15.5" customWidth="1"/>
    <col min="7" max="7" width="17" customWidth="1"/>
    <col min="8" max="8" width="18.5" customWidth="1"/>
    <col min="9" max="9" width="6.125" customWidth="1"/>
    <col min="10" max="10" width="11.875" customWidth="1"/>
    <col min="11" max="1024" width="8.5" customWidth="1"/>
    <col min="1025" max="1025" width="9" customWidth="1"/>
  </cols>
  <sheetData>
    <row r="1" spans="1:10" ht="14.25" customHeight="1"/>
    <row r="2" spans="1:10" ht="14.25" customHeight="1">
      <c r="H2" s="1538" t="s">
        <v>330</v>
      </c>
      <c r="I2" s="1538"/>
      <c r="J2" s="1538"/>
    </row>
    <row r="3" spans="1:10" ht="14.25" customHeight="1">
      <c r="H3" s="295"/>
      <c r="I3" s="295"/>
      <c r="J3" s="295"/>
    </row>
    <row r="4" spans="1:10" ht="14.25" customHeight="1">
      <c r="H4" s="295"/>
      <c r="I4" s="295"/>
      <c r="J4" s="295"/>
    </row>
    <row r="5" spans="1:10" ht="14.25" customHeight="1">
      <c r="A5" s="1539" t="s">
        <v>553</v>
      </c>
      <c r="B5" s="1539"/>
      <c r="C5" s="1539"/>
      <c r="D5" s="1539"/>
      <c r="E5" s="296" t="s">
        <v>49</v>
      </c>
      <c r="F5" t="s">
        <v>558</v>
      </c>
      <c r="G5" t="s">
        <v>559</v>
      </c>
    </row>
    <row r="6" spans="1:10" ht="14.25" customHeight="1">
      <c r="A6" t="s">
        <v>334</v>
      </c>
      <c r="E6" s="296" t="s">
        <v>49</v>
      </c>
      <c r="F6" t="s">
        <v>204</v>
      </c>
    </row>
    <row r="7" spans="1:10" ht="14.25" customHeight="1">
      <c r="A7" t="s">
        <v>336</v>
      </c>
      <c r="E7" s="296" t="s">
        <v>49</v>
      </c>
      <c r="F7" s="297">
        <v>50</v>
      </c>
    </row>
    <row r="8" spans="1:10" ht="14.25" customHeight="1">
      <c r="A8" t="s">
        <v>337</v>
      </c>
      <c r="E8" s="296" t="s">
        <v>49</v>
      </c>
    </row>
    <row r="9" spans="1:10" ht="14.25" customHeight="1">
      <c r="E9" s="296"/>
    </row>
    <row r="10" spans="1:10" ht="14.25" customHeight="1">
      <c r="A10" s="5"/>
      <c r="B10" s="5"/>
      <c r="C10" s="171"/>
      <c r="D10" s="5"/>
      <c r="E10" s="296"/>
    </row>
    <row r="11" spans="1:10" ht="14.25" customHeight="1">
      <c r="A11" s="1573" t="s">
        <v>426</v>
      </c>
      <c r="B11" s="1546" t="s">
        <v>339</v>
      </c>
      <c r="C11" s="1546"/>
      <c r="D11" s="1546"/>
      <c r="E11" s="1546"/>
      <c r="F11" s="1546" t="s">
        <v>340</v>
      </c>
      <c r="G11" s="1546" t="s">
        <v>341</v>
      </c>
      <c r="H11" s="1546" t="s">
        <v>342</v>
      </c>
      <c r="I11" s="1545" t="s">
        <v>343</v>
      </c>
      <c r="J11" s="1545"/>
    </row>
    <row r="12" spans="1:10" ht="14.25" customHeight="1">
      <c r="A12" s="1573"/>
      <c r="B12" s="1546"/>
      <c r="C12" s="1546"/>
      <c r="D12" s="1546"/>
      <c r="E12" s="1546"/>
      <c r="F12" s="1546"/>
      <c r="G12" s="1546"/>
      <c r="H12" s="1546"/>
      <c r="I12" s="1545"/>
      <c r="J12" s="1545"/>
    </row>
    <row r="13" spans="1:10" ht="14.25" customHeight="1">
      <c r="A13" s="1573"/>
      <c r="B13" s="1540" t="s">
        <v>344</v>
      </c>
      <c r="C13" s="1540"/>
      <c r="D13" s="1540"/>
      <c r="E13" s="1540"/>
      <c r="F13" s="314"/>
      <c r="G13" s="314"/>
      <c r="H13" s="314"/>
      <c r="I13" s="1541"/>
      <c r="J13" s="1541"/>
    </row>
    <row r="14" spans="1:10" ht="14.25" customHeight="1">
      <c r="A14" s="1573"/>
      <c r="B14" s="269"/>
      <c r="D14" s="158"/>
      <c r="E14" s="158"/>
      <c r="F14" s="160"/>
      <c r="G14" s="160"/>
      <c r="H14" s="160"/>
      <c r="I14" s="168"/>
      <c r="J14" s="328"/>
    </row>
    <row r="15" spans="1:10" ht="14.25" customHeight="1">
      <c r="A15" s="1573"/>
      <c r="B15" s="168" t="s">
        <v>345</v>
      </c>
      <c r="C15" s="158" t="s">
        <v>346</v>
      </c>
      <c r="D15" s="158"/>
      <c r="E15" s="158"/>
      <c r="F15" s="301">
        <v>1</v>
      </c>
      <c r="G15" s="302">
        <v>1</v>
      </c>
      <c r="H15" s="303">
        <f>+VLOOKUP(C15,LABOR,2,0)</f>
        <v>110.65</v>
      </c>
      <c r="I15" s="1594">
        <f>+F15*G15*H15</f>
        <v>110.65</v>
      </c>
      <c r="J15" s="1594"/>
    </row>
    <row r="16" spans="1:10" ht="14.25" customHeight="1">
      <c r="A16" s="1573"/>
      <c r="B16" s="168" t="s">
        <v>347</v>
      </c>
      <c r="C16" s="158" t="s">
        <v>350</v>
      </c>
      <c r="D16" s="158"/>
      <c r="E16" s="158"/>
      <c r="F16" s="301">
        <v>2</v>
      </c>
      <c r="G16" s="302">
        <v>1</v>
      </c>
      <c r="H16" s="303">
        <f>+VLOOKUP(C16,LABOR,2,0)</f>
        <v>61.75</v>
      </c>
      <c r="I16" s="1594">
        <f>+F16*G16*H16</f>
        <v>123.5</v>
      </c>
      <c r="J16" s="1594"/>
    </row>
    <row r="17" spans="1:11" ht="14.25" customHeight="1">
      <c r="A17" s="1573"/>
      <c r="B17" s="168"/>
      <c r="D17" s="158"/>
      <c r="E17" s="158"/>
      <c r="F17" s="301"/>
      <c r="G17" s="302"/>
      <c r="H17" s="303"/>
      <c r="I17" s="321"/>
      <c r="J17" s="322"/>
    </row>
    <row r="18" spans="1:11" ht="14.25" customHeight="1">
      <c r="A18" s="1573"/>
      <c r="B18" s="1549" t="s">
        <v>351</v>
      </c>
      <c r="C18" s="1549"/>
      <c r="D18" s="1549"/>
      <c r="E18" s="1549"/>
      <c r="F18" s="304"/>
      <c r="G18" s="304"/>
      <c r="H18" s="304"/>
      <c r="I18" s="1575">
        <f>+SUM(I15:J16)</f>
        <v>234.15</v>
      </c>
      <c r="J18" s="1575"/>
      <c r="K18" s="323">
        <f>+ROUND(I18/F7,2)</f>
        <v>4.68</v>
      </c>
    </row>
    <row r="19" spans="1:11" ht="14.25" customHeight="1">
      <c r="A19" s="1560" t="s">
        <v>352</v>
      </c>
      <c r="B19" s="1540" t="s">
        <v>344</v>
      </c>
      <c r="C19" s="1540"/>
      <c r="D19" s="1540"/>
      <c r="E19" s="1540"/>
      <c r="F19" s="314"/>
      <c r="G19" s="314"/>
      <c r="H19" s="314"/>
      <c r="I19" s="1541"/>
      <c r="J19" s="1541"/>
    </row>
    <row r="20" spans="1:11" ht="14.25" customHeight="1">
      <c r="A20" s="1560"/>
      <c r="B20" s="1542"/>
      <c r="C20" s="1542"/>
      <c r="D20" s="1542"/>
      <c r="E20" s="1542"/>
      <c r="F20" s="253"/>
      <c r="G20" s="253"/>
      <c r="H20" s="253"/>
      <c r="I20" s="1543"/>
      <c r="J20" s="1543"/>
    </row>
    <row r="21" spans="1:11" ht="14.25" customHeight="1">
      <c r="A21" s="1560"/>
      <c r="B21" s="1549" t="s">
        <v>353</v>
      </c>
      <c r="C21" s="1549"/>
      <c r="D21" s="1549"/>
      <c r="E21" s="1549"/>
      <c r="F21" s="304"/>
      <c r="G21" s="304"/>
      <c r="H21" s="304"/>
      <c r="I21" s="1575">
        <v>0</v>
      </c>
      <c r="J21" s="1575"/>
    </row>
    <row r="22" spans="1:11" ht="14.25" customHeight="1">
      <c r="A22" s="1561" t="s">
        <v>354</v>
      </c>
      <c r="B22" s="1550" t="s">
        <v>355</v>
      </c>
      <c r="C22" s="1550"/>
      <c r="D22" s="1550"/>
      <c r="E22" s="1550"/>
      <c r="F22" s="1550" t="s">
        <v>356</v>
      </c>
      <c r="G22" s="1550" t="s">
        <v>341</v>
      </c>
      <c r="H22" s="1550" t="s">
        <v>342</v>
      </c>
      <c r="I22" s="1551" t="s">
        <v>359</v>
      </c>
      <c r="J22" s="1551"/>
    </row>
    <row r="23" spans="1:11" ht="14.25" customHeight="1">
      <c r="A23" s="1561"/>
      <c r="B23" s="1550"/>
      <c r="C23" s="1550"/>
      <c r="D23" s="1550"/>
      <c r="E23" s="1550"/>
      <c r="F23" s="1550"/>
      <c r="G23" s="1550"/>
      <c r="H23" s="1550"/>
      <c r="I23" s="1551"/>
      <c r="J23" s="1551"/>
    </row>
    <row r="24" spans="1:11" ht="14.25" customHeight="1">
      <c r="A24" s="1561"/>
      <c r="B24" s="1540" t="s">
        <v>360</v>
      </c>
      <c r="C24" s="1540"/>
      <c r="D24" s="1540"/>
      <c r="E24" s="1540"/>
      <c r="F24" s="314"/>
      <c r="G24" s="314"/>
      <c r="H24" s="314"/>
      <c r="I24" s="1541"/>
      <c r="J24" s="1541"/>
    </row>
    <row r="25" spans="1:11" ht="14.25" customHeight="1">
      <c r="A25" s="1561"/>
      <c r="B25" s="269"/>
      <c r="D25" s="158"/>
      <c r="E25" s="158"/>
      <c r="F25" s="160"/>
      <c r="G25" s="160"/>
      <c r="H25" s="253"/>
      <c r="I25" s="10"/>
      <c r="J25" s="328"/>
    </row>
    <row r="26" spans="1:11" ht="14.25" customHeight="1">
      <c r="A26" s="1561"/>
      <c r="B26" s="168" t="s">
        <v>345</v>
      </c>
      <c r="C26" s="158" t="s">
        <v>133</v>
      </c>
      <c r="D26" s="158"/>
      <c r="E26" s="158"/>
      <c r="F26" s="168">
        <v>1</v>
      </c>
      <c r="G26" s="307">
        <v>1</v>
      </c>
      <c r="H26" s="308">
        <f>+VLOOKUP(C26,equipment,3,0)</f>
        <v>2664.75</v>
      </c>
      <c r="I26" s="1595">
        <f>F26*G26*H26</f>
        <v>2664.75</v>
      </c>
      <c r="J26" s="1595"/>
    </row>
    <row r="27" spans="1:11" ht="14.25" customHeight="1">
      <c r="A27" s="1561"/>
      <c r="B27" s="168" t="s">
        <v>347</v>
      </c>
      <c r="C27" s="158" t="s">
        <v>134</v>
      </c>
      <c r="D27" s="158"/>
      <c r="E27" s="158"/>
      <c r="F27" s="168">
        <v>1</v>
      </c>
      <c r="G27" s="307">
        <v>1</v>
      </c>
      <c r="H27" s="308">
        <f>+VLOOKUP(C27,equipment,3,0)</f>
        <v>2396.7800000000002</v>
      </c>
      <c r="I27" s="1595">
        <f>F27*G27*H27</f>
        <v>2396.7800000000002</v>
      </c>
      <c r="J27" s="1595"/>
    </row>
    <row r="28" spans="1:11" ht="14.25" customHeight="1">
      <c r="A28" s="1561"/>
      <c r="B28" s="168" t="s">
        <v>349</v>
      </c>
      <c r="C28" s="158" t="s">
        <v>136</v>
      </c>
      <c r="D28" s="158"/>
      <c r="E28" s="158"/>
      <c r="F28" s="168">
        <v>1</v>
      </c>
      <c r="G28" s="307">
        <v>0.25</v>
      </c>
      <c r="H28" s="308">
        <f>+VLOOKUP(C28,equipment,3,0)</f>
        <v>4217.3100000000004</v>
      </c>
      <c r="I28" s="1595">
        <f>F28*G28*H28</f>
        <v>1054.3275000000001</v>
      </c>
      <c r="J28" s="1595"/>
    </row>
    <row r="29" spans="1:11" ht="14.25" customHeight="1">
      <c r="A29" s="1561"/>
      <c r="B29" s="168"/>
      <c r="D29" s="158"/>
      <c r="E29" s="158"/>
      <c r="F29" s="168"/>
      <c r="G29" s="307"/>
      <c r="H29" s="308"/>
      <c r="I29" s="326"/>
      <c r="J29" s="327"/>
    </row>
    <row r="30" spans="1:11" ht="14.25" customHeight="1">
      <c r="A30" s="1561"/>
      <c r="B30" s="1549" t="s">
        <v>361</v>
      </c>
      <c r="C30" s="1549"/>
      <c r="D30" s="1549"/>
      <c r="E30" s="1549"/>
      <c r="F30" s="304"/>
      <c r="G30" s="304"/>
      <c r="H30" s="304"/>
      <c r="I30" s="1574">
        <f>+SUM(I26:J28)</f>
        <v>6115.857500000001</v>
      </c>
      <c r="J30" s="1574"/>
      <c r="K30" s="323">
        <f>+ROUND(I30/F7,2)</f>
        <v>122.32</v>
      </c>
    </row>
    <row r="31" spans="1:11" ht="14.25" customHeight="1">
      <c r="A31" s="1560" t="s">
        <v>362</v>
      </c>
      <c r="B31" s="1540" t="s">
        <v>360</v>
      </c>
      <c r="C31" s="1540"/>
      <c r="D31" s="1540"/>
      <c r="E31" s="1540"/>
      <c r="F31" s="314"/>
      <c r="G31" s="314"/>
      <c r="H31" s="314"/>
      <c r="I31" s="1541"/>
      <c r="J31" s="1541"/>
    </row>
    <row r="32" spans="1:11" ht="14.25" customHeight="1">
      <c r="A32" s="1560"/>
      <c r="B32" s="1542"/>
      <c r="C32" s="1542"/>
      <c r="D32" s="1542"/>
      <c r="E32" s="1542"/>
      <c r="F32" s="253"/>
      <c r="G32" s="253"/>
      <c r="H32" s="253"/>
      <c r="I32" s="1543"/>
      <c r="J32" s="1543"/>
    </row>
    <row r="33" spans="1:15" ht="14.25" customHeight="1">
      <c r="A33" s="1560"/>
      <c r="B33" s="1549" t="s">
        <v>363</v>
      </c>
      <c r="C33" s="1549"/>
      <c r="D33" s="1549"/>
      <c r="E33" s="1549"/>
      <c r="F33" s="304"/>
      <c r="G33" s="304"/>
      <c r="H33" s="304"/>
      <c r="I33" s="1575">
        <v>0</v>
      </c>
      <c r="J33" s="1575"/>
    </row>
    <row r="34" spans="1:15" ht="14.25" customHeight="1">
      <c r="A34" s="311" t="s">
        <v>364</v>
      </c>
      <c r="B34" s="1554" t="s">
        <v>365</v>
      </c>
      <c r="C34" s="1554"/>
      <c r="D34" s="1554"/>
      <c r="E34" s="1554"/>
      <c r="F34" s="1554"/>
      <c r="G34" s="1554"/>
      <c r="H34" s="1554"/>
      <c r="I34" s="1596">
        <f>I18+I30</f>
        <v>6350.0075000000006</v>
      </c>
      <c r="J34" s="1596"/>
    </row>
    <row r="35" spans="1:15" ht="14.25" customHeight="1">
      <c r="A35" s="313" t="s">
        <v>366</v>
      </c>
      <c r="B35" s="1554" t="s">
        <v>367</v>
      </c>
      <c r="C35" s="1554"/>
      <c r="D35" s="1554"/>
      <c r="E35" s="1554"/>
      <c r="F35" s="1554"/>
      <c r="G35" s="1554"/>
      <c r="H35" s="1554"/>
      <c r="I35" s="1557"/>
      <c r="J35" s="1557"/>
    </row>
    <row r="36" spans="1:15" ht="14.25" customHeight="1">
      <c r="A36" s="313" t="s">
        <v>368</v>
      </c>
      <c r="B36" s="1554" t="s">
        <v>336</v>
      </c>
      <c r="C36" s="1554"/>
      <c r="D36" s="1554"/>
      <c r="E36" s="1554"/>
      <c r="F36" s="1554"/>
      <c r="G36" s="1554"/>
      <c r="H36" s="1554"/>
      <c r="I36" s="1570">
        <f>F7</f>
        <v>50</v>
      </c>
      <c r="J36" s="1570"/>
      <c r="O36" s="332"/>
    </row>
    <row r="37" spans="1:15" ht="14.25" customHeight="1">
      <c r="A37" s="313" t="s">
        <v>369</v>
      </c>
      <c r="B37" s="1554" t="s">
        <v>337</v>
      </c>
      <c r="C37" s="1554"/>
      <c r="D37" s="1554"/>
      <c r="E37" s="1554"/>
      <c r="F37" s="1554"/>
      <c r="G37" s="1554"/>
      <c r="H37" s="1554"/>
      <c r="I37" s="1557"/>
      <c r="J37" s="1557"/>
    </row>
    <row r="38" spans="1:15" ht="14.25" customHeight="1">
      <c r="A38" s="313" t="s">
        <v>370</v>
      </c>
      <c r="B38" s="1554" t="s">
        <v>371</v>
      </c>
      <c r="C38" s="1554"/>
      <c r="D38" s="1554"/>
      <c r="E38" s="1554"/>
      <c r="F38" s="1554"/>
      <c r="G38" s="1554"/>
      <c r="H38" s="1554"/>
      <c r="I38" s="1596">
        <f>I34/I36</f>
        <v>127.00015000000002</v>
      </c>
      <c r="J38" s="1596"/>
    </row>
    <row r="39" spans="1:15" ht="14.25" customHeight="1">
      <c r="A39" s="313" t="s">
        <v>372</v>
      </c>
      <c r="B39" s="1554" t="s">
        <v>373</v>
      </c>
      <c r="C39" s="1554"/>
      <c r="D39" s="1554"/>
      <c r="E39" s="1554"/>
      <c r="F39" s="1554"/>
      <c r="G39" s="1554"/>
      <c r="H39" s="1554"/>
      <c r="I39" s="1557"/>
      <c r="J39" s="1557"/>
    </row>
    <row r="40" spans="1:15" ht="14.25" customHeight="1">
      <c r="A40" s="1561" t="s">
        <v>428</v>
      </c>
      <c r="B40" s="1550" t="s">
        <v>375</v>
      </c>
      <c r="C40" s="1550"/>
      <c r="D40" s="1550"/>
      <c r="E40" s="1550"/>
      <c r="F40" s="1550" t="s">
        <v>376</v>
      </c>
      <c r="G40" s="1550" t="s">
        <v>377</v>
      </c>
      <c r="H40" s="1550" t="s">
        <v>378</v>
      </c>
      <c r="I40" s="1551" t="s">
        <v>343</v>
      </c>
      <c r="J40" s="1551"/>
    </row>
    <row r="41" spans="1:15" ht="14.25" customHeight="1">
      <c r="A41" s="1561"/>
      <c r="B41" s="1550"/>
      <c r="C41" s="1550"/>
      <c r="D41" s="1550"/>
      <c r="E41" s="1550"/>
      <c r="F41" s="1550"/>
      <c r="G41" s="1550"/>
      <c r="H41" s="1550"/>
      <c r="I41" s="1551"/>
      <c r="J41" s="1551"/>
    </row>
    <row r="42" spans="1:15" ht="14.25" customHeight="1">
      <c r="A42" s="1561"/>
      <c r="B42" s="1540" t="s">
        <v>379</v>
      </c>
      <c r="C42" s="1540"/>
      <c r="D42" s="1540"/>
      <c r="E42" s="1540"/>
      <c r="F42" s="314"/>
      <c r="G42" s="314"/>
      <c r="H42" s="314"/>
      <c r="I42" s="1541"/>
      <c r="J42" s="1541"/>
    </row>
    <row r="43" spans="1:15" ht="14.25" customHeight="1">
      <c r="A43" s="1561"/>
      <c r="B43" s="269"/>
      <c r="D43" s="158"/>
      <c r="E43" s="315"/>
      <c r="F43" s="253"/>
      <c r="G43" s="253"/>
      <c r="H43" s="253"/>
      <c r="I43" s="168"/>
      <c r="J43" s="328"/>
    </row>
    <row r="44" spans="1:15" ht="14.25" customHeight="1">
      <c r="A44" s="1561"/>
      <c r="B44" s="269" t="s">
        <v>560</v>
      </c>
      <c r="D44" s="158"/>
      <c r="E44" s="315"/>
      <c r="F44" s="358" t="s">
        <v>204</v>
      </c>
      <c r="G44" s="358">
        <v>1.25</v>
      </c>
      <c r="H44" s="309">
        <f>+PRICE_LIST!D7</f>
        <v>340</v>
      </c>
      <c r="I44" s="1597">
        <f>+G44*H44</f>
        <v>425</v>
      </c>
      <c r="J44" s="1597"/>
    </row>
    <row r="45" spans="1:15" ht="14.25" customHeight="1">
      <c r="A45" s="1561"/>
      <c r="B45" s="269" t="s">
        <v>561</v>
      </c>
      <c r="D45" s="158"/>
      <c r="E45" s="315"/>
      <c r="F45" s="253"/>
      <c r="G45" s="253"/>
      <c r="H45" s="253"/>
      <c r="I45" s="168"/>
      <c r="J45" s="328"/>
    </row>
    <row r="46" spans="1:15" ht="14.25" customHeight="1">
      <c r="A46" s="1561"/>
      <c r="B46" s="1549" t="s">
        <v>398</v>
      </c>
      <c r="C46" s="1549"/>
      <c r="D46" s="1549"/>
      <c r="E46" s="1549"/>
      <c r="F46" s="304"/>
      <c r="G46" s="304"/>
      <c r="H46" s="304"/>
      <c r="I46" s="1574">
        <f>+SUM(I44)</f>
        <v>425</v>
      </c>
      <c r="J46" s="1574"/>
      <c r="K46" s="323">
        <f>+ROUND(I46,2)</f>
        <v>425</v>
      </c>
    </row>
    <row r="47" spans="1:15" ht="14.25" customHeight="1">
      <c r="A47" s="1560" t="s">
        <v>399</v>
      </c>
      <c r="B47" s="1540" t="s">
        <v>379</v>
      </c>
      <c r="C47" s="1540"/>
      <c r="D47" s="1540"/>
      <c r="E47" s="1540"/>
      <c r="F47" s="314"/>
      <c r="G47" s="314"/>
      <c r="H47" s="314"/>
      <c r="I47" s="1541"/>
      <c r="J47" s="1541"/>
    </row>
    <row r="48" spans="1:15" ht="14.25" customHeight="1">
      <c r="A48" s="1560"/>
      <c r="B48" s="1542"/>
      <c r="C48" s="1542"/>
      <c r="D48" s="1542"/>
      <c r="E48" s="1542"/>
      <c r="F48" s="253"/>
      <c r="G48" s="253"/>
      <c r="H48" s="253"/>
      <c r="I48" s="1543"/>
      <c r="J48" s="1543"/>
    </row>
    <row r="49" spans="1:12" ht="14.25" customHeight="1">
      <c r="A49" s="1560"/>
      <c r="B49" s="1549" t="s">
        <v>400</v>
      </c>
      <c r="C49" s="1549"/>
      <c r="D49" s="1549"/>
      <c r="E49" s="1549"/>
      <c r="F49" s="304"/>
      <c r="G49" s="304"/>
      <c r="H49" s="304"/>
      <c r="I49" s="1575">
        <v>0</v>
      </c>
      <c r="J49" s="1575"/>
    </row>
    <row r="50" spans="1:12" ht="14.25" customHeight="1">
      <c r="A50" s="313" t="s">
        <v>401</v>
      </c>
      <c r="B50" s="1554" t="s">
        <v>402</v>
      </c>
      <c r="C50" s="1554"/>
      <c r="D50" s="1554"/>
      <c r="E50" s="1554"/>
      <c r="F50" s="1554"/>
      <c r="G50" s="1554"/>
      <c r="H50" s="1554"/>
      <c r="I50" s="1596">
        <f>+ROUND(I38+I46,2)</f>
        <v>552</v>
      </c>
      <c r="J50" s="1596"/>
      <c r="K50" s="332">
        <f>+K18+K30+K46</f>
        <v>552</v>
      </c>
      <c r="L50" s="332">
        <f>+I50-K50</f>
        <v>0</v>
      </c>
    </row>
    <row r="51" spans="1:12" ht="14.25" customHeight="1">
      <c r="A51" s="313" t="s">
        <v>403</v>
      </c>
      <c r="B51" s="1554" t="s">
        <v>404</v>
      </c>
      <c r="C51" s="1554"/>
      <c r="D51" s="1554"/>
      <c r="E51" s="1554"/>
      <c r="F51" s="1554"/>
      <c r="G51" s="1554"/>
      <c r="H51" s="1554"/>
      <c r="I51" s="1557"/>
      <c r="J51" s="1557"/>
    </row>
    <row r="52" spans="1:12" ht="14.25" customHeight="1">
      <c r="A52" s="313" t="s">
        <v>405</v>
      </c>
      <c r="B52" s="1554" t="s">
        <v>406</v>
      </c>
      <c r="C52" s="1554"/>
      <c r="D52" s="1554"/>
      <c r="E52" s="1554"/>
      <c r="F52" s="1554"/>
      <c r="G52" s="1554"/>
      <c r="H52" s="318">
        <v>0.12</v>
      </c>
      <c r="I52" s="1596">
        <f>+ROUND(H52*I50,2)</f>
        <v>66.239999999999995</v>
      </c>
      <c r="J52" s="1596"/>
      <c r="K52" s="333"/>
    </row>
    <row r="53" spans="1:12" ht="14.25" customHeight="1">
      <c r="A53" s="313" t="s">
        <v>407</v>
      </c>
      <c r="B53" s="1554" t="s">
        <v>408</v>
      </c>
      <c r="C53" s="1554"/>
      <c r="D53" s="1554"/>
      <c r="E53" s="1554"/>
      <c r="F53" s="1554"/>
      <c r="G53" s="1554"/>
      <c r="H53" s="319"/>
      <c r="I53" s="1557"/>
      <c r="J53" s="1557"/>
      <c r="K53" s="333"/>
    </row>
    <row r="54" spans="1:12" ht="14.25" customHeight="1">
      <c r="A54" s="313" t="s">
        <v>409</v>
      </c>
      <c r="B54" s="1554" t="s">
        <v>410</v>
      </c>
      <c r="C54" s="1554"/>
      <c r="D54" s="1554"/>
      <c r="E54" s="1554"/>
      <c r="F54" s="1554"/>
      <c r="G54" s="1554"/>
      <c r="H54" s="318">
        <v>0.08</v>
      </c>
      <c r="I54" s="1596">
        <f>+ROUND(H54*I50,2)</f>
        <v>44.16</v>
      </c>
      <c r="J54" s="1596"/>
      <c r="K54" s="333"/>
    </row>
    <row r="55" spans="1:12" ht="14.25" customHeight="1">
      <c r="A55" s="313" t="s">
        <v>411</v>
      </c>
      <c r="B55" s="1554" t="s">
        <v>412</v>
      </c>
      <c r="C55" s="1554"/>
      <c r="D55" s="1554"/>
      <c r="E55" s="1554"/>
      <c r="F55" s="1554"/>
      <c r="G55" s="1554"/>
      <c r="H55" s="319"/>
      <c r="I55" s="1557"/>
      <c r="J55" s="1557"/>
      <c r="K55" s="333"/>
    </row>
    <row r="56" spans="1:12" ht="14.25" customHeight="1">
      <c r="A56" s="313" t="s">
        <v>413</v>
      </c>
      <c r="B56" s="1554" t="s">
        <v>414</v>
      </c>
      <c r="C56" s="1554"/>
      <c r="D56" s="1554"/>
      <c r="E56" s="1554"/>
      <c r="F56" s="1554"/>
      <c r="G56" s="1554"/>
      <c r="H56" s="335">
        <v>0.05</v>
      </c>
      <c r="I56" s="1596">
        <f>ROUND(H56*(I50+I52+I54),2)</f>
        <v>33.119999999999997</v>
      </c>
      <c r="J56" s="1596"/>
      <c r="K56" s="333"/>
    </row>
    <row r="57" spans="1:12" ht="14.25" customHeight="1">
      <c r="A57" s="313" t="s">
        <v>415</v>
      </c>
      <c r="B57" s="1554" t="s">
        <v>416</v>
      </c>
      <c r="C57" s="1554"/>
      <c r="D57" s="1554"/>
      <c r="E57" s="1554"/>
      <c r="F57" s="1554"/>
      <c r="G57" s="1554"/>
      <c r="H57" s="319"/>
      <c r="I57" s="1557"/>
      <c r="J57" s="1557"/>
    </row>
    <row r="58" spans="1:12" ht="14.25" customHeight="1">
      <c r="A58" s="313" t="s">
        <v>417</v>
      </c>
      <c r="B58" s="1554" t="s">
        <v>418</v>
      </c>
      <c r="C58" s="1554"/>
      <c r="D58" s="1554"/>
      <c r="E58" s="1554"/>
      <c r="F58" s="1554"/>
      <c r="G58" s="1554"/>
      <c r="H58" s="319" t="s">
        <v>419</v>
      </c>
      <c r="I58" s="1596">
        <f>+ROUND(SUM(I50:J57),2)</f>
        <v>695.52</v>
      </c>
      <c r="J58" s="1596"/>
    </row>
    <row r="59" spans="1:12" ht="14.25" customHeight="1">
      <c r="A59" s="336" t="s">
        <v>420</v>
      </c>
      <c r="B59" s="1566" t="s">
        <v>421</v>
      </c>
      <c r="C59" s="1566"/>
      <c r="D59" s="1566"/>
      <c r="E59" s="1566"/>
      <c r="F59" s="1566"/>
      <c r="G59" s="1566"/>
      <c r="H59" s="337"/>
      <c r="I59" s="1572"/>
      <c r="J59" s="1572"/>
    </row>
    <row r="60" spans="1:12" ht="39.950000000000003" customHeight="1">
      <c r="A60" s="1563" t="str">
        <f>'POW-2015-01-00_'!A42:AG42</f>
        <v>Note: Prices/Rates were based on CMPD 4TH Quarter CY 2022 for Materials, Memorandum dated December 29, 2022 for Labor cost and Memorandum dated May 18, 2022 for Equipment rental including Fuel &amp; Oil/Lubricant cost as of January 4, 2023 for DPWH Regional/District Engineering Offices</v>
      </c>
      <c r="B60" s="1563"/>
      <c r="C60" s="1563"/>
      <c r="D60" s="1563"/>
      <c r="E60" s="1563"/>
      <c r="F60" s="1563"/>
      <c r="G60" s="1563"/>
      <c r="H60" s="1563"/>
      <c r="I60" s="1563"/>
      <c r="J60" s="1563"/>
    </row>
    <row r="61" spans="1:12" ht="14.25" customHeight="1">
      <c r="A61" s="1564" t="s">
        <v>20</v>
      </c>
      <c r="B61" s="1564"/>
      <c r="C61" s="1564"/>
      <c r="H61" s="5" t="s">
        <v>422</v>
      </c>
    </row>
    <row r="62" spans="1:12" ht="14.25" customHeight="1">
      <c r="A62" s="171"/>
      <c r="B62" s="171"/>
      <c r="C62" s="171"/>
      <c r="H62" s="5"/>
    </row>
    <row r="63" spans="1:12" ht="14.25" customHeight="1">
      <c r="A63" s="171"/>
      <c r="B63" s="1501"/>
      <c r="C63" s="1501"/>
      <c r="D63" s="1501"/>
      <c r="E63" s="1501"/>
      <c r="F63" s="1501"/>
      <c r="G63" s="1501"/>
      <c r="H63" s="5"/>
    </row>
    <row r="64" spans="1:12" ht="14.25" customHeight="1">
      <c r="A64" s="1502" t="str">
        <f>+'POW-2015-01-00_'!A48:E48</f>
        <v xml:space="preserve">WINLOVE A. ESTEVES
</v>
      </c>
      <c r="B64" s="1502"/>
      <c r="C64" s="1502"/>
      <c r="D64" s="1502"/>
      <c r="H64" s="1502" t="str">
        <f>+'POW-2015-01-00_'!H48:L48</f>
        <v>MARK ANGELO E. SURIL</v>
      </c>
      <c r="I64" s="1502"/>
      <c r="J64" s="1502"/>
    </row>
    <row r="65" spans="1:10" ht="14.25" customHeight="1">
      <c r="A65" s="1565" t="s">
        <v>102</v>
      </c>
      <c r="B65" s="1565"/>
      <c r="C65" s="1565"/>
      <c r="D65" s="1565"/>
      <c r="H65" s="1565" t="s">
        <v>102</v>
      </c>
      <c r="I65" s="1565"/>
      <c r="J65" s="1565"/>
    </row>
    <row r="66" spans="1:10" ht="14.25" customHeight="1">
      <c r="A66" s="1521" t="s">
        <v>423</v>
      </c>
      <c r="B66" s="1521"/>
      <c r="C66" s="1521"/>
      <c r="D66" s="1521"/>
      <c r="H66" s="1521" t="s">
        <v>423</v>
      </c>
      <c r="I66" s="1521"/>
      <c r="J66" s="1521"/>
    </row>
    <row r="67" spans="1:10" ht="14.25" customHeight="1"/>
    <row r="68" spans="1:10" ht="14.25" customHeight="1"/>
    <row r="69" spans="1:10" ht="14.25" customHeight="1"/>
    <row r="70" spans="1:10" ht="14.25" customHeight="1"/>
    <row r="71" spans="1:10" ht="14.25" customHeight="1"/>
    <row r="72" spans="1:10" ht="14.25" customHeight="1"/>
    <row r="73" spans="1:10" ht="14.25" customHeight="1"/>
    <row r="74" spans="1:10" ht="14.25" customHeight="1"/>
    <row r="75" spans="1:10" ht="14.25" customHeight="1"/>
    <row r="76" spans="1:10" ht="14.25" customHeight="1"/>
    <row r="77" spans="1:10" ht="14.25" customHeight="1"/>
    <row r="78" spans="1:10" ht="14.25" customHeight="1"/>
    <row r="79" spans="1:10" ht="14.25" customHeight="1"/>
    <row r="80" spans="1:1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sheetData>
  <mergeCells count="100">
    <mergeCell ref="B40:E41"/>
    <mergeCell ref="I40:J41"/>
    <mergeCell ref="B22:E23"/>
    <mergeCell ref="I22:J23"/>
    <mergeCell ref="B11:E12"/>
    <mergeCell ref="I11:J12"/>
    <mergeCell ref="F40:F41"/>
    <mergeCell ref="G11:G12"/>
    <mergeCell ref="G22:G23"/>
    <mergeCell ref="G40:G41"/>
    <mergeCell ref="H11:H12"/>
    <mergeCell ref="H22:H23"/>
    <mergeCell ref="H40:H41"/>
    <mergeCell ref="B37:H37"/>
    <mergeCell ref="I37:J37"/>
    <mergeCell ref="B38:H38"/>
    <mergeCell ref="A19:A21"/>
    <mergeCell ref="A22:A30"/>
    <mergeCell ref="A31:A33"/>
    <mergeCell ref="A40:A46"/>
    <mergeCell ref="A47:A49"/>
    <mergeCell ref="A64:D64"/>
    <mergeCell ref="H64:J64"/>
    <mergeCell ref="A65:D65"/>
    <mergeCell ref="H65:J65"/>
    <mergeCell ref="A66:D66"/>
    <mergeCell ref="H66:J66"/>
    <mergeCell ref="B59:G59"/>
    <mergeCell ref="I59:J59"/>
    <mergeCell ref="A60:J60"/>
    <mergeCell ref="A61:C61"/>
    <mergeCell ref="B63:G63"/>
    <mergeCell ref="B56:G56"/>
    <mergeCell ref="I56:J56"/>
    <mergeCell ref="B57:G57"/>
    <mergeCell ref="I57:J57"/>
    <mergeCell ref="B58:G58"/>
    <mergeCell ref="I58:J58"/>
    <mergeCell ref="B53:G53"/>
    <mergeCell ref="I53:J53"/>
    <mergeCell ref="B54:G54"/>
    <mergeCell ref="I54:J54"/>
    <mergeCell ref="B55:G55"/>
    <mergeCell ref="I55:J55"/>
    <mergeCell ref="B50:H50"/>
    <mergeCell ref="I50:J50"/>
    <mergeCell ref="B51:H51"/>
    <mergeCell ref="I51:J51"/>
    <mergeCell ref="B52:G52"/>
    <mergeCell ref="I52:J52"/>
    <mergeCell ref="B47:E47"/>
    <mergeCell ref="I47:J47"/>
    <mergeCell ref="B48:E48"/>
    <mergeCell ref="I48:J48"/>
    <mergeCell ref="B49:E49"/>
    <mergeCell ref="I49:J49"/>
    <mergeCell ref="B42:E42"/>
    <mergeCell ref="I42:J42"/>
    <mergeCell ref="I44:J44"/>
    <mergeCell ref="B46:E46"/>
    <mergeCell ref="I46:J46"/>
    <mergeCell ref="B39:H39"/>
    <mergeCell ref="I39:J39"/>
    <mergeCell ref="B34:H34"/>
    <mergeCell ref="I34:J34"/>
    <mergeCell ref="B35:H35"/>
    <mergeCell ref="I35:J35"/>
    <mergeCell ref="B36:H36"/>
    <mergeCell ref="I36:J36"/>
    <mergeCell ref="B32:E32"/>
    <mergeCell ref="I32:J32"/>
    <mergeCell ref="B33:E33"/>
    <mergeCell ref="I33:J33"/>
    <mergeCell ref="I38:J38"/>
    <mergeCell ref="I28:J28"/>
    <mergeCell ref="B30:E30"/>
    <mergeCell ref="I30:J30"/>
    <mergeCell ref="B31:E31"/>
    <mergeCell ref="I31:J31"/>
    <mergeCell ref="B24:E24"/>
    <mergeCell ref="I24:J24"/>
    <mergeCell ref="F22:F23"/>
    <mergeCell ref="I26:J26"/>
    <mergeCell ref="I27:J27"/>
    <mergeCell ref="B19:E19"/>
    <mergeCell ref="I19:J19"/>
    <mergeCell ref="B20:E20"/>
    <mergeCell ref="I20:J20"/>
    <mergeCell ref="B21:E21"/>
    <mergeCell ref="I21:J21"/>
    <mergeCell ref="H2:J2"/>
    <mergeCell ref="A5:D5"/>
    <mergeCell ref="B13:E13"/>
    <mergeCell ref="I13:J13"/>
    <mergeCell ref="I15:J15"/>
    <mergeCell ref="A11:A18"/>
    <mergeCell ref="F11:F12"/>
    <mergeCell ref="I16:J16"/>
    <mergeCell ref="B18:E18"/>
    <mergeCell ref="I18:J18"/>
  </mergeCells>
  <printOptions horizontalCentered="1"/>
  <pageMargins left="0.118055555555556" right="0.118055555555556" top="0.39305555555555599" bottom="0.39305555555555599" header="0.39305555555555599" footer="0"/>
  <pageSetup paperSize="9" scale="81" orientation="portrait" r:id="rId1"/>
  <headerFooter alignWithMargins="0">
    <oddHeader>&amp;CCONSTRUCTION OF ROAD 
BRGY. L. PIMENTEL, SAN LUIS, AURORA
DETAILED UNIT PRICE ANALYSIS (DUPA)</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rgb="FFDDD9C3"/>
    <pageSetUpPr fitToPage="1"/>
  </sheetPr>
  <dimension ref="A1:M99"/>
  <sheetViews>
    <sheetView topLeftCell="A40" workbookViewId="0">
      <selection activeCell="M44" sqref="M44"/>
    </sheetView>
  </sheetViews>
  <sheetFormatPr defaultColWidth="9" defaultRowHeight="14.25"/>
  <cols>
    <col min="1" max="1" width="5.375" customWidth="1"/>
    <col min="2" max="2" width="3.25" customWidth="1"/>
    <col min="3" max="3" width="8.375" style="158" customWidth="1"/>
    <col min="4" max="4" width="20.5" customWidth="1"/>
    <col min="5" max="5" width="9.5" customWidth="1"/>
    <col min="6" max="6" width="15.5" customWidth="1"/>
    <col min="7" max="7" width="13.5" customWidth="1"/>
    <col min="8" max="8" width="18.5" customWidth="1"/>
    <col min="9" max="9" width="6.125" customWidth="1"/>
    <col min="10" max="10" width="11.875" customWidth="1"/>
    <col min="11" max="12" width="8.5" customWidth="1"/>
    <col min="13" max="13" width="9.875" customWidth="1"/>
    <col min="14" max="1024" width="8.5" customWidth="1"/>
    <col min="1025" max="1025" width="9" customWidth="1"/>
  </cols>
  <sheetData>
    <row r="1" spans="1:10" ht="14.25" customHeight="1"/>
    <row r="2" spans="1:10" ht="14.25" customHeight="1">
      <c r="H2" s="1538" t="s">
        <v>330</v>
      </c>
      <c r="I2" s="1538"/>
      <c r="J2" s="1538"/>
    </row>
    <row r="3" spans="1:10" ht="14.25" customHeight="1">
      <c r="H3" s="295"/>
      <c r="I3" s="295"/>
      <c r="J3" s="295"/>
    </row>
    <row r="4" spans="1:10" ht="14.25" customHeight="1">
      <c r="H4" s="295"/>
      <c r="I4" s="295"/>
      <c r="J4" s="295"/>
    </row>
    <row r="5" spans="1:10" ht="14.25" customHeight="1">
      <c r="A5" s="1539" t="s">
        <v>331</v>
      </c>
      <c r="B5" s="1539"/>
      <c r="C5" s="1539"/>
      <c r="D5" s="1539"/>
      <c r="E5" s="296" t="s">
        <v>49</v>
      </c>
      <c r="F5" t="s">
        <v>562</v>
      </c>
      <c r="G5" t="s">
        <v>563</v>
      </c>
    </row>
    <row r="6" spans="1:10" ht="14.25" customHeight="1">
      <c r="A6" t="s">
        <v>334</v>
      </c>
      <c r="E6" s="296" t="s">
        <v>49</v>
      </c>
      <c r="F6" t="s">
        <v>213</v>
      </c>
    </row>
    <row r="7" spans="1:10" ht="14.25" customHeight="1">
      <c r="A7" t="s">
        <v>336</v>
      </c>
      <c r="E7" s="296" t="s">
        <v>49</v>
      </c>
      <c r="F7" s="297">
        <v>300</v>
      </c>
    </row>
    <row r="8" spans="1:10" ht="14.25" customHeight="1">
      <c r="A8" t="s">
        <v>337</v>
      </c>
      <c r="E8" s="296" t="s">
        <v>49</v>
      </c>
    </row>
    <row r="9" spans="1:10" ht="14.25" customHeight="1">
      <c r="A9" s="5"/>
      <c r="B9" s="5"/>
      <c r="C9" s="171"/>
      <c r="D9" s="5"/>
      <c r="E9" s="296"/>
    </row>
    <row r="10" spans="1:10" ht="14.25" customHeight="1">
      <c r="A10" s="5"/>
      <c r="B10" s="5"/>
      <c r="C10" s="171"/>
      <c r="D10" s="5"/>
      <c r="E10" s="296"/>
    </row>
    <row r="11" spans="1:10" ht="14.25" customHeight="1">
      <c r="A11" s="1573" t="s">
        <v>426</v>
      </c>
      <c r="B11" s="1546" t="s">
        <v>339</v>
      </c>
      <c r="C11" s="1546"/>
      <c r="D11" s="1546"/>
      <c r="E11" s="1546"/>
      <c r="F11" s="1546" t="s">
        <v>340</v>
      </c>
      <c r="G11" s="1546" t="s">
        <v>341</v>
      </c>
      <c r="H11" s="1546" t="s">
        <v>342</v>
      </c>
      <c r="I11" s="1545" t="s">
        <v>343</v>
      </c>
      <c r="J11" s="1545"/>
    </row>
    <row r="12" spans="1:10" ht="14.25" customHeight="1">
      <c r="A12" s="1573"/>
      <c r="B12" s="1546"/>
      <c r="C12" s="1546"/>
      <c r="D12" s="1546"/>
      <c r="E12" s="1546"/>
      <c r="F12" s="1546"/>
      <c r="G12" s="1546"/>
      <c r="H12" s="1546"/>
      <c r="I12" s="1545"/>
      <c r="J12" s="1545"/>
    </row>
    <row r="13" spans="1:10" ht="14.25" customHeight="1">
      <c r="A13" s="1573"/>
      <c r="B13" s="1540" t="s">
        <v>344</v>
      </c>
      <c r="C13" s="1540"/>
      <c r="D13" s="1540"/>
      <c r="E13" s="1540"/>
      <c r="F13" s="300"/>
      <c r="G13" s="300"/>
      <c r="H13" s="300"/>
      <c r="I13" s="1541"/>
      <c r="J13" s="1541"/>
    </row>
    <row r="14" spans="1:10" ht="14.25" customHeight="1">
      <c r="A14" s="1573"/>
      <c r="B14" s="269"/>
      <c r="D14" s="158"/>
      <c r="E14" s="158"/>
      <c r="F14" s="183"/>
      <c r="G14" s="183"/>
      <c r="H14" s="183"/>
      <c r="I14" s="185"/>
      <c r="J14" s="320"/>
    </row>
    <row r="15" spans="1:10" ht="14.25" customHeight="1">
      <c r="A15" s="1573"/>
      <c r="B15" s="168" t="s">
        <v>345</v>
      </c>
      <c r="C15" s="158" t="s">
        <v>346</v>
      </c>
      <c r="D15" s="158"/>
      <c r="E15" s="158"/>
      <c r="F15" s="301">
        <v>1</v>
      </c>
      <c r="G15" s="302">
        <v>1</v>
      </c>
      <c r="H15" s="268">
        <f>+VLOOKUP(C15,LABOR,2,0)</f>
        <v>110.65</v>
      </c>
      <c r="I15" s="1544">
        <f>F15*G15*H15</f>
        <v>110.65</v>
      </c>
      <c r="J15" s="1544"/>
    </row>
    <row r="16" spans="1:10" ht="14.25" customHeight="1">
      <c r="A16" s="1573"/>
      <c r="B16" s="168" t="s">
        <v>347</v>
      </c>
      <c r="C16" s="158" t="s">
        <v>350</v>
      </c>
      <c r="D16" s="158"/>
      <c r="E16" s="158"/>
      <c r="F16" s="301">
        <v>2</v>
      </c>
      <c r="G16" s="302">
        <v>1</v>
      </c>
      <c r="H16" s="268">
        <f>+VLOOKUP(C16,LABOR,2,0)</f>
        <v>61.75</v>
      </c>
      <c r="I16" s="1544">
        <f>F16*G16*H16</f>
        <v>123.5</v>
      </c>
      <c r="J16" s="1544"/>
    </row>
    <row r="17" spans="1:13" ht="14.25" customHeight="1">
      <c r="A17" s="1573"/>
      <c r="B17" s="168"/>
      <c r="D17" s="158"/>
      <c r="E17" s="158"/>
      <c r="F17" s="301"/>
      <c r="G17" s="302"/>
      <c r="H17" s="303"/>
      <c r="I17" s="321"/>
      <c r="J17" s="322"/>
    </row>
    <row r="18" spans="1:13" ht="14.25" customHeight="1">
      <c r="A18" s="1573"/>
      <c r="B18" s="1549" t="s">
        <v>351</v>
      </c>
      <c r="C18" s="1549"/>
      <c r="D18" s="1549"/>
      <c r="E18" s="1549"/>
      <c r="F18" s="304"/>
      <c r="G18" s="304"/>
      <c r="H18" s="304"/>
      <c r="I18" s="1548">
        <f>SUM(I15:J16)</f>
        <v>234.15</v>
      </c>
      <c r="J18" s="1548"/>
      <c r="K18" s="323">
        <f>ROUND(I18/F7,2)</f>
        <v>0.78</v>
      </c>
      <c r="L18" s="161">
        <f>+I18/F7</f>
        <v>0.78049999999999997</v>
      </c>
      <c r="M18" s="357">
        <f>+K18-L18</f>
        <v>-4.9999999999994493E-4</v>
      </c>
    </row>
    <row r="19" spans="1:13" ht="14.25" customHeight="1">
      <c r="A19" s="1560" t="s">
        <v>352</v>
      </c>
      <c r="B19" s="1540" t="s">
        <v>344</v>
      </c>
      <c r="C19" s="1540"/>
      <c r="D19" s="1540"/>
      <c r="E19" s="1540"/>
      <c r="F19" s="300"/>
      <c r="G19" s="300"/>
      <c r="H19" s="300"/>
      <c r="I19" s="1541"/>
      <c r="J19" s="1541"/>
    </row>
    <row r="20" spans="1:13" ht="14.25" customHeight="1">
      <c r="A20" s="1560"/>
      <c r="B20" s="1542"/>
      <c r="C20" s="1542"/>
      <c r="D20" s="1542"/>
      <c r="E20" s="1542"/>
      <c r="F20" s="253"/>
      <c r="G20" s="253"/>
      <c r="H20" s="253"/>
      <c r="I20" s="1543"/>
      <c r="J20" s="1543"/>
    </row>
    <row r="21" spans="1:13" ht="14.25" customHeight="1">
      <c r="A21" s="1560"/>
      <c r="B21" s="1549" t="s">
        <v>353</v>
      </c>
      <c r="C21" s="1549"/>
      <c r="D21" s="1549"/>
      <c r="E21" s="1549"/>
      <c r="F21" s="305"/>
      <c r="G21" s="305"/>
      <c r="H21" s="305"/>
      <c r="I21" s="1548">
        <v>0</v>
      </c>
      <c r="J21" s="1548"/>
    </row>
    <row r="22" spans="1:13" ht="14.25" customHeight="1">
      <c r="A22" s="1561" t="s">
        <v>354</v>
      </c>
      <c r="B22" s="1550" t="s">
        <v>355</v>
      </c>
      <c r="C22" s="1550"/>
      <c r="D22" s="1550"/>
      <c r="E22" s="1550"/>
      <c r="F22" s="1550" t="s">
        <v>356</v>
      </c>
      <c r="G22" s="1550" t="s">
        <v>341</v>
      </c>
      <c r="H22" s="1550" t="s">
        <v>342</v>
      </c>
      <c r="I22" s="1551" t="s">
        <v>359</v>
      </c>
      <c r="J22" s="1551"/>
    </row>
    <row r="23" spans="1:13" ht="14.25" customHeight="1">
      <c r="A23" s="1561"/>
      <c r="B23" s="1550"/>
      <c r="C23" s="1550"/>
      <c r="D23" s="1550"/>
      <c r="E23" s="1550"/>
      <c r="F23" s="1550"/>
      <c r="G23" s="1550"/>
      <c r="H23" s="1550"/>
      <c r="I23" s="1551"/>
      <c r="J23" s="1551"/>
    </row>
    <row r="24" spans="1:13" ht="14.25" customHeight="1">
      <c r="A24" s="1561"/>
      <c r="B24" s="1540" t="s">
        <v>360</v>
      </c>
      <c r="C24" s="1540"/>
      <c r="D24" s="1540"/>
      <c r="E24" s="1540"/>
      <c r="F24" s="300"/>
      <c r="G24" s="300"/>
      <c r="H24" s="300"/>
      <c r="I24" s="1541"/>
      <c r="J24" s="1541"/>
    </row>
    <row r="25" spans="1:13" ht="14.25" customHeight="1">
      <c r="A25" s="1561"/>
      <c r="B25" s="269"/>
      <c r="D25" s="158"/>
      <c r="E25" s="158"/>
      <c r="F25" s="183"/>
      <c r="G25" s="183"/>
      <c r="H25" s="306"/>
      <c r="I25" s="12"/>
      <c r="J25" s="320"/>
    </row>
    <row r="26" spans="1:13" ht="14.25" customHeight="1">
      <c r="A26" s="1561"/>
      <c r="B26" s="168" t="s">
        <v>345</v>
      </c>
      <c r="C26" s="158" t="s">
        <v>133</v>
      </c>
      <c r="D26" s="158"/>
      <c r="E26" s="158"/>
      <c r="F26" s="168">
        <v>1</v>
      </c>
      <c r="G26" s="307">
        <v>1</v>
      </c>
      <c r="H26" s="355">
        <f>+VLOOKUP(C26,equipment,3,0)</f>
        <v>2664.75</v>
      </c>
      <c r="I26" s="1569">
        <f>F26*G26*H26</f>
        <v>2664.75</v>
      </c>
      <c r="J26" s="1569"/>
    </row>
    <row r="27" spans="1:13" ht="14.25" customHeight="1">
      <c r="A27" s="1561"/>
      <c r="B27" s="168" t="s">
        <v>347</v>
      </c>
      <c r="C27" s="158" t="s">
        <v>134</v>
      </c>
      <c r="D27" s="158"/>
      <c r="E27" s="158"/>
      <c r="F27" s="168">
        <v>1</v>
      </c>
      <c r="G27" s="307">
        <v>1</v>
      </c>
      <c r="H27" s="355">
        <f>+VLOOKUP(C27,equipment,3,0)</f>
        <v>2396.7800000000002</v>
      </c>
      <c r="I27" s="1569">
        <f>F27*G27*H27</f>
        <v>2396.7800000000002</v>
      </c>
      <c r="J27" s="1569"/>
    </row>
    <row r="28" spans="1:13" ht="14.25" customHeight="1">
      <c r="A28" s="1561"/>
      <c r="B28" s="168" t="s">
        <v>349</v>
      </c>
      <c r="C28" s="158" t="s">
        <v>136</v>
      </c>
      <c r="D28" s="158"/>
      <c r="E28" s="158"/>
      <c r="F28" s="168">
        <v>1</v>
      </c>
      <c r="G28" s="307">
        <v>0.25</v>
      </c>
      <c r="H28" s="355">
        <f>+VLOOKUP(C28,equipment,3,0)</f>
        <v>4217.3100000000004</v>
      </c>
      <c r="I28" s="1569">
        <f>F28*G28*H28</f>
        <v>1054.3275000000001</v>
      </c>
      <c r="J28" s="1569"/>
    </row>
    <row r="29" spans="1:13" ht="14.25" customHeight="1">
      <c r="A29" s="1561"/>
      <c r="B29" s="168"/>
      <c r="D29" s="158"/>
      <c r="E29" s="158"/>
      <c r="F29" s="168"/>
      <c r="G29" s="307"/>
      <c r="H29" s="308"/>
      <c r="I29" s="326"/>
      <c r="J29" s="327"/>
    </row>
    <row r="30" spans="1:13" ht="14.25" customHeight="1">
      <c r="A30" s="1561"/>
      <c r="B30" s="1549" t="s">
        <v>361</v>
      </c>
      <c r="C30" s="1549"/>
      <c r="D30" s="1549"/>
      <c r="E30" s="1549"/>
      <c r="F30" s="305"/>
      <c r="G30" s="305"/>
      <c r="H30" s="305"/>
      <c r="I30" s="1552">
        <f>SUM(I26:J28)</f>
        <v>6115.857500000001</v>
      </c>
      <c r="J30" s="1552"/>
      <c r="K30" s="323">
        <f>+ROUND(I30/F7,2)</f>
        <v>20.39</v>
      </c>
      <c r="L30" s="161">
        <f>+I30/F7</f>
        <v>20.386191666666669</v>
      </c>
      <c r="M30" s="357">
        <f>+K30-L30</f>
        <v>3.8083333333318592E-3</v>
      </c>
    </row>
    <row r="31" spans="1:13" ht="14.25" customHeight="1">
      <c r="A31" s="1560" t="s">
        <v>362</v>
      </c>
      <c r="B31" s="1540" t="s">
        <v>360</v>
      </c>
      <c r="C31" s="1540"/>
      <c r="D31" s="1540"/>
      <c r="E31" s="1540"/>
      <c r="F31" s="300"/>
      <c r="G31" s="300"/>
      <c r="H31" s="300"/>
      <c r="I31" s="1541"/>
      <c r="J31" s="1541"/>
    </row>
    <row r="32" spans="1:13" ht="14.25" customHeight="1">
      <c r="A32" s="1560"/>
      <c r="B32" s="1542"/>
      <c r="C32" s="1542"/>
      <c r="D32" s="1542"/>
      <c r="E32" s="1542"/>
      <c r="F32" s="306"/>
      <c r="G32" s="306"/>
      <c r="H32" s="306"/>
      <c r="I32" s="1543"/>
      <c r="J32" s="1543"/>
    </row>
    <row r="33" spans="1:12" ht="14.25" customHeight="1">
      <c r="A33" s="1560"/>
      <c r="B33" s="1549" t="s">
        <v>363</v>
      </c>
      <c r="C33" s="1549"/>
      <c r="D33" s="1549"/>
      <c r="E33" s="1549"/>
      <c r="F33" s="305"/>
      <c r="G33" s="305"/>
      <c r="H33" s="305"/>
      <c r="I33" s="1548">
        <v>0</v>
      </c>
      <c r="J33" s="1548"/>
    </row>
    <row r="34" spans="1:12" ht="14.25" customHeight="1">
      <c r="A34" s="311" t="s">
        <v>364</v>
      </c>
      <c r="B34" s="1554" t="s">
        <v>365</v>
      </c>
      <c r="C34" s="1554"/>
      <c r="D34" s="1554"/>
      <c r="E34" s="1554"/>
      <c r="F34" s="1554"/>
      <c r="G34" s="1554"/>
      <c r="H34" s="1554"/>
      <c r="I34" s="1555">
        <f>I18+I30</f>
        <v>6350.0075000000006</v>
      </c>
      <c r="J34" s="1555"/>
    </row>
    <row r="35" spans="1:12" ht="14.25" customHeight="1">
      <c r="A35" s="313" t="s">
        <v>366</v>
      </c>
      <c r="B35" s="1554" t="s">
        <v>367</v>
      </c>
      <c r="C35" s="1554"/>
      <c r="D35" s="1554"/>
      <c r="E35" s="1554"/>
      <c r="F35" s="1554"/>
      <c r="G35" s="1554"/>
      <c r="H35" s="1554"/>
      <c r="I35" s="1557"/>
      <c r="J35" s="1557"/>
    </row>
    <row r="36" spans="1:12" ht="14.25" customHeight="1">
      <c r="A36" s="313" t="s">
        <v>368</v>
      </c>
      <c r="B36" s="1554" t="s">
        <v>336</v>
      </c>
      <c r="C36" s="1554"/>
      <c r="D36" s="1554"/>
      <c r="E36" s="1554"/>
      <c r="F36" s="1554"/>
      <c r="G36" s="1554"/>
      <c r="H36" s="1554"/>
      <c r="I36" s="1570">
        <f>F7</f>
        <v>300</v>
      </c>
      <c r="J36" s="1570"/>
    </row>
    <row r="37" spans="1:12" ht="14.25" customHeight="1">
      <c r="A37" s="313" t="s">
        <v>369</v>
      </c>
      <c r="B37" s="1554" t="s">
        <v>337</v>
      </c>
      <c r="C37" s="1554"/>
      <c r="D37" s="1554"/>
      <c r="E37" s="1554"/>
      <c r="F37" s="1554"/>
      <c r="G37" s="1554"/>
      <c r="H37" s="1554"/>
      <c r="I37" s="1557"/>
      <c r="J37" s="1557"/>
    </row>
    <row r="38" spans="1:12" ht="14.25" customHeight="1">
      <c r="A38" s="313" t="s">
        <v>370</v>
      </c>
      <c r="B38" s="1554" t="s">
        <v>371</v>
      </c>
      <c r="C38" s="1554"/>
      <c r="D38" s="1554"/>
      <c r="E38" s="1554"/>
      <c r="F38" s="1554"/>
      <c r="G38" s="1554"/>
      <c r="H38" s="1554"/>
      <c r="I38" s="1555">
        <f>I34/I36</f>
        <v>21.166691666666669</v>
      </c>
      <c r="J38" s="1555"/>
    </row>
    <row r="39" spans="1:12" ht="14.25" customHeight="1">
      <c r="A39" s="313" t="s">
        <v>372</v>
      </c>
      <c r="B39" s="1554" t="s">
        <v>373</v>
      </c>
      <c r="C39" s="1554"/>
      <c r="D39" s="1554"/>
      <c r="E39" s="1554"/>
      <c r="F39" s="1554"/>
      <c r="G39" s="1554"/>
      <c r="H39" s="1554"/>
      <c r="I39" s="1557"/>
      <c r="J39" s="1557"/>
    </row>
    <row r="40" spans="1:12" ht="14.25" customHeight="1">
      <c r="A40" s="1562" t="s">
        <v>374</v>
      </c>
      <c r="B40" s="1550" t="s">
        <v>375</v>
      </c>
      <c r="C40" s="1550"/>
      <c r="D40" s="1550"/>
      <c r="E40" s="1550"/>
      <c r="F40" s="1550" t="s">
        <v>376</v>
      </c>
      <c r="G40" s="1550" t="s">
        <v>377</v>
      </c>
      <c r="H40" s="1550" t="s">
        <v>378</v>
      </c>
      <c r="I40" s="1551" t="s">
        <v>343</v>
      </c>
      <c r="J40" s="1551"/>
    </row>
    <row r="41" spans="1:12" ht="14.25" customHeight="1">
      <c r="A41" s="1562"/>
      <c r="B41" s="1550"/>
      <c r="C41" s="1550"/>
      <c r="D41" s="1550"/>
      <c r="E41" s="1550"/>
      <c r="F41" s="1550"/>
      <c r="G41" s="1550"/>
      <c r="H41" s="1550"/>
      <c r="I41" s="1551"/>
      <c r="J41" s="1551"/>
    </row>
    <row r="42" spans="1:12" ht="14.25" customHeight="1">
      <c r="A42" s="1562"/>
      <c r="B42" s="1540" t="s">
        <v>379</v>
      </c>
      <c r="C42" s="1540"/>
      <c r="D42" s="1540"/>
      <c r="E42" s="1540"/>
      <c r="F42" s="314"/>
      <c r="G42" s="314"/>
      <c r="H42" s="314"/>
      <c r="I42" s="1541"/>
      <c r="J42" s="1541"/>
    </row>
    <row r="43" spans="1:12" ht="14.25" customHeight="1">
      <c r="A43" s="1562"/>
      <c r="B43" s="1542"/>
      <c r="C43" s="1542"/>
      <c r="D43" s="1542"/>
      <c r="E43" s="1542"/>
      <c r="F43" s="168"/>
      <c r="G43" s="302"/>
      <c r="H43" s="303"/>
      <c r="I43" s="1543"/>
      <c r="J43" s="1543"/>
    </row>
    <row r="44" spans="1:12" ht="14.25" customHeight="1">
      <c r="A44" s="1562"/>
      <c r="B44" s="1549" t="s">
        <v>398</v>
      </c>
      <c r="C44" s="1549"/>
      <c r="D44" s="1549"/>
      <c r="E44" s="1549"/>
      <c r="F44" s="304"/>
      <c r="G44" s="304"/>
      <c r="H44" s="304"/>
      <c r="I44" s="1548">
        <v>0</v>
      </c>
      <c r="J44" s="1548"/>
      <c r="K44" s="323">
        <f>+ROUND(I44,2)</f>
        <v>0</v>
      </c>
      <c r="L44" s="332">
        <f>+I44</f>
        <v>0</v>
      </c>
    </row>
    <row r="45" spans="1:12" ht="14.25" customHeight="1">
      <c r="A45" s="1560" t="s">
        <v>399</v>
      </c>
      <c r="B45" s="1540" t="s">
        <v>379</v>
      </c>
      <c r="C45" s="1540"/>
      <c r="D45" s="1540"/>
      <c r="E45" s="1540"/>
      <c r="F45" s="314"/>
      <c r="G45" s="314"/>
      <c r="H45" s="314"/>
      <c r="I45" s="1541"/>
      <c r="J45" s="1541"/>
    </row>
    <row r="46" spans="1:12" ht="14.25" customHeight="1">
      <c r="A46" s="1560"/>
      <c r="B46" s="1542"/>
      <c r="C46" s="1542"/>
      <c r="D46" s="1542"/>
      <c r="E46" s="1542"/>
      <c r="F46" s="253"/>
      <c r="G46" s="253"/>
      <c r="H46" s="253"/>
      <c r="I46" s="1543"/>
      <c r="J46" s="1543"/>
    </row>
    <row r="47" spans="1:12" ht="14.25" customHeight="1">
      <c r="A47" s="1560"/>
      <c r="B47" s="1549" t="s">
        <v>400</v>
      </c>
      <c r="C47" s="1549"/>
      <c r="D47" s="1549"/>
      <c r="E47" s="1549"/>
      <c r="F47" s="304"/>
      <c r="G47" s="304"/>
      <c r="H47" s="304"/>
      <c r="I47" s="1548">
        <v>0</v>
      </c>
      <c r="J47" s="1548"/>
    </row>
    <row r="48" spans="1:12" ht="14.25" customHeight="1">
      <c r="A48" s="313" t="s">
        <v>401</v>
      </c>
      <c r="B48" s="1554" t="s">
        <v>402</v>
      </c>
      <c r="C48" s="1554"/>
      <c r="D48" s="1554"/>
      <c r="E48" s="1554"/>
      <c r="F48" s="1554"/>
      <c r="G48" s="1554"/>
      <c r="H48" s="1554"/>
      <c r="I48" s="1555">
        <f>ROUND(I38+I44,2)</f>
        <v>21.17</v>
      </c>
      <c r="J48" s="1555"/>
      <c r="K48" s="332">
        <f>+K18+K30+K44</f>
        <v>21.17</v>
      </c>
      <c r="L48" s="332">
        <f>+I48-K48</f>
        <v>0</v>
      </c>
    </row>
    <row r="49" spans="1:11" ht="14.25" customHeight="1">
      <c r="A49" s="313" t="s">
        <v>403</v>
      </c>
      <c r="B49" s="1554" t="s">
        <v>404</v>
      </c>
      <c r="C49" s="1554"/>
      <c r="D49" s="1554"/>
      <c r="E49" s="1554"/>
      <c r="F49" s="1554"/>
      <c r="G49" s="1554"/>
      <c r="H49" s="1554"/>
      <c r="I49" s="1557"/>
      <c r="J49" s="1557"/>
    </row>
    <row r="50" spans="1:11" ht="14.25" customHeight="1">
      <c r="A50" s="313" t="s">
        <v>405</v>
      </c>
      <c r="B50" s="1554" t="s">
        <v>406</v>
      </c>
      <c r="C50" s="1554"/>
      <c r="D50" s="1554"/>
      <c r="E50" s="1554"/>
      <c r="F50" s="1554"/>
      <c r="G50" s="1554"/>
      <c r="H50" s="318">
        <v>0.12</v>
      </c>
      <c r="I50" s="1555">
        <f>+H50*I48</f>
        <v>2.5404</v>
      </c>
      <c r="J50" s="1555"/>
      <c r="K50" s="333"/>
    </row>
    <row r="51" spans="1:11" ht="14.25" customHeight="1">
      <c r="A51" s="313" t="s">
        <v>407</v>
      </c>
      <c r="B51" s="341" t="s">
        <v>408</v>
      </c>
      <c r="C51" s="342"/>
      <c r="D51" s="342"/>
      <c r="E51" s="342"/>
      <c r="F51" s="342"/>
      <c r="G51" s="343"/>
      <c r="H51" s="319"/>
      <c r="I51" s="1557"/>
      <c r="J51" s="1557"/>
      <c r="K51" s="333"/>
    </row>
    <row r="52" spans="1:11" ht="14.25" customHeight="1">
      <c r="A52" s="313" t="s">
        <v>409</v>
      </c>
      <c r="B52" s="1554" t="s">
        <v>410</v>
      </c>
      <c r="C52" s="1554"/>
      <c r="D52" s="1554"/>
      <c r="E52" s="1554"/>
      <c r="F52" s="1554"/>
      <c r="G52" s="1554"/>
      <c r="H52" s="318">
        <v>0.08</v>
      </c>
      <c r="I52" s="1555">
        <f>+H52*I48</f>
        <v>1.6936000000000002</v>
      </c>
      <c r="J52" s="1555"/>
      <c r="K52" s="333"/>
    </row>
    <row r="53" spans="1:11" ht="14.25" customHeight="1">
      <c r="A53" s="313" t="s">
        <v>411</v>
      </c>
      <c r="B53" s="1554" t="s">
        <v>412</v>
      </c>
      <c r="C53" s="1554"/>
      <c r="D53" s="1554"/>
      <c r="E53" s="1554"/>
      <c r="F53" s="1554"/>
      <c r="G53" s="1554"/>
      <c r="H53" s="319"/>
      <c r="I53" s="1557"/>
      <c r="J53" s="1557"/>
      <c r="K53" s="333"/>
    </row>
    <row r="54" spans="1:11" ht="14.25" customHeight="1">
      <c r="A54" s="313" t="s">
        <v>413</v>
      </c>
      <c r="B54" s="1554" t="s">
        <v>414</v>
      </c>
      <c r="C54" s="1554"/>
      <c r="D54" s="1554"/>
      <c r="E54" s="1554"/>
      <c r="F54" s="1554"/>
      <c r="G54" s="1554"/>
      <c r="H54" s="335">
        <v>0.05</v>
      </c>
      <c r="I54" s="1555">
        <f>H54*(I48+I50+I52)</f>
        <v>1.2702</v>
      </c>
      <c r="J54" s="1555"/>
      <c r="K54" s="333"/>
    </row>
    <row r="55" spans="1:11" ht="14.25" customHeight="1">
      <c r="A55" s="313" t="s">
        <v>415</v>
      </c>
      <c r="B55" s="1554" t="s">
        <v>416</v>
      </c>
      <c r="C55" s="1554"/>
      <c r="D55" s="1554"/>
      <c r="E55" s="1554"/>
      <c r="F55" s="1554"/>
      <c r="G55" s="1554"/>
      <c r="H55" s="319"/>
      <c r="I55" s="1557"/>
      <c r="J55" s="1557"/>
    </row>
    <row r="56" spans="1:11" ht="14.25" customHeight="1">
      <c r="A56" s="313" t="s">
        <v>417</v>
      </c>
      <c r="B56" s="1554" t="s">
        <v>418</v>
      </c>
      <c r="C56" s="1554"/>
      <c r="D56" s="1554"/>
      <c r="E56" s="1554"/>
      <c r="F56" s="1554"/>
      <c r="G56" s="1554"/>
      <c r="H56" s="319" t="s">
        <v>419</v>
      </c>
      <c r="I56" s="1555">
        <f>+ROUND(SUM(I48:J55),2)</f>
        <v>26.67</v>
      </c>
      <c r="J56" s="1555"/>
    </row>
    <row r="57" spans="1:11" ht="14.25" customHeight="1">
      <c r="A57" s="336" t="s">
        <v>420</v>
      </c>
      <c r="B57" s="1566" t="s">
        <v>421</v>
      </c>
      <c r="C57" s="1566"/>
      <c r="D57" s="1566"/>
      <c r="E57" s="1566"/>
      <c r="F57" s="1566"/>
      <c r="G57" s="1566"/>
      <c r="H57" s="337"/>
      <c r="I57" s="1572"/>
      <c r="J57" s="1572"/>
    </row>
    <row r="58" spans="1:11" ht="39.950000000000003" customHeight="1">
      <c r="A58" s="1563" t="str">
        <f>'POW-2015-01-00_'!A42:AG42</f>
        <v>Note: Prices/Rates were based on CMPD 4TH Quarter CY 2022 for Materials, Memorandum dated December 29, 2022 for Labor cost and Memorandum dated May 18, 2022 for Equipment rental including Fuel &amp; Oil/Lubricant cost as of January 4, 2023 for DPWH Regional/District Engineering Offices</v>
      </c>
      <c r="B58" s="1563"/>
      <c r="C58" s="1563"/>
      <c r="D58" s="1563"/>
      <c r="E58" s="1563"/>
      <c r="F58" s="1563"/>
      <c r="G58" s="1563"/>
      <c r="H58" s="1563"/>
      <c r="I58" s="1563"/>
      <c r="J58" s="1563"/>
    </row>
    <row r="59" spans="1:11" ht="14.25" customHeight="1">
      <c r="A59" s="1564" t="s">
        <v>20</v>
      </c>
      <c r="B59" s="1564"/>
      <c r="C59" s="1564"/>
      <c r="H59" s="5" t="s">
        <v>422</v>
      </c>
    </row>
    <row r="60" spans="1:11" ht="14.25" customHeight="1">
      <c r="A60" s="171"/>
      <c r="B60" s="171"/>
      <c r="C60" s="171"/>
      <c r="H60" s="5"/>
    </row>
    <row r="61" spans="1:11" ht="14.25" customHeight="1">
      <c r="A61" s="171"/>
      <c r="B61" s="1501"/>
      <c r="C61" s="1501"/>
      <c r="D61" s="1501"/>
      <c r="E61" s="1501"/>
      <c r="F61" s="1501"/>
      <c r="G61" s="1501"/>
      <c r="H61" s="5"/>
    </row>
    <row r="62" spans="1:11" ht="14.25" customHeight="1">
      <c r="A62" s="1502" t="str">
        <f>+'POW-2015-01-00_'!A48:E48</f>
        <v xml:space="preserve">WINLOVE A. ESTEVES
</v>
      </c>
      <c r="B62" s="1502"/>
      <c r="C62" s="1502"/>
      <c r="D62" s="1502"/>
      <c r="H62" s="1502" t="str">
        <f>+'POW-2015-01-00_'!H48:L48</f>
        <v>MARK ANGELO E. SURIL</v>
      </c>
      <c r="I62" s="1502"/>
      <c r="J62" s="1502"/>
    </row>
    <row r="63" spans="1:11" ht="14.25" customHeight="1">
      <c r="A63" s="1565" t="s">
        <v>102</v>
      </c>
      <c r="B63" s="1565"/>
      <c r="C63" s="1565"/>
      <c r="D63" s="1565"/>
      <c r="H63" s="1565" t="s">
        <v>102</v>
      </c>
      <c r="I63" s="1565"/>
      <c r="J63" s="1565"/>
    </row>
    <row r="64" spans="1:11" ht="14.25" customHeight="1">
      <c r="A64" s="1521" t="s">
        <v>423</v>
      </c>
      <c r="B64" s="1521"/>
      <c r="C64" s="1521"/>
      <c r="D64" s="1521"/>
      <c r="H64" s="1521" t="s">
        <v>423</v>
      </c>
      <c r="I64" s="1521"/>
      <c r="J64" s="1521"/>
    </row>
    <row r="65" spans="10:10" ht="14.25" customHeight="1"/>
    <row r="66" spans="10:10" ht="14.25" customHeight="1"/>
    <row r="67" spans="10:10" ht="14.25" customHeight="1"/>
    <row r="68" spans="10:10" ht="14.25" customHeight="1"/>
    <row r="69" spans="10:10" ht="14.25" customHeight="1"/>
    <row r="70" spans="10:10" ht="14.25" customHeight="1"/>
    <row r="71" spans="10:10" ht="14.25" customHeight="1"/>
    <row r="72" spans="10:10" ht="14.25" customHeight="1"/>
    <row r="73" spans="10:10" ht="14.25" customHeight="1">
      <c r="J73" s="332"/>
    </row>
    <row r="74" spans="10:10" ht="14.25" customHeight="1"/>
    <row r="75" spans="10:10" ht="14.25" customHeight="1"/>
    <row r="76" spans="10:10" ht="14.25" customHeight="1"/>
    <row r="77" spans="10:10" ht="14.25" customHeight="1"/>
    <row r="78" spans="10:10" ht="14.25" customHeight="1"/>
    <row r="79" spans="10:10" ht="14.25" customHeight="1"/>
    <row r="80" spans="10:1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sheetData>
  <mergeCells count="100">
    <mergeCell ref="B40:E41"/>
    <mergeCell ref="I40:J41"/>
    <mergeCell ref="B22:E23"/>
    <mergeCell ref="I22:J23"/>
    <mergeCell ref="B11:E12"/>
    <mergeCell ref="I11:J12"/>
    <mergeCell ref="F40:F41"/>
    <mergeCell ref="G11:G12"/>
    <mergeCell ref="G22:G23"/>
    <mergeCell ref="G40:G41"/>
    <mergeCell ref="H11:H12"/>
    <mergeCell ref="H22:H23"/>
    <mergeCell ref="H40:H41"/>
    <mergeCell ref="B37:H37"/>
    <mergeCell ref="I37:J37"/>
    <mergeCell ref="B38:H38"/>
    <mergeCell ref="A19:A21"/>
    <mergeCell ref="A22:A30"/>
    <mergeCell ref="A31:A33"/>
    <mergeCell ref="A40:A44"/>
    <mergeCell ref="A45:A47"/>
    <mergeCell ref="A62:D62"/>
    <mergeCell ref="H62:J62"/>
    <mergeCell ref="A63:D63"/>
    <mergeCell ref="H63:J63"/>
    <mergeCell ref="A64:D64"/>
    <mergeCell ref="H64:J64"/>
    <mergeCell ref="B57:G57"/>
    <mergeCell ref="I57:J57"/>
    <mergeCell ref="A58:J58"/>
    <mergeCell ref="A59:C59"/>
    <mergeCell ref="B61:G61"/>
    <mergeCell ref="B54:G54"/>
    <mergeCell ref="I54:J54"/>
    <mergeCell ref="B55:G55"/>
    <mergeCell ref="I55:J55"/>
    <mergeCell ref="B56:G56"/>
    <mergeCell ref="I56:J56"/>
    <mergeCell ref="I51:J51"/>
    <mergeCell ref="B52:G52"/>
    <mergeCell ref="I52:J52"/>
    <mergeCell ref="B53:G53"/>
    <mergeCell ref="I53:J53"/>
    <mergeCell ref="B48:H48"/>
    <mergeCell ref="I48:J48"/>
    <mergeCell ref="B49:H49"/>
    <mergeCell ref="I49:J49"/>
    <mergeCell ref="B50:G50"/>
    <mergeCell ref="I50:J50"/>
    <mergeCell ref="B45:E45"/>
    <mergeCell ref="I45:J45"/>
    <mergeCell ref="B46:E46"/>
    <mergeCell ref="I46:J46"/>
    <mergeCell ref="B47:E47"/>
    <mergeCell ref="I47:J47"/>
    <mergeCell ref="B42:E42"/>
    <mergeCell ref="I42:J42"/>
    <mergeCell ref="B43:E43"/>
    <mergeCell ref="I43:J43"/>
    <mergeCell ref="B44:E44"/>
    <mergeCell ref="I44:J44"/>
    <mergeCell ref="B39:H39"/>
    <mergeCell ref="I39:J39"/>
    <mergeCell ref="B34:H34"/>
    <mergeCell ref="I34:J34"/>
    <mergeCell ref="B35:H35"/>
    <mergeCell ref="I35:J35"/>
    <mergeCell ref="B36:H36"/>
    <mergeCell ref="I36:J36"/>
    <mergeCell ref="B32:E32"/>
    <mergeCell ref="I32:J32"/>
    <mergeCell ref="B33:E33"/>
    <mergeCell ref="I33:J33"/>
    <mergeCell ref="I38:J38"/>
    <mergeCell ref="I28:J28"/>
    <mergeCell ref="B30:E30"/>
    <mergeCell ref="I30:J30"/>
    <mergeCell ref="B31:E31"/>
    <mergeCell ref="I31:J31"/>
    <mergeCell ref="B24:E24"/>
    <mergeCell ref="I24:J24"/>
    <mergeCell ref="F22:F23"/>
    <mergeCell ref="I26:J26"/>
    <mergeCell ref="I27:J27"/>
    <mergeCell ref="B19:E19"/>
    <mergeCell ref="I19:J19"/>
    <mergeCell ref="B20:E20"/>
    <mergeCell ref="I20:J20"/>
    <mergeCell ref="B21:E21"/>
    <mergeCell ref="I21:J21"/>
    <mergeCell ref="H2:J2"/>
    <mergeCell ref="A5:D5"/>
    <mergeCell ref="B13:E13"/>
    <mergeCell ref="I13:J13"/>
    <mergeCell ref="I15:J15"/>
    <mergeCell ref="A11:A18"/>
    <mergeCell ref="F11:F12"/>
    <mergeCell ref="I16:J16"/>
    <mergeCell ref="B18:E18"/>
    <mergeCell ref="I18:J18"/>
  </mergeCells>
  <printOptions horizontalCentered="1"/>
  <pageMargins left="0.118055555555556" right="0.118055555555556" top="0.39305555555555599" bottom="0.39305555555555599" header="0.39305555555555599" footer="0"/>
  <pageSetup paperSize="9" scale="82" orientation="portrait" r:id="rId1"/>
  <headerFooter alignWithMargins="0">
    <oddHeader>&amp;CCONSTRUCTION OF ROAD 
BRGY. L. PIMENTEL, SAN LUIS, AURORA
DETAILED UNIT PRICE ANALYSIS (DUPA)</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rgb="FFDDD9C3"/>
    <pageSetUpPr fitToPage="1"/>
  </sheetPr>
  <dimension ref="A1:P102"/>
  <sheetViews>
    <sheetView topLeftCell="A32" zoomScale="73" zoomScaleNormal="73" workbookViewId="0">
      <selection activeCell="K51" sqref="K51"/>
    </sheetView>
  </sheetViews>
  <sheetFormatPr defaultColWidth="9" defaultRowHeight="14.25"/>
  <cols>
    <col min="1" max="1" width="5.375" customWidth="1"/>
    <col min="2" max="2" width="2.875" customWidth="1"/>
    <col min="3" max="3" width="8.375" style="158" customWidth="1"/>
    <col min="4" max="4" width="22.375" customWidth="1"/>
    <col min="5" max="5" width="8" customWidth="1"/>
    <col min="6" max="6" width="15.75" customWidth="1"/>
    <col min="7" max="7" width="15.5" customWidth="1"/>
    <col min="8" max="8" width="18.5" customWidth="1"/>
    <col min="9" max="9" width="6.125" customWidth="1"/>
    <col min="10" max="10" width="10.625" customWidth="1"/>
    <col min="11" max="15" width="8.5" customWidth="1"/>
    <col min="16" max="16" width="11.875" customWidth="1"/>
    <col min="17" max="1024" width="8.5" customWidth="1"/>
    <col min="1025" max="1025" width="9" customWidth="1"/>
  </cols>
  <sheetData>
    <row r="1" spans="1:10" ht="14.25" customHeight="1"/>
    <row r="2" spans="1:10" ht="14.25" customHeight="1">
      <c r="H2" s="1538" t="s">
        <v>330</v>
      </c>
      <c r="I2" s="1538"/>
      <c r="J2" s="1538"/>
    </row>
    <row r="3" spans="1:10" ht="14.25" customHeight="1">
      <c r="H3" s="295"/>
      <c r="I3" s="295"/>
      <c r="J3" s="295"/>
    </row>
    <row r="4" spans="1:10" ht="14.25" customHeight="1">
      <c r="H4" s="295"/>
      <c r="I4" s="295"/>
      <c r="J4" s="295"/>
    </row>
    <row r="5" spans="1:10" ht="14.25" customHeight="1">
      <c r="A5" s="1539" t="s">
        <v>331</v>
      </c>
      <c r="B5" s="1539"/>
      <c r="C5" s="1539"/>
      <c r="D5" s="1539"/>
      <c r="E5" s="296" t="s">
        <v>49</v>
      </c>
      <c r="F5" t="s">
        <v>564</v>
      </c>
      <c r="G5" t="s">
        <v>565</v>
      </c>
    </row>
    <row r="6" spans="1:10" ht="14.25" customHeight="1">
      <c r="A6" t="s">
        <v>334</v>
      </c>
      <c r="E6" s="296" t="s">
        <v>49</v>
      </c>
      <c r="F6" t="s">
        <v>204</v>
      </c>
    </row>
    <row r="7" spans="1:10" ht="14.25" customHeight="1">
      <c r="A7" t="s">
        <v>336</v>
      </c>
      <c r="E7" s="296" t="s">
        <v>49</v>
      </c>
      <c r="F7" s="297">
        <v>50</v>
      </c>
    </row>
    <row r="8" spans="1:10" ht="14.25" customHeight="1">
      <c r="A8" t="s">
        <v>337</v>
      </c>
      <c r="E8" s="296" t="s">
        <v>49</v>
      </c>
    </row>
    <row r="9" spans="1:10" ht="14.25" customHeight="1">
      <c r="A9" s="5"/>
      <c r="B9" s="5"/>
      <c r="C9" s="171"/>
      <c r="D9" s="5"/>
      <c r="E9" s="296"/>
    </row>
    <row r="10" spans="1:10" ht="14.25" customHeight="1">
      <c r="A10" s="5"/>
      <c r="B10" s="5"/>
      <c r="C10" s="171"/>
      <c r="D10" s="5"/>
      <c r="E10" s="296"/>
    </row>
    <row r="11" spans="1:10" ht="14.25" customHeight="1">
      <c r="A11" s="1573" t="s">
        <v>426</v>
      </c>
      <c r="B11" s="1546" t="s">
        <v>339</v>
      </c>
      <c r="C11" s="1546"/>
      <c r="D11" s="1546"/>
      <c r="E11" s="1546"/>
      <c r="F11" s="1546" t="s">
        <v>340</v>
      </c>
      <c r="G11" s="1546" t="s">
        <v>341</v>
      </c>
      <c r="H11" s="1546" t="s">
        <v>342</v>
      </c>
      <c r="I11" s="1545" t="s">
        <v>343</v>
      </c>
      <c r="J11" s="1545"/>
    </row>
    <row r="12" spans="1:10" ht="14.25" customHeight="1">
      <c r="A12" s="1573"/>
      <c r="B12" s="1546"/>
      <c r="C12" s="1546"/>
      <c r="D12" s="1546"/>
      <c r="E12" s="1546"/>
      <c r="F12" s="1546"/>
      <c r="G12" s="1546"/>
      <c r="H12" s="1546"/>
      <c r="I12" s="1545"/>
      <c r="J12" s="1545"/>
    </row>
    <row r="13" spans="1:10" ht="14.25" customHeight="1">
      <c r="A13" s="1573"/>
      <c r="B13" s="1540" t="s">
        <v>344</v>
      </c>
      <c r="C13" s="1540"/>
      <c r="D13" s="1540"/>
      <c r="E13" s="1540"/>
      <c r="F13" s="300"/>
      <c r="G13" s="300"/>
      <c r="H13" s="300"/>
      <c r="I13" s="1541"/>
      <c r="J13" s="1541"/>
    </row>
    <row r="14" spans="1:10" ht="14.25" customHeight="1">
      <c r="A14" s="1573"/>
      <c r="B14" s="269"/>
      <c r="D14" s="158"/>
      <c r="E14" s="158"/>
      <c r="F14" s="183"/>
      <c r="G14" s="183"/>
      <c r="H14" s="183"/>
      <c r="I14" s="185"/>
      <c r="J14" s="320"/>
    </row>
    <row r="15" spans="1:10" ht="14.25" customHeight="1">
      <c r="A15" s="1573"/>
      <c r="B15" s="269" t="s">
        <v>345</v>
      </c>
      <c r="C15" s="158" t="s">
        <v>346</v>
      </c>
      <c r="D15" s="158"/>
      <c r="E15" s="158"/>
      <c r="F15" s="301">
        <v>1</v>
      </c>
      <c r="G15" s="302">
        <v>1</v>
      </c>
      <c r="H15" s="268">
        <f>+VLOOKUP(C15,LABOR,2,0)</f>
        <v>110.65</v>
      </c>
      <c r="I15" s="1544">
        <f>F15*G15*H15</f>
        <v>110.65</v>
      </c>
      <c r="J15" s="1544"/>
    </row>
    <row r="16" spans="1:10" ht="14.25" customHeight="1">
      <c r="A16" s="1573"/>
      <c r="B16" s="269" t="s">
        <v>347</v>
      </c>
      <c r="C16" s="158" t="s">
        <v>350</v>
      </c>
      <c r="D16" s="158"/>
      <c r="E16" s="158"/>
      <c r="F16" s="301">
        <v>2</v>
      </c>
      <c r="G16" s="302">
        <v>1</v>
      </c>
      <c r="H16" s="268">
        <f>+VLOOKUP(C16,LABOR,2,0)</f>
        <v>61.75</v>
      </c>
      <c r="I16" s="1544">
        <f>F16*G16*H16</f>
        <v>123.5</v>
      </c>
      <c r="J16" s="1544"/>
    </row>
    <row r="17" spans="1:11" ht="14.25" customHeight="1">
      <c r="A17" s="1573"/>
      <c r="B17" s="269"/>
      <c r="D17" s="158"/>
      <c r="E17" s="158"/>
      <c r="F17" s="301"/>
      <c r="G17" s="302"/>
      <c r="H17" s="303"/>
      <c r="I17" s="321"/>
      <c r="J17" s="322"/>
    </row>
    <row r="18" spans="1:11" ht="14.25" customHeight="1">
      <c r="A18" s="1573"/>
      <c r="B18" s="1549" t="s">
        <v>351</v>
      </c>
      <c r="C18" s="1549"/>
      <c r="D18" s="1549"/>
      <c r="E18" s="1549"/>
      <c r="F18" s="304"/>
      <c r="G18" s="304"/>
      <c r="H18" s="304"/>
      <c r="I18" s="1548">
        <f>SUM(I15:J16)</f>
        <v>234.15</v>
      </c>
      <c r="J18" s="1548"/>
      <c r="K18" s="323">
        <f>+ROUND(I18/F7,2)</f>
        <v>4.68</v>
      </c>
    </row>
    <row r="19" spans="1:11" ht="14.25" customHeight="1">
      <c r="A19" s="1560" t="s">
        <v>352</v>
      </c>
      <c r="B19" s="1540" t="s">
        <v>344</v>
      </c>
      <c r="C19" s="1540"/>
      <c r="D19" s="1540"/>
      <c r="E19" s="1540"/>
      <c r="F19" s="300"/>
      <c r="G19" s="300"/>
      <c r="H19" s="300"/>
      <c r="I19" s="1541"/>
      <c r="J19" s="1541"/>
    </row>
    <row r="20" spans="1:11" ht="14.25" customHeight="1">
      <c r="A20" s="1560"/>
      <c r="B20" s="1542"/>
      <c r="C20" s="1542"/>
      <c r="D20" s="1542"/>
      <c r="E20" s="1542"/>
      <c r="F20" s="253"/>
      <c r="G20" s="253"/>
      <c r="H20" s="253"/>
      <c r="I20" s="1543"/>
      <c r="J20" s="1543"/>
    </row>
    <row r="21" spans="1:11" ht="14.25" customHeight="1">
      <c r="A21" s="1560"/>
      <c r="B21" s="1549" t="s">
        <v>353</v>
      </c>
      <c r="C21" s="1549"/>
      <c r="D21" s="1549"/>
      <c r="E21" s="1549"/>
      <c r="F21" s="305"/>
      <c r="G21" s="305"/>
      <c r="H21" s="305"/>
      <c r="I21" s="1588"/>
      <c r="J21" s="1588"/>
    </row>
    <row r="22" spans="1:11" ht="14.25" customHeight="1">
      <c r="A22" s="1561" t="s">
        <v>354</v>
      </c>
      <c r="B22" s="1550" t="s">
        <v>355</v>
      </c>
      <c r="C22" s="1550"/>
      <c r="D22" s="1550"/>
      <c r="E22" s="1550"/>
      <c r="F22" s="1550" t="s">
        <v>356</v>
      </c>
      <c r="G22" s="1550" t="s">
        <v>341</v>
      </c>
      <c r="H22" s="1550" t="s">
        <v>342</v>
      </c>
      <c r="I22" s="1551" t="s">
        <v>359</v>
      </c>
      <c r="J22" s="1551"/>
    </row>
    <row r="23" spans="1:11" ht="14.25" customHeight="1">
      <c r="A23" s="1561"/>
      <c r="B23" s="1550"/>
      <c r="C23" s="1550"/>
      <c r="D23" s="1550"/>
      <c r="E23" s="1550"/>
      <c r="F23" s="1550"/>
      <c r="G23" s="1550"/>
      <c r="H23" s="1550"/>
      <c r="I23" s="1551"/>
      <c r="J23" s="1551"/>
    </row>
    <row r="24" spans="1:11" ht="14.25" customHeight="1">
      <c r="A24" s="1561"/>
      <c r="B24" s="1540" t="s">
        <v>360</v>
      </c>
      <c r="C24" s="1540"/>
      <c r="D24" s="1540"/>
      <c r="E24" s="1540"/>
      <c r="F24" s="300"/>
      <c r="G24" s="300"/>
      <c r="H24" s="300"/>
      <c r="I24" s="1541"/>
      <c r="J24" s="1541"/>
    </row>
    <row r="25" spans="1:11" ht="14.25" customHeight="1">
      <c r="A25" s="1561"/>
      <c r="B25" s="269"/>
      <c r="D25" s="158"/>
      <c r="E25" s="158"/>
      <c r="F25" s="183"/>
      <c r="G25" s="183"/>
      <c r="H25" s="306"/>
      <c r="I25" s="12"/>
      <c r="J25" s="320"/>
    </row>
    <row r="26" spans="1:11" ht="14.25" customHeight="1">
      <c r="A26" s="1561"/>
      <c r="B26" s="168" t="s">
        <v>345</v>
      </c>
      <c r="C26" s="158" t="s">
        <v>133</v>
      </c>
      <c r="D26" s="158"/>
      <c r="E26" s="158"/>
      <c r="F26" s="168">
        <v>1</v>
      </c>
      <c r="G26" s="307">
        <v>1</v>
      </c>
      <c r="H26" s="355">
        <f>+VLOOKUP(C26,equipment,3,0)</f>
        <v>2664.75</v>
      </c>
      <c r="I26" s="1569">
        <f>F26*G26*H26</f>
        <v>2664.75</v>
      </c>
      <c r="J26" s="1569"/>
    </row>
    <row r="27" spans="1:11" ht="14.25" customHeight="1">
      <c r="A27" s="1561"/>
      <c r="B27" s="168" t="s">
        <v>347</v>
      </c>
      <c r="C27" s="158" t="s">
        <v>134</v>
      </c>
      <c r="D27" s="158"/>
      <c r="E27" s="158"/>
      <c r="F27" s="168">
        <v>1</v>
      </c>
      <c r="G27" s="307">
        <v>1</v>
      </c>
      <c r="H27" s="355">
        <f>+VLOOKUP(C27,equipment,3,0)</f>
        <v>2396.7800000000002</v>
      </c>
      <c r="I27" s="1569">
        <f>F27*G27*H27</f>
        <v>2396.7800000000002</v>
      </c>
      <c r="J27" s="1569"/>
    </row>
    <row r="28" spans="1:11" ht="14.25" customHeight="1">
      <c r="A28" s="1561"/>
      <c r="B28" s="168" t="s">
        <v>349</v>
      </c>
      <c r="C28" s="158" t="s">
        <v>136</v>
      </c>
      <c r="D28" s="158"/>
      <c r="E28" s="158"/>
      <c r="F28" s="168">
        <v>1</v>
      </c>
      <c r="G28" s="307">
        <v>0.25</v>
      </c>
      <c r="H28" s="355">
        <f>+VLOOKUP(C28,equipment,3,0)</f>
        <v>4217.3100000000004</v>
      </c>
      <c r="I28" s="1569">
        <f>F28*G28*H28</f>
        <v>1054.3275000000001</v>
      </c>
      <c r="J28" s="1569"/>
    </row>
    <row r="29" spans="1:11" ht="14.25" customHeight="1">
      <c r="A29" s="1561"/>
      <c r="B29" s="168"/>
      <c r="D29" s="158"/>
      <c r="E29" s="158"/>
      <c r="F29" s="168"/>
      <c r="G29" s="307"/>
      <c r="H29" s="308"/>
      <c r="I29" s="326"/>
      <c r="J29" s="327"/>
    </row>
    <row r="30" spans="1:11" ht="14.25" customHeight="1">
      <c r="A30" s="1561"/>
      <c r="B30" s="1549" t="s">
        <v>361</v>
      </c>
      <c r="C30" s="1549"/>
      <c r="D30" s="1549"/>
      <c r="E30" s="1549"/>
      <c r="F30" s="305"/>
      <c r="G30" s="305"/>
      <c r="H30" s="305"/>
      <c r="I30" s="1552">
        <f>SUM(I26:J28)</f>
        <v>6115.857500000001</v>
      </c>
      <c r="J30" s="1552"/>
      <c r="K30" s="323">
        <f>I51-K18-K47</f>
        <v>122.32000000000005</v>
      </c>
    </row>
    <row r="31" spans="1:11" ht="14.25" customHeight="1">
      <c r="A31" s="1560" t="s">
        <v>362</v>
      </c>
      <c r="B31" s="1540" t="s">
        <v>360</v>
      </c>
      <c r="C31" s="1540"/>
      <c r="D31" s="1540"/>
      <c r="E31" s="1540"/>
      <c r="F31" s="300"/>
      <c r="G31" s="300"/>
      <c r="H31" s="300"/>
      <c r="I31" s="1541"/>
      <c r="J31" s="1541"/>
    </row>
    <row r="32" spans="1:11" ht="14.25" customHeight="1">
      <c r="A32" s="1560"/>
      <c r="B32" s="1542"/>
      <c r="C32" s="1542"/>
      <c r="D32" s="1542"/>
      <c r="E32" s="1542"/>
      <c r="F32" s="306"/>
      <c r="G32" s="306"/>
      <c r="H32" s="306"/>
      <c r="I32" s="1543"/>
      <c r="J32" s="1543"/>
    </row>
    <row r="33" spans="1:11" ht="14.25" customHeight="1">
      <c r="A33" s="1560"/>
      <c r="B33" s="1549" t="s">
        <v>363</v>
      </c>
      <c r="C33" s="1549"/>
      <c r="D33" s="1549"/>
      <c r="E33" s="1549"/>
      <c r="F33" s="305"/>
      <c r="G33" s="305"/>
      <c r="H33" s="305"/>
      <c r="I33" s="1588"/>
      <c r="J33" s="1588"/>
    </row>
    <row r="34" spans="1:11" ht="14.25" customHeight="1">
      <c r="A34" s="311" t="s">
        <v>364</v>
      </c>
      <c r="B34" s="1554" t="s">
        <v>365</v>
      </c>
      <c r="C34" s="1554"/>
      <c r="D34" s="1554"/>
      <c r="E34" s="1554"/>
      <c r="F34" s="1554"/>
      <c r="G34" s="1554"/>
      <c r="H34" s="1554"/>
      <c r="I34" s="1555">
        <f>I18+I30</f>
        <v>6350.0075000000006</v>
      </c>
      <c r="J34" s="1555"/>
    </row>
    <row r="35" spans="1:11" ht="14.25" customHeight="1">
      <c r="A35" s="313" t="s">
        <v>366</v>
      </c>
      <c r="B35" s="1554" t="s">
        <v>367</v>
      </c>
      <c r="C35" s="1554"/>
      <c r="D35" s="1554"/>
      <c r="E35" s="1554"/>
      <c r="F35" s="1554"/>
      <c r="G35" s="1554"/>
      <c r="H35" s="1554"/>
      <c r="I35" s="1557"/>
      <c r="J35" s="1557"/>
    </row>
    <row r="36" spans="1:11" ht="14.25" customHeight="1">
      <c r="A36" s="313" t="s">
        <v>368</v>
      </c>
      <c r="B36" s="1554" t="s">
        <v>336</v>
      </c>
      <c r="C36" s="1554"/>
      <c r="D36" s="1554"/>
      <c r="E36" s="1554"/>
      <c r="F36" s="1554"/>
      <c r="G36" s="1554"/>
      <c r="H36" s="1554"/>
      <c r="I36" s="1570">
        <f>F7</f>
        <v>50</v>
      </c>
      <c r="J36" s="1570"/>
    </row>
    <row r="37" spans="1:11" ht="14.25" customHeight="1">
      <c r="A37" s="313" t="s">
        <v>369</v>
      </c>
      <c r="B37" s="1554" t="s">
        <v>337</v>
      </c>
      <c r="C37" s="1554"/>
      <c r="D37" s="1554"/>
      <c r="E37" s="1554"/>
      <c r="F37" s="1554"/>
      <c r="G37" s="1554"/>
      <c r="H37" s="1554"/>
      <c r="I37" s="1557"/>
      <c r="J37" s="1557"/>
    </row>
    <row r="38" spans="1:11" ht="14.25" customHeight="1">
      <c r="A38" s="313" t="s">
        <v>370</v>
      </c>
      <c r="B38" s="1554" t="s">
        <v>371</v>
      </c>
      <c r="C38" s="1554"/>
      <c r="D38" s="1554"/>
      <c r="E38" s="1554"/>
      <c r="F38" s="1554"/>
      <c r="G38" s="1554"/>
      <c r="H38" s="1554"/>
      <c r="I38" s="1555">
        <f>I34/I36</f>
        <v>127.00015000000002</v>
      </c>
      <c r="J38" s="1555"/>
    </row>
    <row r="39" spans="1:11" ht="14.25" customHeight="1">
      <c r="A39" s="313" t="s">
        <v>372</v>
      </c>
      <c r="B39" s="1554" t="s">
        <v>373</v>
      </c>
      <c r="C39" s="1554"/>
      <c r="D39" s="1554"/>
      <c r="E39" s="1554"/>
      <c r="F39" s="1554"/>
      <c r="G39" s="1554"/>
      <c r="H39" s="1554"/>
      <c r="I39" s="1557"/>
      <c r="J39" s="1557"/>
    </row>
    <row r="40" spans="1:11" ht="14.25" customHeight="1">
      <c r="A40" s="1561" t="s">
        <v>428</v>
      </c>
      <c r="B40" s="1550" t="s">
        <v>375</v>
      </c>
      <c r="C40" s="1550"/>
      <c r="D40" s="1550"/>
      <c r="E40" s="1550"/>
      <c r="F40" s="1550" t="s">
        <v>376</v>
      </c>
      <c r="G40" s="1550" t="s">
        <v>377</v>
      </c>
      <c r="H40" s="1550" t="s">
        <v>378</v>
      </c>
      <c r="I40" s="1551" t="s">
        <v>343</v>
      </c>
      <c r="J40" s="1551"/>
    </row>
    <row r="41" spans="1:11" ht="14.25" customHeight="1">
      <c r="A41" s="1561"/>
      <c r="B41" s="1550"/>
      <c r="C41" s="1550"/>
      <c r="D41" s="1550"/>
      <c r="E41" s="1550"/>
      <c r="F41" s="1550"/>
      <c r="G41" s="1550"/>
      <c r="H41" s="1550"/>
      <c r="I41" s="1551"/>
      <c r="J41" s="1551"/>
    </row>
    <row r="42" spans="1:11" ht="14.25" customHeight="1">
      <c r="A42" s="1561"/>
      <c r="B42" s="1540" t="s">
        <v>379</v>
      </c>
      <c r="C42" s="1540"/>
      <c r="D42" s="1540"/>
      <c r="E42" s="1540"/>
      <c r="F42" s="314"/>
      <c r="G42" s="314"/>
      <c r="H42" s="314"/>
      <c r="I42" s="1541"/>
      <c r="J42" s="1541"/>
    </row>
    <row r="43" spans="1:11" ht="14.25" customHeight="1">
      <c r="A43" s="1561"/>
      <c r="B43" s="269"/>
      <c r="D43" s="158"/>
      <c r="E43" s="158"/>
      <c r="F43" s="160"/>
      <c r="G43" s="160"/>
      <c r="H43" s="160"/>
      <c r="I43" s="168"/>
      <c r="J43" s="328"/>
    </row>
    <row r="44" spans="1:11" ht="14.25" customHeight="1">
      <c r="A44" s="1561"/>
      <c r="B44" s="1568" t="s">
        <v>566</v>
      </c>
      <c r="C44" s="1568"/>
      <c r="D44" s="1568"/>
      <c r="E44" s="1568"/>
      <c r="F44" s="168" t="s">
        <v>204</v>
      </c>
      <c r="G44" s="302">
        <v>1.1499999999999999</v>
      </c>
      <c r="H44" s="268">
        <f>+PRICE_LIST!D11</f>
        <v>470</v>
      </c>
      <c r="I44" s="1556">
        <f>G44*H44</f>
        <v>540.5</v>
      </c>
      <c r="J44" s="1556"/>
    </row>
    <row r="45" spans="1:11" ht="14.25" customHeight="1">
      <c r="A45" s="1561"/>
      <c r="B45" s="1568" t="s">
        <v>567</v>
      </c>
      <c r="C45" s="1568"/>
      <c r="D45" s="1568"/>
      <c r="E45" s="1568"/>
      <c r="F45" s="168"/>
      <c r="G45" s="302"/>
      <c r="H45" s="303"/>
      <c r="I45" s="1543"/>
      <c r="J45" s="1543"/>
    </row>
    <row r="46" spans="1:11" ht="14.25" customHeight="1">
      <c r="A46" s="1561"/>
      <c r="B46" s="269"/>
      <c r="D46" s="158"/>
      <c r="E46" s="158"/>
      <c r="F46" s="168"/>
      <c r="G46" s="302"/>
      <c r="H46" s="303"/>
      <c r="I46" s="356"/>
      <c r="J46" s="331"/>
    </row>
    <row r="47" spans="1:11" ht="14.25" customHeight="1">
      <c r="A47" s="1561"/>
      <c r="B47" s="1549" t="s">
        <v>398</v>
      </c>
      <c r="C47" s="1549"/>
      <c r="D47" s="1549"/>
      <c r="E47" s="1549"/>
      <c r="F47" s="304"/>
      <c r="G47" s="304"/>
      <c r="H47" s="304"/>
      <c r="I47" s="1552">
        <f>SUM(I44:J45)</f>
        <v>540.5</v>
      </c>
      <c r="J47" s="1552"/>
      <c r="K47" s="323">
        <f>+ROUND(I47,2)</f>
        <v>540.5</v>
      </c>
    </row>
    <row r="48" spans="1:11" ht="14.25" customHeight="1">
      <c r="A48" s="1560" t="s">
        <v>399</v>
      </c>
      <c r="B48" s="1540" t="s">
        <v>379</v>
      </c>
      <c r="C48" s="1540"/>
      <c r="D48" s="1540"/>
      <c r="E48" s="1540"/>
      <c r="F48" s="314"/>
      <c r="G48" s="314"/>
      <c r="H48" s="314"/>
      <c r="I48" s="1541"/>
      <c r="J48" s="1541"/>
    </row>
    <row r="49" spans="1:16" ht="14.25" customHeight="1">
      <c r="A49" s="1560"/>
      <c r="B49" s="1542"/>
      <c r="C49" s="1542"/>
      <c r="D49" s="1542"/>
      <c r="E49" s="1542"/>
      <c r="F49" s="253"/>
      <c r="G49" s="253"/>
      <c r="H49" s="253"/>
      <c r="I49" s="1543"/>
      <c r="J49" s="1543"/>
    </row>
    <row r="50" spans="1:16" ht="14.25" customHeight="1">
      <c r="A50" s="1560"/>
      <c r="B50" s="1549" t="s">
        <v>400</v>
      </c>
      <c r="C50" s="1549"/>
      <c r="D50" s="1549"/>
      <c r="E50" s="1549"/>
      <c r="F50" s="304"/>
      <c r="G50" s="304"/>
      <c r="H50" s="304"/>
      <c r="I50" s="1588"/>
      <c r="J50" s="1588"/>
    </row>
    <row r="51" spans="1:16" ht="14.25" customHeight="1">
      <c r="A51" s="313" t="s">
        <v>401</v>
      </c>
      <c r="B51" s="1554" t="s">
        <v>402</v>
      </c>
      <c r="C51" s="1554"/>
      <c r="D51" s="1554"/>
      <c r="E51" s="1554"/>
      <c r="F51" s="1554"/>
      <c r="G51" s="1554"/>
      <c r="H51" s="1554"/>
      <c r="I51" s="1555">
        <f>ROUND(I38+I47,2)</f>
        <v>667.5</v>
      </c>
      <c r="J51" s="1555"/>
      <c r="K51" s="332">
        <f>+K18+K30+K47</f>
        <v>667.5</v>
      </c>
      <c r="L51" s="332">
        <f>+I51-K51</f>
        <v>0</v>
      </c>
    </row>
    <row r="52" spans="1:16" ht="14.25" customHeight="1">
      <c r="A52" s="313" t="s">
        <v>403</v>
      </c>
      <c r="B52" s="1554" t="s">
        <v>404</v>
      </c>
      <c r="C52" s="1554"/>
      <c r="D52" s="1554"/>
      <c r="E52" s="1554"/>
      <c r="F52" s="1554"/>
      <c r="G52" s="1554"/>
      <c r="H52" s="1554"/>
      <c r="I52" s="1557"/>
      <c r="J52" s="1557"/>
    </row>
    <row r="53" spans="1:16" ht="14.25" customHeight="1">
      <c r="A53" s="313" t="s">
        <v>405</v>
      </c>
      <c r="B53" s="1554" t="s">
        <v>406</v>
      </c>
      <c r="C53" s="1554"/>
      <c r="D53" s="1554"/>
      <c r="E53" s="1554"/>
      <c r="F53" s="1554"/>
      <c r="G53" s="1554"/>
      <c r="H53" s="318">
        <v>0.12</v>
      </c>
      <c r="I53" s="1555">
        <f>+H53*I51</f>
        <v>80.099999999999994</v>
      </c>
      <c r="J53" s="1555"/>
      <c r="K53" s="333"/>
    </row>
    <row r="54" spans="1:16" ht="14.25" customHeight="1">
      <c r="A54" s="313" t="s">
        <v>407</v>
      </c>
      <c r="B54" s="341" t="s">
        <v>408</v>
      </c>
      <c r="C54" s="342"/>
      <c r="D54" s="342"/>
      <c r="E54" s="342"/>
      <c r="F54" s="342"/>
      <c r="G54" s="343"/>
      <c r="H54" s="319"/>
      <c r="I54" s="1557"/>
      <c r="J54" s="1557"/>
      <c r="K54" s="333"/>
    </row>
    <row r="55" spans="1:16" ht="14.25" customHeight="1">
      <c r="A55" s="313" t="s">
        <v>409</v>
      </c>
      <c r="B55" s="1554" t="s">
        <v>410</v>
      </c>
      <c r="C55" s="1554"/>
      <c r="D55" s="1554"/>
      <c r="E55" s="1554"/>
      <c r="F55" s="1554"/>
      <c r="G55" s="1554"/>
      <c r="H55" s="318">
        <v>0.08</v>
      </c>
      <c r="I55" s="1555">
        <f>+H55*I51</f>
        <v>53.4</v>
      </c>
      <c r="J55" s="1555"/>
      <c r="K55" s="333"/>
    </row>
    <row r="56" spans="1:16" ht="14.25" customHeight="1">
      <c r="A56" s="313" t="s">
        <v>411</v>
      </c>
      <c r="B56" s="1554" t="s">
        <v>412</v>
      </c>
      <c r="C56" s="1554"/>
      <c r="D56" s="1554"/>
      <c r="E56" s="1554"/>
      <c r="F56" s="1554"/>
      <c r="G56" s="1554"/>
      <c r="H56" s="319"/>
      <c r="I56" s="1557"/>
      <c r="J56" s="1557"/>
      <c r="K56" s="333"/>
    </row>
    <row r="57" spans="1:16" ht="14.25" customHeight="1">
      <c r="A57" s="313" t="s">
        <v>413</v>
      </c>
      <c r="B57" s="1554" t="s">
        <v>414</v>
      </c>
      <c r="C57" s="1554"/>
      <c r="D57" s="1554"/>
      <c r="E57" s="1554"/>
      <c r="F57" s="1554"/>
      <c r="G57" s="1554"/>
      <c r="H57" s="335">
        <v>0.05</v>
      </c>
      <c r="I57" s="1555">
        <f>ROUNDDOWN(H57*(I51+I53+I55),2)</f>
        <v>40.049999999999997</v>
      </c>
      <c r="J57" s="1555"/>
      <c r="K57" s="333"/>
      <c r="P57" s="332"/>
    </row>
    <row r="58" spans="1:16" ht="14.25" customHeight="1">
      <c r="A58" s="313" t="s">
        <v>415</v>
      </c>
      <c r="B58" s="1554" t="s">
        <v>416</v>
      </c>
      <c r="C58" s="1554"/>
      <c r="D58" s="1554"/>
      <c r="E58" s="1554"/>
      <c r="F58" s="1554"/>
      <c r="G58" s="1554"/>
      <c r="H58" s="319"/>
      <c r="I58" s="1557"/>
      <c r="J58" s="1557"/>
    </row>
    <row r="59" spans="1:16" ht="14.25" customHeight="1">
      <c r="A59" s="313" t="s">
        <v>417</v>
      </c>
      <c r="B59" s="1554" t="s">
        <v>418</v>
      </c>
      <c r="C59" s="1554"/>
      <c r="D59" s="1554"/>
      <c r="E59" s="1554"/>
      <c r="F59" s="1554"/>
      <c r="G59" s="1554"/>
      <c r="H59" s="319" t="s">
        <v>419</v>
      </c>
      <c r="I59" s="1555">
        <f>+ROUND(SUM(I51:J58),2)</f>
        <v>841.05</v>
      </c>
      <c r="J59" s="1555"/>
    </row>
    <row r="60" spans="1:16" ht="14.25" customHeight="1">
      <c r="A60" s="336" t="s">
        <v>420</v>
      </c>
      <c r="B60" s="1566" t="s">
        <v>421</v>
      </c>
      <c r="C60" s="1566"/>
      <c r="D60" s="1566"/>
      <c r="E60" s="1566"/>
      <c r="F60" s="1566"/>
      <c r="G60" s="1566"/>
      <c r="H60" s="337"/>
      <c r="I60" s="1572"/>
      <c r="J60" s="1572"/>
    </row>
    <row r="61" spans="1:16" ht="39.950000000000003" customHeight="1">
      <c r="A61" s="1563" t="str">
        <f>'POW-2015-01-00_'!A42:AG42</f>
        <v>Note: Prices/Rates were based on CMPD 4TH Quarter CY 2022 for Materials, Memorandum dated December 29, 2022 for Labor cost and Memorandum dated May 18, 2022 for Equipment rental including Fuel &amp; Oil/Lubricant cost as of January 4, 2023 for DPWH Regional/District Engineering Offices</v>
      </c>
      <c r="B61" s="1563"/>
      <c r="C61" s="1563"/>
      <c r="D61" s="1563"/>
      <c r="E61" s="1563"/>
      <c r="F61" s="1563"/>
      <c r="G61" s="1563"/>
      <c r="H61" s="1563"/>
      <c r="I61" s="1563"/>
      <c r="J61" s="1563"/>
    </row>
    <row r="62" spans="1:16" ht="14.25" customHeight="1">
      <c r="A62" s="1564" t="s">
        <v>20</v>
      </c>
      <c r="B62" s="1564"/>
      <c r="C62" s="1564"/>
      <c r="H62" s="5" t="s">
        <v>422</v>
      </c>
    </row>
    <row r="63" spans="1:16" ht="14.25" customHeight="1">
      <c r="A63" s="171"/>
      <c r="B63" s="1501"/>
      <c r="C63" s="1501"/>
      <c r="D63" s="1501"/>
      <c r="E63" s="1501"/>
      <c r="F63" s="1501"/>
      <c r="G63" s="1501"/>
      <c r="H63" s="5"/>
    </row>
    <row r="64" spans="1:16" ht="14.25" customHeight="1">
      <c r="A64" s="171"/>
      <c r="B64" s="171"/>
      <c r="C64" s="171"/>
      <c r="H64" s="5"/>
    </row>
    <row r="65" spans="1:10" ht="14.25" customHeight="1">
      <c r="A65" s="1502" t="str">
        <f>+'POW-2015-01-00_'!A48:E48</f>
        <v xml:space="preserve">WINLOVE A. ESTEVES
</v>
      </c>
      <c r="B65" s="1502"/>
      <c r="C65" s="1502"/>
      <c r="D65" s="1502"/>
      <c r="H65" s="1502" t="str">
        <f>+'POW-2015-01-00_'!H48:L48</f>
        <v>MARK ANGELO E. SURIL</v>
      </c>
      <c r="I65" s="1502"/>
      <c r="J65" s="1502"/>
    </row>
    <row r="66" spans="1:10" ht="14.25" customHeight="1">
      <c r="A66" s="1565" t="s">
        <v>102</v>
      </c>
      <c r="B66" s="1565"/>
      <c r="C66" s="1565"/>
      <c r="D66" s="1565"/>
      <c r="H66" s="1565" t="s">
        <v>102</v>
      </c>
      <c r="I66" s="1565"/>
      <c r="J66" s="1565"/>
    </row>
    <row r="67" spans="1:10" ht="14.25" customHeight="1">
      <c r="A67" s="1521" t="s">
        <v>423</v>
      </c>
      <c r="B67" s="1521"/>
      <c r="C67" s="1521"/>
      <c r="D67" s="1521"/>
      <c r="H67" s="1521" t="s">
        <v>423</v>
      </c>
      <c r="I67" s="1521"/>
      <c r="J67" s="1521"/>
    </row>
    <row r="68" spans="1:10" ht="14.25" customHeight="1"/>
    <row r="69" spans="1:10" ht="14.25" customHeight="1"/>
    <row r="70" spans="1:10" ht="14.25" customHeight="1"/>
    <row r="71" spans="1:10" ht="14.25" customHeight="1"/>
    <row r="72" spans="1:10" ht="14.25" customHeight="1"/>
    <row r="73" spans="1:10" ht="14.25" customHeight="1"/>
    <row r="74" spans="1:10" ht="14.25" customHeight="1"/>
    <row r="75" spans="1:10" ht="14.25" customHeight="1"/>
    <row r="76" spans="1:10" ht="14.25" customHeight="1"/>
    <row r="77" spans="1:10" ht="14.25" customHeight="1"/>
    <row r="78" spans="1:10" ht="14.25" customHeight="1"/>
    <row r="79" spans="1:10" ht="14.25" customHeight="1"/>
    <row r="80" spans="1:1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sheetData>
  <mergeCells count="102">
    <mergeCell ref="A66:D66"/>
    <mergeCell ref="H66:J66"/>
    <mergeCell ref="A67:D67"/>
    <mergeCell ref="H67:J67"/>
    <mergeCell ref="A11:A18"/>
    <mergeCell ref="A19:A21"/>
    <mergeCell ref="A22:A30"/>
    <mergeCell ref="A31:A33"/>
    <mergeCell ref="A40:A47"/>
    <mergeCell ref="A48:A50"/>
    <mergeCell ref="F11:F12"/>
    <mergeCell ref="F22:F23"/>
    <mergeCell ref="F40:F41"/>
    <mergeCell ref="G11:G12"/>
    <mergeCell ref="G22:G23"/>
    <mergeCell ref="G40:G41"/>
    <mergeCell ref="H11:H12"/>
    <mergeCell ref="H22:H23"/>
    <mergeCell ref="H40:H41"/>
    <mergeCell ref="B22:E23"/>
    <mergeCell ref="I22:J23"/>
    <mergeCell ref="B40:E41"/>
    <mergeCell ref="I40:J41"/>
    <mergeCell ref="B11:E12"/>
    <mergeCell ref="B59:G59"/>
    <mergeCell ref="I59:J59"/>
    <mergeCell ref="B60:G60"/>
    <mergeCell ref="I60:J60"/>
    <mergeCell ref="A61:J61"/>
    <mergeCell ref="A62:C62"/>
    <mergeCell ref="B63:G63"/>
    <mergeCell ref="A65:D65"/>
    <mergeCell ref="H65:J65"/>
    <mergeCell ref="I54:J54"/>
    <mergeCell ref="B55:G55"/>
    <mergeCell ref="I55:J55"/>
    <mergeCell ref="B56:G56"/>
    <mergeCell ref="I56:J56"/>
    <mergeCell ref="B57:G57"/>
    <mergeCell ref="I57:J57"/>
    <mergeCell ref="B58:G58"/>
    <mergeCell ref="I58:J58"/>
    <mergeCell ref="B49:E49"/>
    <mergeCell ref="I49:J49"/>
    <mergeCell ref="B50:E50"/>
    <mergeCell ref="I50:J50"/>
    <mergeCell ref="B51:H51"/>
    <mergeCell ref="I51:J51"/>
    <mergeCell ref="B52:H52"/>
    <mergeCell ref="I52:J52"/>
    <mergeCell ref="B53:G53"/>
    <mergeCell ref="I53:J53"/>
    <mergeCell ref="B42:E42"/>
    <mergeCell ref="I42:J42"/>
    <mergeCell ref="B44:E44"/>
    <mergeCell ref="I44:J44"/>
    <mergeCell ref="B45:E45"/>
    <mergeCell ref="I45:J45"/>
    <mergeCell ref="B47:E47"/>
    <mergeCell ref="I47:J47"/>
    <mergeCell ref="B48:E48"/>
    <mergeCell ref="I48:J48"/>
    <mergeCell ref="B35:H35"/>
    <mergeCell ref="I35:J35"/>
    <mergeCell ref="B36:H36"/>
    <mergeCell ref="I36:J36"/>
    <mergeCell ref="B37:H37"/>
    <mergeCell ref="I37:J37"/>
    <mergeCell ref="B38:H38"/>
    <mergeCell ref="I38:J38"/>
    <mergeCell ref="B39:H39"/>
    <mergeCell ref="I39:J39"/>
    <mergeCell ref="B30:E30"/>
    <mergeCell ref="I30:J30"/>
    <mergeCell ref="B31:E31"/>
    <mergeCell ref="I31:J31"/>
    <mergeCell ref="B32:E32"/>
    <mergeCell ref="I32:J32"/>
    <mergeCell ref="B33:E33"/>
    <mergeCell ref="I33:J33"/>
    <mergeCell ref="B34:H34"/>
    <mergeCell ref="I34:J34"/>
    <mergeCell ref="B20:E20"/>
    <mergeCell ref="I20:J20"/>
    <mergeCell ref="B21:E21"/>
    <mergeCell ref="I21:J21"/>
    <mergeCell ref="B24:E24"/>
    <mergeCell ref="I24:J24"/>
    <mergeCell ref="I26:J26"/>
    <mergeCell ref="I27:J27"/>
    <mergeCell ref="I28:J28"/>
    <mergeCell ref="H2:J2"/>
    <mergeCell ref="A5:D5"/>
    <mergeCell ref="B13:E13"/>
    <mergeCell ref="I13:J13"/>
    <mergeCell ref="I15:J15"/>
    <mergeCell ref="I16:J16"/>
    <mergeCell ref="B18:E18"/>
    <mergeCell ref="I18:J18"/>
    <mergeCell ref="B19:E19"/>
    <mergeCell ref="I19:J19"/>
    <mergeCell ref="I11:J12"/>
  </mergeCells>
  <printOptions horizontalCentered="1"/>
  <pageMargins left="0.118055555555556" right="0.118055555555556" top="0.39305555555555599" bottom="0.39305555555555599" header="0.39305555555555599" footer="0"/>
  <pageSetup paperSize="9" scale="80" orientation="portrait" r:id="rId1"/>
  <headerFooter alignWithMargins="0">
    <oddHeader>&amp;CCONSTRUCTION OF ROAD 
BRGY. L. PIMENTEL, SAN LUIS, AURORA
DETAILED UNIT PRICE ANALYSIS (DUPA)</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rgb="FFDDD9C3"/>
    <pageSetUpPr fitToPage="1"/>
  </sheetPr>
  <dimension ref="A1:Q120"/>
  <sheetViews>
    <sheetView topLeftCell="A40" workbookViewId="0">
      <selection activeCell="I69" sqref="I69:J69"/>
    </sheetView>
  </sheetViews>
  <sheetFormatPr defaultColWidth="9" defaultRowHeight="14.25"/>
  <cols>
    <col min="1" max="1" width="5.375" customWidth="1"/>
    <col min="2" max="2" width="2.625" customWidth="1"/>
    <col min="3" max="3" width="8.375" style="158" customWidth="1"/>
    <col min="4" max="4" width="21.625" customWidth="1"/>
    <col min="5" max="5" width="7" customWidth="1"/>
    <col min="6" max="6" width="15.5" customWidth="1"/>
    <col min="7" max="7" width="18.75" customWidth="1"/>
    <col min="8" max="8" width="18.5" customWidth="1"/>
    <col min="9" max="9" width="6.125" customWidth="1"/>
    <col min="10" max="10" width="18.125" customWidth="1"/>
    <col min="11" max="11" width="8.5" customWidth="1"/>
    <col min="12" max="12" width="8.875" customWidth="1"/>
    <col min="13" max="13" width="14.375" customWidth="1"/>
    <col min="14" max="15" width="8.5" customWidth="1"/>
    <col min="16" max="17" width="11.875" customWidth="1"/>
    <col min="18" max="1024" width="8.5" customWidth="1"/>
    <col min="1025" max="1025" width="9" customWidth="1"/>
  </cols>
  <sheetData>
    <row r="1" spans="1:10" ht="14.25" customHeight="1"/>
    <row r="2" spans="1:10" ht="14.25" customHeight="1">
      <c r="H2" s="1538" t="s">
        <v>330</v>
      </c>
      <c r="I2" s="1538"/>
      <c r="J2" s="1538"/>
    </row>
    <row r="3" spans="1:10" ht="14.25" customHeight="1">
      <c r="H3" s="295"/>
      <c r="I3" s="295"/>
      <c r="J3" s="295"/>
    </row>
    <row r="4" spans="1:10" ht="14.25" customHeight="1">
      <c r="H4" s="295"/>
      <c r="I4" s="295"/>
      <c r="J4" s="295"/>
    </row>
    <row r="5" spans="1:10" ht="14.25" customHeight="1">
      <c r="A5" s="1539" t="s">
        <v>331</v>
      </c>
      <c r="B5" s="1539"/>
      <c r="C5" s="1539"/>
      <c r="D5" s="1539"/>
      <c r="E5" s="296" t="s">
        <v>49</v>
      </c>
      <c r="F5" t="s">
        <v>568</v>
      </c>
      <c r="G5" s="1598" t="s">
        <v>569</v>
      </c>
      <c r="H5" s="1598"/>
      <c r="I5" s="1598"/>
      <c r="J5" s="1598"/>
    </row>
    <row r="6" spans="1:10" ht="14.25" customHeight="1">
      <c r="A6" t="s">
        <v>334</v>
      </c>
      <c r="E6" s="296" t="s">
        <v>49</v>
      </c>
      <c r="F6" t="s">
        <v>213</v>
      </c>
    </row>
    <row r="7" spans="1:10" ht="14.25" customHeight="1">
      <c r="A7" t="s">
        <v>336</v>
      </c>
      <c r="E7" s="296" t="s">
        <v>49</v>
      </c>
      <c r="F7" s="297">
        <v>80.5</v>
      </c>
    </row>
    <row r="8" spans="1:10" ht="14.25" customHeight="1">
      <c r="A8" t="s">
        <v>337</v>
      </c>
      <c r="E8" s="296" t="s">
        <v>49</v>
      </c>
    </row>
    <row r="9" spans="1:10" ht="14.25" customHeight="1">
      <c r="A9" s="5"/>
      <c r="B9" s="5"/>
      <c r="C9" s="171"/>
      <c r="D9" s="5"/>
      <c r="E9" s="296"/>
    </row>
    <row r="10" spans="1:10" ht="14.25" customHeight="1">
      <c r="A10" s="5"/>
      <c r="B10" s="5"/>
      <c r="C10" s="171"/>
      <c r="D10" s="5"/>
      <c r="E10" s="296"/>
    </row>
    <row r="11" spans="1:10" ht="14.25" customHeight="1">
      <c r="A11" s="1573" t="s">
        <v>426</v>
      </c>
      <c r="B11" s="1546" t="s">
        <v>339</v>
      </c>
      <c r="C11" s="1546"/>
      <c r="D11" s="1546"/>
      <c r="E11" s="1546"/>
      <c r="F11" s="1546" t="s">
        <v>340</v>
      </c>
      <c r="G11" s="1546" t="s">
        <v>341</v>
      </c>
      <c r="H11" s="1546" t="s">
        <v>342</v>
      </c>
      <c r="I11" s="1545" t="s">
        <v>343</v>
      </c>
      <c r="J11" s="1545"/>
    </row>
    <row r="12" spans="1:10" ht="14.25" customHeight="1">
      <c r="A12" s="1573"/>
      <c r="B12" s="1546"/>
      <c r="C12" s="1546"/>
      <c r="D12" s="1546"/>
      <c r="E12" s="1546"/>
      <c r="F12" s="1546"/>
      <c r="G12" s="1546"/>
      <c r="H12" s="1546"/>
      <c r="I12" s="1545"/>
      <c r="J12" s="1545"/>
    </row>
    <row r="13" spans="1:10" ht="14.25" customHeight="1">
      <c r="A13" s="1573"/>
      <c r="B13" s="1540" t="s">
        <v>344</v>
      </c>
      <c r="C13" s="1540"/>
      <c r="D13" s="1540"/>
      <c r="E13" s="1540"/>
      <c r="F13" s="300"/>
      <c r="G13" s="300"/>
      <c r="H13" s="300"/>
      <c r="I13" s="1541"/>
      <c r="J13" s="1541"/>
    </row>
    <row r="14" spans="1:10" ht="14.25" customHeight="1">
      <c r="A14" s="1573"/>
      <c r="B14" s="269"/>
      <c r="D14" s="158"/>
      <c r="E14" s="158"/>
      <c r="F14" s="183"/>
      <c r="G14" s="183"/>
      <c r="H14" s="183"/>
      <c r="I14" s="185"/>
      <c r="J14" s="320"/>
    </row>
    <row r="15" spans="1:10" ht="14.25" customHeight="1">
      <c r="A15" s="1573"/>
      <c r="B15" s="168" t="s">
        <v>345</v>
      </c>
      <c r="C15" s="158" t="s">
        <v>346</v>
      </c>
      <c r="D15" s="158"/>
      <c r="E15" s="158"/>
      <c r="F15" s="301">
        <v>1</v>
      </c>
      <c r="G15" s="302">
        <v>1</v>
      </c>
      <c r="H15" s="268">
        <f>+VLOOKUP(C15,LABOR,2,0)</f>
        <v>110.65</v>
      </c>
      <c r="I15" s="1544">
        <f>F15*G15*H15</f>
        <v>110.65</v>
      </c>
      <c r="J15" s="1544"/>
    </row>
    <row r="16" spans="1:10" ht="14.25" customHeight="1">
      <c r="A16" s="1573"/>
      <c r="B16" s="168" t="s">
        <v>347</v>
      </c>
      <c r="C16" s="158" t="s">
        <v>348</v>
      </c>
      <c r="D16" s="158"/>
      <c r="E16" s="158"/>
      <c r="F16" s="301">
        <v>4</v>
      </c>
      <c r="G16" s="302">
        <v>1</v>
      </c>
      <c r="H16" s="268">
        <f>+VLOOKUP(C16,LABOR,2,0)</f>
        <v>80.05</v>
      </c>
      <c r="I16" s="1544">
        <f>F16*G16*H16</f>
        <v>320.2</v>
      </c>
      <c r="J16" s="1544"/>
    </row>
    <row r="17" spans="1:13" ht="14.25" customHeight="1">
      <c r="A17" s="1573"/>
      <c r="B17" s="168" t="s">
        <v>349</v>
      </c>
      <c r="C17" s="158" t="s">
        <v>350</v>
      </c>
      <c r="D17" s="158"/>
      <c r="E17" s="158"/>
      <c r="F17" s="301">
        <v>12</v>
      </c>
      <c r="G17" s="302">
        <v>1</v>
      </c>
      <c r="H17" s="268">
        <f>+VLOOKUP(C17,LABOR,2,0)</f>
        <v>61.75</v>
      </c>
      <c r="I17" s="1544">
        <f>F17*G17*H17</f>
        <v>741</v>
      </c>
      <c r="J17" s="1544"/>
    </row>
    <row r="18" spans="1:13" ht="14.25" customHeight="1">
      <c r="A18" s="1573"/>
      <c r="B18" s="168"/>
      <c r="D18" s="158"/>
      <c r="E18" s="158"/>
      <c r="F18" s="301"/>
      <c r="G18" s="302"/>
      <c r="H18" s="303"/>
      <c r="I18" s="321"/>
      <c r="J18" s="322"/>
    </row>
    <row r="19" spans="1:13" ht="14.25" customHeight="1">
      <c r="A19" s="1573"/>
      <c r="B19" s="1549" t="s">
        <v>351</v>
      </c>
      <c r="C19" s="1549"/>
      <c r="D19" s="1549"/>
      <c r="E19" s="1549"/>
      <c r="F19" s="304"/>
      <c r="G19" s="304"/>
      <c r="H19" s="304"/>
      <c r="I19" s="1548">
        <f>SUM(I15:J17)</f>
        <v>1171.8499999999999</v>
      </c>
      <c r="J19" s="1548"/>
      <c r="K19" s="323">
        <f>+ROUND(I19/F7,2)</f>
        <v>14.56</v>
      </c>
      <c r="L19" s="329">
        <f>+I19/F7</f>
        <v>14.557142857142855</v>
      </c>
      <c r="M19" s="349">
        <f>+K19-L19</f>
        <v>2.8571428571453339E-3</v>
      </c>
    </row>
    <row r="20" spans="1:13" ht="14.25" customHeight="1">
      <c r="A20" s="1560" t="s">
        <v>352</v>
      </c>
      <c r="B20" s="1540" t="s">
        <v>344</v>
      </c>
      <c r="C20" s="1540"/>
      <c r="D20" s="1540"/>
      <c r="E20" s="1540"/>
      <c r="F20" s="300"/>
      <c r="G20" s="300"/>
      <c r="H20" s="300"/>
      <c r="I20" s="1541"/>
      <c r="J20" s="1541"/>
    </row>
    <row r="21" spans="1:13" ht="14.25" customHeight="1">
      <c r="A21" s="1560"/>
      <c r="B21" s="1542"/>
      <c r="C21" s="1542"/>
      <c r="D21" s="1542"/>
      <c r="E21" s="1542"/>
      <c r="F21" s="253"/>
      <c r="G21" s="253"/>
      <c r="H21" s="253"/>
      <c r="I21" s="1543"/>
      <c r="J21" s="1543"/>
    </row>
    <row r="22" spans="1:13" ht="14.25" customHeight="1">
      <c r="A22" s="1560"/>
      <c r="B22" s="1549" t="s">
        <v>353</v>
      </c>
      <c r="C22" s="1549"/>
      <c r="D22" s="1549"/>
      <c r="E22" s="1549"/>
      <c r="F22" s="305"/>
      <c r="G22" s="305"/>
      <c r="H22" s="305"/>
      <c r="I22" s="1575">
        <v>0</v>
      </c>
      <c r="J22" s="1575"/>
    </row>
    <row r="23" spans="1:13" ht="14.25" customHeight="1">
      <c r="A23" s="1561" t="s">
        <v>354</v>
      </c>
      <c r="B23" s="1550" t="s">
        <v>355</v>
      </c>
      <c r="C23" s="1550"/>
      <c r="D23" s="1550"/>
      <c r="E23" s="1550"/>
      <c r="F23" s="1550" t="s">
        <v>356</v>
      </c>
      <c r="G23" s="1550" t="s">
        <v>341</v>
      </c>
      <c r="H23" s="1550" t="s">
        <v>342</v>
      </c>
      <c r="I23" s="1551" t="s">
        <v>359</v>
      </c>
      <c r="J23" s="1551"/>
    </row>
    <row r="24" spans="1:13" ht="14.25" customHeight="1">
      <c r="A24" s="1561"/>
      <c r="B24" s="1550"/>
      <c r="C24" s="1550"/>
      <c r="D24" s="1550"/>
      <c r="E24" s="1550"/>
      <c r="F24" s="1550"/>
      <c r="G24" s="1550"/>
      <c r="H24" s="1550"/>
      <c r="I24" s="1551"/>
      <c r="J24" s="1551"/>
    </row>
    <row r="25" spans="1:13" ht="14.25" customHeight="1">
      <c r="A25" s="1561"/>
      <c r="B25" s="1540" t="s">
        <v>360</v>
      </c>
      <c r="C25" s="1540"/>
      <c r="D25" s="1540"/>
      <c r="E25" s="1540"/>
      <c r="F25" s="300"/>
      <c r="G25" s="300"/>
      <c r="H25" s="300"/>
      <c r="I25" s="1541"/>
      <c r="J25" s="1541"/>
    </row>
    <row r="26" spans="1:13" ht="14.25" customHeight="1">
      <c r="A26" s="1561"/>
      <c r="B26" s="269"/>
      <c r="D26" s="158"/>
      <c r="E26" s="315"/>
      <c r="F26" s="183"/>
      <c r="G26" s="183"/>
      <c r="H26" s="183"/>
      <c r="I26" s="185"/>
      <c r="J26" s="320"/>
    </row>
    <row r="27" spans="1:13" ht="14.25" customHeight="1">
      <c r="A27" s="1561"/>
      <c r="B27" s="168" t="s">
        <v>345</v>
      </c>
      <c r="C27" s="158" t="s">
        <v>138</v>
      </c>
      <c r="D27" s="158"/>
      <c r="E27" s="315"/>
      <c r="F27" s="168">
        <v>4</v>
      </c>
      <c r="G27" s="307">
        <v>1</v>
      </c>
      <c r="H27" s="346">
        <f t="shared" ref="H27:H35" si="0">+VLOOKUP(C27,equipment,3,0)</f>
        <v>2276.6799999999998</v>
      </c>
      <c r="I27" s="1569">
        <f t="shared" ref="I27:I35" si="1">F27*G27*H27</f>
        <v>9106.7199999999993</v>
      </c>
      <c r="J27" s="1569"/>
    </row>
    <row r="28" spans="1:13" ht="14.25" customHeight="1">
      <c r="A28" s="1561"/>
      <c r="B28" s="168" t="s">
        <v>347</v>
      </c>
      <c r="C28" s="158" t="s">
        <v>139</v>
      </c>
      <c r="D28" s="158"/>
      <c r="E28" s="158"/>
      <c r="F28" s="168">
        <v>2</v>
      </c>
      <c r="G28" s="307">
        <v>1</v>
      </c>
      <c r="H28" s="347">
        <f t="shared" si="0"/>
        <v>57.17</v>
      </c>
      <c r="I28" s="1569">
        <f t="shared" si="1"/>
        <v>114.34</v>
      </c>
      <c r="J28" s="1569"/>
    </row>
    <row r="29" spans="1:13" ht="14.25" customHeight="1">
      <c r="A29" s="1561"/>
      <c r="B29" s="168" t="s">
        <v>349</v>
      </c>
      <c r="C29" s="158" t="s">
        <v>140</v>
      </c>
      <c r="D29" s="158"/>
      <c r="E29" s="158"/>
      <c r="F29" s="168">
        <v>1</v>
      </c>
      <c r="G29" s="307">
        <v>1</v>
      </c>
      <c r="H29" s="347">
        <f t="shared" si="0"/>
        <v>1759.5</v>
      </c>
      <c r="I29" s="1569">
        <f t="shared" si="1"/>
        <v>1759.5</v>
      </c>
      <c r="J29" s="1569"/>
    </row>
    <row r="30" spans="1:13" ht="14.25" customHeight="1">
      <c r="A30" s="1561"/>
      <c r="B30" s="168" t="s">
        <v>380</v>
      </c>
      <c r="C30" s="158" t="s">
        <v>129</v>
      </c>
      <c r="D30" s="158"/>
      <c r="E30" s="158"/>
      <c r="F30" s="168">
        <v>1</v>
      </c>
      <c r="G30" s="307">
        <v>1</v>
      </c>
      <c r="H30" s="347">
        <f t="shared" si="0"/>
        <v>2114.8000000000002</v>
      </c>
      <c r="I30" s="1569">
        <f t="shared" si="1"/>
        <v>2114.8000000000002</v>
      </c>
      <c r="J30" s="1569"/>
    </row>
    <row r="31" spans="1:13" ht="14.25" customHeight="1">
      <c r="A31" s="1561"/>
      <c r="B31" s="168" t="s">
        <v>381</v>
      </c>
      <c r="C31" s="158" t="s">
        <v>141</v>
      </c>
      <c r="D31" s="158"/>
      <c r="E31" s="158"/>
      <c r="F31" s="168">
        <v>1</v>
      </c>
      <c r="G31" s="307">
        <v>1</v>
      </c>
      <c r="H31" s="347">
        <f t="shared" si="0"/>
        <v>490.01</v>
      </c>
      <c r="I31" s="1569">
        <f t="shared" si="1"/>
        <v>490.01</v>
      </c>
      <c r="J31" s="1569"/>
    </row>
    <row r="32" spans="1:13" ht="14.25" customHeight="1">
      <c r="A32" s="1561"/>
      <c r="B32" s="168" t="s">
        <v>382</v>
      </c>
      <c r="C32" s="158" t="s">
        <v>136</v>
      </c>
      <c r="D32" s="158"/>
      <c r="E32" s="158"/>
      <c r="F32" s="168">
        <v>1</v>
      </c>
      <c r="G32" s="307">
        <v>1</v>
      </c>
      <c r="H32" s="347">
        <f t="shared" si="0"/>
        <v>4217.3100000000004</v>
      </c>
      <c r="I32" s="1569">
        <f t="shared" si="1"/>
        <v>4217.3100000000004</v>
      </c>
      <c r="J32" s="1569"/>
    </row>
    <row r="33" spans="1:13" ht="14.25" customHeight="1">
      <c r="A33" s="1561"/>
      <c r="B33" s="168" t="s">
        <v>383</v>
      </c>
      <c r="C33" s="158" t="s">
        <v>142</v>
      </c>
      <c r="D33" s="158"/>
      <c r="E33" s="158"/>
      <c r="F33" s="168">
        <v>1</v>
      </c>
      <c r="G33" s="307">
        <v>1</v>
      </c>
      <c r="H33" s="347">
        <f t="shared" si="0"/>
        <v>77.63</v>
      </c>
      <c r="I33" s="1569">
        <f t="shared" si="1"/>
        <v>77.63</v>
      </c>
      <c r="J33" s="1569"/>
    </row>
    <row r="34" spans="1:13" ht="14.25" customHeight="1">
      <c r="A34" s="1561"/>
      <c r="B34" s="168" t="s">
        <v>384</v>
      </c>
      <c r="C34" s="158" t="s">
        <v>143</v>
      </c>
      <c r="D34" s="158"/>
      <c r="E34" s="158"/>
      <c r="F34" s="168">
        <v>1</v>
      </c>
      <c r="G34" s="307">
        <v>0.1</v>
      </c>
      <c r="H34" s="347">
        <f t="shared" si="0"/>
        <v>105.47</v>
      </c>
      <c r="I34" s="1569">
        <f t="shared" si="1"/>
        <v>10.547000000000001</v>
      </c>
      <c r="J34" s="1569"/>
    </row>
    <row r="35" spans="1:13" ht="14.25" customHeight="1">
      <c r="A35" s="1561"/>
      <c r="B35" s="168" t="s">
        <v>385</v>
      </c>
      <c r="C35" s="158" t="s">
        <v>144</v>
      </c>
      <c r="D35" s="158"/>
      <c r="E35" s="158"/>
      <c r="F35" s="168">
        <v>1</v>
      </c>
      <c r="G35" s="307">
        <v>0.1</v>
      </c>
      <c r="H35" s="347">
        <f t="shared" si="0"/>
        <v>84.55</v>
      </c>
      <c r="I35" s="1599">
        <f t="shared" si="1"/>
        <v>8.4550000000000001</v>
      </c>
      <c r="J35" s="1600"/>
    </row>
    <row r="36" spans="1:13" ht="14.25" customHeight="1">
      <c r="A36" s="1561"/>
      <c r="B36" s="1601" t="s">
        <v>549</v>
      </c>
      <c r="C36" s="1539"/>
      <c r="D36" s="1539"/>
      <c r="E36" s="1602"/>
      <c r="F36" s="168"/>
      <c r="G36" s="307"/>
      <c r="H36" s="347"/>
      <c r="I36" s="1599">
        <f>K36*I19</f>
        <v>58.592500000000001</v>
      </c>
      <c r="J36" s="1600"/>
      <c r="K36" s="324">
        <v>0.05</v>
      </c>
    </row>
    <row r="37" spans="1:13" ht="14.25" customHeight="1">
      <c r="A37" s="1561"/>
      <c r="B37" s="269"/>
      <c r="D37" s="158"/>
      <c r="E37" s="158"/>
      <c r="F37" s="168"/>
      <c r="G37" s="307"/>
      <c r="H37" s="347"/>
      <c r="I37" s="350"/>
      <c r="J37" s="351"/>
      <c r="K37" s="324"/>
    </row>
    <row r="38" spans="1:13" ht="14.25" customHeight="1">
      <c r="A38" s="1561"/>
      <c r="B38" s="1549" t="s">
        <v>361</v>
      </c>
      <c r="C38" s="1549"/>
      <c r="D38" s="1549"/>
      <c r="E38" s="1549"/>
      <c r="F38" s="305"/>
      <c r="G38" s="305"/>
      <c r="H38" s="348"/>
      <c r="I38" s="1552">
        <f>SUM(I27:J36)</f>
        <v>17957.904500000001</v>
      </c>
      <c r="J38" s="1552"/>
      <c r="K38" s="323">
        <f>I69-K19-K65</f>
        <v>223.07000000000005</v>
      </c>
      <c r="L38" s="329">
        <f>+I38/F7</f>
        <v>223.07955900621118</v>
      </c>
      <c r="M38" s="349">
        <f>+K38-L38</f>
        <v>-9.5590062111341467E-3</v>
      </c>
    </row>
    <row r="39" spans="1:13" ht="14.25" customHeight="1">
      <c r="A39" s="1560" t="s">
        <v>362</v>
      </c>
      <c r="B39" s="1540" t="s">
        <v>360</v>
      </c>
      <c r="C39" s="1540"/>
      <c r="D39" s="1540"/>
      <c r="E39" s="1540"/>
      <c r="F39" s="300"/>
      <c r="G39" s="300"/>
      <c r="H39" s="300"/>
      <c r="I39" s="1541"/>
      <c r="J39" s="1541"/>
    </row>
    <row r="40" spans="1:13" ht="14.25" customHeight="1">
      <c r="A40" s="1560"/>
      <c r="B40" s="1542"/>
      <c r="C40" s="1542"/>
      <c r="D40" s="1542"/>
      <c r="E40" s="1542"/>
      <c r="F40" s="306"/>
      <c r="G40" s="306"/>
      <c r="H40" s="306"/>
      <c r="I40" s="1543"/>
      <c r="J40" s="1543"/>
    </row>
    <row r="41" spans="1:13" ht="14.25" customHeight="1">
      <c r="A41" s="1560"/>
      <c r="B41" s="1549" t="s">
        <v>363</v>
      </c>
      <c r="C41" s="1549"/>
      <c r="D41" s="1549"/>
      <c r="E41" s="1549"/>
      <c r="F41" s="305"/>
      <c r="G41" s="305"/>
      <c r="H41" s="305"/>
      <c r="I41" s="1548">
        <v>0</v>
      </c>
      <c r="J41" s="1548"/>
    </row>
    <row r="42" spans="1:13" ht="14.25" customHeight="1">
      <c r="A42" s="311" t="s">
        <v>364</v>
      </c>
      <c r="B42" s="1554" t="s">
        <v>365</v>
      </c>
      <c r="C42" s="1554"/>
      <c r="D42" s="1554"/>
      <c r="E42" s="1554"/>
      <c r="F42" s="1554"/>
      <c r="G42" s="1554"/>
      <c r="H42" s="1554"/>
      <c r="I42" s="1555">
        <f>I19+I38</f>
        <v>19129.754499999999</v>
      </c>
      <c r="J42" s="1555"/>
    </row>
    <row r="43" spans="1:13" ht="14.25" customHeight="1">
      <c r="A43" s="313" t="s">
        <v>366</v>
      </c>
      <c r="B43" s="1554" t="s">
        <v>367</v>
      </c>
      <c r="C43" s="1554"/>
      <c r="D43" s="1554"/>
      <c r="E43" s="1554"/>
      <c r="F43" s="1554"/>
      <c r="G43" s="1554"/>
      <c r="H43" s="1554"/>
      <c r="I43" s="1557"/>
      <c r="J43" s="1557"/>
    </row>
    <row r="44" spans="1:13" ht="14.25" customHeight="1">
      <c r="A44" s="313" t="s">
        <v>368</v>
      </c>
      <c r="B44" s="1554" t="s">
        <v>336</v>
      </c>
      <c r="C44" s="1554"/>
      <c r="D44" s="1554"/>
      <c r="E44" s="1554"/>
      <c r="F44" s="1554"/>
      <c r="G44" s="1554"/>
      <c r="H44" s="1554"/>
      <c r="I44" s="1558">
        <f>F7</f>
        <v>80.5</v>
      </c>
      <c r="J44" s="1558"/>
    </row>
    <row r="45" spans="1:13" ht="14.25" customHeight="1">
      <c r="A45" s="313" t="s">
        <v>369</v>
      </c>
      <c r="B45" s="1554" t="s">
        <v>337</v>
      </c>
      <c r="C45" s="1554"/>
      <c r="D45" s="1554"/>
      <c r="E45" s="1554"/>
      <c r="F45" s="1554"/>
      <c r="G45" s="1554"/>
      <c r="H45" s="1554"/>
      <c r="I45" s="1557"/>
      <c r="J45" s="1557"/>
    </row>
    <row r="46" spans="1:13" ht="14.25" customHeight="1">
      <c r="A46" s="313" t="s">
        <v>370</v>
      </c>
      <c r="B46" s="1554" t="s">
        <v>371</v>
      </c>
      <c r="C46" s="1554"/>
      <c r="D46" s="1554"/>
      <c r="E46" s="1554"/>
      <c r="F46" s="1554"/>
      <c r="G46" s="1554"/>
      <c r="H46" s="1554"/>
      <c r="I46" s="1555">
        <f>I42/I44</f>
        <v>237.63670186335403</v>
      </c>
      <c r="J46" s="1555"/>
    </row>
    <row r="47" spans="1:13" ht="14.25" customHeight="1">
      <c r="A47" s="313" t="s">
        <v>372</v>
      </c>
      <c r="B47" s="1554" t="s">
        <v>373</v>
      </c>
      <c r="C47" s="1554"/>
      <c r="D47" s="1554"/>
      <c r="E47" s="1554"/>
      <c r="F47" s="1554"/>
      <c r="G47" s="1554"/>
      <c r="H47" s="1554"/>
      <c r="I47" s="1557"/>
      <c r="J47" s="1557"/>
    </row>
    <row r="48" spans="1:13" ht="14.25" customHeight="1">
      <c r="A48" s="1561" t="s">
        <v>428</v>
      </c>
      <c r="B48" s="1550" t="s">
        <v>375</v>
      </c>
      <c r="C48" s="1550"/>
      <c r="D48" s="1550"/>
      <c r="E48" s="1550"/>
      <c r="F48" s="1550" t="s">
        <v>376</v>
      </c>
      <c r="G48" s="1550" t="s">
        <v>377</v>
      </c>
      <c r="H48" s="1550" t="s">
        <v>378</v>
      </c>
      <c r="I48" s="1551" t="s">
        <v>343</v>
      </c>
      <c r="J48" s="1551"/>
    </row>
    <row r="49" spans="1:10" ht="14.25" customHeight="1">
      <c r="A49" s="1561"/>
      <c r="B49" s="1550"/>
      <c r="C49" s="1550"/>
      <c r="D49" s="1550"/>
      <c r="E49" s="1550"/>
      <c r="F49" s="1550"/>
      <c r="G49" s="1550"/>
      <c r="H49" s="1550"/>
      <c r="I49" s="1551"/>
      <c r="J49" s="1551"/>
    </row>
    <row r="50" spans="1:10" ht="14.25" customHeight="1">
      <c r="A50" s="1561"/>
      <c r="B50" s="1540" t="s">
        <v>379</v>
      </c>
      <c r="C50" s="1540"/>
      <c r="D50" s="1540"/>
      <c r="E50" s="1540"/>
      <c r="F50" s="314"/>
      <c r="G50" s="314"/>
      <c r="H50" s="314"/>
      <c r="I50" s="1541"/>
      <c r="J50" s="1541"/>
    </row>
    <row r="51" spans="1:10" ht="14.25" customHeight="1">
      <c r="A51" s="1561"/>
      <c r="B51" s="269"/>
      <c r="D51" s="158"/>
      <c r="E51" s="158"/>
      <c r="F51" s="160"/>
      <c r="G51" s="160"/>
      <c r="H51" s="160"/>
      <c r="I51" s="168"/>
      <c r="J51" s="328"/>
    </row>
    <row r="52" spans="1:10" ht="14.25" customHeight="1">
      <c r="A52" s="1561"/>
      <c r="B52" s="1568" t="s">
        <v>570</v>
      </c>
      <c r="C52" s="1568"/>
      <c r="D52" s="1568"/>
      <c r="E52" s="1568"/>
      <c r="F52" s="168" t="s">
        <v>302</v>
      </c>
      <c r="G52" s="267">
        <v>0.39</v>
      </c>
      <c r="H52" s="268">
        <f>+PRICE_LIST!D42</f>
        <v>41</v>
      </c>
      <c r="I52" s="1556">
        <f t="shared" ref="I52:I61" si="2">G52*H52</f>
        <v>15.99</v>
      </c>
      <c r="J52" s="1556"/>
    </row>
    <row r="53" spans="1:10" ht="14.25" customHeight="1">
      <c r="A53" s="1561"/>
      <c r="B53" s="1568" t="s">
        <v>571</v>
      </c>
      <c r="C53" s="1568"/>
      <c r="D53" s="1568"/>
      <c r="E53" s="1568"/>
      <c r="F53" s="168" t="s">
        <v>572</v>
      </c>
      <c r="G53" s="302">
        <v>0.28999999999999998</v>
      </c>
      <c r="H53" s="268">
        <f>+PRICE_LIST!D19</f>
        <v>76</v>
      </c>
      <c r="I53" s="1556">
        <f t="shared" si="2"/>
        <v>22.04</v>
      </c>
      <c r="J53" s="1556"/>
    </row>
    <row r="54" spans="1:10" ht="14.25" customHeight="1">
      <c r="A54" s="1561"/>
      <c r="B54" s="1568" t="s">
        <v>573</v>
      </c>
      <c r="C54" s="1568"/>
      <c r="D54" s="1568"/>
      <c r="E54" s="1568"/>
      <c r="F54" s="168" t="s">
        <v>572</v>
      </c>
      <c r="G54" s="302">
        <v>0.12</v>
      </c>
      <c r="H54" s="268">
        <f>+PRICE_LIST!D100/1000</f>
        <v>68.5</v>
      </c>
      <c r="I54" s="1556">
        <f t="shared" si="2"/>
        <v>8.2199999999999989</v>
      </c>
      <c r="J54" s="1556"/>
    </row>
    <row r="55" spans="1:10" ht="14.25" customHeight="1">
      <c r="A55" s="1561"/>
      <c r="B55" s="1568" t="s">
        <v>574</v>
      </c>
      <c r="C55" s="1568"/>
      <c r="D55" s="1568"/>
      <c r="E55" s="1568"/>
      <c r="F55" s="168" t="s">
        <v>108</v>
      </c>
      <c r="G55" s="302">
        <v>0.46</v>
      </c>
      <c r="H55" s="268">
        <f>+PRICE_LIST!D21</f>
        <v>62</v>
      </c>
      <c r="I55" s="1556">
        <f t="shared" si="2"/>
        <v>28.52</v>
      </c>
      <c r="J55" s="1556"/>
    </row>
    <row r="56" spans="1:10" ht="14.25" customHeight="1">
      <c r="A56" s="1561"/>
      <c r="B56" s="1568" t="s">
        <v>575</v>
      </c>
      <c r="C56" s="1568"/>
      <c r="D56" s="1568"/>
      <c r="E56" s="1568"/>
      <c r="F56" s="168" t="s">
        <v>204</v>
      </c>
      <c r="G56" s="267">
        <v>0.11</v>
      </c>
      <c r="H56" s="268">
        <f>+PRICE_LIST!D48</f>
        <v>400</v>
      </c>
      <c r="I56" s="1556">
        <f t="shared" si="2"/>
        <v>44</v>
      </c>
      <c r="J56" s="1556"/>
    </row>
    <row r="57" spans="1:10" ht="14.25" customHeight="1">
      <c r="A57" s="1561"/>
      <c r="B57" s="1568" t="s">
        <v>576</v>
      </c>
      <c r="C57" s="1568"/>
      <c r="D57" s="1568"/>
      <c r="E57" s="1568"/>
      <c r="F57" s="168" t="s">
        <v>204</v>
      </c>
      <c r="G57" s="302">
        <v>0.2</v>
      </c>
      <c r="H57" s="268">
        <f>+PRICE_LIST!D49</f>
        <v>570</v>
      </c>
      <c r="I57" s="1556">
        <f t="shared" si="2"/>
        <v>114</v>
      </c>
      <c r="J57" s="1556"/>
    </row>
    <row r="58" spans="1:10" ht="14.25" customHeight="1">
      <c r="A58" s="1561"/>
      <c r="B58" s="1568" t="s">
        <v>577</v>
      </c>
      <c r="C58" s="1568"/>
      <c r="D58" s="1568"/>
      <c r="E58" s="1568"/>
      <c r="F58" s="168" t="s">
        <v>578</v>
      </c>
      <c r="G58" s="168">
        <v>1.9</v>
      </c>
      <c r="H58" s="268">
        <f>+PRICE_LIST!D98</f>
        <v>260</v>
      </c>
      <c r="I58" s="1556">
        <f t="shared" si="2"/>
        <v>494</v>
      </c>
      <c r="J58" s="1556"/>
    </row>
    <row r="59" spans="1:10" ht="14.25" customHeight="1">
      <c r="A59" s="1561"/>
      <c r="B59" s="1568" t="s">
        <v>579</v>
      </c>
      <c r="C59" s="1568"/>
      <c r="D59" s="1568"/>
      <c r="E59" s="1568"/>
      <c r="F59" s="168" t="s">
        <v>580</v>
      </c>
      <c r="G59" s="316">
        <v>1.4999999999999999E-4</v>
      </c>
      <c r="H59" s="268">
        <f>+PRICE_LIST!D5</f>
        <v>8000</v>
      </c>
      <c r="I59" s="1556">
        <f t="shared" si="2"/>
        <v>1.2</v>
      </c>
      <c r="J59" s="1556"/>
    </row>
    <row r="60" spans="1:10" ht="14.25" customHeight="1">
      <c r="A60" s="1561"/>
      <c r="B60" s="1568" t="s">
        <v>581</v>
      </c>
      <c r="C60" s="1568"/>
      <c r="D60" s="1568"/>
      <c r="E60" s="1568"/>
      <c r="F60" s="168" t="s">
        <v>108</v>
      </c>
      <c r="G60" s="267">
        <v>8.6E-3</v>
      </c>
      <c r="H60" s="268">
        <f>+PRICE_LIST!D112/6</f>
        <v>210</v>
      </c>
      <c r="I60" s="1556">
        <f t="shared" si="2"/>
        <v>1.806</v>
      </c>
      <c r="J60" s="1556"/>
    </row>
    <row r="61" spans="1:10" ht="14.25" customHeight="1">
      <c r="A61" s="1561"/>
      <c r="B61" s="1568" t="s">
        <v>582</v>
      </c>
      <c r="C61" s="1568"/>
      <c r="D61" s="1568"/>
      <c r="E61" s="1568"/>
      <c r="F61" s="168" t="s">
        <v>572</v>
      </c>
      <c r="G61" s="267">
        <v>5.5999999999999999E-3</v>
      </c>
      <c r="H61" s="268">
        <f>+PRICE_LIST!D107</f>
        <v>250</v>
      </c>
      <c r="I61" s="1556">
        <f t="shared" si="2"/>
        <v>1.4</v>
      </c>
      <c r="J61" s="1556"/>
    </row>
    <row r="62" spans="1:10" ht="14.25" customHeight="1">
      <c r="A62" s="1561"/>
      <c r="B62" s="266" t="s">
        <v>397</v>
      </c>
      <c r="D62" s="158"/>
      <c r="E62" s="158"/>
      <c r="F62" s="168"/>
      <c r="G62" s="267"/>
      <c r="H62" s="268"/>
      <c r="I62" s="287"/>
      <c r="J62" s="288"/>
    </row>
    <row r="63" spans="1:10" ht="14.25" customHeight="1">
      <c r="A63" s="1561"/>
      <c r="B63" s="269" t="str">
        <f>+B52</f>
        <v>a. Reinforcing Steel Bar (1.75 factor)</v>
      </c>
      <c r="D63" s="158"/>
      <c r="E63" s="158"/>
      <c r="F63" s="168" t="str">
        <f>+F52</f>
        <v>kg</v>
      </c>
      <c r="G63" s="267">
        <f>+G52</f>
        <v>0.39</v>
      </c>
      <c r="H63" s="268">
        <f>+'HAULING_COST_(RSB)'!H29</f>
        <v>4.0999999999999996</v>
      </c>
      <c r="I63" s="1556">
        <f>+G63*H63</f>
        <v>1.599</v>
      </c>
      <c r="J63" s="1556"/>
    </row>
    <row r="64" spans="1:10" ht="14.25" customHeight="1">
      <c r="A64" s="1561"/>
      <c r="B64" s="269"/>
      <c r="D64" s="158"/>
      <c r="E64" s="158"/>
      <c r="F64" s="168"/>
      <c r="G64" s="267"/>
      <c r="H64" s="268"/>
      <c r="I64" s="287"/>
      <c r="J64" s="288"/>
    </row>
    <row r="65" spans="1:17" ht="14.25" customHeight="1">
      <c r="A65" s="1561"/>
      <c r="B65" s="1549" t="s">
        <v>398</v>
      </c>
      <c r="C65" s="1549"/>
      <c r="D65" s="1549"/>
      <c r="E65" s="1549"/>
      <c r="F65" s="304"/>
      <c r="G65" s="304"/>
      <c r="H65" s="352"/>
      <c r="I65" s="1552">
        <f>+SUM(I51:J64)</f>
        <v>732.77500000000009</v>
      </c>
      <c r="J65" s="1552"/>
      <c r="K65" s="323">
        <f>+ROUND(I65,2)</f>
        <v>732.78</v>
      </c>
      <c r="M65" s="349"/>
    </row>
    <row r="66" spans="1:17" ht="14.25" customHeight="1">
      <c r="A66" s="1560" t="s">
        <v>399</v>
      </c>
      <c r="B66" s="1540" t="s">
        <v>379</v>
      </c>
      <c r="C66" s="1540"/>
      <c r="D66" s="1540"/>
      <c r="E66" s="1540"/>
      <c r="F66" s="314"/>
      <c r="G66" s="314"/>
      <c r="H66" s="314"/>
      <c r="I66" s="1541"/>
      <c r="J66" s="1541"/>
    </row>
    <row r="67" spans="1:17" ht="14.25" customHeight="1">
      <c r="A67" s="1560"/>
      <c r="B67" s="1542"/>
      <c r="C67" s="1542"/>
      <c r="D67" s="1542"/>
      <c r="E67" s="1542"/>
      <c r="F67" s="253"/>
      <c r="G67" s="253"/>
      <c r="H67" s="253"/>
      <c r="I67" s="1543"/>
      <c r="J67" s="1543"/>
    </row>
    <row r="68" spans="1:17" ht="14.25" customHeight="1">
      <c r="A68" s="1560"/>
      <c r="B68" s="1549" t="s">
        <v>400</v>
      </c>
      <c r="C68" s="1549"/>
      <c r="D68" s="1549"/>
      <c r="E68" s="1549"/>
      <c r="F68" s="304"/>
      <c r="G68" s="304"/>
      <c r="H68" s="304"/>
      <c r="I68" s="1548">
        <v>0</v>
      </c>
      <c r="J68" s="1548"/>
    </row>
    <row r="69" spans="1:17" ht="14.25" customHeight="1">
      <c r="A69" s="313" t="s">
        <v>401</v>
      </c>
      <c r="B69" s="1554" t="s">
        <v>402</v>
      </c>
      <c r="C69" s="1554"/>
      <c r="D69" s="1554"/>
      <c r="E69" s="1554"/>
      <c r="F69" s="1554"/>
      <c r="G69" s="1554"/>
      <c r="H69" s="1554"/>
      <c r="I69" s="1603">
        <f>ROUND(I46+I65,2)</f>
        <v>970.41</v>
      </c>
      <c r="J69" s="1603"/>
      <c r="K69" s="332">
        <f>+K19+K38+K65</f>
        <v>970.41000000000008</v>
      </c>
      <c r="L69" s="332">
        <f>+I69-K69</f>
        <v>0</v>
      </c>
    </row>
    <row r="70" spans="1:17" ht="14.25" customHeight="1">
      <c r="A70" s="313" t="s">
        <v>403</v>
      </c>
      <c r="B70" s="1554" t="s">
        <v>404</v>
      </c>
      <c r="C70" s="1554"/>
      <c r="D70" s="1554"/>
      <c r="E70" s="1554"/>
      <c r="F70" s="1554"/>
      <c r="G70" s="1554"/>
      <c r="H70" s="1554"/>
      <c r="I70" s="1557"/>
      <c r="J70" s="1557"/>
    </row>
    <row r="71" spans="1:17" ht="14.25" customHeight="1">
      <c r="A71" s="313" t="s">
        <v>405</v>
      </c>
      <c r="B71" s="1554" t="s">
        <v>406</v>
      </c>
      <c r="C71" s="1554"/>
      <c r="D71" s="1554"/>
      <c r="E71" s="1554"/>
      <c r="F71" s="1554"/>
      <c r="G71" s="1554"/>
      <c r="H71" s="318">
        <v>0.12</v>
      </c>
      <c r="I71" s="1555">
        <f>+ROUND(H71*I69,4)</f>
        <v>116.4492</v>
      </c>
      <c r="J71" s="1555"/>
      <c r="K71" s="333"/>
    </row>
    <row r="72" spans="1:17" ht="14.25" customHeight="1">
      <c r="A72" s="313" t="s">
        <v>407</v>
      </c>
      <c r="B72" s="1554" t="s">
        <v>408</v>
      </c>
      <c r="C72" s="1554"/>
      <c r="D72" s="1554"/>
      <c r="E72" s="1554"/>
      <c r="F72" s="1554"/>
      <c r="G72" s="1554"/>
      <c r="H72" s="319"/>
      <c r="I72" s="1557"/>
      <c r="J72" s="1557"/>
      <c r="K72" s="333"/>
    </row>
    <row r="73" spans="1:17" ht="14.25" customHeight="1">
      <c r="A73" s="313" t="s">
        <v>409</v>
      </c>
      <c r="B73" s="1554" t="s">
        <v>410</v>
      </c>
      <c r="C73" s="1554"/>
      <c r="D73" s="1554"/>
      <c r="E73" s="1554"/>
      <c r="F73" s="1554"/>
      <c r="G73" s="1554"/>
      <c r="H73" s="318">
        <v>0.08</v>
      </c>
      <c r="I73" s="1555">
        <f>+ROUND(H73*I69,4)</f>
        <v>77.632800000000003</v>
      </c>
      <c r="J73" s="1555"/>
      <c r="K73" s="333"/>
    </row>
    <row r="74" spans="1:17" ht="14.25" customHeight="1">
      <c r="A74" s="313" t="s">
        <v>411</v>
      </c>
      <c r="B74" s="1554" t="s">
        <v>412</v>
      </c>
      <c r="C74" s="1554"/>
      <c r="D74" s="1554"/>
      <c r="E74" s="1554"/>
      <c r="F74" s="1554"/>
      <c r="G74" s="1554"/>
      <c r="H74" s="319"/>
      <c r="I74" s="1557"/>
      <c r="J74" s="1557"/>
      <c r="K74" s="333"/>
    </row>
    <row r="75" spans="1:17" ht="14.25" customHeight="1">
      <c r="A75" s="313" t="s">
        <v>413</v>
      </c>
      <c r="B75" s="1554" t="s">
        <v>414</v>
      </c>
      <c r="C75" s="1554"/>
      <c r="D75" s="1554"/>
      <c r="E75" s="1554"/>
      <c r="F75" s="1554"/>
      <c r="G75" s="1554"/>
      <c r="H75" s="335">
        <v>0.05</v>
      </c>
      <c r="I75" s="1555">
        <f>ROUND(H75*(I69+I71+I73),4)</f>
        <v>58.224600000000002</v>
      </c>
      <c r="J75" s="1555"/>
      <c r="K75" s="333"/>
    </row>
    <row r="76" spans="1:17" ht="14.25" customHeight="1">
      <c r="A76" s="313" t="s">
        <v>415</v>
      </c>
      <c r="B76" s="1554" t="s">
        <v>416</v>
      </c>
      <c r="C76" s="1554"/>
      <c r="D76" s="1554"/>
      <c r="E76" s="1554"/>
      <c r="F76" s="1554"/>
      <c r="G76" s="1554"/>
      <c r="H76" s="319"/>
      <c r="I76" s="1557"/>
      <c r="J76" s="1557"/>
      <c r="P76" s="332"/>
    </row>
    <row r="77" spans="1:17" ht="14.25" customHeight="1">
      <c r="A77" s="313" t="s">
        <v>417</v>
      </c>
      <c r="B77" s="1554" t="s">
        <v>418</v>
      </c>
      <c r="C77" s="1554"/>
      <c r="D77" s="1554"/>
      <c r="E77" s="1554"/>
      <c r="F77" s="1554"/>
      <c r="G77" s="1554"/>
      <c r="H77" s="319" t="s">
        <v>419</v>
      </c>
      <c r="I77" s="1555">
        <f>+ROUND(SUM(I69:J76),2)</f>
        <v>1222.72</v>
      </c>
      <c r="J77" s="1555"/>
      <c r="Q77" s="332"/>
    </row>
    <row r="78" spans="1:17" ht="14.25" customHeight="1">
      <c r="A78" s="353" t="s">
        <v>420</v>
      </c>
      <c r="B78" s="1566" t="s">
        <v>421</v>
      </c>
      <c r="C78" s="1566"/>
      <c r="D78" s="1566"/>
      <c r="E78" s="1566"/>
      <c r="F78" s="1566"/>
      <c r="G78" s="1566"/>
      <c r="H78" s="354"/>
      <c r="I78" s="1572"/>
      <c r="J78" s="1572"/>
    </row>
    <row r="79" spans="1:17" ht="39.950000000000003" customHeight="1">
      <c r="A79" s="1563" t="str">
        <f>'POW-2015-01-00_'!A42:AG42</f>
        <v>Note: Prices/Rates were based on CMPD 4TH Quarter CY 2022 for Materials, Memorandum dated December 29, 2022 for Labor cost and Memorandum dated May 18, 2022 for Equipment rental including Fuel &amp; Oil/Lubricant cost as of January 4, 2023 for DPWH Regional/District Engineering Offices</v>
      </c>
      <c r="B79" s="1563"/>
      <c r="C79" s="1563"/>
      <c r="D79" s="1563"/>
      <c r="E79" s="1563"/>
      <c r="F79" s="1563"/>
      <c r="G79" s="1563"/>
      <c r="H79" s="1563"/>
      <c r="I79" s="1563"/>
      <c r="J79" s="1563"/>
    </row>
    <row r="80" spans="1:17" ht="14.25" customHeight="1">
      <c r="A80" s="1564" t="s">
        <v>20</v>
      </c>
      <c r="B80" s="1564"/>
      <c r="C80" s="1564"/>
      <c r="H80" s="5" t="s">
        <v>422</v>
      </c>
      <c r="P80" s="161"/>
    </row>
    <row r="81" spans="1:10" ht="14.25" customHeight="1">
      <c r="A81" s="171"/>
      <c r="B81" s="171"/>
      <c r="C81" s="171"/>
      <c r="H81" s="5"/>
    </row>
    <row r="82" spans="1:10" ht="14.25" customHeight="1">
      <c r="A82" s="171"/>
      <c r="B82" s="171"/>
      <c r="C82" s="171"/>
      <c r="H82" s="5"/>
    </row>
    <row r="83" spans="1:10" ht="14.25" customHeight="1">
      <c r="A83" s="1502" t="str">
        <f>+'POW-2015-01-00_'!A48:E48</f>
        <v xml:space="preserve">WINLOVE A. ESTEVES
</v>
      </c>
      <c r="B83" s="1502"/>
      <c r="C83" s="1502"/>
      <c r="D83" s="1502"/>
      <c r="H83" s="1502" t="str">
        <f>+'POW-2015-01-00_'!H48</f>
        <v>MARK ANGELO E. SURIL</v>
      </c>
      <c r="I83" s="1502"/>
      <c r="J83" s="1502"/>
    </row>
    <row r="84" spans="1:10" ht="14.25" customHeight="1">
      <c r="A84" s="1565" t="s">
        <v>102</v>
      </c>
      <c r="B84" s="1565"/>
      <c r="C84" s="1565"/>
      <c r="D84" s="1565"/>
      <c r="H84" s="1565" t="s">
        <v>102</v>
      </c>
      <c r="I84" s="1565"/>
      <c r="J84" s="1565"/>
    </row>
    <row r="85" spans="1:10" ht="14.25" customHeight="1">
      <c r="A85" s="1521" t="s">
        <v>423</v>
      </c>
      <c r="B85" s="1521"/>
      <c r="C85" s="1521"/>
      <c r="D85" s="1521"/>
      <c r="H85" s="1521" t="str">
        <f>A85</f>
        <v>DPWH-ADEO</v>
      </c>
      <c r="I85" s="1521"/>
      <c r="J85" s="1521"/>
    </row>
    <row r="86" spans="1:10" ht="14.25" customHeight="1"/>
    <row r="87" spans="1:10" ht="14.25" customHeight="1"/>
    <row r="88" spans="1:10" ht="14.25" customHeight="1"/>
    <row r="89" spans="1:10" ht="14.25" customHeight="1"/>
    <row r="90" spans="1:10" ht="14.25" customHeight="1"/>
    <row r="91" spans="1:10" ht="14.25" customHeight="1"/>
    <row r="92" spans="1:10" ht="14.25" customHeight="1"/>
    <row r="93" spans="1:10" ht="14.25" customHeight="1"/>
    <row r="94" spans="1:10" ht="14.25" customHeight="1"/>
    <row r="95" spans="1:10" ht="14.25" customHeight="1"/>
    <row r="96" spans="1:10"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sheetData>
  <mergeCells count="129">
    <mergeCell ref="H48:H49"/>
    <mergeCell ref="B11:E12"/>
    <mergeCell ref="I11:J12"/>
    <mergeCell ref="B23:E24"/>
    <mergeCell ref="I23:J24"/>
    <mergeCell ref="B48:E49"/>
    <mergeCell ref="I48:J49"/>
    <mergeCell ref="A20:A22"/>
    <mergeCell ref="A23:A38"/>
    <mergeCell ref="A39:A41"/>
    <mergeCell ref="A48:A65"/>
    <mergeCell ref="I65:J65"/>
    <mergeCell ref="B50:E50"/>
    <mergeCell ref="I50:J50"/>
    <mergeCell ref="B52:E52"/>
    <mergeCell ref="I52:J52"/>
    <mergeCell ref="B53:E53"/>
    <mergeCell ref="I53:J53"/>
    <mergeCell ref="B54:E54"/>
    <mergeCell ref="I54:J54"/>
    <mergeCell ref="B55:E55"/>
    <mergeCell ref="I55:J55"/>
    <mergeCell ref="B43:H43"/>
    <mergeCell ref="I43:J43"/>
    <mergeCell ref="A66:A68"/>
    <mergeCell ref="F11:F12"/>
    <mergeCell ref="F23:F24"/>
    <mergeCell ref="F48:F49"/>
    <mergeCell ref="G11:G12"/>
    <mergeCell ref="G23:G24"/>
    <mergeCell ref="G48:G49"/>
    <mergeCell ref="B78:G78"/>
    <mergeCell ref="I78:J78"/>
    <mergeCell ref="B68:E68"/>
    <mergeCell ref="I68:J68"/>
    <mergeCell ref="B69:H69"/>
    <mergeCell ref="I69:J69"/>
    <mergeCell ref="B70:H70"/>
    <mergeCell ref="I70:J70"/>
    <mergeCell ref="B71:G71"/>
    <mergeCell ref="I71:J71"/>
    <mergeCell ref="B72:G72"/>
    <mergeCell ref="I72:J72"/>
    <mergeCell ref="B61:E61"/>
    <mergeCell ref="I61:J61"/>
    <mergeCell ref="I63:J63"/>
    <mergeCell ref="B65:E65"/>
    <mergeCell ref="B66:E66"/>
    <mergeCell ref="A79:J79"/>
    <mergeCell ref="A80:C80"/>
    <mergeCell ref="A83:D83"/>
    <mergeCell ref="H83:J83"/>
    <mergeCell ref="A84:D84"/>
    <mergeCell ref="H84:J84"/>
    <mergeCell ref="A85:D85"/>
    <mergeCell ref="H85:J85"/>
    <mergeCell ref="B73:G73"/>
    <mergeCell ref="I73:J73"/>
    <mergeCell ref="B74:G74"/>
    <mergeCell ref="I74:J74"/>
    <mergeCell ref="B75:G75"/>
    <mergeCell ref="I75:J75"/>
    <mergeCell ref="B76:G76"/>
    <mergeCell ref="I76:J76"/>
    <mergeCell ref="B77:G77"/>
    <mergeCell ref="I77:J77"/>
    <mergeCell ref="I66:J66"/>
    <mergeCell ref="B67:E67"/>
    <mergeCell ref="I67:J67"/>
    <mergeCell ref="B56:E56"/>
    <mergeCell ref="I56:J56"/>
    <mergeCell ref="B57:E57"/>
    <mergeCell ref="I57:J57"/>
    <mergeCell ref="B58:E58"/>
    <mergeCell ref="I58:J58"/>
    <mergeCell ref="B59:E59"/>
    <mergeCell ref="I59:J59"/>
    <mergeCell ref="B60:E60"/>
    <mergeCell ref="I60:J60"/>
    <mergeCell ref="B44:H44"/>
    <mergeCell ref="I44:J44"/>
    <mergeCell ref="B45:H45"/>
    <mergeCell ref="I45:J45"/>
    <mergeCell ref="B46:H46"/>
    <mergeCell ref="I46:J46"/>
    <mergeCell ref="B47:H47"/>
    <mergeCell ref="I47:J47"/>
    <mergeCell ref="B38:E38"/>
    <mergeCell ref="I38:J38"/>
    <mergeCell ref="B39:E39"/>
    <mergeCell ref="I39:J39"/>
    <mergeCell ref="B40:E40"/>
    <mergeCell ref="I40:J40"/>
    <mergeCell ref="B41:E41"/>
    <mergeCell ref="I41:J41"/>
    <mergeCell ref="B42:H42"/>
    <mergeCell ref="I42:J42"/>
    <mergeCell ref="I28:J28"/>
    <mergeCell ref="I29:J29"/>
    <mergeCell ref="I30:J30"/>
    <mergeCell ref="I31:J31"/>
    <mergeCell ref="I32:J32"/>
    <mergeCell ref="I33:J33"/>
    <mergeCell ref="I34:J34"/>
    <mergeCell ref="I35:J35"/>
    <mergeCell ref="B36:E36"/>
    <mergeCell ref="I36:J36"/>
    <mergeCell ref="B20:E20"/>
    <mergeCell ref="I20:J20"/>
    <mergeCell ref="B21:E21"/>
    <mergeCell ref="I21:J21"/>
    <mergeCell ref="B22:E22"/>
    <mergeCell ref="I22:J22"/>
    <mergeCell ref="B25:E25"/>
    <mergeCell ref="I25:J25"/>
    <mergeCell ref="I27:J27"/>
    <mergeCell ref="H23:H24"/>
    <mergeCell ref="H2:J2"/>
    <mergeCell ref="A5:D5"/>
    <mergeCell ref="G5:J5"/>
    <mergeCell ref="B13:E13"/>
    <mergeCell ref="I13:J13"/>
    <mergeCell ref="I15:J15"/>
    <mergeCell ref="I16:J16"/>
    <mergeCell ref="I17:J17"/>
    <mergeCell ref="B19:E19"/>
    <mergeCell ref="I19:J19"/>
    <mergeCell ref="A11:A19"/>
    <mergeCell ref="H11:H12"/>
  </mergeCells>
  <printOptions horizontalCentered="1"/>
  <pageMargins left="0.118055555555556" right="0.118055555555556" top="0.39305555555555599" bottom="0.39305555555555599" header="0.39305555555555599" footer="0"/>
  <pageSetup paperSize="9" scale="64" orientation="portrait" r:id="rId1"/>
  <headerFooter alignWithMargins="0">
    <oddHeader>&amp;CCONSTRUCTION OF ROAD 
BRGY. L. PIMENTEL, SAN LUIS, AURORA
DETAILED UNIT PRICE ANALYSIS (DUPA)</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M106"/>
  <sheetViews>
    <sheetView topLeftCell="A31" workbookViewId="0">
      <selection activeCell="I55" sqref="I55:J55"/>
    </sheetView>
  </sheetViews>
  <sheetFormatPr defaultColWidth="9" defaultRowHeight="14.25"/>
  <cols>
    <col min="1" max="1" width="5.375" customWidth="1"/>
    <col min="2" max="2" width="2.375" customWidth="1"/>
    <col min="3" max="3" width="8.375" style="158" customWidth="1"/>
    <col min="4" max="4" width="21.625" customWidth="1"/>
    <col min="5" max="5" width="8.5" customWidth="1"/>
    <col min="6" max="6" width="15.5" customWidth="1"/>
    <col min="7" max="7" width="14.75" customWidth="1"/>
    <col min="8" max="8" width="18.5" customWidth="1"/>
    <col min="9" max="9" width="6.125" customWidth="1"/>
    <col min="10" max="10" width="11.875" customWidth="1"/>
    <col min="11" max="11" width="8.5" customWidth="1"/>
    <col min="12" max="12" width="11.875" customWidth="1"/>
    <col min="13" max="13" width="12.875" customWidth="1"/>
    <col min="14" max="1024" width="8.5" customWidth="1"/>
    <col min="1025" max="1025" width="9" customWidth="1"/>
  </cols>
  <sheetData>
    <row r="1" spans="1:10" ht="14.25" customHeight="1"/>
    <row r="2" spans="1:10" ht="14.25" customHeight="1">
      <c r="H2" s="1538" t="s">
        <v>330</v>
      </c>
      <c r="I2" s="1538"/>
      <c r="J2" s="1538"/>
    </row>
    <row r="3" spans="1:10" ht="14.25" customHeight="1">
      <c r="H3" s="295"/>
      <c r="I3" s="295"/>
      <c r="J3" s="295"/>
    </row>
    <row r="4" spans="1:10" ht="14.25" customHeight="1">
      <c r="H4" s="295"/>
      <c r="I4" s="295"/>
      <c r="J4" s="295"/>
    </row>
    <row r="5" spans="1:10" ht="14.25" customHeight="1">
      <c r="A5" s="1539" t="s">
        <v>331</v>
      </c>
      <c r="B5" s="1539"/>
      <c r="C5" s="1539"/>
      <c r="D5" s="1539"/>
      <c r="E5" s="296" t="s">
        <v>49</v>
      </c>
      <c r="F5" t="s">
        <v>583</v>
      </c>
      <c r="G5" t="s">
        <v>584</v>
      </c>
    </row>
    <row r="6" spans="1:10" ht="14.25" customHeight="1">
      <c r="A6" t="s">
        <v>334</v>
      </c>
      <c r="E6" s="296" t="s">
        <v>49</v>
      </c>
      <c r="F6" t="s">
        <v>302</v>
      </c>
    </row>
    <row r="7" spans="1:10" ht="14.25" customHeight="1">
      <c r="A7" t="s">
        <v>336</v>
      </c>
      <c r="E7" s="296" t="s">
        <v>49</v>
      </c>
      <c r="F7" s="297">
        <v>180</v>
      </c>
    </row>
    <row r="8" spans="1:10" ht="14.25" customHeight="1">
      <c r="A8" t="s">
        <v>337</v>
      </c>
      <c r="E8" s="296" t="s">
        <v>49</v>
      </c>
    </row>
    <row r="9" spans="1:10" ht="14.25" customHeight="1">
      <c r="A9" s="5"/>
      <c r="B9" s="5"/>
      <c r="C9" s="171"/>
      <c r="D9" s="5"/>
      <c r="E9" s="296"/>
    </row>
    <row r="10" spans="1:10" ht="14.25" customHeight="1">
      <c r="A10" s="5"/>
      <c r="B10" s="5"/>
      <c r="C10" s="171"/>
      <c r="D10" s="5"/>
      <c r="E10" s="296"/>
    </row>
    <row r="11" spans="1:10" ht="14.25" customHeight="1">
      <c r="A11" s="1573" t="s">
        <v>426</v>
      </c>
      <c r="B11" s="1546" t="s">
        <v>339</v>
      </c>
      <c r="C11" s="1546"/>
      <c r="D11" s="1546"/>
      <c r="E11" s="1546"/>
      <c r="F11" s="1546" t="s">
        <v>340</v>
      </c>
      <c r="G11" s="1546" t="s">
        <v>341</v>
      </c>
      <c r="H11" s="1546" t="s">
        <v>342</v>
      </c>
      <c r="I11" s="1545" t="s">
        <v>343</v>
      </c>
      <c r="J11" s="1545"/>
    </row>
    <row r="12" spans="1:10" ht="14.25" customHeight="1">
      <c r="A12" s="1573"/>
      <c r="B12" s="1546"/>
      <c r="C12" s="1546"/>
      <c r="D12" s="1546"/>
      <c r="E12" s="1546"/>
      <c r="F12" s="1546"/>
      <c r="G12" s="1546"/>
      <c r="H12" s="1546"/>
      <c r="I12" s="1545"/>
      <c r="J12" s="1545"/>
    </row>
    <row r="13" spans="1:10" ht="14.25" customHeight="1">
      <c r="A13" s="1573"/>
      <c r="B13" s="1540" t="s">
        <v>344</v>
      </c>
      <c r="C13" s="1540"/>
      <c r="D13" s="1540"/>
      <c r="E13" s="1540"/>
      <c r="F13" s="300"/>
      <c r="G13" s="300"/>
      <c r="H13" s="300"/>
      <c r="I13" s="1541"/>
      <c r="J13" s="1541"/>
    </row>
    <row r="14" spans="1:10" ht="14.25" customHeight="1">
      <c r="A14" s="1573"/>
      <c r="B14" s="269"/>
      <c r="D14" s="158"/>
      <c r="E14" s="158"/>
      <c r="F14" s="183"/>
      <c r="G14" s="183"/>
      <c r="H14" s="306"/>
      <c r="I14" s="185"/>
      <c r="J14" s="320"/>
    </row>
    <row r="15" spans="1:10" ht="14.25" customHeight="1">
      <c r="A15" s="1573"/>
      <c r="B15" s="160" t="s">
        <v>345</v>
      </c>
      <c r="C15" s="158" t="s">
        <v>346</v>
      </c>
      <c r="D15" s="158"/>
      <c r="E15" s="158"/>
      <c r="F15" s="301">
        <v>1</v>
      </c>
      <c r="G15" s="302">
        <v>1</v>
      </c>
      <c r="H15" s="317">
        <f>+VLOOKUP(C15,LABOR,2,0)</f>
        <v>110.65</v>
      </c>
      <c r="I15" s="1594">
        <f>F15*G15*H15</f>
        <v>110.65</v>
      </c>
      <c r="J15" s="1594"/>
    </row>
    <row r="16" spans="1:10" ht="14.25" customHeight="1">
      <c r="A16" s="1573"/>
      <c r="B16" s="160" t="s">
        <v>347</v>
      </c>
      <c r="C16" s="158" t="s">
        <v>348</v>
      </c>
      <c r="D16" s="158"/>
      <c r="E16" s="158"/>
      <c r="F16" s="301">
        <v>2</v>
      </c>
      <c r="G16" s="302">
        <v>1</v>
      </c>
      <c r="H16" s="317">
        <f>+VLOOKUP(C16,LABOR,2,0)</f>
        <v>80.05</v>
      </c>
      <c r="I16" s="1594">
        <f>F16*G16*H16</f>
        <v>160.1</v>
      </c>
      <c r="J16" s="1594"/>
    </row>
    <row r="17" spans="1:13" ht="14.25" customHeight="1">
      <c r="A17" s="1573"/>
      <c r="B17" s="160" t="s">
        <v>349</v>
      </c>
      <c r="C17" s="158" t="s">
        <v>350</v>
      </c>
      <c r="D17" s="158"/>
      <c r="E17" s="158"/>
      <c r="F17" s="301">
        <v>8</v>
      </c>
      <c r="G17" s="302">
        <v>1</v>
      </c>
      <c r="H17" s="317">
        <f>+VLOOKUP(C17,LABOR,2,0)</f>
        <v>61.75</v>
      </c>
      <c r="I17" s="1594">
        <f>F17*G17*H17</f>
        <v>494</v>
      </c>
      <c r="J17" s="1594"/>
    </row>
    <row r="18" spans="1:13" ht="14.25" customHeight="1">
      <c r="A18" s="1573"/>
      <c r="B18" s="160"/>
      <c r="D18" s="158"/>
      <c r="E18" s="158"/>
      <c r="F18" s="301"/>
      <c r="G18" s="302"/>
      <c r="H18" s="317"/>
      <c r="I18" s="321"/>
      <c r="J18" s="322"/>
    </row>
    <row r="19" spans="1:13" ht="14.25" customHeight="1">
      <c r="A19" s="1573"/>
      <c r="B19" s="1549" t="s">
        <v>351</v>
      </c>
      <c r="C19" s="1549"/>
      <c r="D19" s="1549"/>
      <c r="E19" s="1549"/>
      <c r="F19" s="304"/>
      <c r="G19" s="304"/>
      <c r="H19" s="304"/>
      <c r="I19" s="1575">
        <f>SUM(I15:J17)</f>
        <v>764.75</v>
      </c>
      <c r="J19" s="1575"/>
      <c r="K19" s="323">
        <f>+ROUND(I19/F7,2)</f>
        <v>4.25</v>
      </c>
      <c r="L19" s="161">
        <f>+I19/F7</f>
        <v>4.2486111111111109</v>
      </c>
      <c r="M19" s="344">
        <f>+K19-L19</f>
        <v>1.388888888889106E-3</v>
      </c>
    </row>
    <row r="20" spans="1:13" ht="14.25" customHeight="1">
      <c r="A20" s="1560" t="s">
        <v>352</v>
      </c>
      <c r="B20" s="1540" t="s">
        <v>344</v>
      </c>
      <c r="C20" s="1540"/>
      <c r="D20" s="1540"/>
      <c r="E20" s="1540"/>
      <c r="F20" s="300"/>
      <c r="G20" s="300"/>
      <c r="H20" s="300"/>
      <c r="I20" s="1541"/>
      <c r="J20" s="1541"/>
    </row>
    <row r="21" spans="1:13" ht="14.25" customHeight="1">
      <c r="A21" s="1560"/>
      <c r="B21" s="1542"/>
      <c r="C21" s="1542"/>
      <c r="D21" s="1542"/>
      <c r="E21" s="1542"/>
      <c r="F21" s="253"/>
      <c r="G21" s="253"/>
      <c r="H21" s="253"/>
      <c r="I21" s="1543"/>
      <c r="J21" s="1543"/>
    </row>
    <row r="22" spans="1:13" ht="14.25" customHeight="1">
      <c r="A22" s="1560"/>
      <c r="B22" s="1549" t="s">
        <v>353</v>
      </c>
      <c r="C22" s="1549"/>
      <c r="D22" s="1549"/>
      <c r="E22" s="1549"/>
      <c r="F22" s="305"/>
      <c r="G22" s="305"/>
      <c r="H22" s="305"/>
      <c r="I22" s="1575">
        <v>0</v>
      </c>
      <c r="J22" s="1575"/>
    </row>
    <row r="23" spans="1:13" ht="14.25" customHeight="1">
      <c r="A23" s="1561" t="s">
        <v>354</v>
      </c>
      <c r="B23" s="1550" t="s">
        <v>355</v>
      </c>
      <c r="C23" s="1550"/>
      <c r="D23" s="1550"/>
      <c r="E23" s="1550"/>
      <c r="F23" s="1550" t="s">
        <v>356</v>
      </c>
      <c r="G23" s="1550" t="s">
        <v>341</v>
      </c>
      <c r="H23" s="1550" t="s">
        <v>342</v>
      </c>
      <c r="I23" s="1551" t="s">
        <v>359</v>
      </c>
      <c r="J23" s="1551"/>
    </row>
    <row r="24" spans="1:13" ht="14.25" customHeight="1">
      <c r="A24" s="1561"/>
      <c r="B24" s="1550"/>
      <c r="C24" s="1550"/>
      <c r="D24" s="1550"/>
      <c r="E24" s="1550"/>
      <c r="F24" s="1550"/>
      <c r="G24" s="1550"/>
      <c r="H24" s="1550"/>
      <c r="I24" s="1551"/>
      <c r="J24" s="1551"/>
    </row>
    <row r="25" spans="1:13" ht="14.25" customHeight="1">
      <c r="A25" s="1561"/>
      <c r="B25" s="1540" t="s">
        <v>360</v>
      </c>
      <c r="C25" s="1540"/>
      <c r="D25" s="1540"/>
      <c r="E25" s="1540"/>
      <c r="F25" s="300"/>
      <c r="G25" s="300"/>
      <c r="H25" s="300"/>
      <c r="I25" s="1541"/>
      <c r="J25" s="1541"/>
    </row>
    <row r="26" spans="1:13" ht="14.25" customHeight="1">
      <c r="A26" s="1561"/>
      <c r="B26" s="269"/>
      <c r="D26" s="158"/>
      <c r="E26" s="158"/>
      <c r="F26" s="183"/>
      <c r="G26" s="183"/>
      <c r="H26" s="306"/>
      <c r="I26" s="12"/>
      <c r="J26" s="320"/>
    </row>
    <row r="27" spans="1:13" ht="14.25" customHeight="1">
      <c r="A27" s="1561"/>
      <c r="B27" s="168" t="s">
        <v>345</v>
      </c>
      <c r="C27" s="158" t="s">
        <v>143</v>
      </c>
      <c r="D27" s="158"/>
      <c r="E27" s="158"/>
      <c r="F27" s="168">
        <v>1</v>
      </c>
      <c r="G27" s="307">
        <v>0.5</v>
      </c>
      <c r="H27" s="308">
        <f>+VLOOKUP(C27,equipment,3,0)</f>
        <v>105.47</v>
      </c>
      <c r="I27" s="1595">
        <f>F27*G27*H27</f>
        <v>52.734999999999999</v>
      </c>
      <c r="J27" s="1595"/>
    </row>
    <row r="28" spans="1:13" ht="14.25" customHeight="1">
      <c r="A28" s="1561"/>
      <c r="B28" s="168" t="s">
        <v>347</v>
      </c>
      <c r="C28" s="158" t="s">
        <v>145</v>
      </c>
      <c r="D28" s="158"/>
      <c r="E28" s="158"/>
      <c r="F28" s="168">
        <v>1</v>
      </c>
      <c r="G28" s="307">
        <v>0.5</v>
      </c>
      <c r="H28" s="308">
        <f>+VLOOKUP(C28,equipment,3,0)</f>
        <v>168.75</v>
      </c>
      <c r="I28" s="1595">
        <f>F28*G28*H28</f>
        <v>84.375</v>
      </c>
      <c r="J28" s="1595"/>
    </row>
    <row r="29" spans="1:13" ht="14.25" customHeight="1">
      <c r="A29" s="1561"/>
      <c r="B29" s="168" t="s">
        <v>349</v>
      </c>
      <c r="C29" s="158" t="s">
        <v>146</v>
      </c>
      <c r="D29" s="158"/>
      <c r="E29" s="158"/>
      <c r="F29" s="168">
        <v>1</v>
      </c>
      <c r="G29" s="307">
        <v>0.15</v>
      </c>
      <c r="H29" s="308">
        <f>+VLOOKUP(C29,equipment,3,0)</f>
        <v>2544.4699999999998</v>
      </c>
      <c r="I29" s="1595">
        <f>F29*G29*H29</f>
        <v>381.67049999999995</v>
      </c>
      <c r="J29" s="1595"/>
    </row>
    <row r="30" spans="1:13" ht="14.25" customHeight="1">
      <c r="A30" s="1561"/>
      <c r="B30" s="168"/>
      <c r="D30" s="158"/>
      <c r="E30" s="158"/>
      <c r="F30" s="168"/>
      <c r="G30" s="307"/>
      <c r="H30" s="308"/>
      <c r="I30" s="326"/>
      <c r="J30" s="327"/>
    </row>
    <row r="31" spans="1:13" ht="14.25" customHeight="1">
      <c r="A31" s="1561"/>
      <c r="B31" s="1549" t="s">
        <v>361</v>
      </c>
      <c r="C31" s="1549"/>
      <c r="D31" s="1549"/>
      <c r="E31" s="1549"/>
      <c r="F31" s="305"/>
      <c r="G31" s="305"/>
      <c r="H31" s="305"/>
      <c r="I31" s="1574">
        <f>SUM(I27:J29)</f>
        <v>518.78049999999996</v>
      </c>
      <c r="J31" s="1574"/>
      <c r="K31" s="323">
        <f>+ROUND(I55-K19-K51,2)</f>
        <v>2.88</v>
      </c>
      <c r="L31" s="161">
        <f>+I31/F7</f>
        <v>2.8821138888888886</v>
      </c>
      <c r="M31" s="344">
        <f>+K31-L31</f>
        <v>-2.1138888888887486E-3</v>
      </c>
    </row>
    <row r="32" spans="1:13" ht="14.25" customHeight="1">
      <c r="A32" s="1560" t="s">
        <v>362</v>
      </c>
      <c r="B32" s="1540" t="s">
        <v>360</v>
      </c>
      <c r="C32" s="1540"/>
      <c r="D32" s="1540"/>
      <c r="E32" s="1540"/>
      <c r="F32" s="300"/>
      <c r="G32" s="300"/>
      <c r="H32" s="300"/>
      <c r="I32" s="1541"/>
      <c r="J32" s="1541"/>
    </row>
    <row r="33" spans="1:10" ht="14.25" customHeight="1">
      <c r="A33" s="1560"/>
      <c r="B33" s="1542"/>
      <c r="C33" s="1542"/>
      <c r="D33" s="1542"/>
      <c r="E33" s="1542"/>
      <c r="F33" s="306"/>
      <c r="G33" s="306"/>
      <c r="H33" s="306"/>
      <c r="I33" s="1543"/>
      <c r="J33" s="1543"/>
    </row>
    <row r="34" spans="1:10" ht="14.25" customHeight="1">
      <c r="A34" s="1560"/>
      <c r="B34" s="1549" t="s">
        <v>363</v>
      </c>
      <c r="C34" s="1549"/>
      <c r="D34" s="1549"/>
      <c r="E34" s="1549"/>
      <c r="F34" s="305"/>
      <c r="G34" s="305"/>
      <c r="H34" s="305"/>
      <c r="I34" s="1575">
        <v>0</v>
      </c>
      <c r="J34" s="1575"/>
    </row>
    <row r="35" spans="1:10" ht="14.25" customHeight="1">
      <c r="A35" s="311" t="s">
        <v>364</v>
      </c>
      <c r="B35" s="1554" t="s">
        <v>365</v>
      </c>
      <c r="C35" s="1554"/>
      <c r="D35" s="1554"/>
      <c r="E35" s="1554"/>
      <c r="F35" s="1554"/>
      <c r="G35" s="1554"/>
      <c r="H35" s="1554"/>
      <c r="I35" s="1596">
        <f>I19+I31</f>
        <v>1283.5304999999998</v>
      </c>
      <c r="J35" s="1596"/>
    </row>
    <row r="36" spans="1:10" ht="14.25" customHeight="1">
      <c r="A36" s="313" t="s">
        <v>366</v>
      </c>
      <c r="B36" s="1554" t="s">
        <v>367</v>
      </c>
      <c r="C36" s="1554"/>
      <c r="D36" s="1554"/>
      <c r="E36" s="1554"/>
      <c r="F36" s="1554"/>
      <c r="G36" s="1554"/>
      <c r="H36" s="1554"/>
      <c r="I36" s="1557"/>
      <c r="J36" s="1557"/>
    </row>
    <row r="37" spans="1:10" ht="14.25" customHeight="1">
      <c r="A37" s="313" t="s">
        <v>368</v>
      </c>
      <c r="B37" s="1554" t="s">
        <v>336</v>
      </c>
      <c r="C37" s="1554"/>
      <c r="D37" s="1554"/>
      <c r="E37" s="1554"/>
      <c r="F37" s="1554"/>
      <c r="G37" s="1554"/>
      <c r="H37" s="1554"/>
      <c r="I37" s="1570">
        <f>F7</f>
        <v>180</v>
      </c>
      <c r="J37" s="1570"/>
    </row>
    <row r="38" spans="1:10" ht="14.25" customHeight="1">
      <c r="A38" s="313" t="s">
        <v>369</v>
      </c>
      <c r="B38" s="1554" t="s">
        <v>337</v>
      </c>
      <c r="C38" s="1554"/>
      <c r="D38" s="1554"/>
      <c r="E38" s="1554"/>
      <c r="F38" s="1554"/>
      <c r="G38" s="1554"/>
      <c r="H38" s="1554"/>
      <c r="I38" s="1557"/>
      <c r="J38" s="1557"/>
    </row>
    <row r="39" spans="1:10" ht="14.25" customHeight="1">
      <c r="A39" s="313" t="s">
        <v>370</v>
      </c>
      <c r="B39" s="1554" t="s">
        <v>371</v>
      </c>
      <c r="C39" s="1554"/>
      <c r="D39" s="1554"/>
      <c r="E39" s="1554"/>
      <c r="F39" s="1554"/>
      <c r="G39" s="1554"/>
      <c r="H39" s="1554"/>
      <c r="I39" s="1596">
        <f>I35/I37</f>
        <v>7.1307249999999991</v>
      </c>
      <c r="J39" s="1596"/>
    </row>
    <row r="40" spans="1:10" ht="14.25" customHeight="1">
      <c r="A40" s="313" t="s">
        <v>372</v>
      </c>
      <c r="B40" s="1554" t="s">
        <v>373</v>
      </c>
      <c r="C40" s="1554"/>
      <c r="D40" s="1554"/>
      <c r="E40" s="1554"/>
      <c r="F40" s="1554"/>
      <c r="G40" s="1554"/>
      <c r="H40" s="1554"/>
      <c r="I40" s="1557"/>
      <c r="J40" s="1557"/>
    </row>
    <row r="41" spans="1:10" ht="14.25" customHeight="1">
      <c r="A41" s="1561" t="s">
        <v>428</v>
      </c>
      <c r="B41" s="1550" t="s">
        <v>375</v>
      </c>
      <c r="C41" s="1550"/>
      <c r="D41" s="1550"/>
      <c r="E41" s="1550"/>
      <c r="F41" s="1550" t="s">
        <v>376</v>
      </c>
      <c r="G41" s="1550" t="s">
        <v>377</v>
      </c>
      <c r="H41" s="1550" t="s">
        <v>378</v>
      </c>
      <c r="I41" s="1551" t="s">
        <v>343</v>
      </c>
      <c r="J41" s="1551"/>
    </row>
    <row r="42" spans="1:10" ht="14.25" customHeight="1">
      <c r="A42" s="1561"/>
      <c r="B42" s="1550"/>
      <c r="C42" s="1550"/>
      <c r="D42" s="1550"/>
      <c r="E42" s="1550"/>
      <c r="F42" s="1550"/>
      <c r="G42" s="1550"/>
      <c r="H42" s="1550"/>
      <c r="I42" s="1551"/>
      <c r="J42" s="1551"/>
    </row>
    <row r="43" spans="1:10" ht="14.25" customHeight="1">
      <c r="A43" s="1561"/>
      <c r="B43" s="1540" t="s">
        <v>379</v>
      </c>
      <c r="C43" s="1540"/>
      <c r="D43" s="1540"/>
      <c r="E43" s="1540"/>
      <c r="F43" s="314"/>
      <c r="G43" s="314"/>
      <c r="H43" s="314"/>
      <c r="I43" s="1541"/>
      <c r="J43" s="1541"/>
    </row>
    <row r="44" spans="1:10" ht="14.25" customHeight="1">
      <c r="A44" s="1561"/>
      <c r="B44" s="269"/>
      <c r="D44" s="158"/>
      <c r="E44" s="315"/>
      <c r="F44" s="162"/>
      <c r="H44" s="253"/>
      <c r="I44" s="10"/>
      <c r="J44" s="328"/>
    </row>
    <row r="45" spans="1:10" ht="14.25" customHeight="1">
      <c r="A45" s="1561"/>
      <c r="B45" s="1568" t="s">
        <v>585</v>
      </c>
      <c r="C45" s="1568"/>
      <c r="D45" s="1568"/>
      <c r="E45" s="1568"/>
      <c r="F45" s="338" t="s">
        <v>302</v>
      </c>
      <c r="G45" s="339">
        <f>+G46*0.02</f>
        <v>2.1000000000000001E-2</v>
      </c>
      <c r="H45" s="317">
        <f>+PRICE_LIST!D44</f>
        <v>85</v>
      </c>
      <c r="I45" s="1597">
        <f>G45*H45</f>
        <v>1.7850000000000001</v>
      </c>
      <c r="J45" s="1597"/>
    </row>
    <row r="46" spans="1:10" ht="14.25" customHeight="1">
      <c r="A46" s="1561"/>
      <c r="B46" s="1568" t="s">
        <v>586</v>
      </c>
      <c r="C46" s="1568"/>
      <c r="D46" s="1568"/>
      <c r="E46" s="1568"/>
      <c r="F46" s="338" t="s">
        <v>302</v>
      </c>
      <c r="G46" s="340">
        <v>1.05</v>
      </c>
      <c r="H46" s="317">
        <f>+PRICE_LIST!D42</f>
        <v>41</v>
      </c>
      <c r="I46" s="1597">
        <f>G46*H46</f>
        <v>43.050000000000004</v>
      </c>
      <c r="J46" s="1597"/>
    </row>
    <row r="47" spans="1:10" ht="14.25" customHeight="1">
      <c r="A47" s="1561"/>
      <c r="B47" s="1568" t="s">
        <v>587</v>
      </c>
      <c r="C47" s="1568"/>
      <c r="D47" s="1568"/>
      <c r="E47" s="1568"/>
      <c r="F47" s="338"/>
      <c r="G47" s="340"/>
      <c r="H47" s="317"/>
      <c r="I47" s="1543"/>
      <c r="J47" s="1543"/>
    </row>
    <row r="48" spans="1:10" ht="14.25" customHeight="1">
      <c r="A48" s="1561"/>
      <c r="B48" s="266" t="s">
        <v>397</v>
      </c>
      <c r="D48" s="158"/>
      <c r="E48" s="315"/>
      <c r="F48" s="338"/>
      <c r="G48" s="340"/>
      <c r="H48" s="317"/>
      <c r="I48" s="330"/>
      <c r="J48" s="328"/>
    </row>
    <row r="49" spans="1:12" ht="14.25" customHeight="1">
      <c r="A49" s="1561"/>
      <c r="B49" s="269" t="str">
        <f>+B46</f>
        <v>b. Reinforcing Steel Bar, Grade 40</v>
      </c>
      <c r="D49" s="158"/>
      <c r="E49" s="315"/>
      <c r="F49" s="338" t="str">
        <f>+F46</f>
        <v>kg</v>
      </c>
      <c r="G49" s="338">
        <f>+G46</f>
        <v>1.05</v>
      </c>
      <c r="H49" s="317">
        <f>+'HAULING_COST_(RSB)'!H29</f>
        <v>4.0999999999999996</v>
      </c>
      <c r="I49" s="1597">
        <f>+G49*H49</f>
        <v>4.3049999999999997</v>
      </c>
      <c r="J49" s="1597"/>
    </row>
    <row r="50" spans="1:12" ht="14.25" customHeight="1">
      <c r="A50" s="1561"/>
      <c r="B50" s="269"/>
      <c r="D50" s="158"/>
      <c r="E50" s="315"/>
      <c r="F50" s="338"/>
      <c r="G50" s="340"/>
      <c r="H50" s="317"/>
      <c r="I50" s="330"/>
      <c r="J50" s="328"/>
    </row>
    <row r="51" spans="1:12" ht="14.25" customHeight="1">
      <c r="A51" s="1561"/>
      <c r="B51" s="1549" t="s">
        <v>398</v>
      </c>
      <c r="C51" s="1549"/>
      <c r="D51" s="1549"/>
      <c r="E51" s="1549"/>
      <c r="F51" s="304"/>
      <c r="G51" s="304"/>
      <c r="H51" s="304"/>
      <c r="I51" s="1574">
        <f>+SUM(I44:J50)</f>
        <v>49.140000000000008</v>
      </c>
      <c r="J51" s="1574"/>
      <c r="K51" s="323">
        <f>+ROUND(I51,2)</f>
        <v>49.14</v>
      </c>
    </row>
    <row r="52" spans="1:12" ht="14.25" customHeight="1">
      <c r="A52" s="1560" t="s">
        <v>399</v>
      </c>
      <c r="B52" s="1540" t="s">
        <v>379</v>
      </c>
      <c r="C52" s="1540"/>
      <c r="D52" s="1540"/>
      <c r="E52" s="1540"/>
      <c r="F52" s="314"/>
      <c r="G52" s="314"/>
      <c r="H52" s="314"/>
      <c r="I52" s="1541"/>
      <c r="J52" s="1541"/>
    </row>
    <row r="53" spans="1:12" ht="14.25" customHeight="1">
      <c r="A53" s="1560"/>
      <c r="B53" s="1542"/>
      <c r="C53" s="1542"/>
      <c r="D53" s="1542"/>
      <c r="E53" s="1542"/>
      <c r="F53" s="253"/>
      <c r="G53" s="253"/>
      <c r="H53" s="253"/>
      <c r="I53" s="1543"/>
      <c r="J53" s="1543"/>
    </row>
    <row r="54" spans="1:12" ht="14.25" customHeight="1">
      <c r="A54" s="1560"/>
      <c r="B54" s="1549" t="s">
        <v>400</v>
      </c>
      <c r="C54" s="1549"/>
      <c r="D54" s="1549"/>
      <c r="E54" s="1549"/>
      <c r="F54" s="304"/>
      <c r="G54" s="304"/>
      <c r="H54" s="304"/>
      <c r="I54" s="1575">
        <v>0</v>
      </c>
      <c r="J54" s="1575"/>
    </row>
    <row r="55" spans="1:12" ht="14.25" customHeight="1">
      <c r="A55" s="313" t="s">
        <v>401</v>
      </c>
      <c r="B55" s="1554" t="s">
        <v>402</v>
      </c>
      <c r="C55" s="1554"/>
      <c r="D55" s="1554"/>
      <c r="E55" s="1554"/>
      <c r="F55" s="1554"/>
      <c r="G55" s="1554"/>
      <c r="H55" s="1554"/>
      <c r="I55" s="1596">
        <f>ROUND(I39+I51,2)</f>
        <v>56.27</v>
      </c>
      <c r="J55" s="1596"/>
      <c r="K55" s="332">
        <f>+K19+K31+K51</f>
        <v>56.27</v>
      </c>
      <c r="L55" s="332">
        <f>+I55-K55</f>
        <v>0</v>
      </c>
    </row>
    <row r="56" spans="1:12" ht="14.25" customHeight="1">
      <c r="A56" s="313" t="s">
        <v>403</v>
      </c>
      <c r="B56" s="1554" t="s">
        <v>404</v>
      </c>
      <c r="C56" s="1554"/>
      <c r="D56" s="1554"/>
      <c r="E56" s="1554"/>
      <c r="F56" s="1554"/>
      <c r="G56" s="1554"/>
      <c r="H56" s="1554"/>
      <c r="I56" s="1557"/>
      <c r="J56" s="1557"/>
    </row>
    <row r="57" spans="1:12" ht="14.25" customHeight="1">
      <c r="A57" s="313" t="s">
        <v>405</v>
      </c>
      <c r="B57" s="1554" t="s">
        <v>406</v>
      </c>
      <c r="C57" s="1554"/>
      <c r="D57" s="1554"/>
      <c r="E57" s="1554"/>
      <c r="F57" s="1554"/>
      <c r="G57" s="1554"/>
      <c r="H57" s="318">
        <v>0.12</v>
      </c>
      <c r="I57" s="1596">
        <f>+ROUND(H57*I55,4)</f>
        <v>6.7523999999999997</v>
      </c>
      <c r="J57" s="1596"/>
      <c r="K57" s="333"/>
    </row>
    <row r="58" spans="1:12" ht="14.25" customHeight="1">
      <c r="A58" s="313" t="s">
        <v>407</v>
      </c>
      <c r="B58" s="341" t="s">
        <v>408</v>
      </c>
      <c r="C58" s="342"/>
      <c r="D58" s="342"/>
      <c r="E58" s="342"/>
      <c r="F58" s="342"/>
      <c r="G58" s="343"/>
      <c r="H58" s="319"/>
      <c r="I58" s="1557"/>
      <c r="J58" s="1557"/>
      <c r="K58" s="333"/>
    </row>
    <row r="59" spans="1:12" ht="14.25" customHeight="1">
      <c r="A59" s="313" t="s">
        <v>409</v>
      </c>
      <c r="B59" s="1554" t="s">
        <v>410</v>
      </c>
      <c r="C59" s="1554"/>
      <c r="D59" s="1554"/>
      <c r="E59" s="1554"/>
      <c r="F59" s="1554"/>
      <c r="G59" s="1554"/>
      <c r="H59" s="318">
        <v>0.08</v>
      </c>
      <c r="I59" s="1596">
        <f>+ROUND(H59*I55,4)</f>
        <v>4.5015999999999998</v>
      </c>
      <c r="J59" s="1596"/>
      <c r="K59" s="333"/>
    </row>
    <row r="60" spans="1:12" ht="14.25" customHeight="1">
      <c r="A60" s="313" t="s">
        <v>411</v>
      </c>
      <c r="B60" s="1554" t="s">
        <v>412</v>
      </c>
      <c r="C60" s="1554"/>
      <c r="D60" s="1554"/>
      <c r="E60" s="1554"/>
      <c r="F60" s="1554"/>
      <c r="G60" s="1554"/>
      <c r="H60" s="319"/>
      <c r="I60" s="1557"/>
      <c r="J60" s="1557"/>
      <c r="K60" s="333"/>
    </row>
    <row r="61" spans="1:12" ht="14.25" customHeight="1">
      <c r="A61" s="313" t="s">
        <v>413</v>
      </c>
      <c r="B61" s="1554" t="s">
        <v>414</v>
      </c>
      <c r="C61" s="1554"/>
      <c r="D61" s="1554"/>
      <c r="E61" s="1554"/>
      <c r="F61" s="1554"/>
      <c r="G61" s="1554"/>
      <c r="H61" s="335">
        <v>0.05</v>
      </c>
      <c r="I61" s="1596">
        <f>ROUND(H61*(I55+I57+I59),4)</f>
        <v>3.3761999999999999</v>
      </c>
      <c r="J61" s="1596"/>
      <c r="K61" s="333"/>
    </row>
    <row r="62" spans="1:12" ht="14.25" customHeight="1">
      <c r="A62" s="313" t="s">
        <v>415</v>
      </c>
      <c r="B62" s="1554" t="s">
        <v>416</v>
      </c>
      <c r="C62" s="1554"/>
      <c r="D62" s="1554"/>
      <c r="E62" s="1554"/>
      <c r="F62" s="1554"/>
      <c r="G62" s="1554"/>
      <c r="H62" s="319"/>
      <c r="I62" s="1557"/>
      <c r="J62" s="1557"/>
    </row>
    <row r="63" spans="1:12" ht="14.25" customHeight="1">
      <c r="A63" s="313" t="s">
        <v>417</v>
      </c>
      <c r="B63" s="1554" t="s">
        <v>418</v>
      </c>
      <c r="C63" s="1554"/>
      <c r="D63" s="1554"/>
      <c r="E63" s="1554"/>
      <c r="F63" s="1554"/>
      <c r="G63" s="1554"/>
      <c r="H63" s="319" t="s">
        <v>419</v>
      </c>
      <c r="I63" s="1596">
        <f>+ROUND(SUM(I55:J62),2)</f>
        <v>70.900000000000006</v>
      </c>
      <c r="J63" s="1596"/>
    </row>
    <row r="64" spans="1:12" ht="14.25" customHeight="1">
      <c r="A64" s="336" t="s">
        <v>420</v>
      </c>
      <c r="B64" s="1566" t="s">
        <v>421</v>
      </c>
      <c r="C64" s="1566"/>
      <c r="D64" s="1566"/>
      <c r="E64" s="1566"/>
      <c r="F64" s="1566"/>
      <c r="G64" s="1566"/>
      <c r="H64" s="337"/>
      <c r="I64" s="1572"/>
      <c r="J64" s="1572"/>
    </row>
    <row r="65" spans="1:10" ht="39.950000000000003" customHeight="1">
      <c r="A65" s="1563" t="str">
        <f>'POW-2015-01-00_'!A42:AG42</f>
        <v>Note: Prices/Rates were based on CMPD 4TH Quarter CY 2022 for Materials, Memorandum dated December 29, 2022 for Labor cost and Memorandum dated May 18, 2022 for Equipment rental including Fuel &amp; Oil/Lubricant cost as of January 4, 2023 for DPWH Regional/District Engineering Offices</v>
      </c>
      <c r="B65" s="1563"/>
      <c r="C65" s="1563"/>
      <c r="D65" s="1563"/>
      <c r="E65" s="1563"/>
      <c r="F65" s="1563"/>
      <c r="G65" s="1563"/>
      <c r="H65" s="1563"/>
      <c r="I65" s="1563"/>
      <c r="J65" s="1563"/>
    </row>
    <row r="66" spans="1:10" ht="14.25" customHeight="1">
      <c r="A66" s="1564" t="s">
        <v>20</v>
      </c>
      <c r="B66" s="1564"/>
      <c r="C66" s="1564"/>
      <c r="H66" s="5" t="s">
        <v>422</v>
      </c>
    </row>
    <row r="67" spans="1:10" ht="14.25" customHeight="1">
      <c r="A67" s="171"/>
      <c r="B67" s="171"/>
      <c r="C67" s="171"/>
      <c r="H67" s="5"/>
    </row>
    <row r="68" spans="1:10" ht="14.25" customHeight="1">
      <c r="A68" s="171"/>
      <c r="B68" s="171"/>
      <c r="C68" s="171"/>
      <c r="H68" s="5"/>
    </row>
    <row r="69" spans="1:10" ht="14.25" customHeight="1">
      <c r="A69" s="1502" t="str">
        <f>+'POW-2015-01-00_'!A48:E48</f>
        <v xml:space="preserve">WINLOVE A. ESTEVES
</v>
      </c>
      <c r="B69" s="1502"/>
      <c r="C69" s="1502"/>
      <c r="D69" s="1502"/>
      <c r="H69" s="1502" t="str">
        <f>+'POW-2015-01-00_'!H48:L48</f>
        <v>MARK ANGELO E. SURIL</v>
      </c>
      <c r="I69" s="1502"/>
      <c r="J69" s="1502"/>
    </row>
    <row r="70" spans="1:10" ht="14.25" customHeight="1">
      <c r="A70" s="1565" t="s">
        <v>102</v>
      </c>
      <c r="B70" s="1565"/>
      <c r="C70" s="1565"/>
      <c r="D70" s="1565"/>
      <c r="H70" s="1565" t="s">
        <v>102</v>
      </c>
      <c r="I70" s="1565"/>
      <c r="J70" s="1565"/>
    </row>
    <row r="71" spans="1:10" ht="14.25" customHeight="1">
      <c r="A71" s="1521" t="s">
        <v>423</v>
      </c>
      <c r="B71" s="1521"/>
      <c r="C71" s="1521"/>
      <c r="D71" s="1521"/>
      <c r="H71" s="1521" t="s">
        <v>423</v>
      </c>
      <c r="I71" s="1521"/>
      <c r="J71" s="1521"/>
    </row>
    <row r="72" spans="1:10" ht="14.25" customHeight="1"/>
    <row r="73" spans="1:10" ht="14.25" customHeight="1"/>
    <row r="74" spans="1:10" ht="14.25" customHeight="1"/>
    <row r="75" spans="1:10" ht="14.25" customHeight="1"/>
    <row r="76" spans="1:10" ht="14.25" customHeight="1"/>
    <row r="77" spans="1:10" ht="14.25" customHeight="1"/>
    <row r="78" spans="1:10" ht="14.25" customHeight="1"/>
    <row r="79" spans="1:10" ht="14.25" customHeight="1"/>
    <row r="80" spans="1:1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sheetData>
  <mergeCells count="105">
    <mergeCell ref="A65:J65"/>
    <mergeCell ref="A66:C66"/>
    <mergeCell ref="A69:D69"/>
    <mergeCell ref="H69:J69"/>
    <mergeCell ref="A70:D70"/>
    <mergeCell ref="H70:J70"/>
    <mergeCell ref="A71:D71"/>
    <mergeCell ref="H71:J71"/>
    <mergeCell ref="A11:A19"/>
    <mergeCell ref="A20:A22"/>
    <mergeCell ref="A23:A31"/>
    <mergeCell ref="A32:A34"/>
    <mergeCell ref="A41:A51"/>
    <mergeCell ref="A52:A54"/>
    <mergeCell ref="F11:F12"/>
    <mergeCell ref="F23:F24"/>
    <mergeCell ref="F41:F42"/>
    <mergeCell ref="G11:G12"/>
    <mergeCell ref="G23:G24"/>
    <mergeCell ref="G41:G42"/>
    <mergeCell ref="H11:H12"/>
    <mergeCell ref="H23:H24"/>
    <mergeCell ref="H41:H42"/>
    <mergeCell ref="B11:E12"/>
    <mergeCell ref="B60:G60"/>
    <mergeCell ref="I60:J60"/>
    <mergeCell ref="B61:G61"/>
    <mergeCell ref="I61:J61"/>
    <mergeCell ref="B62:G62"/>
    <mergeCell ref="I62:J62"/>
    <mergeCell ref="B63:G63"/>
    <mergeCell ref="I63:J63"/>
    <mergeCell ref="B64:G64"/>
    <mergeCell ref="I64:J64"/>
    <mergeCell ref="B55:H55"/>
    <mergeCell ref="I55:J55"/>
    <mergeCell ref="B56:H56"/>
    <mergeCell ref="I56:J56"/>
    <mergeCell ref="B57:G57"/>
    <mergeCell ref="I57:J57"/>
    <mergeCell ref="I58:J58"/>
    <mergeCell ref="B59:G59"/>
    <mergeCell ref="I59:J59"/>
    <mergeCell ref="I49:J49"/>
    <mergeCell ref="B51:E51"/>
    <mergeCell ref="I51:J51"/>
    <mergeCell ref="B52:E52"/>
    <mergeCell ref="I52:J52"/>
    <mergeCell ref="B53:E53"/>
    <mergeCell ref="I53:J53"/>
    <mergeCell ref="B54:E54"/>
    <mergeCell ref="I54:J54"/>
    <mergeCell ref="B40:H40"/>
    <mergeCell ref="I40:J40"/>
    <mergeCell ref="B43:E43"/>
    <mergeCell ref="I43:J43"/>
    <mergeCell ref="B45:E45"/>
    <mergeCell ref="I45:J45"/>
    <mergeCell ref="B46:E46"/>
    <mergeCell ref="I46:J46"/>
    <mergeCell ref="B47:E47"/>
    <mergeCell ref="I47:J47"/>
    <mergeCell ref="B41:E42"/>
    <mergeCell ref="I41:J42"/>
    <mergeCell ref="B35:H35"/>
    <mergeCell ref="I35:J35"/>
    <mergeCell ref="B36:H36"/>
    <mergeCell ref="I36:J36"/>
    <mergeCell ref="B37:H37"/>
    <mergeCell ref="I37:J37"/>
    <mergeCell ref="B38:H38"/>
    <mergeCell ref="I38:J38"/>
    <mergeCell ref="B39:H39"/>
    <mergeCell ref="I39:J39"/>
    <mergeCell ref="I28:J28"/>
    <mergeCell ref="I29:J29"/>
    <mergeCell ref="B31:E31"/>
    <mergeCell ref="I31:J31"/>
    <mergeCell ref="B32:E32"/>
    <mergeCell ref="I32:J32"/>
    <mergeCell ref="B33:E33"/>
    <mergeCell ref="I33:J33"/>
    <mergeCell ref="B34:E34"/>
    <mergeCell ref="I34:J34"/>
    <mergeCell ref="B20:E20"/>
    <mergeCell ref="I20:J20"/>
    <mergeCell ref="B21:E21"/>
    <mergeCell ref="I21:J21"/>
    <mergeCell ref="B22:E22"/>
    <mergeCell ref="I22:J22"/>
    <mergeCell ref="B25:E25"/>
    <mergeCell ref="I25:J25"/>
    <mergeCell ref="I27:J27"/>
    <mergeCell ref="B23:E24"/>
    <mergeCell ref="I23:J24"/>
    <mergeCell ref="H2:J2"/>
    <mergeCell ref="A5:D5"/>
    <mergeCell ref="B13:E13"/>
    <mergeCell ref="I13:J13"/>
    <mergeCell ref="I15:J15"/>
    <mergeCell ref="I16:J16"/>
    <mergeCell ref="I17:J17"/>
    <mergeCell ref="B19:E19"/>
    <mergeCell ref="I19:J19"/>
    <mergeCell ref="I11:J12"/>
  </mergeCells>
  <printOptions horizontalCentered="1"/>
  <pageMargins left="0.118055555555556" right="0.118055555555556" top="0.39305555555555599" bottom="0.39305555555555599" header="0.39305555555555599" footer="0"/>
  <pageSetup paperSize="9" scale="77" orientation="portrait"/>
  <headerFooter alignWithMargins="0">
    <oddHeader>&amp;CCONSTRUCTION OF ROAD 
BRGY. L. PIMENTEL, SAN LUIS, AURORA
DETAILED UNIT PRICE ANALYSIS (DUPA)</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pageSetUpPr fitToPage="1"/>
  </sheetPr>
  <dimension ref="A1:R112"/>
  <sheetViews>
    <sheetView topLeftCell="A28" workbookViewId="0">
      <selection activeCell="H55" sqref="H55"/>
    </sheetView>
  </sheetViews>
  <sheetFormatPr defaultColWidth="9" defaultRowHeight="14.25"/>
  <cols>
    <col min="1" max="1" width="5.375" customWidth="1"/>
    <col min="2" max="2" width="3" customWidth="1"/>
    <col min="3" max="3" width="8.375" style="158" customWidth="1"/>
    <col min="4" max="4" width="18.875" customWidth="1"/>
    <col min="5" max="5" width="7.625" customWidth="1"/>
    <col min="6" max="6" width="19.125" customWidth="1"/>
    <col min="7" max="7" width="15.75" customWidth="1"/>
    <col min="8" max="8" width="18.5" customWidth="1"/>
    <col min="9" max="9" width="6.125" customWidth="1"/>
    <col min="10" max="10" width="11.875" customWidth="1"/>
    <col min="11" max="11" width="9.75" customWidth="1"/>
    <col min="12" max="1024" width="8.5" customWidth="1"/>
    <col min="1025" max="1025" width="9" customWidth="1"/>
  </cols>
  <sheetData>
    <row r="1" spans="1:10" ht="14.25" customHeight="1"/>
    <row r="2" spans="1:10" ht="14.25" customHeight="1">
      <c r="H2" s="1538" t="s">
        <v>330</v>
      </c>
      <c r="I2" s="1538"/>
      <c r="J2" s="1538"/>
    </row>
    <row r="3" spans="1:10" ht="14.25" customHeight="1">
      <c r="H3" s="295"/>
      <c r="I3" s="295"/>
      <c r="J3" s="295"/>
    </row>
    <row r="4" spans="1:10" ht="14.25" customHeight="1">
      <c r="H4" s="295"/>
      <c r="I4" s="295"/>
      <c r="J4" s="295"/>
    </row>
    <row r="5" spans="1:10" ht="14.25" customHeight="1">
      <c r="A5" s="1539" t="s">
        <v>331</v>
      </c>
      <c r="B5" s="1539"/>
      <c r="C5" s="1539"/>
      <c r="D5" s="1539"/>
      <c r="E5" s="296" t="s">
        <v>49</v>
      </c>
      <c r="F5" t="s">
        <v>588</v>
      </c>
      <c r="G5" t="s">
        <v>589</v>
      </c>
    </row>
    <row r="6" spans="1:10" ht="14.25" customHeight="1">
      <c r="A6" t="s">
        <v>334</v>
      </c>
      <c r="E6" s="296" t="s">
        <v>49</v>
      </c>
      <c r="F6" t="s">
        <v>204</v>
      </c>
    </row>
    <row r="7" spans="1:10" ht="14.25" customHeight="1">
      <c r="A7" t="s">
        <v>336</v>
      </c>
      <c r="E7" s="296" t="s">
        <v>49</v>
      </c>
      <c r="F7" s="297">
        <v>1.4</v>
      </c>
    </row>
    <row r="8" spans="1:10" ht="14.25" customHeight="1">
      <c r="A8" t="s">
        <v>337</v>
      </c>
      <c r="E8" s="296" t="s">
        <v>49</v>
      </c>
    </row>
    <row r="9" spans="1:10" ht="12" customHeight="1">
      <c r="A9" s="5"/>
      <c r="B9" s="5"/>
      <c r="C9" s="171"/>
      <c r="D9" s="5"/>
      <c r="E9" s="296"/>
    </row>
    <row r="10" spans="1:10" ht="14.25" customHeight="1">
      <c r="A10" s="5"/>
      <c r="B10" s="5"/>
      <c r="C10" s="171"/>
      <c r="D10" s="5"/>
      <c r="E10" s="296"/>
    </row>
    <row r="11" spans="1:10" ht="14.25" customHeight="1">
      <c r="A11" s="1573" t="s">
        <v>426</v>
      </c>
      <c r="B11" s="1546" t="s">
        <v>339</v>
      </c>
      <c r="C11" s="1546"/>
      <c r="D11" s="1546"/>
      <c r="E11" s="1546"/>
      <c r="F11" s="1546" t="s">
        <v>340</v>
      </c>
      <c r="G11" s="1546" t="s">
        <v>341</v>
      </c>
      <c r="H11" s="1546" t="s">
        <v>342</v>
      </c>
      <c r="I11" s="1545" t="s">
        <v>343</v>
      </c>
      <c r="J11" s="1545"/>
    </row>
    <row r="12" spans="1:10" ht="14.25" customHeight="1">
      <c r="A12" s="1573"/>
      <c r="B12" s="1546"/>
      <c r="C12" s="1546"/>
      <c r="D12" s="1546"/>
      <c r="E12" s="1546"/>
      <c r="F12" s="1546"/>
      <c r="G12" s="1546"/>
      <c r="H12" s="1546"/>
      <c r="I12" s="1545"/>
      <c r="J12" s="1545"/>
    </row>
    <row r="13" spans="1:10" ht="14.25" customHeight="1">
      <c r="A13" s="1573"/>
      <c r="B13" s="1540" t="s">
        <v>344</v>
      </c>
      <c r="C13" s="1540"/>
      <c r="D13" s="1540"/>
      <c r="E13" s="1540"/>
      <c r="F13" s="300"/>
      <c r="G13" s="300"/>
      <c r="H13" s="300"/>
      <c r="I13" s="1541"/>
      <c r="J13" s="1541"/>
    </row>
    <row r="14" spans="1:10" ht="14.25" customHeight="1">
      <c r="A14" s="1573"/>
      <c r="B14" s="269"/>
      <c r="D14" s="158"/>
      <c r="E14" s="158"/>
      <c r="F14" s="183"/>
      <c r="G14" s="183"/>
      <c r="H14" s="183"/>
      <c r="I14" s="185"/>
      <c r="J14" s="320"/>
    </row>
    <row r="15" spans="1:10" ht="14.25" customHeight="1">
      <c r="A15" s="1573"/>
      <c r="B15" s="168" t="s">
        <v>345</v>
      </c>
      <c r="C15" s="158" t="s">
        <v>346</v>
      </c>
      <c r="D15" s="158"/>
      <c r="E15" s="158"/>
      <c r="F15" s="301">
        <v>1</v>
      </c>
      <c r="G15" s="302">
        <v>1</v>
      </c>
      <c r="H15" s="303">
        <f>+VLOOKUP(C15,LABOR,2,0)</f>
        <v>110.65</v>
      </c>
      <c r="I15" s="1594">
        <f>F15*G15*H15</f>
        <v>110.65</v>
      </c>
      <c r="J15" s="1594"/>
    </row>
    <row r="16" spans="1:10" ht="14.25" customHeight="1">
      <c r="A16" s="1573"/>
      <c r="B16" s="168" t="s">
        <v>347</v>
      </c>
      <c r="C16" s="158" t="s">
        <v>348</v>
      </c>
      <c r="D16" s="158"/>
      <c r="E16" s="158"/>
      <c r="F16" s="301">
        <v>4</v>
      </c>
      <c r="G16" s="302">
        <v>1</v>
      </c>
      <c r="H16" s="303">
        <f>+VLOOKUP(C16,LABOR,2,0)</f>
        <v>80.05</v>
      </c>
      <c r="I16" s="1594">
        <f>F16*G16*H16</f>
        <v>320.2</v>
      </c>
      <c r="J16" s="1594"/>
    </row>
    <row r="17" spans="1:11" ht="14.25" customHeight="1">
      <c r="A17" s="1573"/>
      <c r="B17" s="168" t="s">
        <v>349</v>
      </c>
      <c r="C17" s="158" t="s">
        <v>350</v>
      </c>
      <c r="D17" s="158"/>
      <c r="E17" s="158"/>
      <c r="F17" s="301">
        <v>8</v>
      </c>
      <c r="G17" s="302">
        <v>1</v>
      </c>
      <c r="H17" s="303">
        <f>+VLOOKUP(C17,LABOR,2,0)</f>
        <v>61.75</v>
      </c>
      <c r="I17" s="1594">
        <f>F17*G17*H17</f>
        <v>494</v>
      </c>
      <c r="J17" s="1594"/>
    </row>
    <row r="18" spans="1:11" ht="14.25" customHeight="1">
      <c r="A18" s="1573"/>
      <c r="B18" s="168"/>
      <c r="D18" s="158"/>
      <c r="E18" s="158"/>
      <c r="F18" s="301"/>
      <c r="G18" s="302"/>
      <c r="H18" s="303"/>
      <c r="I18" s="321"/>
      <c r="J18" s="322"/>
    </row>
    <row r="19" spans="1:11" ht="14.25" customHeight="1">
      <c r="A19" s="1573"/>
      <c r="B19" s="1568" t="s">
        <v>590</v>
      </c>
      <c r="C19" s="1568"/>
      <c r="D19" s="1568"/>
      <c r="E19" s="1568"/>
      <c r="F19" s="301"/>
      <c r="G19" s="302"/>
      <c r="H19" s="303"/>
      <c r="I19" s="1543"/>
      <c r="J19" s="1543"/>
    </row>
    <row r="20" spans="1:11" ht="14.25" customHeight="1">
      <c r="A20" s="1573"/>
      <c r="B20" s="168" t="s">
        <v>345</v>
      </c>
      <c r="C20" s="158" t="s">
        <v>348</v>
      </c>
      <c r="D20" s="158"/>
      <c r="E20" s="158"/>
      <c r="F20" s="301">
        <v>4</v>
      </c>
      <c r="G20" s="302">
        <v>1</v>
      </c>
      <c r="H20" s="303">
        <f>+VLOOKUP(C20,LABOR,2,0)</f>
        <v>80.05</v>
      </c>
      <c r="I20" s="1594">
        <f>F20*G20*H20</f>
        <v>320.2</v>
      </c>
      <c r="J20" s="1594"/>
    </row>
    <row r="21" spans="1:11" ht="14.25" customHeight="1">
      <c r="A21" s="1573"/>
      <c r="B21" s="168" t="s">
        <v>347</v>
      </c>
      <c r="C21" s="158" t="s">
        <v>350</v>
      </c>
      <c r="D21" s="158"/>
      <c r="E21" s="158"/>
      <c r="F21" s="301">
        <v>8</v>
      </c>
      <c r="G21" s="302">
        <v>1</v>
      </c>
      <c r="H21" s="303">
        <f>+VLOOKUP(C21,LABOR,2,0)</f>
        <v>61.75</v>
      </c>
      <c r="I21" s="1594">
        <f>F21*G21*H21</f>
        <v>494</v>
      </c>
      <c r="J21" s="1594"/>
    </row>
    <row r="22" spans="1:11" ht="14.25" customHeight="1">
      <c r="A22" s="1573"/>
      <c r="B22" s="168"/>
      <c r="D22" s="158"/>
      <c r="E22" s="158"/>
      <c r="F22" s="301"/>
      <c r="G22" s="302"/>
      <c r="H22" s="303"/>
      <c r="I22" s="321"/>
      <c r="J22" s="322"/>
    </row>
    <row r="23" spans="1:11" ht="14.25" customHeight="1">
      <c r="A23" s="1573"/>
      <c r="B23" s="1549" t="s">
        <v>351</v>
      </c>
      <c r="C23" s="1549"/>
      <c r="D23" s="1549"/>
      <c r="E23" s="1549"/>
      <c r="F23" s="304"/>
      <c r="G23" s="304"/>
      <c r="H23" s="304"/>
      <c r="I23" s="1575">
        <f>+SUM(I15:J21)</f>
        <v>1739.05</v>
      </c>
      <c r="J23" s="1575"/>
      <c r="K23" s="323">
        <f>+ROUND(I23/F7,2)</f>
        <v>1242.18</v>
      </c>
    </row>
    <row r="24" spans="1:11" ht="14.25" customHeight="1">
      <c r="A24" s="1560" t="s">
        <v>352</v>
      </c>
      <c r="B24" s="1540" t="s">
        <v>344</v>
      </c>
      <c r="C24" s="1540"/>
      <c r="D24" s="1540"/>
      <c r="E24" s="1540"/>
      <c r="F24" s="300"/>
      <c r="G24" s="300"/>
      <c r="H24" s="300"/>
      <c r="I24" s="1541"/>
      <c r="J24" s="1541"/>
    </row>
    <row r="25" spans="1:11" ht="14.25" customHeight="1">
      <c r="A25" s="1560"/>
      <c r="B25" s="1542"/>
      <c r="C25" s="1542"/>
      <c r="D25" s="1542"/>
      <c r="E25" s="1542"/>
      <c r="F25" s="253"/>
      <c r="G25" s="253"/>
      <c r="H25" s="253"/>
      <c r="I25" s="1543"/>
      <c r="J25" s="1543"/>
    </row>
    <row r="26" spans="1:11" ht="14.25" customHeight="1">
      <c r="A26" s="1560"/>
      <c r="B26" s="1549" t="s">
        <v>353</v>
      </c>
      <c r="C26" s="1549"/>
      <c r="D26" s="1549"/>
      <c r="E26" s="1549"/>
      <c r="F26" s="305"/>
      <c r="G26" s="305"/>
      <c r="H26" s="305"/>
      <c r="I26" s="1575">
        <v>0</v>
      </c>
      <c r="J26" s="1575"/>
    </row>
    <row r="27" spans="1:11" ht="14.25" customHeight="1">
      <c r="A27" s="1561" t="s">
        <v>354</v>
      </c>
      <c r="B27" s="1550" t="s">
        <v>355</v>
      </c>
      <c r="C27" s="1550"/>
      <c r="D27" s="1550"/>
      <c r="E27" s="1550"/>
      <c r="F27" s="1550" t="s">
        <v>356</v>
      </c>
      <c r="G27" s="1550" t="s">
        <v>341</v>
      </c>
      <c r="H27" s="1550" t="s">
        <v>342</v>
      </c>
      <c r="I27" s="1551" t="s">
        <v>359</v>
      </c>
      <c r="J27" s="1551"/>
    </row>
    <row r="28" spans="1:11" ht="14.25" customHeight="1">
      <c r="A28" s="1561"/>
      <c r="B28" s="1550"/>
      <c r="C28" s="1550"/>
      <c r="D28" s="1550"/>
      <c r="E28" s="1550"/>
      <c r="F28" s="1550"/>
      <c r="G28" s="1550"/>
      <c r="H28" s="1550"/>
      <c r="I28" s="1551"/>
      <c r="J28" s="1551"/>
    </row>
    <row r="29" spans="1:11" ht="14.25" customHeight="1">
      <c r="A29" s="1561"/>
      <c r="B29" s="1540" t="s">
        <v>360</v>
      </c>
      <c r="C29" s="1540"/>
      <c r="D29" s="1540"/>
      <c r="E29" s="1540"/>
      <c r="F29" s="300"/>
      <c r="G29" s="300"/>
      <c r="H29" s="300"/>
      <c r="I29" s="1541"/>
      <c r="J29" s="1541"/>
    </row>
    <row r="30" spans="1:11" ht="14.25" customHeight="1">
      <c r="A30" s="1561"/>
      <c r="B30" s="269"/>
      <c r="D30" s="158"/>
      <c r="E30" s="158"/>
      <c r="F30" s="183"/>
      <c r="G30" s="183"/>
      <c r="H30" s="306"/>
      <c r="I30" s="185"/>
      <c r="J30" s="320"/>
    </row>
    <row r="31" spans="1:11" ht="14.25" customHeight="1">
      <c r="A31" s="1561"/>
      <c r="B31" s="269" t="s">
        <v>345</v>
      </c>
      <c r="C31" s="158" t="s">
        <v>148</v>
      </c>
      <c r="D31" s="158"/>
      <c r="E31" s="158"/>
      <c r="F31" s="168">
        <v>1</v>
      </c>
      <c r="G31" s="307">
        <v>1</v>
      </c>
      <c r="H31" s="308">
        <f>+VLOOKUP(C31,equipment,3,0)</f>
        <v>172</v>
      </c>
      <c r="I31" s="1597">
        <f>+F31*G31*H31</f>
        <v>172</v>
      </c>
      <c r="J31" s="1597"/>
    </row>
    <row r="32" spans="1:11" ht="14.25" customHeight="1">
      <c r="A32" s="1561"/>
      <c r="B32" s="269" t="s">
        <v>347</v>
      </c>
      <c r="C32" s="158" t="s">
        <v>139</v>
      </c>
      <c r="D32" s="158"/>
      <c r="E32" s="158"/>
      <c r="F32" s="168">
        <v>1</v>
      </c>
      <c r="G32" s="307">
        <v>1</v>
      </c>
      <c r="H32" s="309">
        <f>+VLOOKUP(C32,equipment,3,0)</f>
        <v>57.17</v>
      </c>
      <c r="I32" s="1604">
        <f>+F32*G32*H32</f>
        <v>57.17</v>
      </c>
      <c r="J32" s="1604"/>
    </row>
    <row r="33" spans="1:18" ht="14.25" customHeight="1">
      <c r="A33" s="1561"/>
      <c r="B33" s="269" t="s">
        <v>349</v>
      </c>
      <c r="C33" s="158" t="s">
        <v>136</v>
      </c>
      <c r="D33" s="158"/>
      <c r="E33" s="158"/>
      <c r="F33" s="168">
        <v>1</v>
      </c>
      <c r="G33" s="307">
        <v>0.1</v>
      </c>
      <c r="H33" s="309">
        <f>+VLOOKUP(C33,equipment,3,0)</f>
        <v>4217.3100000000004</v>
      </c>
      <c r="I33" s="1604">
        <f>+F33*G33*H33</f>
        <v>421.73100000000005</v>
      </c>
      <c r="J33" s="1604"/>
    </row>
    <row r="34" spans="1:18" ht="14.25" customHeight="1">
      <c r="A34" s="1561"/>
      <c r="B34" s="1568" t="s">
        <v>549</v>
      </c>
      <c r="C34" s="1568"/>
      <c r="D34" s="1568"/>
      <c r="E34" s="1568"/>
      <c r="F34" s="168"/>
      <c r="G34" s="307"/>
      <c r="H34" s="310"/>
      <c r="I34" s="1595">
        <f>+K34*I23</f>
        <v>86.952500000000001</v>
      </c>
      <c r="J34" s="1595"/>
      <c r="K34" s="324">
        <v>0.05</v>
      </c>
      <c r="M34" s="325"/>
      <c r="R34" s="334"/>
    </row>
    <row r="35" spans="1:18" ht="14.25" customHeight="1">
      <c r="A35" s="1561"/>
      <c r="B35" s="269"/>
      <c r="D35" s="158"/>
      <c r="E35" s="158"/>
      <c r="F35" s="168"/>
      <c r="G35" s="307"/>
      <c r="H35" s="310"/>
      <c r="I35" s="326"/>
      <c r="J35" s="327"/>
      <c r="K35" s="324"/>
    </row>
    <row r="36" spans="1:18" ht="14.25" customHeight="1">
      <c r="A36" s="1561"/>
      <c r="B36" s="1549" t="s">
        <v>361</v>
      </c>
      <c r="C36" s="1549"/>
      <c r="D36" s="1549"/>
      <c r="E36" s="1549"/>
      <c r="F36" s="305"/>
      <c r="G36" s="305"/>
      <c r="H36" s="305"/>
      <c r="I36" s="1574">
        <f>+SUM(I31:J34)</f>
        <v>737.85350000000005</v>
      </c>
      <c r="J36" s="1574"/>
      <c r="K36" s="323">
        <f>+ROUND(I36/F7,2)</f>
        <v>527.04</v>
      </c>
    </row>
    <row r="37" spans="1:18" ht="14.25" customHeight="1">
      <c r="A37" s="1560" t="s">
        <v>362</v>
      </c>
      <c r="B37" s="1540" t="s">
        <v>360</v>
      </c>
      <c r="C37" s="1540"/>
      <c r="D37" s="1540"/>
      <c r="E37" s="1540"/>
      <c r="F37" s="300"/>
      <c r="G37" s="300"/>
      <c r="H37" s="300"/>
      <c r="I37" s="1541"/>
      <c r="J37" s="1541"/>
    </row>
    <row r="38" spans="1:18" ht="14.25" customHeight="1">
      <c r="A38" s="1560"/>
      <c r="B38" s="1542"/>
      <c r="C38" s="1542"/>
      <c r="D38" s="1542"/>
      <c r="E38" s="1542"/>
      <c r="F38" s="306"/>
      <c r="G38" s="306"/>
      <c r="H38" s="306"/>
      <c r="I38" s="1543"/>
      <c r="J38" s="1543"/>
    </row>
    <row r="39" spans="1:18" ht="14.25" customHeight="1">
      <c r="A39" s="1560"/>
      <c r="B39" s="1549" t="s">
        <v>363</v>
      </c>
      <c r="C39" s="1549"/>
      <c r="D39" s="1549"/>
      <c r="E39" s="1549"/>
      <c r="F39" s="305"/>
      <c r="G39" s="305"/>
      <c r="H39" s="305"/>
      <c r="I39" s="1575">
        <v>0</v>
      </c>
      <c r="J39" s="1575"/>
    </row>
    <row r="40" spans="1:18" ht="14.25" customHeight="1">
      <c r="A40" s="311" t="s">
        <v>364</v>
      </c>
      <c r="B40" s="1554" t="s">
        <v>365</v>
      </c>
      <c r="C40" s="1554"/>
      <c r="D40" s="1554"/>
      <c r="E40" s="1554"/>
      <c r="F40" s="1554"/>
      <c r="G40" s="1554"/>
      <c r="H40" s="1554"/>
      <c r="I40" s="1596">
        <f>I23+I36</f>
        <v>2476.9034999999999</v>
      </c>
      <c r="J40" s="1596"/>
    </row>
    <row r="41" spans="1:18" ht="14.25" customHeight="1">
      <c r="A41" s="313" t="s">
        <v>366</v>
      </c>
      <c r="B41" s="1554" t="s">
        <v>367</v>
      </c>
      <c r="C41" s="1554"/>
      <c r="D41" s="1554"/>
      <c r="E41" s="1554"/>
      <c r="F41" s="1554"/>
      <c r="G41" s="1554"/>
      <c r="H41" s="1554"/>
      <c r="I41" s="1557"/>
      <c r="J41" s="1557"/>
    </row>
    <row r="42" spans="1:18" ht="14.25" customHeight="1">
      <c r="A42" s="313" t="s">
        <v>368</v>
      </c>
      <c r="B42" s="1554" t="s">
        <v>336</v>
      </c>
      <c r="C42" s="1554"/>
      <c r="D42" s="1554"/>
      <c r="E42" s="1554"/>
      <c r="F42" s="1554"/>
      <c r="G42" s="1554"/>
      <c r="H42" s="1554"/>
      <c r="I42" s="1570">
        <f>F7</f>
        <v>1.4</v>
      </c>
      <c r="J42" s="1570"/>
    </row>
    <row r="43" spans="1:18" ht="14.25" customHeight="1">
      <c r="A43" s="313" t="s">
        <v>369</v>
      </c>
      <c r="B43" s="1554" t="s">
        <v>337</v>
      </c>
      <c r="C43" s="1554"/>
      <c r="D43" s="1554"/>
      <c r="E43" s="1554"/>
      <c r="F43" s="1554"/>
      <c r="G43" s="1554"/>
      <c r="H43" s="1554"/>
      <c r="I43" s="1557"/>
      <c r="J43" s="1557"/>
    </row>
    <row r="44" spans="1:18" ht="14.25" customHeight="1">
      <c r="A44" s="313" t="s">
        <v>370</v>
      </c>
      <c r="B44" s="1554" t="s">
        <v>371</v>
      </c>
      <c r="C44" s="1554"/>
      <c r="D44" s="1554"/>
      <c r="E44" s="1554"/>
      <c r="F44" s="1554"/>
      <c r="G44" s="1554"/>
      <c r="H44" s="1554"/>
      <c r="I44" s="1596">
        <f>I40/I42</f>
        <v>1769.2167857142858</v>
      </c>
      <c r="J44" s="1596"/>
    </row>
    <row r="45" spans="1:18" ht="14.25" customHeight="1">
      <c r="A45" s="313" t="s">
        <v>372</v>
      </c>
      <c r="B45" s="1554" t="s">
        <v>373</v>
      </c>
      <c r="C45" s="1554"/>
      <c r="D45" s="1554"/>
      <c r="E45" s="1554"/>
      <c r="F45" s="1554"/>
      <c r="G45" s="1554"/>
      <c r="H45" s="1554"/>
      <c r="I45" s="1557"/>
      <c r="J45" s="1557"/>
    </row>
    <row r="46" spans="1:18" ht="14.25" customHeight="1">
      <c r="A46" s="1561" t="s">
        <v>428</v>
      </c>
      <c r="B46" s="1550" t="s">
        <v>375</v>
      </c>
      <c r="C46" s="1550"/>
      <c r="D46" s="1550"/>
      <c r="E46" s="1550"/>
      <c r="F46" s="1550" t="s">
        <v>376</v>
      </c>
      <c r="G46" s="1550" t="s">
        <v>377</v>
      </c>
      <c r="H46" s="1550" t="s">
        <v>378</v>
      </c>
      <c r="I46" s="1551" t="s">
        <v>343</v>
      </c>
      <c r="J46" s="1551"/>
    </row>
    <row r="47" spans="1:18" ht="14.25" customHeight="1">
      <c r="A47" s="1561"/>
      <c r="B47" s="1550"/>
      <c r="C47" s="1550"/>
      <c r="D47" s="1550"/>
      <c r="E47" s="1550"/>
      <c r="F47" s="1550"/>
      <c r="G47" s="1550"/>
      <c r="H47" s="1550"/>
      <c r="I47" s="1551"/>
      <c r="J47" s="1551"/>
    </row>
    <row r="48" spans="1:18" ht="14.25" customHeight="1">
      <c r="A48" s="1561"/>
      <c r="B48" s="1540" t="s">
        <v>379</v>
      </c>
      <c r="C48" s="1540"/>
      <c r="D48" s="1540"/>
      <c r="E48" s="1540"/>
      <c r="F48" s="314"/>
      <c r="G48" s="314"/>
      <c r="H48" s="314"/>
      <c r="I48" s="1541"/>
      <c r="J48" s="1541"/>
    </row>
    <row r="49" spans="1:15" ht="14.25" customHeight="1">
      <c r="A49" s="1561"/>
      <c r="B49" s="269"/>
      <c r="D49" s="158"/>
      <c r="E49" s="315"/>
      <c r="G49" s="160"/>
      <c r="H49" s="253"/>
      <c r="I49" s="10"/>
      <c r="J49" s="328"/>
    </row>
    <row r="50" spans="1:15" ht="14.25" customHeight="1">
      <c r="A50" s="1561"/>
      <c r="B50" s="1568" t="s">
        <v>591</v>
      </c>
      <c r="C50" s="1568"/>
      <c r="D50" s="1568"/>
      <c r="E50" s="1568"/>
      <c r="F50" s="10" t="s">
        <v>305</v>
      </c>
      <c r="G50" s="316" t="s">
        <v>592</v>
      </c>
      <c r="H50" s="317">
        <f>+PRICE_LIST!D51</f>
        <v>46</v>
      </c>
      <c r="I50" s="1604">
        <f>(70*H50)/4</f>
        <v>805</v>
      </c>
      <c r="J50" s="1604"/>
    </row>
    <row r="51" spans="1:15" ht="14.25" customHeight="1">
      <c r="A51" s="1561"/>
      <c r="B51" s="1568" t="s">
        <v>593</v>
      </c>
      <c r="C51" s="1568"/>
      <c r="D51" s="1568"/>
      <c r="E51" s="1568"/>
      <c r="F51" s="10" t="s">
        <v>580</v>
      </c>
      <c r="G51" s="302" t="s">
        <v>594</v>
      </c>
      <c r="H51" s="317">
        <f>+PRICE_LIST!D53</f>
        <v>780</v>
      </c>
      <c r="I51" s="1597">
        <f>(1.6*H51)/4</f>
        <v>312</v>
      </c>
      <c r="J51" s="1597"/>
    </row>
    <row r="52" spans="1:15" ht="14.25" customHeight="1">
      <c r="A52" s="1561"/>
      <c r="B52" s="1568" t="s">
        <v>595</v>
      </c>
      <c r="C52" s="1568"/>
      <c r="D52" s="1568"/>
      <c r="E52" s="1568"/>
      <c r="F52" s="10" t="s">
        <v>302</v>
      </c>
      <c r="G52" s="302" t="s">
        <v>596</v>
      </c>
      <c r="H52" s="317">
        <f>+PRICE_LIST!D46</f>
        <v>77.5</v>
      </c>
      <c r="I52" s="1597">
        <f>H52*0.7</f>
        <v>54.25</v>
      </c>
      <c r="J52" s="1597"/>
    </row>
    <row r="53" spans="1:15" ht="14.25" customHeight="1">
      <c r="A53" s="1561"/>
      <c r="B53" s="1568" t="s">
        <v>597</v>
      </c>
      <c r="C53" s="1568"/>
      <c r="D53" s="1568"/>
      <c r="E53" s="1568"/>
      <c r="F53" s="10" t="s">
        <v>578</v>
      </c>
      <c r="G53" s="302">
        <v>9.5</v>
      </c>
      <c r="H53" s="317">
        <f>+PRICE_LIST!D98</f>
        <v>260</v>
      </c>
      <c r="I53" s="1597">
        <f>+G53*H53</f>
        <v>2470</v>
      </c>
      <c r="J53" s="1597"/>
    </row>
    <row r="54" spans="1:15" ht="14.25" customHeight="1">
      <c r="A54" s="1561"/>
      <c r="B54" s="1568" t="s">
        <v>575</v>
      </c>
      <c r="C54" s="1568"/>
      <c r="D54" s="1568"/>
      <c r="E54" s="1568"/>
      <c r="F54" s="10" t="s">
        <v>204</v>
      </c>
      <c r="G54" s="302">
        <v>0.5</v>
      </c>
      <c r="H54" s="317">
        <f>+PRICE_LIST!D48</f>
        <v>400</v>
      </c>
      <c r="I54" s="1597">
        <f>+G54*H54</f>
        <v>200</v>
      </c>
      <c r="J54" s="1597"/>
    </row>
    <row r="55" spans="1:15" ht="14.25" customHeight="1">
      <c r="A55" s="1561"/>
      <c r="B55" s="1568" t="s">
        <v>598</v>
      </c>
      <c r="C55" s="1568"/>
      <c r="D55" s="1568"/>
      <c r="E55" s="1568"/>
      <c r="F55" s="10" t="s">
        <v>204</v>
      </c>
      <c r="G55" s="302">
        <v>1</v>
      </c>
      <c r="H55" s="317">
        <f>+PRICE_LIST!D49</f>
        <v>570</v>
      </c>
      <c r="I55" s="1597">
        <f>+G55*H55</f>
        <v>570</v>
      </c>
      <c r="J55" s="1597"/>
      <c r="O55" s="329"/>
    </row>
    <row r="56" spans="1:15" ht="14.25" customHeight="1">
      <c r="A56" s="1561"/>
      <c r="B56" s="269"/>
      <c r="D56" s="158"/>
      <c r="E56" s="315"/>
      <c r="F56" s="10"/>
      <c r="G56" s="302"/>
      <c r="H56" s="317"/>
      <c r="I56" s="330"/>
      <c r="J56" s="331"/>
      <c r="O56" s="329"/>
    </row>
    <row r="57" spans="1:15" ht="14.25" customHeight="1">
      <c r="A57" s="1561"/>
      <c r="B57" s="1549" t="s">
        <v>398</v>
      </c>
      <c r="C57" s="1549"/>
      <c r="D57" s="1549"/>
      <c r="E57" s="1549"/>
      <c r="F57" s="304"/>
      <c r="G57" s="304"/>
      <c r="H57" s="304"/>
      <c r="I57" s="1574">
        <f>+SUM(I50:J55)</f>
        <v>4411.25</v>
      </c>
      <c r="J57" s="1574"/>
      <c r="K57" s="323">
        <f>+ROUND(I57,2)</f>
        <v>4411.25</v>
      </c>
    </row>
    <row r="58" spans="1:15" ht="14.25" customHeight="1">
      <c r="A58" s="1560" t="s">
        <v>399</v>
      </c>
      <c r="B58" s="1540" t="s">
        <v>379</v>
      </c>
      <c r="C58" s="1540"/>
      <c r="D58" s="1540"/>
      <c r="E58" s="1540"/>
      <c r="F58" s="314"/>
      <c r="G58" s="314"/>
      <c r="H58" s="314"/>
      <c r="I58" s="1541"/>
      <c r="J58" s="1541"/>
    </row>
    <row r="59" spans="1:15" ht="14.25" customHeight="1">
      <c r="A59" s="1560"/>
      <c r="B59" s="1542"/>
      <c r="C59" s="1542"/>
      <c r="D59" s="1542"/>
      <c r="E59" s="1542"/>
      <c r="F59" s="253"/>
      <c r="G59" s="253"/>
      <c r="H59" s="253"/>
      <c r="I59" s="1543"/>
      <c r="J59" s="1543"/>
    </row>
    <row r="60" spans="1:15" ht="14.25" customHeight="1">
      <c r="A60" s="1560"/>
      <c r="B60" s="1549" t="s">
        <v>400</v>
      </c>
      <c r="C60" s="1549"/>
      <c r="D60" s="1549"/>
      <c r="E60" s="1549"/>
      <c r="F60" s="304"/>
      <c r="G60" s="304"/>
      <c r="H60" s="304"/>
      <c r="I60" s="1575">
        <v>0</v>
      </c>
      <c r="J60" s="1575"/>
    </row>
    <row r="61" spans="1:15" ht="14.25" customHeight="1">
      <c r="A61" s="313" t="s">
        <v>401</v>
      </c>
      <c r="B61" s="1554" t="s">
        <v>402</v>
      </c>
      <c r="C61" s="1554"/>
      <c r="D61" s="1554"/>
      <c r="E61" s="1554"/>
      <c r="F61" s="1554"/>
      <c r="G61" s="1554"/>
      <c r="H61" s="1554"/>
      <c r="I61" s="1596">
        <f>ROUND(I44+I57,2)</f>
        <v>6180.47</v>
      </c>
      <c r="J61" s="1596"/>
      <c r="K61" s="332">
        <f>+K23+K36+K57</f>
        <v>6180.47</v>
      </c>
      <c r="L61" s="332">
        <f>+I61-K61</f>
        <v>0</v>
      </c>
    </row>
    <row r="62" spans="1:15" ht="14.25" customHeight="1">
      <c r="A62" s="313" t="s">
        <v>403</v>
      </c>
      <c r="B62" s="1554" t="s">
        <v>404</v>
      </c>
      <c r="C62" s="1554"/>
      <c r="D62" s="1554"/>
      <c r="E62" s="1554"/>
      <c r="F62" s="1554"/>
      <c r="G62" s="1554"/>
      <c r="H62" s="1554"/>
      <c r="I62" s="1557"/>
      <c r="J62" s="1557"/>
    </row>
    <row r="63" spans="1:15" ht="14.25" customHeight="1">
      <c r="A63" s="313" t="s">
        <v>405</v>
      </c>
      <c r="B63" s="1554" t="s">
        <v>406</v>
      </c>
      <c r="C63" s="1554"/>
      <c r="D63" s="1554"/>
      <c r="E63" s="1554"/>
      <c r="F63" s="1554"/>
      <c r="G63" s="1554"/>
      <c r="H63" s="318">
        <v>0.12</v>
      </c>
      <c r="I63" s="1596">
        <f>+H63*I61</f>
        <v>741.65639999999996</v>
      </c>
      <c r="J63" s="1596"/>
      <c r="K63" s="333"/>
    </row>
    <row r="64" spans="1:15" ht="14.25" customHeight="1">
      <c r="A64" s="313" t="s">
        <v>407</v>
      </c>
      <c r="B64" s="1554" t="s">
        <v>408</v>
      </c>
      <c r="C64" s="1554"/>
      <c r="D64" s="1554"/>
      <c r="E64" s="1554"/>
      <c r="F64" s="1554"/>
      <c r="G64" s="1554"/>
      <c r="H64" s="319"/>
      <c r="I64" s="1557"/>
      <c r="J64" s="1557"/>
      <c r="K64" s="333"/>
    </row>
    <row r="65" spans="1:11" ht="14.25" customHeight="1">
      <c r="A65" s="313" t="s">
        <v>409</v>
      </c>
      <c r="B65" s="1554" t="s">
        <v>410</v>
      </c>
      <c r="C65" s="1554"/>
      <c r="D65" s="1554"/>
      <c r="E65" s="1554"/>
      <c r="F65" s="1554"/>
      <c r="G65" s="1554"/>
      <c r="H65" s="318">
        <v>0.08</v>
      </c>
      <c r="I65" s="1596">
        <f>+H65*I61</f>
        <v>494.43760000000003</v>
      </c>
      <c r="J65" s="1596"/>
      <c r="K65" s="333"/>
    </row>
    <row r="66" spans="1:11" ht="14.25" customHeight="1">
      <c r="A66" s="313" t="s">
        <v>411</v>
      </c>
      <c r="B66" s="1554" t="s">
        <v>412</v>
      </c>
      <c r="C66" s="1554"/>
      <c r="D66" s="1554"/>
      <c r="E66" s="1554"/>
      <c r="F66" s="1554"/>
      <c r="G66" s="1554"/>
      <c r="H66" s="319"/>
      <c r="I66" s="1557"/>
      <c r="J66" s="1557"/>
      <c r="K66" s="333"/>
    </row>
    <row r="67" spans="1:11" ht="14.25" customHeight="1">
      <c r="A67" s="313" t="s">
        <v>413</v>
      </c>
      <c r="B67" s="1554" t="s">
        <v>414</v>
      </c>
      <c r="C67" s="1554"/>
      <c r="D67" s="1554"/>
      <c r="E67" s="1554"/>
      <c r="F67" s="1554"/>
      <c r="G67" s="1554"/>
      <c r="H67" s="335">
        <v>0.05</v>
      </c>
      <c r="I67" s="1596">
        <f>H67*(I61+I63+I65)</f>
        <v>370.82820000000004</v>
      </c>
      <c r="J67" s="1596"/>
      <c r="K67" s="333"/>
    </row>
    <row r="68" spans="1:11" ht="14.25" customHeight="1">
      <c r="A68" s="313" t="s">
        <v>415</v>
      </c>
      <c r="B68" s="1554" t="s">
        <v>416</v>
      </c>
      <c r="C68" s="1554"/>
      <c r="D68" s="1554"/>
      <c r="E68" s="1554"/>
      <c r="F68" s="1554"/>
      <c r="G68" s="1554"/>
      <c r="H68" s="319"/>
      <c r="I68" s="1557"/>
      <c r="J68" s="1557"/>
    </row>
    <row r="69" spans="1:11" ht="14.25" customHeight="1">
      <c r="A69" s="313" t="s">
        <v>417</v>
      </c>
      <c r="B69" s="1554" t="s">
        <v>418</v>
      </c>
      <c r="C69" s="1554"/>
      <c r="D69" s="1554"/>
      <c r="E69" s="1554"/>
      <c r="F69" s="1554"/>
      <c r="G69" s="1554"/>
      <c r="H69" s="319" t="s">
        <v>419</v>
      </c>
      <c r="I69" s="1596">
        <f>+ROUNDDOWN(SUM(I61:J68),2)</f>
        <v>7787.39</v>
      </c>
      <c r="J69" s="1596"/>
    </row>
    <row r="70" spans="1:11" ht="14.25" customHeight="1">
      <c r="A70" s="336" t="s">
        <v>420</v>
      </c>
      <c r="B70" s="1566" t="s">
        <v>421</v>
      </c>
      <c r="C70" s="1566"/>
      <c r="D70" s="1566"/>
      <c r="E70" s="1566"/>
      <c r="F70" s="1566"/>
      <c r="G70" s="1566"/>
      <c r="H70" s="337"/>
      <c r="I70" s="1572"/>
      <c r="J70" s="1572"/>
    </row>
    <row r="71" spans="1:11" ht="39.950000000000003" customHeight="1">
      <c r="A71" s="1563" t="str">
        <f>'POW-2015-01-00_'!A42:AG42</f>
        <v>Note: Prices/Rates were based on CMPD 4TH Quarter CY 2022 for Materials, Memorandum dated December 29, 2022 for Labor cost and Memorandum dated May 18, 2022 for Equipment rental including Fuel &amp; Oil/Lubricant cost as of January 4, 2023 for DPWH Regional/District Engineering Offices</v>
      </c>
      <c r="B71" s="1563"/>
      <c r="C71" s="1563"/>
      <c r="D71" s="1563"/>
      <c r="E71" s="1563"/>
      <c r="F71" s="1563"/>
      <c r="G71" s="1563"/>
      <c r="H71" s="1563"/>
      <c r="I71" s="1563"/>
      <c r="J71" s="1563"/>
    </row>
    <row r="72" spans="1:11" ht="14.25" customHeight="1">
      <c r="A72" s="1564" t="s">
        <v>20</v>
      </c>
      <c r="B72" s="1564"/>
      <c r="C72" s="1564"/>
      <c r="H72" s="5" t="s">
        <v>422</v>
      </c>
    </row>
    <row r="73" spans="1:11" ht="14.25" customHeight="1">
      <c r="A73" s="171"/>
      <c r="B73" s="171"/>
      <c r="C73" s="171"/>
      <c r="H73" s="5"/>
    </row>
    <row r="74" spans="1:11" ht="14.25" customHeight="1">
      <c r="A74" s="171"/>
      <c r="B74" s="171"/>
      <c r="C74" s="171"/>
      <c r="H74" s="5"/>
    </row>
    <row r="75" spans="1:11" ht="14.25" customHeight="1">
      <c r="A75" s="1502" t="str">
        <f>+'POW-2015-01-00_'!A48:E48</f>
        <v xml:space="preserve">WINLOVE A. ESTEVES
</v>
      </c>
      <c r="B75" s="1502"/>
      <c r="C75" s="1502"/>
      <c r="D75" s="1502"/>
      <c r="H75" s="1502" t="str">
        <f>+'POW-2015-01-00_'!H48:L48</f>
        <v>MARK ANGELO E. SURIL</v>
      </c>
      <c r="I75" s="1502"/>
      <c r="J75" s="1502"/>
    </row>
    <row r="76" spans="1:11" ht="14.25" customHeight="1">
      <c r="A76" s="1565" t="s">
        <v>102</v>
      </c>
      <c r="B76" s="1565"/>
      <c r="C76" s="1565"/>
      <c r="D76" s="1565"/>
      <c r="H76" s="1565" t="s">
        <v>102</v>
      </c>
      <c r="I76" s="1565"/>
      <c r="J76" s="1565"/>
    </row>
    <row r="77" spans="1:11" ht="14.25" customHeight="1">
      <c r="A77" s="1521" t="s">
        <v>423</v>
      </c>
      <c r="B77" s="1521"/>
      <c r="C77" s="1521"/>
      <c r="D77" s="1521"/>
      <c r="H77" s="1521" t="s">
        <v>423</v>
      </c>
      <c r="I77" s="1521"/>
      <c r="J77" s="1521"/>
    </row>
    <row r="78" spans="1:11" ht="14.25" customHeight="1"/>
    <row r="79" spans="1:11" ht="14.25" customHeight="1"/>
    <row r="80" spans="1:11"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sheetData>
  <mergeCells count="117">
    <mergeCell ref="B27:E28"/>
    <mergeCell ref="B11:E12"/>
    <mergeCell ref="B46:E47"/>
    <mergeCell ref="I46:J47"/>
    <mergeCell ref="I11:J12"/>
    <mergeCell ref="A71:J71"/>
    <mergeCell ref="A72:C72"/>
    <mergeCell ref="A75:D75"/>
    <mergeCell ref="H75:J75"/>
    <mergeCell ref="B68:G68"/>
    <mergeCell ref="I68:J68"/>
    <mergeCell ref="B69:G69"/>
    <mergeCell ref="I69:J69"/>
    <mergeCell ref="B70:G70"/>
    <mergeCell ref="I70:J70"/>
    <mergeCell ref="B61:H61"/>
    <mergeCell ref="I61:J61"/>
    <mergeCell ref="B62:H62"/>
    <mergeCell ref="I62:J62"/>
    <mergeCell ref="B63:G63"/>
    <mergeCell ref="I63:J63"/>
    <mergeCell ref="B64:G64"/>
    <mergeCell ref="I64:J64"/>
    <mergeCell ref="B65:G65"/>
    <mergeCell ref="A76:D76"/>
    <mergeCell ref="H76:J76"/>
    <mergeCell ref="A77:D77"/>
    <mergeCell ref="H77:J77"/>
    <mergeCell ref="A11:A23"/>
    <mergeCell ref="A24:A26"/>
    <mergeCell ref="A27:A36"/>
    <mergeCell ref="A37:A39"/>
    <mergeCell ref="A46:A57"/>
    <mergeCell ref="A58:A60"/>
    <mergeCell ref="F11:F12"/>
    <mergeCell ref="F27:F28"/>
    <mergeCell ref="F46:F47"/>
    <mergeCell ref="G11:G12"/>
    <mergeCell ref="G27:G28"/>
    <mergeCell ref="G46:G47"/>
    <mergeCell ref="H11:H12"/>
    <mergeCell ref="H27:H28"/>
    <mergeCell ref="H46:H47"/>
    <mergeCell ref="I27:J28"/>
    <mergeCell ref="B66:G66"/>
    <mergeCell ref="I66:J66"/>
    <mergeCell ref="B67:G67"/>
    <mergeCell ref="I67:J67"/>
    <mergeCell ref="I65:J65"/>
    <mergeCell ref="B55:E55"/>
    <mergeCell ref="I55:J55"/>
    <mergeCell ref="B57:E57"/>
    <mergeCell ref="I57:J57"/>
    <mergeCell ref="B58:E58"/>
    <mergeCell ref="I58:J58"/>
    <mergeCell ref="B59:E59"/>
    <mergeCell ref="I59:J59"/>
    <mergeCell ref="B60:E60"/>
    <mergeCell ref="I60:J60"/>
    <mergeCell ref="B50:E50"/>
    <mergeCell ref="I50:J50"/>
    <mergeCell ref="B51:E51"/>
    <mergeCell ref="I51:J51"/>
    <mergeCell ref="B52:E52"/>
    <mergeCell ref="I52:J52"/>
    <mergeCell ref="B53:E53"/>
    <mergeCell ref="I53:J53"/>
    <mergeCell ref="B54:E54"/>
    <mergeCell ref="I54:J54"/>
    <mergeCell ref="B42:H42"/>
    <mergeCell ref="I42:J42"/>
    <mergeCell ref="B43:H43"/>
    <mergeCell ref="I43:J43"/>
    <mergeCell ref="B44:H44"/>
    <mergeCell ref="I44:J44"/>
    <mergeCell ref="B45:H45"/>
    <mergeCell ref="I45:J45"/>
    <mergeCell ref="B48:E48"/>
    <mergeCell ref="I48:J48"/>
    <mergeCell ref="B37:E37"/>
    <mergeCell ref="I37:J37"/>
    <mergeCell ref="B38:E38"/>
    <mergeCell ref="I38:J38"/>
    <mergeCell ref="B39:E39"/>
    <mergeCell ref="I39:J39"/>
    <mergeCell ref="B40:H40"/>
    <mergeCell ref="I40:J40"/>
    <mergeCell ref="B41:H41"/>
    <mergeCell ref="I41:J41"/>
    <mergeCell ref="B29:E29"/>
    <mergeCell ref="I29:J29"/>
    <mergeCell ref="I31:J31"/>
    <mergeCell ref="I32:J32"/>
    <mergeCell ref="I33:J33"/>
    <mergeCell ref="B34:E34"/>
    <mergeCell ref="I34:J34"/>
    <mergeCell ref="B36:E36"/>
    <mergeCell ref="I36:J36"/>
    <mergeCell ref="I20:J20"/>
    <mergeCell ref="I21:J21"/>
    <mergeCell ref="B23:E23"/>
    <mergeCell ref="I23:J23"/>
    <mergeCell ref="B24:E24"/>
    <mergeCell ref="I24:J24"/>
    <mergeCell ref="B25:E25"/>
    <mergeCell ref="I25:J25"/>
    <mergeCell ref="B26:E26"/>
    <mergeCell ref="I26:J26"/>
    <mergeCell ref="H2:J2"/>
    <mergeCell ref="A5:D5"/>
    <mergeCell ref="B13:E13"/>
    <mergeCell ref="I13:J13"/>
    <mergeCell ref="I15:J15"/>
    <mergeCell ref="I16:J16"/>
    <mergeCell ref="I17:J17"/>
    <mergeCell ref="B19:E19"/>
    <mergeCell ref="I19:J19"/>
  </mergeCells>
  <printOptions horizontalCentered="1"/>
  <pageMargins left="0.118055555555556" right="0.118055555555556" top="0.39305555555555599" bottom="0.39305555555555599" header="0.39305555555555599" footer="0"/>
  <pageSetup paperSize="9" scale="71" orientation="portrait"/>
  <headerFooter alignWithMargins="0">
    <oddHeader>&amp;CCONSTRUCTION OF ROAD 
BRGY. L. PIMENTEL, SAN LUIS, AURORA
DETAILED UNIT PRICE ANALYSIS (DUPA)</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tabColor rgb="FFDDD9C3"/>
    <pageSetUpPr fitToPage="1"/>
  </sheetPr>
  <dimension ref="A3:O108"/>
  <sheetViews>
    <sheetView view="pageBreakPreview" topLeftCell="A10" zoomScale="90" zoomScaleNormal="100" zoomScaleSheetLayoutView="90" workbookViewId="0">
      <selection activeCell="H17" sqref="H17"/>
    </sheetView>
  </sheetViews>
  <sheetFormatPr defaultColWidth="8.25" defaultRowHeight="14.25"/>
  <cols>
    <col min="1" max="1" width="5.125" style="237" customWidth="1"/>
    <col min="2" max="2" width="2.75" style="237" customWidth="1"/>
    <col min="3" max="3" width="12.75" style="238" customWidth="1"/>
    <col min="4" max="4" width="17" style="237" customWidth="1"/>
    <col min="5" max="5" width="7.5" style="237" customWidth="1"/>
    <col min="6" max="6" width="13" style="237" customWidth="1"/>
    <col min="7" max="7" width="13.375" style="237" customWidth="1"/>
    <col min="8" max="8" width="17.5" style="237" customWidth="1"/>
    <col min="9" max="9" width="7.25" style="237" customWidth="1"/>
    <col min="10" max="10" width="11.375" style="237" customWidth="1"/>
    <col min="11" max="12" width="9.375" style="237" customWidth="1"/>
    <col min="13" max="13" width="14.5" style="237" customWidth="1"/>
    <col min="14" max="14" width="8.25" style="237" customWidth="1"/>
    <col min="15" max="15" width="8.375" style="237" customWidth="1"/>
    <col min="16" max="16" width="8.25" style="237" customWidth="1"/>
    <col min="17" max="16384" width="8.25" style="237"/>
  </cols>
  <sheetData>
    <row r="3" spans="1:10" ht="14.25" customHeight="1">
      <c r="H3" s="1605" t="s">
        <v>330</v>
      </c>
      <c r="I3" s="1605"/>
      <c r="J3" s="1605"/>
    </row>
    <row r="4" spans="1:10" ht="14.25" customHeight="1">
      <c r="H4" s="239"/>
      <c r="I4" s="239"/>
      <c r="J4" s="239"/>
    </row>
    <row r="5" spans="1:10" ht="14.25" customHeight="1">
      <c r="A5" s="1606" t="s">
        <v>331</v>
      </c>
      <c r="B5" s="1606"/>
      <c r="C5" s="1606"/>
      <c r="D5" s="1606"/>
      <c r="E5" s="240" t="s">
        <v>49</v>
      </c>
      <c r="F5" s="237" t="s">
        <v>599</v>
      </c>
      <c r="G5" s="237" t="s">
        <v>600</v>
      </c>
    </row>
    <row r="6" spans="1:10" ht="14.25" customHeight="1">
      <c r="A6" s="237" t="s">
        <v>334</v>
      </c>
      <c r="E6" s="240" t="s">
        <v>49</v>
      </c>
      <c r="F6" s="237" t="s">
        <v>204</v>
      </c>
    </row>
    <row r="7" spans="1:10" ht="14.25" customHeight="1">
      <c r="A7" s="237" t="s">
        <v>336</v>
      </c>
      <c r="E7" s="240" t="s">
        <v>49</v>
      </c>
      <c r="F7" s="241">
        <v>1.6</v>
      </c>
    </row>
    <row r="8" spans="1:10" ht="14.25" customHeight="1">
      <c r="A8" s="237" t="s">
        <v>337</v>
      </c>
      <c r="E8" s="240" t="s">
        <v>49</v>
      </c>
    </row>
    <row r="9" spans="1:10" ht="13.5" customHeight="1">
      <c r="A9" s="242"/>
      <c r="B9" s="242"/>
      <c r="C9" s="243"/>
      <c r="D9" s="242"/>
      <c r="E9" s="240"/>
    </row>
    <row r="10" spans="1:10" ht="14.25" customHeight="1">
      <c r="A10" s="242"/>
      <c r="B10" s="242"/>
      <c r="C10" s="243"/>
      <c r="D10" s="242"/>
      <c r="E10" s="240"/>
    </row>
    <row r="11" spans="1:10" ht="14.25" customHeight="1">
      <c r="A11" s="1611" t="s">
        <v>426</v>
      </c>
      <c r="B11" s="1612" t="s">
        <v>339</v>
      </c>
      <c r="C11" s="1612"/>
      <c r="D11" s="1612"/>
      <c r="E11" s="1612"/>
      <c r="F11" s="1612" t="s">
        <v>340</v>
      </c>
      <c r="G11" s="1612" t="s">
        <v>341</v>
      </c>
      <c r="H11" s="1612" t="s">
        <v>342</v>
      </c>
      <c r="I11" s="1613" t="s">
        <v>343</v>
      </c>
      <c r="J11" s="1613"/>
    </row>
    <row r="12" spans="1:10" ht="14.25" customHeight="1">
      <c r="A12" s="1611"/>
      <c r="B12" s="1612"/>
      <c r="C12" s="1612"/>
      <c r="D12" s="1612"/>
      <c r="E12" s="1612"/>
      <c r="F12" s="1612"/>
      <c r="G12" s="1612"/>
      <c r="H12" s="1612"/>
      <c r="I12" s="1613"/>
      <c r="J12" s="1613"/>
    </row>
    <row r="13" spans="1:10" ht="14.25" customHeight="1">
      <c r="A13" s="1611"/>
      <c r="B13" s="1607" t="s">
        <v>344</v>
      </c>
      <c r="C13" s="1607"/>
      <c r="D13" s="1607"/>
      <c r="E13" s="1607"/>
      <c r="F13" s="244"/>
      <c r="G13" s="244"/>
      <c r="H13" s="244"/>
      <c r="I13" s="1541"/>
      <c r="J13" s="1541"/>
    </row>
    <row r="14" spans="1:10" ht="14.25" customHeight="1">
      <c r="A14" s="1611"/>
      <c r="B14" s="245"/>
      <c r="D14" s="238"/>
      <c r="E14" s="238"/>
      <c r="F14" s="246"/>
      <c r="G14" s="247"/>
      <c r="H14" s="242"/>
      <c r="I14" s="274"/>
      <c r="J14" s="275"/>
    </row>
    <row r="15" spans="1:10" ht="14.25" customHeight="1">
      <c r="A15" s="1611"/>
      <c r="B15" s="248" t="s">
        <v>601</v>
      </c>
      <c r="C15" s="238" t="s">
        <v>346</v>
      </c>
      <c r="D15" s="238"/>
      <c r="E15" s="238"/>
      <c r="F15" s="249">
        <v>1</v>
      </c>
      <c r="G15" s="250">
        <v>1</v>
      </c>
      <c r="H15" s="251">
        <f>+VLOOKUP(C15,LABOR,2,0)</f>
        <v>110.65</v>
      </c>
      <c r="I15" s="1608">
        <f>F15*G15*H15</f>
        <v>110.65</v>
      </c>
      <c r="J15" s="1608"/>
    </row>
    <row r="16" spans="1:10" ht="14.25" customHeight="1">
      <c r="A16" s="1611"/>
      <c r="B16" s="248" t="s">
        <v>602</v>
      </c>
      <c r="C16" s="238" t="s">
        <v>348</v>
      </c>
      <c r="D16" s="238"/>
      <c r="E16" s="238"/>
      <c r="F16" s="249">
        <v>2</v>
      </c>
      <c r="G16" s="250">
        <v>1</v>
      </c>
      <c r="H16" s="251">
        <f>+VLOOKUP(C16,LABOR,2,FALSE)</f>
        <v>80.05</v>
      </c>
      <c r="I16" s="1608">
        <f>F16*G16*H16</f>
        <v>160.1</v>
      </c>
      <c r="J16" s="1608"/>
    </row>
    <row r="17" spans="1:13" ht="14.25" customHeight="1">
      <c r="A17" s="1611"/>
      <c r="B17" s="248" t="s">
        <v>603</v>
      </c>
      <c r="C17" s="238" t="s">
        <v>350</v>
      </c>
      <c r="D17" s="238"/>
      <c r="E17" s="238"/>
      <c r="F17" s="249">
        <v>8</v>
      </c>
      <c r="G17" s="250">
        <v>1</v>
      </c>
      <c r="H17" s="251">
        <f>+VLOOKUP(C17,LABOR,2,FALSE)</f>
        <v>61.75</v>
      </c>
      <c r="I17" s="1608">
        <f>F17*G17*H17</f>
        <v>494</v>
      </c>
      <c r="J17" s="1608"/>
    </row>
    <row r="18" spans="1:13" ht="14.25" customHeight="1">
      <c r="A18" s="1611"/>
      <c r="B18" s="248"/>
      <c r="D18" s="238"/>
      <c r="E18" s="238"/>
      <c r="F18" s="249"/>
      <c r="G18" s="250"/>
      <c r="H18" s="251"/>
      <c r="I18" s="276"/>
      <c r="J18" s="277"/>
    </row>
    <row r="19" spans="1:13" ht="14.25" customHeight="1">
      <c r="A19" s="1611"/>
      <c r="B19" s="1609" t="s">
        <v>351</v>
      </c>
      <c r="C19" s="1609"/>
      <c r="D19" s="1609"/>
      <c r="E19" s="1609"/>
      <c r="F19" s="252"/>
      <c r="G19" s="252"/>
      <c r="H19" s="252"/>
      <c r="I19" s="1610">
        <f>SUM(I15:J17)</f>
        <v>764.75</v>
      </c>
      <c r="J19" s="1610"/>
      <c r="K19" s="278">
        <f>+I19/F7</f>
        <v>477.96875</v>
      </c>
      <c r="L19" s="279">
        <f>+I19/F7</f>
        <v>477.96875</v>
      </c>
      <c r="M19" s="280">
        <f>+K19-L19</f>
        <v>0</v>
      </c>
    </row>
    <row r="20" spans="1:13" ht="14.25" customHeight="1">
      <c r="A20" s="1629" t="s">
        <v>352</v>
      </c>
      <c r="B20" s="1607" t="s">
        <v>344</v>
      </c>
      <c r="C20" s="1607"/>
      <c r="D20" s="1607"/>
      <c r="E20" s="1607"/>
      <c r="F20" s="244"/>
      <c r="G20" s="244"/>
      <c r="H20" s="244"/>
      <c r="I20" s="1541"/>
      <c r="J20" s="1541"/>
    </row>
    <row r="21" spans="1:13" ht="14.25" customHeight="1">
      <c r="A21" s="1629"/>
      <c r="B21" s="1542"/>
      <c r="C21" s="1542"/>
      <c r="D21" s="1542"/>
      <c r="E21" s="1542"/>
      <c r="F21" s="254"/>
      <c r="G21" s="254"/>
      <c r="H21" s="254"/>
      <c r="I21" s="1543"/>
      <c r="J21" s="1543"/>
    </row>
    <row r="22" spans="1:13" ht="14.25" customHeight="1">
      <c r="A22" s="1629"/>
      <c r="B22" s="1609" t="s">
        <v>353</v>
      </c>
      <c r="C22" s="1609"/>
      <c r="D22" s="1609"/>
      <c r="E22" s="1609"/>
      <c r="F22" s="255"/>
      <c r="G22" s="255"/>
      <c r="H22" s="255"/>
      <c r="I22" s="1610">
        <v>0</v>
      </c>
      <c r="J22" s="1610"/>
    </row>
    <row r="23" spans="1:13" ht="14.25" customHeight="1">
      <c r="A23" s="1630" t="s">
        <v>481</v>
      </c>
      <c r="B23" s="1615" t="s">
        <v>355</v>
      </c>
      <c r="C23" s="1615"/>
      <c r="D23" s="1615"/>
      <c r="E23" s="1615"/>
      <c r="F23" s="1615" t="s">
        <v>604</v>
      </c>
      <c r="G23" s="1615" t="s">
        <v>605</v>
      </c>
      <c r="H23" s="1615" t="s">
        <v>342</v>
      </c>
      <c r="I23" s="1616" t="s">
        <v>359</v>
      </c>
      <c r="J23" s="1616"/>
    </row>
    <row r="24" spans="1:13" ht="14.25" customHeight="1">
      <c r="A24" s="1630"/>
      <c r="B24" s="1615"/>
      <c r="C24" s="1615"/>
      <c r="D24" s="1615"/>
      <c r="E24" s="1615"/>
      <c r="F24" s="1615"/>
      <c r="G24" s="1615"/>
      <c r="H24" s="1615"/>
      <c r="I24" s="1616"/>
      <c r="J24" s="1616"/>
    </row>
    <row r="25" spans="1:13" ht="14.25" customHeight="1">
      <c r="A25" s="1630"/>
      <c r="B25" s="1607" t="s">
        <v>360</v>
      </c>
      <c r="C25" s="1607"/>
      <c r="D25" s="1607"/>
      <c r="E25" s="1607"/>
      <c r="F25" s="244"/>
      <c r="G25" s="244"/>
      <c r="H25" s="244"/>
      <c r="I25" s="1541"/>
      <c r="J25" s="1541"/>
    </row>
    <row r="26" spans="1:13" ht="14.25" customHeight="1">
      <c r="A26" s="1630"/>
      <c r="B26" s="245"/>
      <c r="D26" s="238"/>
      <c r="E26" s="238"/>
      <c r="F26" s="246"/>
      <c r="G26" s="246"/>
      <c r="H26" s="247"/>
      <c r="I26" s="281"/>
      <c r="J26" s="275"/>
    </row>
    <row r="27" spans="1:13" ht="14.25" customHeight="1">
      <c r="A27" s="1630"/>
      <c r="B27" s="248" t="s">
        <v>345</v>
      </c>
      <c r="C27" s="238" t="s">
        <v>148</v>
      </c>
      <c r="D27" s="238"/>
      <c r="E27" s="238"/>
      <c r="F27" s="248">
        <v>1</v>
      </c>
      <c r="G27" s="257">
        <v>1</v>
      </c>
      <c r="H27" s="258">
        <f>+VLOOKUP(C27,equipment,3,FALSE)</f>
        <v>172</v>
      </c>
      <c r="I27" s="1614">
        <f>H27*G27*F27</f>
        <v>172</v>
      </c>
      <c r="J27" s="1614"/>
    </row>
    <row r="28" spans="1:13" ht="14.25" customHeight="1">
      <c r="A28" s="1630"/>
      <c r="B28" s="248" t="s">
        <v>347</v>
      </c>
      <c r="C28" s="238" t="s">
        <v>136</v>
      </c>
      <c r="D28" s="238"/>
      <c r="E28" s="238"/>
      <c r="F28" s="248">
        <v>1</v>
      </c>
      <c r="G28" s="257">
        <v>0.05</v>
      </c>
      <c r="H28" s="258">
        <f>+VLOOKUP(C28,equipment,3,FALSE)</f>
        <v>4217.3100000000004</v>
      </c>
      <c r="I28" s="1614">
        <f>H28*G28*F28</f>
        <v>210.86550000000003</v>
      </c>
      <c r="J28" s="1614"/>
    </row>
    <row r="29" spans="1:13" ht="14.25" customHeight="1">
      <c r="A29" s="1630"/>
      <c r="B29" s="248" t="s">
        <v>349</v>
      </c>
      <c r="C29" s="238" t="s">
        <v>606</v>
      </c>
      <c r="D29" s="238"/>
      <c r="E29" s="238"/>
      <c r="F29" s="248">
        <v>1</v>
      </c>
      <c r="G29" s="257">
        <v>0.1</v>
      </c>
      <c r="H29" s="258">
        <f>+VLOOKUP(C29,equipment,3,FALSE)</f>
        <v>1073.9100000000001</v>
      </c>
      <c r="I29" s="1614">
        <f>H29*G29*F29</f>
        <v>107.39100000000002</v>
      </c>
      <c r="J29" s="1614"/>
    </row>
    <row r="30" spans="1:13" ht="14.25" customHeight="1">
      <c r="A30" s="1630"/>
      <c r="B30" s="1617" t="s">
        <v>607</v>
      </c>
      <c r="C30" s="1617"/>
      <c r="D30" s="1617"/>
      <c r="E30" s="1617"/>
      <c r="F30" s="248"/>
      <c r="G30" s="257"/>
      <c r="H30" s="259"/>
      <c r="I30" s="1614">
        <f>K30*I19</f>
        <v>76.475000000000009</v>
      </c>
      <c r="J30" s="1614"/>
      <c r="K30" s="282">
        <v>0.1</v>
      </c>
    </row>
    <row r="31" spans="1:13" ht="14.25" customHeight="1">
      <c r="A31" s="1630"/>
      <c r="B31" s="245"/>
      <c r="D31" s="238"/>
      <c r="E31" s="238"/>
      <c r="F31" s="248"/>
      <c r="G31" s="257"/>
      <c r="H31" s="259"/>
      <c r="I31" s="283"/>
      <c r="J31" s="284"/>
      <c r="K31" s="282"/>
    </row>
    <row r="32" spans="1:13" ht="14.25" customHeight="1">
      <c r="A32" s="1630"/>
      <c r="B32" s="1609" t="s">
        <v>361</v>
      </c>
      <c r="C32" s="1609"/>
      <c r="D32" s="1609"/>
      <c r="E32" s="1609"/>
      <c r="F32" s="255"/>
      <c r="G32" s="255"/>
      <c r="H32" s="255"/>
      <c r="I32" s="1618">
        <f>SUM(I27:J30)</f>
        <v>566.73149999999998</v>
      </c>
      <c r="J32" s="1618"/>
      <c r="K32" s="278">
        <f>+I57-K19-K53</f>
        <v>354.20624999999973</v>
      </c>
      <c r="L32" s="279">
        <f>I32/F7</f>
        <v>354.20718749999997</v>
      </c>
      <c r="M32" s="280">
        <f>+K32-L32</f>
        <v>-9.3750000024783731E-4</v>
      </c>
    </row>
    <row r="33" spans="1:10" ht="14.25" customHeight="1">
      <c r="A33" s="1629" t="s">
        <v>362</v>
      </c>
      <c r="B33" s="1607" t="s">
        <v>360</v>
      </c>
      <c r="C33" s="1607"/>
      <c r="D33" s="1607"/>
      <c r="E33" s="1607"/>
      <c r="F33" s="244"/>
      <c r="G33" s="244"/>
      <c r="H33" s="244"/>
      <c r="I33" s="1541"/>
      <c r="J33" s="1541"/>
    </row>
    <row r="34" spans="1:10" ht="14.25" customHeight="1">
      <c r="A34" s="1629"/>
      <c r="B34" s="1542"/>
      <c r="C34" s="1542"/>
      <c r="D34" s="1542"/>
      <c r="E34" s="1542"/>
      <c r="F34" s="247"/>
      <c r="G34" s="247"/>
      <c r="H34" s="247"/>
      <c r="I34" s="1543"/>
      <c r="J34" s="1543"/>
    </row>
    <row r="35" spans="1:10" ht="14.25" customHeight="1">
      <c r="A35" s="1629"/>
      <c r="B35" s="1609" t="s">
        <v>363</v>
      </c>
      <c r="C35" s="1609"/>
      <c r="D35" s="1609"/>
      <c r="E35" s="1609"/>
      <c r="F35" s="255"/>
      <c r="G35" s="255"/>
      <c r="H35" s="255"/>
      <c r="I35" s="1610">
        <v>0</v>
      </c>
      <c r="J35" s="1610"/>
    </row>
    <row r="36" spans="1:10" ht="14.25" customHeight="1">
      <c r="A36" s="256" t="s">
        <v>364</v>
      </c>
      <c r="B36" s="1619" t="s">
        <v>365</v>
      </c>
      <c r="C36" s="1619"/>
      <c r="D36" s="1619"/>
      <c r="E36" s="1619"/>
      <c r="F36" s="1619"/>
      <c r="G36" s="1619"/>
      <c r="H36" s="1619"/>
      <c r="I36" s="1620">
        <f>I19+I32</f>
        <v>1331.4814999999999</v>
      </c>
      <c r="J36" s="1620"/>
    </row>
    <row r="37" spans="1:10" ht="14.25" customHeight="1">
      <c r="A37" s="260" t="s">
        <v>366</v>
      </c>
      <c r="B37" s="1619" t="s">
        <v>367</v>
      </c>
      <c r="C37" s="1619"/>
      <c r="D37" s="1619"/>
      <c r="E37" s="1619"/>
      <c r="F37" s="1619"/>
      <c r="G37" s="1619"/>
      <c r="H37" s="1619"/>
      <c r="I37" s="1557"/>
      <c r="J37" s="1557"/>
    </row>
    <row r="38" spans="1:10" ht="14.25" customHeight="1">
      <c r="A38" s="260" t="s">
        <v>368</v>
      </c>
      <c r="B38" s="1619" t="s">
        <v>336</v>
      </c>
      <c r="C38" s="1619"/>
      <c r="D38" s="1619"/>
      <c r="E38" s="1619"/>
      <c r="F38" s="1619"/>
      <c r="G38" s="1619"/>
      <c r="H38" s="1619"/>
      <c r="I38" s="1621">
        <f>F7</f>
        <v>1.6</v>
      </c>
      <c r="J38" s="1621"/>
    </row>
    <row r="39" spans="1:10" ht="14.25" customHeight="1">
      <c r="A39" s="260" t="s">
        <v>369</v>
      </c>
      <c r="B39" s="1619" t="s">
        <v>337</v>
      </c>
      <c r="C39" s="1619"/>
      <c r="D39" s="1619"/>
      <c r="E39" s="1619"/>
      <c r="F39" s="1619"/>
      <c r="G39" s="1619"/>
      <c r="H39" s="1619"/>
      <c r="I39" s="1557"/>
      <c r="J39" s="1557"/>
    </row>
    <row r="40" spans="1:10" ht="14.25" customHeight="1">
      <c r="A40" s="260" t="s">
        <v>370</v>
      </c>
      <c r="B40" s="1619" t="s">
        <v>371</v>
      </c>
      <c r="C40" s="1619"/>
      <c r="D40" s="1619"/>
      <c r="E40" s="1619"/>
      <c r="F40" s="1619"/>
      <c r="G40" s="1619"/>
      <c r="H40" s="1619"/>
      <c r="I40" s="1620">
        <f>I36/I38</f>
        <v>832.17593749999992</v>
      </c>
      <c r="J40" s="1620"/>
    </row>
    <row r="41" spans="1:10" ht="14.25" customHeight="1">
      <c r="A41" s="260" t="s">
        <v>372</v>
      </c>
      <c r="B41" s="1619" t="s">
        <v>373</v>
      </c>
      <c r="C41" s="1619"/>
      <c r="D41" s="1619"/>
      <c r="E41" s="1619"/>
      <c r="F41" s="1619"/>
      <c r="G41" s="1619"/>
      <c r="H41" s="1619"/>
      <c r="I41" s="1557"/>
      <c r="J41" s="1557"/>
    </row>
    <row r="42" spans="1:10" ht="14.25" customHeight="1">
      <c r="A42" s="1630" t="s">
        <v>374</v>
      </c>
      <c r="B42" s="1615" t="s">
        <v>375</v>
      </c>
      <c r="C42" s="1615"/>
      <c r="D42" s="1615"/>
      <c r="E42" s="1615"/>
      <c r="F42" s="1615" t="s">
        <v>376</v>
      </c>
      <c r="G42" s="1615" t="s">
        <v>377</v>
      </c>
      <c r="H42" s="1615" t="s">
        <v>378</v>
      </c>
      <c r="I42" s="1616" t="s">
        <v>343</v>
      </c>
      <c r="J42" s="1616"/>
    </row>
    <row r="43" spans="1:10" ht="14.25" customHeight="1">
      <c r="A43" s="1630"/>
      <c r="B43" s="1615"/>
      <c r="C43" s="1615"/>
      <c r="D43" s="1615"/>
      <c r="E43" s="1615"/>
      <c r="F43" s="1615"/>
      <c r="G43" s="1615"/>
      <c r="H43" s="1615"/>
      <c r="I43" s="1616"/>
      <c r="J43" s="1616"/>
    </row>
    <row r="44" spans="1:10" ht="14.25" customHeight="1">
      <c r="A44" s="1630"/>
      <c r="B44" s="1607" t="s">
        <v>379</v>
      </c>
      <c r="C44" s="1607"/>
      <c r="D44" s="1607"/>
      <c r="E44" s="1607"/>
      <c r="F44" s="261"/>
      <c r="G44" s="261"/>
      <c r="H44" s="261"/>
      <c r="I44" s="1541"/>
      <c r="J44" s="1541"/>
    </row>
    <row r="45" spans="1:10" ht="14.25" customHeight="1">
      <c r="A45" s="1630"/>
      <c r="B45" s="245"/>
      <c r="D45" s="238"/>
      <c r="E45" s="238"/>
      <c r="F45" s="262"/>
      <c r="G45" s="262"/>
      <c r="H45" s="254"/>
      <c r="I45" s="285"/>
      <c r="J45" s="286"/>
    </row>
    <row r="46" spans="1:10" ht="14.25" customHeight="1">
      <c r="A46" s="1630"/>
      <c r="B46" s="1617" t="s">
        <v>608</v>
      </c>
      <c r="C46" s="1617"/>
      <c r="D46" s="1617"/>
      <c r="E46" s="1617"/>
      <c r="F46" s="248" t="s">
        <v>578</v>
      </c>
      <c r="G46" s="263">
        <v>5.5</v>
      </c>
      <c r="H46" s="264">
        <f>+PRICE_LIST!D98</f>
        <v>260</v>
      </c>
      <c r="I46" s="1622">
        <f t="shared" ref="I46:I51" si="0">G46*H46</f>
        <v>1430</v>
      </c>
      <c r="J46" s="1622"/>
    </row>
    <row r="47" spans="1:10" ht="14.25" customHeight="1">
      <c r="A47" s="1630"/>
      <c r="B47" s="1617" t="s">
        <v>609</v>
      </c>
      <c r="C47" s="1617"/>
      <c r="D47" s="1617"/>
      <c r="E47" s="1617"/>
      <c r="F47" s="248" t="s">
        <v>204</v>
      </c>
      <c r="G47" s="263">
        <v>0.3</v>
      </c>
      <c r="H47" s="264">
        <f>+PRICE_LIST!D48</f>
        <v>400</v>
      </c>
      <c r="I47" s="1622">
        <f t="shared" si="0"/>
        <v>120</v>
      </c>
      <c r="J47" s="1622"/>
    </row>
    <row r="48" spans="1:10" ht="14.25" customHeight="1">
      <c r="A48" s="1630"/>
      <c r="B48" s="1617" t="s">
        <v>610</v>
      </c>
      <c r="C48" s="1617"/>
      <c r="D48" s="1617"/>
      <c r="E48" s="1617"/>
      <c r="F48" s="248" t="s">
        <v>204</v>
      </c>
      <c r="G48" s="263">
        <v>0.02</v>
      </c>
      <c r="H48" s="264">
        <f>PRICE_LIST!D49</f>
        <v>570</v>
      </c>
      <c r="I48" s="1622">
        <f t="shared" si="0"/>
        <v>11.4</v>
      </c>
      <c r="J48" s="1622"/>
    </row>
    <row r="49" spans="1:13" ht="14.25" customHeight="1">
      <c r="A49" s="1630"/>
      <c r="B49" s="1617" t="s">
        <v>611</v>
      </c>
      <c r="C49" s="1617"/>
      <c r="D49" s="1617"/>
      <c r="E49" s="1617"/>
      <c r="F49" s="248" t="s">
        <v>612</v>
      </c>
      <c r="G49" s="263">
        <v>0.3</v>
      </c>
      <c r="H49" s="264">
        <f>+PRICE_LIST!D115/3</f>
        <v>146.66666666666666</v>
      </c>
      <c r="I49" s="1622">
        <f t="shared" si="0"/>
        <v>43.999999999999993</v>
      </c>
      <c r="J49" s="1622"/>
    </row>
    <row r="50" spans="1:13" ht="14.25" customHeight="1">
      <c r="A50" s="1630"/>
      <c r="B50" s="1617" t="s">
        <v>613</v>
      </c>
      <c r="C50" s="1617"/>
      <c r="D50" s="1617"/>
      <c r="E50" s="1617"/>
      <c r="F50" s="248" t="s">
        <v>213</v>
      </c>
      <c r="G50" s="265">
        <v>1.4999999999999999E-2</v>
      </c>
      <c r="H50" s="264">
        <f>+PRICE_LIST!D75</f>
        <v>177</v>
      </c>
      <c r="I50" s="1622">
        <f t="shared" si="0"/>
        <v>2.6549999999999998</v>
      </c>
      <c r="J50" s="1622"/>
    </row>
    <row r="51" spans="1:13" ht="14.25" customHeight="1">
      <c r="A51" s="1630"/>
      <c r="B51" s="1617" t="s">
        <v>614</v>
      </c>
      <c r="C51" s="1617"/>
      <c r="D51" s="1617"/>
      <c r="E51" s="1617"/>
      <c r="F51" s="248" t="s">
        <v>204</v>
      </c>
      <c r="G51" s="263">
        <v>1.05</v>
      </c>
      <c r="H51" s="264">
        <f>+PRICE_LIST!D71</f>
        <v>700</v>
      </c>
      <c r="I51" s="1622">
        <f t="shared" si="0"/>
        <v>735</v>
      </c>
      <c r="J51" s="1622"/>
    </row>
    <row r="52" spans="1:13" ht="14.25" customHeight="1">
      <c r="A52" s="1630"/>
      <c r="B52" s="245"/>
      <c r="D52" s="238"/>
      <c r="E52" s="270"/>
      <c r="F52" s="248"/>
      <c r="G52" s="263"/>
      <c r="H52" s="271"/>
      <c r="I52" s="271"/>
      <c r="J52" s="289"/>
      <c r="K52" s="282"/>
      <c r="L52" s="290"/>
    </row>
    <row r="53" spans="1:13" ht="14.25" customHeight="1">
      <c r="A53" s="1630"/>
      <c r="B53" s="1609" t="s">
        <v>398</v>
      </c>
      <c r="C53" s="1609"/>
      <c r="D53" s="1609"/>
      <c r="E53" s="1609"/>
      <c r="F53" s="252"/>
      <c r="G53" s="252"/>
      <c r="H53" s="252"/>
      <c r="I53" s="1618">
        <f>+SUM(I45:J52)</f>
        <v>2343.0550000000003</v>
      </c>
      <c r="J53" s="1618"/>
      <c r="K53" s="278">
        <f>I53</f>
        <v>2343.0550000000003</v>
      </c>
      <c r="L53" s="279">
        <f>+I53</f>
        <v>2343.0550000000003</v>
      </c>
      <c r="M53" s="280">
        <f>+K53-L53</f>
        <v>0</v>
      </c>
    </row>
    <row r="54" spans="1:13" ht="14.25" customHeight="1">
      <c r="A54" s="1629" t="s">
        <v>399</v>
      </c>
      <c r="B54" s="1607" t="s">
        <v>379</v>
      </c>
      <c r="C54" s="1607"/>
      <c r="D54" s="1607"/>
      <c r="E54" s="1607"/>
      <c r="F54" s="261"/>
      <c r="G54" s="261"/>
      <c r="H54" s="261"/>
      <c r="I54" s="1541"/>
      <c r="J54" s="1541"/>
    </row>
    <row r="55" spans="1:13" ht="14.25" customHeight="1">
      <c r="A55" s="1629"/>
      <c r="B55" s="1542"/>
      <c r="C55" s="1542"/>
      <c r="D55" s="1542"/>
      <c r="E55" s="1542"/>
      <c r="F55" s="254"/>
      <c r="G55" s="254"/>
      <c r="H55" s="254"/>
      <c r="I55" s="1543"/>
      <c r="J55" s="1543"/>
    </row>
    <row r="56" spans="1:13" ht="14.25" customHeight="1">
      <c r="A56" s="1629"/>
      <c r="B56" s="1609" t="s">
        <v>400</v>
      </c>
      <c r="C56" s="1609"/>
      <c r="D56" s="1609"/>
      <c r="E56" s="1609"/>
      <c r="F56" s="252"/>
      <c r="G56" s="252"/>
      <c r="H56" s="252"/>
      <c r="I56" s="1588"/>
      <c r="J56" s="1588"/>
    </row>
    <row r="57" spans="1:13" ht="14.25" customHeight="1">
      <c r="A57" s="260" t="s">
        <v>401</v>
      </c>
      <c r="B57" s="1619" t="s">
        <v>402</v>
      </c>
      <c r="C57" s="1619"/>
      <c r="D57" s="1619"/>
      <c r="E57" s="1619"/>
      <c r="F57" s="1619"/>
      <c r="G57" s="1619"/>
      <c r="H57" s="1619"/>
      <c r="I57" s="1620">
        <f>ROUND(I40+I53,2)</f>
        <v>3175.23</v>
      </c>
      <c r="J57" s="1620"/>
      <c r="K57" s="290">
        <f>+K19+K32+K53</f>
        <v>3175.23</v>
      </c>
      <c r="L57" s="279">
        <f>+I57-K57</f>
        <v>0</v>
      </c>
    </row>
    <row r="58" spans="1:13" ht="14.25" customHeight="1">
      <c r="A58" s="260" t="s">
        <v>615</v>
      </c>
      <c r="B58" s="1619" t="s">
        <v>404</v>
      </c>
      <c r="C58" s="1619"/>
      <c r="D58" s="1619"/>
      <c r="E58" s="1619"/>
      <c r="F58" s="1619"/>
      <c r="G58" s="1619"/>
      <c r="H58" s="1619"/>
      <c r="I58" s="1557"/>
      <c r="J58" s="1557"/>
    </row>
    <row r="59" spans="1:13" ht="14.25" customHeight="1">
      <c r="A59" s="260" t="s">
        <v>405</v>
      </c>
      <c r="B59" s="1619" t="s">
        <v>406</v>
      </c>
      <c r="C59" s="1619"/>
      <c r="D59" s="1619"/>
      <c r="E59" s="1619"/>
      <c r="F59" s="1619"/>
      <c r="G59" s="1619"/>
      <c r="H59" s="272">
        <v>0.12</v>
      </c>
      <c r="I59" s="1620">
        <f>+ROUND(H59*I57,2)</f>
        <v>381.03</v>
      </c>
      <c r="J59" s="1620"/>
      <c r="K59" s="291"/>
    </row>
    <row r="60" spans="1:13" ht="14.25" customHeight="1">
      <c r="A60" s="260" t="s">
        <v>407</v>
      </c>
      <c r="B60" s="1619" t="s">
        <v>408</v>
      </c>
      <c r="C60" s="1619"/>
      <c r="D60" s="1619"/>
      <c r="E60" s="1619"/>
      <c r="F60" s="1619"/>
      <c r="G60" s="1619"/>
      <c r="H60" s="273"/>
      <c r="I60" s="1557"/>
      <c r="J60" s="1557"/>
      <c r="K60" s="291"/>
    </row>
    <row r="61" spans="1:13" ht="14.25" customHeight="1">
      <c r="A61" s="260" t="s">
        <v>409</v>
      </c>
      <c r="B61" s="1619" t="s">
        <v>410</v>
      </c>
      <c r="C61" s="1619"/>
      <c r="D61" s="1619"/>
      <c r="E61" s="1619"/>
      <c r="F61" s="1619"/>
      <c r="G61" s="1619"/>
      <c r="H61" s="272">
        <v>0.08</v>
      </c>
      <c r="I61" s="1620">
        <f>+ROUND(H61*I57,2)</f>
        <v>254.02</v>
      </c>
      <c r="J61" s="1620"/>
      <c r="K61" s="291"/>
    </row>
    <row r="62" spans="1:13" ht="14.25" customHeight="1">
      <c r="A62" s="260" t="s">
        <v>411</v>
      </c>
      <c r="B62" s="1619" t="s">
        <v>412</v>
      </c>
      <c r="C62" s="1619"/>
      <c r="D62" s="1619"/>
      <c r="E62" s="1619"/>
      <c r="F62" s="1619"/>
      <c r="G62" s="1619"/>
      <c r="H62" s="273"/>
      <c r="I62" s="1557"/>
      <c r="J62" s="1557"/>
      <c r="K62" s="291"/>
    </row>
    <row r="63" spans="1:13" ht="14.25" customHeight="1">
      <c r="A63" s="260" t="s">
        <v>413</v>
      </c>
      <c r="B63" s="1619" t="s">
        <v>414</v>
      </c>
      <c r="C63" s="1619"/>
      <c r="D63" s="1619"/>
      <c r="E63" s="1619"/>
      <c r="F63" s="1619"/>
      <c r="G63" s="1619"/>
      <c r="H63" s="292">
        <v>0.05</v>
      </c>
      <c r="I63" s="1620">
        <f>ROUND(H63*(I57+I59+I61),2)</f>
        <v>190.51</v>
      </c>
      <c r="J63" s="1620"/>
      <c r="K63" s="291"/>
    </row>
    <row r="64" spans="1:13" ht="14.25" customHeight="1">
      <c r="A64" s="260" t="s">
        <v>415</v>
      </c>
      <c r="B64" s="1619" t="s">
        <v>416</v>
      </c>
      <c r="C64" s="1619"/>
      <c r="D64" s="1619"/>
      <c r="E64" s="1619"/>
      <c r="F64" s="1619"/>
      <c r="G64" s="1619"/>
      <c r="H64" s="273"/>
      <c r="I64" s="1557"/>
      <c r="J64" s="1557"/>
    </row>
    <row r="65" spans="1:15" ht="14.25" customHeight="1">
      <c r="A65" s="260" t="s">
        <v>417</v>
      </c>
      <c r="B65" s="1619" t="s">
        <v>418</v>
      </c>
      <c r="C65" s="1619"/>
      <c r="D65" s="1619"/>
      <c r="E65" s="1619"/>
      <c r="F65" s="1619"/>
      <c r="G65" s="1619"/>
      <c r="H65" s="273" t="s">
        <v>419</v>
      </c>
      <c r="I65" s="1620">
        <f>+ROUND(SUM(I57:J64),2)</f>
        <v>4000.79</v>
      </c>
      <c r="J65" s="1620"/>
    </row>
    <row r="66" spans="1:15" ht="14.25" customHeight="1">
      <c r="A66" s="293" t="s">
        <v>420</v>
      </c>
      <c r="B66" s="1623" t="s">
        <v>421</v>
      </c>
      <c r="C66" s="1623"/>
      <c r="D66" s="1623"/>
      <c r="E66" s="1623"/>
      <c r="F66" s="1623"/>
      <c r="G66" s="1623"/>
      <c r="H66" s="294"/>
      <c r="I66" s="1572"/>
      <c r="J66" s="1572"/>
    </row>
    <row r="67" spans="1:15" ht="39.950000000000003" customHeight="1">
      <c r="A67" s="1624" t="str">
        <f t="array" ref="A67">'POW-2015-01-00_'!A42:AG42</f>
        <v>Note: Prices/Rates were based on CMPD 4TH Quarter CY 2022 for Materials, Memorandum dated December 29, 2022 for Labor cost and Memorandum dated May 18, 2022 for Equipment rental including Fuel &amp; Oil/Lubricant cost as of January 4, 2023 for DPWH Regional/District Engineering Offices</v>
      </c>
      <c r="B67" s="1624"/>
      <c r="C67" s="1624"/>
      <c r="D67" s="1624"/>
      <c r="E67" s="1624"/>
      <c r="F67" s="1624"/>
      <c r="G67" s="1624"/>
      <c r="H67" s="1624"/>
      <c r="I67" s="1624"/>
      <c r="J67" s="1624"/>
      <c r="O67" s="237">
        <f>400/3</f>
        <v>133.33333333333334</v>
      </c>
    </row>
    <row r="68" spans="1:15" ht="14.25" customHeight="1">
      <c r="A68" s="1625" t="s">
        <v>20</v>
      </c>
      <c r="B68" s="1625"/>
      <c r="C68" s="1625"/>
      <c r="H68" s="242" t="s">
        <v>422</v>
      </c>
    </row>
    <row r="69" spans="1:15" ht="14.25" customHeight="1">
      <c r="A69" s="243"/>
      <c r="B69" s="243"/>
      <c r="C69" s="243"/>
      <c r="H69" s="242"/>
    </row>
    <row r="70" spans="1:15" ht="14.25" customHeight="1">
      <c r="A70" s="243"/>
      <c r="B70" s="243"/>
      <c r="C70" s="243"/>
      <c r="H70" s="242"/>
    </row>
    <row r="71" spans="1:15" ht="14.25" customHeight="1">
      <c r="A71" s="1626" t="str">
        <f>+'POW-2015-01-00_'!A48</f>
        <v xml:space="preserve">WINLOVE A. ESTEVES
</v>
      </c>
      <c r="B71" s="1626"/>
      <c r="C71" s="1626"/>
      <c r="D71" s="1626"/>
      <c r="H71" s="1626" t="str">
        <f>+'POW-2015-01-00_'!H48</f>
        <v>MARK ANGELO E. SURIL</v>
      </c>
      <c r="I71" s="1626"/>
      <c r="J71" s="1626"/>
    </row>
    <row r="72" spans="1:15" ht="14.25" customHeight="1">
      <c r="A72" s="1627" t="s">
        <v>102</v>
      </c>
      <c r="B72" s="1627"/>
      <c r="C72" s="1627"/>
      <c r="D72" s="1627"/>
      <c r="H72" s="1627" t="s">
        <v>102</v>
      </c>
      <c r="I72" s="1627"/>
      <c r="J72" s="1627"/>
    </row>
    <row r="73" spans="1:15" ht="14.25" hidden="1" customHeight="1">
      <c r="A73" s="1628" t="s">
        <v>105</v>
      </c>
      <c r="B73" s="1628"/>
      <c r="C73" s="1628"/>
      <c r="D73" s="1628"/>
      <c r="H73" s="1628" t="s">
        <v>105</v>
      </c>
      <c r="I73" s="1628"/>
      <c r="J73" s="1628"/>
    </row>
    <row r="74" spans="1:15" ht="14.25" customHeight="1">
      <c r="A74" s="1628" t="s">
        <v>423</v>
      </c>
      <c r="B74" s="1628"/>
      <c r="C74" s="1628"/>
      <c r="D74" s="1628"/>
      <c r="H74" s="1628" t="s">
        <v>423</v>
      </c>
      <c r="I74" s="1628"/>
      <c r="J74" s="1628"/>
    </row>
    <row r="75" spans="1:15" ht="14.25" customHeight="1"/>
    <row r="76" spans="1:15" ht="14.25" customHeight="1"/>
    <row r="77" spans="1:15" ht="14.25" customHeight="1"/>
    <row r="78" spans="1:15" ht="14.25" customHeight="1">
      <c r="A78" s="237" t="s">
        <v>616</v>
      </c>
    </row>
    <row r="79" spans="1:15" ht="14.25" customHeight="1"/>
    <row r="80" spans="1:15"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sheetData>
  <mergeCells count="115">
    <mergeCell ref="A20:A22"/>
    <mergeCell ref="A23:A32"/>
    <mergeCell ref="A33:A35"/>
    <mergeCell ref="A42:A53"/>
    <mergeCell ref="A54:A56"/>
    <mergeCell ref="F11:F12"/>
    <mergeCell ref="F23:F24"/>
    <mergeCell ref="F42:F43"/>
    <mergeCell ref="G11:G12"/>
    <mergeCell ref="G23:G24"/>
    <mergeCell ref="G42:G43"/>
    <mergeCell ref="B11:E12"/>
    <mergeCell ref="B23:E24"/>
    <mergeCell ref="B42:E43"/>
    <mergeCell ref="B48:E48"/>
    <mergeCell ref="B35:E35"/>
    <mergeCell ref="B20:E20"/>
    <mergeCell ref="B53:E53"/>
    <mergeCell ref="B40:H40"/>
    <mergeCell ref="A67:J67"/>
    <mergeCell ref="A68:C68"/>
    <mergeCell ref="A71:D71"/>
    <mergeCell ref="H71:J71"/>
    <mergeCell ref="A72:D72"/>
    <mergeCell ref="H72:J72"/>
    <mergeCell ref="A73:D73"/>
    <mergeCell ref="H73:J73"/>
    <mergeCell ref="A74:D74"/>
    <mergeCell ref="H74:J74"/>
    <mergeCell ref="B62:G62"/>
    <mergeCell ref="I62:J62"/>
    <mergeCell ref="B63:G63"/>
    <mergeCell ref="I63:J63"/>
    <mergeCell ref="B64:G64"/>
    <mergeCell ref="I64:J64"/>
    <mergeCell ref="B65:G65"/>
    <mergeCell ref="I65:J65"/>
    <mergeCell ref="B66:G66"/>
    <mergeCell ref="I66:J66"/>
    <mergeCell ref="B57:H57"/>
    <mergeCell ref="I57:J57"/>
    <mergeCell ref="B58:H58"/>
    <mergeCell ref="I58:J58"/>
    <mergeCell ref="B59:G59"/>
    <mergeCell ref="I59:J59"/>
    <mergeCell ref="B60:G60"/>
    <mergeCell ref="I60:J60"/>
    <mergeCell ref="B61:G61"/>
    <mergeCell ref="I61:J61"/>
    <mergeCell ref="I53:J53"/>
    <mergeCell ref="B54:E54"/>
    <mergeCell ref="I54:J54"/>
    <mergeCell ref="B55:E55"/>
    <mergeCell ref="I55:J55"/>
    <mergeCell ref="B56:E56"/>
    <mergeCell ref="I56:J56"/>
    <mergeCell ref="I48:J48"/>
    <mergeCell ref="B49:E49"/>
    <mergeCell ref="I49:J49"/>
    <mergeCell ref="B50:E50"/>
    <mergeCell ref="I50:J50"/>
    <mergeCell ref="B51:E51"/>
    <mergeCell ref="I51:J51"/>
    <mergeCell ref="I40:J40"/>
    <mergeCell ref="B41:H41"/>
    <mergeCell ref="I41:J41"/>
    <mergeCell ref="B44:E44"/>
    <mergeCell ref="I44:J44"/>
    <mergeCell ref="B46:E46"/>
    <mergeCell ref="I46:J46"/>
    <mergeCell ref="B47:E47"/>
    <mergeCell ref="I47:J47"/>
    <mergeCell ref="H42:H43"/>
    <mergeCell ref="I42:J43"/>
    <mergeCell ref="I35:J35"/>
    <mergeCell ref="B36:H36"/>
    <mergeCell ref="I36:J36"/>
    <mergeCell ref="B37:H37"/>
    <mergeCell ref="I37:J37"/>
    <mergeCell ref="B38:H38"/>
    <mergeCell ref="I38:J38"/>
    <mergeCell ref="B39:H39"/>
    <mergeCell ref="I39:J39"/>
    <mergeCell ref="I28:J28"/>
    <mergeCell ref="I29:J29"/>
    <mergeCell ref="B30:E30"/>
    <mergeCell ref="I30:J30"/>
    <mergeCell ref="B32:E32"/>
    <mergeCell ref="I32:J32"/>
    <mergeCell ref="B33:E33"/>
    <mergeCell ref="I33:J33"/>
    <mergeCell ref="B34:E34"/>
    <mergeCell ref="I34:J34"/>
    <mergeCell ref="I20:J20"/>
    <mergeCell ref="B21:E21"/>
    <mergeCell ref="I21:J21"/>
    <mergeCell ref="B22:E22"/>
    <mergeCell ref="I22:J22"/>
    <mergeCell ref="B25:E25"/>
    <mergeCell ref="I25:J25"/>
    <mergeCell ref="I27:J27"/>
    <mergeCell ref="H23:H24"/>
    <mergeCell ref="I23:J24"/>
    <mergeCell ref="H3:J3"/>
    <mergeCell ref="A5:D5"/>
    <mergeCell ref="B13:E13"/>
    <mergeCell ref="I13:J13"/>
    <mergeCell ref="I15:J15"/>
    <mergeCell ref="I16:J16"/>
    <mergeCell ref="I17:J17"/>
    <mergeCell ref="B19:E19"/>
    <mergeCell ref="I19:J19"/>
    <mergeCell ref="A11:A19"/>
    <mergeCell ref="H11:H12"/>
    <mergeCell ref="I11:J12"/>
  </mergeCells>
  <printOptions horizontalCentered="1"/>
  <pageMargins left="0.118055555555556" right="0.118055555555556" top="0.39305555555555599" bottom="0" header="0.39305555555555599" footer="0"/>
  <pageSetup paperSize="9" scale="78" orientation="portrait" r:id="rId1"/>
  <headerFooter>
    <oddHeader>&amp;CCONSTRUCTION OF ROAD 
BRGY. L. PIMENTEL, SAN LUIS, AURORA
DETAILED UNIT PRICE ANALYSIS (DUPA)</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3:O107"/>
  <sheetViews>
    <sheetView view="pageBreakPreview" topLeftCell="A41" zoomScale="90" zoomScaleNormal="100" zoomScaleSheetLayoutView="90" workbookViewId="0">
      <selection activeCell="M56" sqref="M56"/>
    </sheetView>
  </sheetViews>
  <sheetFormatPr defaultColWidth="8.375" defaultRowHeight="14.25"/>
  <cols>
    <col min="1" max="1" width="5.25" style="186" customWidth="1"/>
    <col min="2" max="2" width="2.875" style="186" customWidth="1"/>
    <col min="3" max="3" width="13" style="187" customWidth="1"/>
    <col min="4" max="4" width="17.25" style="186" customWidth="1"/>
    <col min="5" max="5" width="13.125" style="186" customWidth="1"/>
    <col min="6" max="6" width="13.25" style="186" customWidth="1"/>
    <col min="7" max="7" width="13.625" style="186" customWidth="1"/>
    <col min="8" max="8" width="17.75" style="186" customWidth="1"/>
    <col min="9" max="9" width="7.5" style="186" customWidth="1"/>
    <col min="10" max="10" width="11.625" style="186" customWidth="1"/>
    <col min="11" max="12" width="9.5" style="186" customWidth="1"/>
    <col min="13" max="13" width="14.75" style="186" customWidth="1"/>
    <col min="14" max="14" width="8.375" style="186"/>
    <col min="15" max="15" width="10.625" style="186" customWidth="1"/>
    <col min="16" max="16384" width="8.375" style="186"/>
  </cols>
  <sheetData>
    <row r="3" spans="1:10" ht="14.25" customHeight="1">
      <c r="H3" s="1644" t="s">
        <v>330</v>
      </c>
      <c r="I3" s="1644"/>
      <c r="J3" s="1644"/>
    </row>
    <row r="4" spans="1:10" ht="14.25" customHeight="1">
      <c r="H4" s="188"/>
      <c r="I4" s="188"/>
      <c r="J4" s="188"/>
    </row>
    <row r="5" spans="1:10" ht="14.25" customHeight="1">
      <c r="A5" s="1640" t="s">
        <v>331</v>
      </c>
      <c r="B5" s="1640"/>
      <c r="C5" s="1640"/>
      <c r="D5" s="1640"/>
      <c r="E5" s="189" t="s">
        <v>49</v>
      </c>
      <c r="F5" s="186" t="s">
        <v>617</v>
      </c>
      <c r="G5" s="186" t="s">
        <v>618</v>
      </c>
    </row>
    <row r="6" spans="1:10" ht="14.25" customHeight="1">
      <c r="A6" s="186" t="s">
        <v>334</v>
      </c>
      <c r="E6" s="189" t="s">
        <v>49</v>
      </c>
      <c r="F6" s="186" t="s">
        <v>215</v>
      </c>
    </row>
    <row r="7" spans="1:10" ht="14.25" customHeight="1">
      <c r="A7" s="186" t="s">
        <v>336</v>
      </c>
      <c r="E7" s="189" t="s">
        <v>49</v>
      </c>
      <c r="F7" s="190">
        <v>1</v>
      </c>
    </row>
    <row r="8" spans="1:10" ht="14.25" customHeight="1">
      <c r="A8" s="186" t="s">
        <v>337</v>
      </c>
      <c r="E8" s="189" t="s">
        <v>49</v>
      </c>
    </row>
    <row r="9" spans="1:10" ht="13.5" customHeight="1">
      <c r="A9" s="191"/>
      <c r="B9" s="191"/>
      <c r="C9" s="192"/>
      <c r="D9" s="191"/>
      <c r="E9" s="189"/>
    </row>
    <row r="10" spans="1:10" ht="14.25" customHeight="1">
      <c r="A10" s="191"/>
      <c r="B10" s="191"/>
      <c r="C10" s="192"/>
      <c r="D10" s="191"/>
      <c r="E10" s="189"/>
    </row>
    <row r="11" spans="1:10" ht="14.25" customHeight="1">
      <c r="A11" s="1650" t="s">
        <v>426</v>
      </c>
      <c r="B11" s="1653" t="s">
        <v>339</v>
      </c>
      <c r="C11" s="1653"/>
      <c r="D11" s="1653"/>
      <c r="E11" s="1653"/>
      <c r="F11" s="1653" t="s">
        <v>340</v>
      </c>
      <c r="G11" s="1653" t="s">
        <v>341</v>
      </c>
      <c r="H11" s="1653" t="s">
        <v>342</v>
      </c>
      <c r="I11" s="1653" t="s">
        <v>343</v>
      </c>
      <c r="J11" s="1687"/>
    </row>
    <row r="12" spans="1:10" ht="14.25" customHeight="1">
      <c r="A12" s="1651"/>
      <c r="B12" s="1643"/>
      <c r="C12" s="1643"/>
      <c r="D12" s="1643"/>
      <c r="E12" s="1643"/>
      <c r="F12" s="1643"/>
      <c r="G12" s="1643"/>
      <c r="H12" s="1643"/>
      <c r="I12" s="1643"/>
      <c r="J12" s="1688"/>
    </row>
    <row r="13" spans="1:10" ht="14.25" customHeight="1">
      <c r="A13" s="1651"/>
      <c r="B13" s="1636" t="s">
        <v>344</v>
      </c>
      <c r="C13" s="1636"/>
      <c r="D13" s="1636"/>
      <c r="E13" s="1636"/>
      <c r="F13" s="193"/>
      <c r="G13" s="193"/>
      <c r="H13" s="193"/>
      <c r="I13" s="1637"/>
      <c r="J13" s="1638"/>
    </row>
    <row r="14" spans="1:10" ht="14.25" customHeight="1">
      <c r="A14" s="1651"/>
      <c r="B14" s="194"/>
      <c r="D14" s="187"/>
      <c r="E14" s="187"/>
      <c r="F14" s="195"/>
      <c r="G14" s="196"/>
      <c r="H14" s="191"/>
      <c r="I14" s="218"/>
      <c r="J14" s="219"/>
    </row>
    <row r="15" spans="1:10" ht="14.25" customHeight="1">
      <c r="A15" s="1651"/>
      <c r="B15" s="197" t="s">
        <v>601</v>
      </c>
      <c r="C15" s="187" t="s">
        <v>350</v>
      </c>
      <c r="D15" s="187"/>
      <c r="E15" s="187"/>
      <c r="F15" s="198">
        <v>2</v>
      </c>
      <c r="G15" s="199">
        <v>0.33</v>
      </c>
      <c r="H15" s="200">
        <f>+VLOOKUP(C15,LABOR,2,0)</f>
        <v>61.75</v>
      </c>
      <c r="I15" s="1645">
        <f>F15*G15*H15</f>
        <v>40.755000000000003</v>
      </c>
      <c r="J15" s="1646"/>
    </row>
    <row r="16" spans="1:10" ht="14.25" customHeight="1">
      <c r="A16" s="1651"/>
      <c r="B16" s="194" t="s">
        <v>619</v>
      </c>
      <c r="D16" s="187"/>
      <c r="E16" s="187"/>
      <c r="F16" s="198"/>
      <c r="G16" s="199"/>
      <c r="H16" s="200"/>
      <c r="I16" s="1645"/>
      <c r="J16" s="1646"/>
    </row>
    <row r="17" spans="1:13" ht="14.25" customHeight="1">
      <c r="A17" s="1651"/>
      <c r="B17" s="194" t="s">
        <v>620</v>
      </c>
      <c r="D17" s="187"/>
      <c r="E17" s="187"/>
      <c r="F17" s="198"/>
      <c r="G17" s="199"/>
      <c r="H17" s="200"/>
      <c r="I17" s="1645"/>
      <c r="J17" s="1646"/>
    </row>
    <row r="18" spans="1:13" ht="14.25" customHeight="1">
      <c r="A18" s="1651"/>
      <c r="B18" s="194" t="s">
        <v>621</v>
      </c>
      <c r="D18" s="187"/>
      <c r="E18" s="187"/>
      <c r="F18" s="198"/>
      <c r="G18" s="199"/>
      <c r="H18" s="200"/>
      <c r="I18" s="220"/>
      <c r="J18" s="221"/>
    </row>
    <row r="19" spans="1:13" ht="14.25" customHeight="1">
      <c r="A19" s="1651"/>
      <c r="B19" s="194" t="s">
        <v>622</v>
      </c>
      <c r="D19" s="187"/>
      <c r="E19" s="187"/>
      <c r="F19" s="198"/>
      <c r="G19" s="199"/>
      <c r="H19" s="200"/>
      <c r="I19" s="220"/>
      <c r="J19" s="221"/>
    </row>
    <row r="20" spans="1:13" ht="14.25" customHeight="1">
      <c r="A20" s="1651"/>
      <c r="B20" s="194" t="s">
        <v>623</v>
      </c>
      <c r="D20" s="187"/>
      <c r="E20" s="187"/>
      <c r="F20" s="198"/>
      <c r="G20" s="199"/>
      <c r="H20" s="200"/>
      <c r="I20" s="220"/>
      <c r="J20" s="221"/>
    </row>
    <row r="21" spans="1:13" ht="14.25" customHeight="1">
      <c r="A21" s="1651"/>
      <c r="B21" s="194" t="s">
        <v>624</v>
      </c>
      <c r="D21" s="187"/>
      <c r="E21" s="187"/>
      <c r="F21" s="198"/>
      <c r="G21" s="199"/>
      <c r="H21" s="200"/>
      <c r="I21" s="220"/>
      <c r="J21" s="221"/>
    </row>
    <row r="22" spans="1:13" ht="14.25" customHeight="1">
      <c r="A22" s="1651"/>
      <c r="B22" s="197"/>
      <c r="D22" s="187"/>
      <c r="E22" s="187"/>
      <c r="F22" s="198"/>
      <c r="G22" s="199"/>
      <c r="H22" s="200"/>
      <c r="I22" s="220"/>
      <c r="J22" s="221"/>
    </row>
    <row r="23" spans="1:13" ht="14.25" customHeight="1">
      <c r="A23" s="1652"/>
      <c r="B23" s="1647" t="s">
        <v>351</v>
      </c>
      <c r="C23" s="1647"/>
      <c r="D23" s="1647"/>
      <c r="E23" s="1647"/>
      <c r="F23" s="201"/>
      <c r="G23" s="201"/>
      <c r="H23" s="201"/>
      <c r="I23" s="1648">
        <f>+SUM(I14:J16)</f>
        <v>40.755000000000003</v>
      </c>
      <c r="J23" s="1649"/>
      <c r="K23" s="222">
        <f>+ROUND(I23/F7,2)</f>
        <v>40.76</v>
      </c>
      <c r="L23" s="223">
        <f>+I23/F7</f>
        <v>40.755000000000003</v>
      </c>
      <c r="M23" s="224">
        <f>+K23-L23</f>
        <v>4.9999999999954525E-3</v>
      </c>
    </row>
    <row r="24" spans="1:13" ht="14.25" customHeight="1">
      <c r="A24" s="1689" t="s">
        <v>352</v>
      </c>
      <c r="B24" s="1682" t="s">
        <v>344</v>
      </c>
      <c r="C24" s="1683"/>
      <c r="D24" s="1683"/>
      <c r="E24" s="1684"/>
      <c r="F24" s="193"/>
      <c r="G24" s="193"/>
      <c r="H24" s="193"/>
      <c r="I24" s="1702"/>
      <c r="J24" s="1703"/>
    </row>
    <row r="25" spans="1:13" ht="14.25" customHeight="1">
      <c r="A25" s="1690"/>
      <c r="B25" s="1685"/>
      <c r="C25" s="1672"/>
      <c r="D25" s="1672"/>
      <c r="E25" s="1686"/>
      <c r="F25" s="203"/>
      <c r="G25" s="203"/>
      <c r="H25" s="203"/>
      <c r="I25" s="1685"/>
      <c r="J25" s="1704"/>
    </row>
    <row r="26" spans="1:13" ht="14.25" customHeight="1">
      <c r="A26" s="1691"/>
      <c r="B26" s="1631" t="s">
        <v>353</v>
      </c>
      <c r="C26" s="1632"/>
      <c r="D26" s="1632"/>
      <c r="E26" s="1633"/>
      <c r="F26" s="204"/>
      <c r="G26" s="204"/>
      <c r="H26" s="204"/>
      <c r="I26" s="1634">
        <v>0</v>
      </c>
      <c r="J26" s="1635"/>
    </row>
    <row r="27" spans="1:13" ht="14.25" customHeight="1">
      <c r="A27" s="1692" t="s">
        <v>481</v>
      </c>
      <c r="B27" s="1643" t="s">
        <v>355</v>
      </c>
      <c r="C27" s="1643"/>
      <c r="D27" s="1643"/>
      <c r="E27" s="1643"/>
      <c r="F27" s="1643" t="s">
        <v>604</v>
      </c>
      <c r="G27" s="1643" t="s">
        <v>605</v>
      </c>
      <c r="H27" s="1643" t="s">
        <v>342</v>
      </c>
      <c r="I27" s="1643" t="s">
        <v>359</v>
      </c>
      <c r="J27" s="1688"/>
    </row>
    <row r="28" spans="1:13" ht="14.25" customHeight="1">
      <c r="A28" s="1692"/>
      <c r="B28" s="1643"/>
      <c r="C28" s="1643"/>
      <c r="D28" s="1643"/>
      <c r="E28" s="1643"/>
      <c r="F28" s="1643"/>
      <c r="G28" s="1643"/>
      <c r="H28" s="1643"/>
      <c r="I28" s="1643"/>
      <c r="J28" s="1688"/>
    </row>
    <row r="29" spans="1:13" ht="14.25" customHeight="1">
      <c r="A29" s="1692"/>
      <c r="B29" s="1636" t="s">
        <v>360</v>
      </c>
      <c r="C29" s="1636"/>
      <c r="D29" s="1636"/>
      <c r="E29" s="1636"/>
      <c r="F29" s="193"/>
      <c r="G29" s="193"/>
      <c r="H29" s="193"/>
      <c r="I29" s="1637"/>
      <c r="J29" s="1638"/>
    </row>
    <row r="30" spans="1:13" ht="14.25" customHeight="1">
      <c r="A30" s="1693"/>
      <c r="B30" s="194"/>
      <c r="D30" s="187"/>
      <c r="E30" s="187"/>
      <c r="F30" s="195"/>
      <c r="G30" s="195"/>
      <c r="H30" s="196"/>
      <c r="I30" s="226"/>
      <c r="J30" s="219"/>
    </row>
    <row r="31" spans="1:13" ht="14.25" customHeight="1">
      <c r="A31" s="1693"/>
      <c r="B31" s="1639" t="s">
        <v>549</v>
      </c>
      <c r="C31" s="1639"/>
      <c r="D31" s="1640"/>
      <c r="E31" s="1640"/>
      <c r="F31" s="197"/>
      <c r="G31" s="206"/>
      <c r="H31" s="207"/>
      <c r="I31" s="1641">
        <f>K31*I23</f>
        <v>2.0377500000000004</v>
      </c>
      <c r="J31" s="1642"/>
      <c r="K31" s="229">
        <v>0.05</v>
      </c>
    </row>
    <row r="32" spans="1:13" ht="14.25" customHeight="1">
      <c r="A32" s="1693"/>
      <c r="B32" s="194"/>
      <c r="D32" s="187"/>
      <c r="E32" s="187"/>
      <c r="F32" s="197"/>
      <c r="G32" s="206"/>
      <c r="H32" s="207"/>
      <c r="I32" s="227"/>
      <c r="J32" s="228"/>
      <c r="K32" s="229"/>
    </row>
    <row r="33" spans="1:13" ht="14.25" customHeight="1">
      <c r="A33" s="1692"/>
      <c r="B33" s="1647" t="s">
        <v>361</v>
      </c>
      <c r="C33" s="1647"/>
      <c r="D33" s="1647"/>
      <c r="E33" s="1647"/>
      <c r="F33" s="204"/>
      <c r="G33" s="204"/>
      <c r="H33" s="204"/>
      <c r="I33" s="1697">
        <f>+SUM(I30:J32)</f>
        <v>2.0377500000000004</v>
      </c>
      <c r="J33" s="1660"/>
      <c r="K33" s="222">
        <f>+ROUND(I56-K23-K52,2)</f>
        <v>2.0299999999999998</v>
      </c>
      <c r="L33" s="223">
        <f>+I33/F7</f>
        <v>2.0377500000000004</v>
      </c>
      <c r="M33" s="224">
        <f>+K33-L33</f>
        <v>-7.7500000000005898E-3</v>
      </c>
    </row>
    <row r="34" spans="1:13" ht="14.25" customHeight="1">
      <c r="A34" s="1680" t="s">
        <v>362</v>
      </c>
      <c r="B34" s="1636" t="s">
        <v>360</v>
      </c>
      <c r="C34" s="1636"/>
      <c r="D34" s="1636"/>
      <c r="E34" s="1636"/>
      <c r="F34" s="193"/>
      <c r="G34" s="193"/>
      <c r="H34" s="193"/>
      <c r="I34" s="1637"/>
      <c r="J34" s="1638"/>
    </row>
    <row r="35" spans="1:13" ht="14.25" customHeight="1">
      <c r="A35" s="1680"/>
      <c r="B35" s="1656"/>
      <c r="C35" s="1656"/>
      <c r="D35" s="1656"/>
      <c r="E35" s="1656"/>
      <c r="F35" s="196"/>
      <c r="G35" s="196"/>
      <c r="H35" s="196"/>
      <c r="I35" s="1700"/>
      <c r="J35" s="1701"/>
    </row>
    <row r="36" spans="1:13" ht="14.25" customHeight="1">
      <c r="A36" s="1680"/>
      <c r="B36" s="1647" t="s">
        <v>363</v>
      </c>
      <c r="C36" s="1647"/>
      <c r="D36" s="1647"/>
      <c r="E36" s="1647"/>
      <c r="F36" s="204"/>
      <c r="G36" s="204"/>
      <c r="H36" s="204"/>
      <c r="I36" s="1634">
        <v>0</v>
      </c>
      <c r="J36" s="1635"/>
    </row>
    <row r="37" spans="1:13" ht="14.25" customHeight="1">
      <c r="A37" s="205" t="s">
        <v>364</v>
      </c>
      <c r="B37" s="1661" t="s">
        <v>365</v>
      </c>
      <c r="C37" s="1662"/>
      <c r="D37" s="1662"/>
      <c r="E37" s="1662"/>
      <c r="F37" s="1662"/>
      <c r="G37" s="1662"/>
      <c r="H37" s="1663"/>
      <c r="I37" s="1664">
        <f>I23+I33</f>
        <v>42.792750000000005</v>
      </c>
      <c r="J37" s="1665"/>
    </row>
    <row r="38" spans="1:13" ht="14.25" customHeight="1">
      <c r="A38" s="208" t="s">
        <v>366</v>
      </c>
      <c r="B38" s="1661" t="s">
        <v>367</v>
      </c>
      <c r="C38" s="1662"/>
      <c r="D38" s="1662"/>
      <c r="E38" s="1662"/>
      <c r="F38" s="1662"/>
      <c r="G38" s="1662"/>
      <c r="H38" s="1663"/>
      <c r="I38" s="1668"/>
      <c r="J38" s="1665"/>
    </row>
    <row r="39" spans="1:13" ht="14.25" customHeight="1">
      <c r="A39" s="208" t="s">
        <v>368</v>
      </c>
      <c r="B39" s="1661" t="s">
        <v>336</v>
      </c>
      <c r="C39" s="1662"/>
      <c r="D39" s="1662"/>
      <c r="E39" s="1662"/>
      <c r="F39" s="1662"/>
      <c r="G39" s="1662"/>
      <c r="H39" s="1663"/>
      <c r="I39" s="1698">
        <f>F7</f>
        <v>1</v>
      </c>
      <c r="J39" s="1699"/>
    </row>
    <row r="40" spans="1:13" ht="14.25" customHeight="1">
      <c r="A40" s="208" t="s">
        <v>369</v>
      </c>
      <c r="B40" s="1661" t="s">
        <v>337</v>
      </c>
      <c r="C40" s="1662"/>
      <c r="D40" s="1662"/>
      <c r="E40" s="1662"/>
      <c r="F40" s="1662"/>
      <c r="G40" s="1662"/>
      <c r="H40" s="1663"/>
      <c r="I40" s="1668"/>
      <c r="J40" s="1665"/>
    </row>
    <row r="41" spans="1:13" ht="14.25" customHeight="1">
      <c r="A41" s="208" t="s">
        <v>370</v>
      </c>
      <c r="B41" s="1661" t="s">
        <v>371</v>
      </c>
      <c r="C41" s="1662"/>
      <c r="D41" s="1662"/>
      <c r="E41" s="1662"/>
      <c r="F41" s="1662"/>
      <c r="G41" s="1662"/>
      <c r="H41" s="1663"/>
      <c r="I41" s="1664">
        <f>I37/I39</f>
        <v>42.792750000000005</v>
      </c>
      <c r="J41" s="1665"/>
    </row>
    <row r="42" spans="1:13" ht="14.25" customHeight="1">
      <c r="A42" s="208" t="s">
        <v>372</v>
      </c>
      <c r="B42" s="1661" t="s">
        <v>373</v>
      </c>
      <c r="C42" s="1662"/>
      <c r="D42" s="1662"/>
      <c r="E42" s="1662"/>
      <c r="F42" s="1662"/>
      <c r="G42" s="1662"/>
      <c r="H42" s="1663"/>
      <c r="I42" s="1668"/>
      <c r="J42" s="1665"/>
    </row>
    <row r="43" spans="1:13" ht="14.25" customHeight="1">
      <c r="A43" s="1694" t="s">
        <v>374</v>
      </c>
      <c r="B43" s="1643" t="s">
        <v>375</v>
      </c>
      <c r="C43" s="1643"/>
      <c r="D43" s="1643"/>
      <c r="E43" s="1643"/>
      <c r="F43" s="1643" t="s">
        <v>376</v>
      </c>
      <c r="G43" s="1643" t="s">
        <v>377</v>
      </c>
      <c r="H43" s="1643" t="s">
        <v>378</v>
      </c>
      <c r="I43" s="1643" t="s">
        <v>343</v>
      </c>
      <c r="J43" s="1688"/>
    </row>
    <row r="44" spans="1:13" ht="14.25" customHeight="1">
      <c r="A44" s="1695"/>
      <c r="B44" s="1643"/>
      <c r="C44" s="1643"/>
      <c r="D44" s="1643"/>
      <c r="E44" s="1643"/>
      <c r="F44" s="1643"/>
      <c r="G44" s="1643"/>
      <c r="H44" s="1643"/>
      <c r="I44" s="1643"/>
      <c r="J44" s="1688"/>
    </row>
    <row r="45" spans="1:13" ht="14.25" customHeight="1">
      <c r="A45" s="1695"/>
      <c r="B45" s="1636" t="s">
        <v>379</v>
      </c>
      <c r="C45" s="1636"/>
      <c r="D45" s="1636"/>
      <c r="E45" s="1636"/>
      <c r="F45" s="209"/>
      <c r="G45" s="209"/>
      <c r="H45" s="209"/>
      <c r="I45" s="1654"/>
      <c r="J45" s="1655"/>
    </row>
    <row r="46" spans="1:13" ht="14.25" customHeight="1">
      <c r="A46" s="1695"/>
      <c r="B46" s="194"/>
      <c r="D46" s="187"/>
      <c r="E46" s="187"/>
      <c r="F46" s="210"/>
      <c r="G46" s="210"/>
      <c r="H46" s="203"/>
      <c r="I46" s="202"/>
      <c r="J46" s="225"/>
    </row>
    <row r="47" spans="1:13" ht="14.25" customHeight="1">
      <c r="A47" s="1695"/>
      <c r="B47" s="1639" t="s">
        <v>625</v>
      </c>
      <c r="C47" s="1639"/>
      <c r="D47" s="1640"/>
      <c r="E47" s="1640"/>
      <c r="F47" s="197" t="s">
        <v>580</v>
      </c>
      <c r="G47" s="211">
        <v>1</v>
      </c>
      <c r="H47" s="212">
        <v>12</v>
      </c>
      <c r="I47" s="1666">
        <f>G47*H47</f>
        <v>12</v>
      </c>
      <c r="J47" s="1667"/>
    </row>
    <row r="48" spans="1:13" ht="14.25" customHeight="1">
      <c r="A48" s="1695"/>
      <c r="B48" s="1639"/>
      <c r="C48" s="1639"/>
      <c r="D48" s="1640"/>
      <c r="E48" s="1640"/>
      <c r="F48" s="197"/>
      <c r="G48" s="211"/>
      <c r="H48" s="212"/>
      <c r="I48" s="1666"/>
      <c r="J48" s="1667"/>
    </row>
    <row r="49" spans="1:15" ht="14.25" customHeight="1">
      <c r="A49" s="1695"/>
      <c r="B49" s="1639" t="s">
        <v>626</v>
      </c>
      <c r="C49" s="1639"/>
      <c r="D49" s="1640"/>
      <c r="E49" s="1640"/>
      <c r="F49" s="197"/>
      <c r="G49" s="211"/>
      <c r="H49" s="212"/>
      <c r="I49" s="1666"/>
      <c r="J49" s="1667"/>
    </row>
    <row r="50" spans="1:15" ht="14.25" customHeight="1">
      <c r="A50" s="1695"/>
      <c r="B50" s="194" t="s">
        <v>627</v>
      </c>
      <c r="D50" s="187"/>
      <c r="E50" s="187"/>
      <c r="F50" s="197"/>
      <c r="G50" s="211"/>
      <c r="H50" s="212"/>
      <c r="I50" s="1666"/>
      <c r="J50" s="1667"/>
    </row>
    <row r="51" spans="1:15" ht="14.25" customHeight="1">
      <c r="A51" s="1695"/>
      <c r="B51" s="194"/>
      <c r="D51" s="187"/>
      <c r="E51" s="213"/>
      <c r="F51" s="197"/>
      <c r="G51" s="211"/>
      <c r="H51" s="214"/>
      <c r="I51" s="214"/>
      <c r="J51" s="230"/>
      <c r="K51" s="231"/>
      <c r="L51" s="232"/>
    </row>
    <row r="52" spans="1:15" ht="14.25" customHeight="1">
      <c r="A52" s="1696"/>
      <c r="B52" s="1647" t="s">
        <v>398</v>
      </c>
      <c r="C52" s="1647"/>
      <c r="D52" s="1647"/>
      <c r="E52" s="1647"/>
      <c r="F52" s="201"/>
      <c r="G52" s="201"/>
      <c r="H52" s="201"/>
      <c r="I52" s="1697">
        <f>+SUM(I47:J50)</f>
        <v>12</v>
      </c>
      <c r="J52" s="1660"/>
      <c r="K52" s="222">
        <f>+I52</f>
        <v>12</v>
      </c>
      <c r="L52" s="223">
        <f>+I52</f>
        <v>12</v>
      </c>
      <c r="M52" s="224">
        <f>+K52-L52</f>
        <v>0</v>
      </c>
    </row>
    <row r="53" spans="1:15" ht="14.25" customHeight="1">
      <c r="A53" s="1680" t="s">
        <v>399</v>
      </c>
      <c r="B53" s="1636" t="s">
        <v>379</v>
      </c>
      <c r="C53" s="1636"/>
      <c r="D53" s="1636"/>
      <c r="E53" s="1636"/>
      <c r="F53" s="209"/>
      <c r="G53" s="209"/>
      <c r="H53" s="209"/>
      <c r="I53" s="1654"/>
      <c r="J53" s="1655"/>
    </row>
    <row r="54" spans="1:15" ht="14.25" customHeight="1">
      <c r="A54" s="1680"/>
      <c r="B54" s="1656"/>
      <c r="C54" s="1656"/>
      <c r="D54" s="1656"/>
      <c r="E54" s="1656"/>
      <c r="F54" s="203"/>
      <c r="G54" s="203"/>
      <c r="H54" s="203"/>
      <c r="I54" s="1657"/>
      <c r="J54" s="1658"/>
    </row>
    <row r="55" spans="1:15" ht="14.25" customHeight="1">
      <c r="A55" s="1680"/>
      <c r="B55" s="1647" t="s">
        <v>400</v>
      </c>
      <c r="C55" s="1647"/>
      <c r="D55" s="1647"/>
      <c r="E55" s="1647"/>
      <c r="F55" s="201"/>
      <c r="G55" s="201"/>
      <c r="H55" s="201"/>
      <c r="I55" s="1659"/>
      <c r="J55" s="1660"/>
    </row>
    <row r="56" spans="1:15" ht="14.25" customHeight="1">
      <c r="A56" s="208" t="s">
        <v>401</v>
      </c>
      <c r="B56" s="1661" t="s">
        <v>402</v>
      </c>
      <c r="C56" s="1662"/>
      <c r="D56" s="1662"/>
      <c r="E56" s="1662"/>
      <c r="F56" s="1662"/>
      <c r="G56" s="1662"/>
      <c r="H56" s="1663"/>
      <c r="I56" s="1664">
        <f>ROUND(I41+K52,2)</f>
        <v>54.79</v>
      </c>
      <c r="J56" s="1665"/>
      <c r="K56" s="232">
        <f>+K23+K33+K52</f>
        <v>54.79</v>
      </c>
      <c r="L56" s="223">
        <f>+I56-K56</f>
        <v>0</v>
      </c>
    </row>
    <row r="57" spans="1:15" ht="14.25" customHeight="1">
      <c r="A57" s="208" t="s">
        <v>615</v>
      </c>
      <c r="B57" s="1661" t="s">
        <v>404</v>
      </c>
      <c r="C57" s="1662"/>
      <c r="D57" s="1662"/>
      <c r="E57" s="1662"/>
      <c r="F57" s="1662"/>
      <c r="G57" s="1662"/>
      <c r="H57" s="1663"/>
      <c r="I57" s="1668"/>
      <c r="J57" s="1665"/>
    </row>
    <row r="58" spans="1:15" ht="14.25" customHeight="1">
      <c r="A58" s="208" t="s">
        <v>405</v>
      </c>
      <c r="B58" s="1661" t="s">
        <v>406</v>
      </c>
      <c r="C58" s="1662"/>
      <c r="D58" s="1662"/>
      <c r="E58" s="1662"/>
      <c r="F58" s="1662"/>
      <c r="G58" s="1663"/>
      <c r="H58" s="215">
        <v>0.12</v>
      </c>
      <c r="I58" s="1664">
        <f>+ROUND(H58*I56,4)</f>
        <v>6.5747999999999998</v>
      </c>
      <c r="J58" s="1665"/>
      <c r="K58" s="233"/>
    </row>
    <row r="59" spans="1:15" ht="14.25" customHeight="1">
      <c r="A59" s="208" t="s">
        <v>407</v>
      </c>
      <c r="B59" s="1661" t="s">
        <v>408</v>
      </c>
      <c r="C59" s="1662"/>
      <c r="D59" s="1662"/>
      <c r="E59" s="1662"/>
      <c r="F59" s="1662"/>
      <c r="G59" s="1663"/>
      <c r="H59" s="216"/>
      <c r="I59" s="1668"/>
      <c r="J59" s="1665"/>
      <c r="K59" s="233"/>
    </row>
    <row r="60" spans="1:15" ht="14.25" customHeight="1">
      <c r="A60" s="208" t="s">
        <v>409</v>
      </c>
      <c r="B60" s="1661" t="s">
        <v>410</v>
      </c>
      <c r="C60" s="1662"/>
      <c r="D60" s="1662"/>
      <c r="E60" s="1662"/>
      <c r="F60" s="1662"/>
      <c r="G60" s="1663"/>
      <c r="H60" s="215">
        <v>0.08</v>
      </c>
      <c r="I60" s="1664">
        <f>+ROUND(H60*I56,4)</f>
        <v>4.3832000000000004</v>
      </c>
      <c r="J60" s="1665"/>
      <c r="K60" s="233"/>
    </row>
    <row r="61" spans="1:15" ht="14.25" customHeight="1">
      <c r="A61" s="208" t="s">
        <v>411</v>
      </c>
      <c r="B61" s="1661" t="s">
        <v>412</v>
      </c>
      <c r="C61" s="1662"/>
      <c r="D61" s="1662"/>
      <c r="E61" s="1662"/>
      <c r="F61" s="1662"/>
      <c r="G61" s="1663"/>
      <c r="H61" s="216"/>
      <c r="I61" s="1668"/>
      <c r="J61" s="1665"/>
      <c r="K61" s="233"/>
    </row>
    <row r="62" spans="1:15" ht="14.25" customHeight="1">
      <c r="A62" s="208" t="s">
        <v>413</v>
      </c>
      <c r="B62" s="1661" t="s">
        <v>414</v>
      </c>
      <c r="C62" s="1662"/>
      <c r="D62" s="1662"/>
      <c r="E62" s="1662"/>
      <c r="F62" s="1662"/>
      <c r="G62" s="1663"/>
      <c r="H62" s="217">
        <v>0.05</v>
      </c>
      <c r="I62" s="1664">
        <f>ROUND(H62*(I56+I58+I60),2)</f>
        <v>3.29</v>
      </c>
      <c r="J62" s="1665"/>
      <c r="K62" s="233"/>
    </row>
    <row r="63" spans="1:15" ht="14.25" customHeight="1">
      <c r="A63" s="208" t="s">
        <v>415</v>
      </c>
      <c r="B63" s="1661" t="s">
        <v>416</v>
      </c>
      <c r="C63" s="1662"/>
      <c r="D63" s="1662"/>
      <c r="E63" s="1662"/>
      <c r="F63" s="1662"/>
      <c r="G63" s="1663"/>
      <c r="H63" s="216"/>
      <c r="I63" s="1668"/>
      <c r="J63" s="1665"/>
      <c r="O63" s="234"/>
    </row>
    <row r="64" spans="1:15" ht="14.25" customHeight="1">
      <c r="A64" s="208" t="s">
        <v>417</v>
      </c>
      <c r="B64" s="1661" t="s">
        <v>418</v>
      </c>
      <c r="C64" s="1662"/>
      <c r="D64" s="1662"/>
      <c r="E64" s="1662"/>
      <c r="F64" s="1662"/>
      <c r="G64" s="1663"/>
      <c r="H64" s="216" t="s">
        <v>419</v>
      </c>
      <c r="I64" s="1664">
        <f>+ROUND(SUM(I56:J63),2)</f>
        <v>69.040000000000006</v>
      </c>
      <c r="J64" s="1673"/>
    </row>
    <row r="65" spans="1:15" ht="14.25" customHeight="1">
      <c r="A65" s="235" t="s">
        <v>420</v>
      </c>
      <c r="B65" s="1674" t="s">
        <v>421</v>
      </c>
      <c r="C65" s="1675"/>
      <c r="D65" s="1675"/>
      <c r="E65" s="1675"/>
      <c r="F65" s="1675"/>
      <c r="G65" s="1676"/>
      <c r="H65" s="236"/>
      <c r="I65" s="1677"/>
      <c r="J65" s="1678"/>
    </row>
    <row r="66" spans="1:15" ht="39.950000000000003" customHeight="1">
      <c r="A66" s="1679" t="str">
        <f>'POW-2015-01-00_'!A42</f>
        <v>Note: Prices/Rates were based on CMPD 4TH Quarter CY 2022 for Materials, Memorandum dated December 29, 2022 for Labor cost and Memorandum dated May 18, 2022 for Equipment rental including Fuel &amp; Oil/Lubricant cost as of January 4, 2023 for DPWH Regional/District Engineering Offices</v>
      </c>
      <c r="B66" s="1679"/>
      <c r="C66" s="1679"/>
      <c r="D66" s="1679"/>
      <c r="E66" s="1679"/>
      <c r="F66" s="1679"/>
      <c r="G66" s="1679"/>
      <c r="H66" s="1679"/>
      <c r="I66" s="1679"/>
      <c r="J66" s="1679"/>
      <c r="O66" s="186">
        <f>400/3</f>
        <v>133.33333333333334</v>
      </c>
    </row>
    <row r="67" spans="1:15" ht="14.25" customHeight="1">
      <c r="A67" s="1681" t="s">
        <v>20</v>
      </c>
      <c r="B67" s="1681"/>
      <c r="C67" s="1681"/>
      <c r="H67" s="191" t="s">
        <v>422</v>
      </c>
    </row>
    <row r="68" spans="1:15" ht="14.25" customHeight="1">
      <c r="A68" s="192"/>
      <c r="B68" s="192"/>
      <c r="C68" s="192"/>
      <c r="H68" s="191"/>
    </row>
    <row r="69" spans="1:15" ht="14.25" customHeight="1">
      <c r="A69" s="192"/>
      <c r="B69" s="192"/>
      <c r="C69" s="192"/>
      <c r="H69" s="191"/>
    </row>
    <row r="70" spans="1:15" ht="14.25" customHeight="1">
      <c r="A70" s="1669" t="str">
        <f>+'POW-2015-01-00_'!A48</f>
        <v xml:space="preserve">WINLOVE A. ESTEVES
</v>
      </c>
      <c r="B70" s="1669"/>
      <c r="C70" s="1669"/>
      <c r="D70" s="1669"/>
      <c r="H70" s="1669" t="str">
        <f>+'POW-2015-01-00_'!H48</f>
        <v>MARK ANGELO E. SURIL</v>
      </c>
      <c r="I70" s="1669"/>
      <c r="J70" s="1669"/>
    </row>
    <row r="71" spans="1:15" ht="14.25" customHeight="1">
      <c r="A71" s="1670" t="s">
        <v>102</v>
      </c>
      <c r="B71" s="1670"/>
      <c r="C71" s="1670"/>
      <c r="D71" s="1670"/>
      <c r="H71" s="1671" t="s">
        <v>102</v>
      </c>
      <c r="I71" s="1671"/>
      <c r="J71" s="1671"/>
    </row>
    <row r="72" spans="1:15" ht="14.25" hidden="1" customHeight="1">
      <c r="A72" s="1672" t="s">
        <v>105</v>
      </c>
      <c r="B72" s="1672"/>
      <c r="C72" s="1672"/>
      <c r="D72" s="1672"/>
      <c r="H72" s="1672" t="s">
        <v>105</v>
      </c>
      <c r="I72" s="1672"/>
      <c r="J72" s="1672"/>
    </row>
    <row r="73" spans="1:15" ht="14.25" customHeight="1">
      <c r="A73" s="1672" t="s">
        <v>423</v>
      </c>
      <c r="B73" s="1672"/>
      <c r="C73" s="1672"/>
      <c r="D73" s="1672"/>
      <c r="H73" s="1672" t="s">
        <v>423</v>
      </c>
      <c r="I73" s="1672"/>
      <c r="J73" s="1672"/>
    </row>
    <row r="74" spans="1:15" ht="14.25" customHeight="1"/>
    <row r="75" spans="1:15" ht="14.25" customHeight="1"/>
    <row r="76" spans="1:15" ht="14.25" customHeight="1"/>
    <row r="77" spans="1:15" ht="14.25" customHeight="1">
      <c r="A77" s="186" t="s">
        <v>616</v>
      </c>
    </row>
    <row r="78" spans="1:15" ht="14.25" customHeight="1"/>
    <row r="79" spans="1:15" ht="14.25" customHeight="1"/>
    <row r="80" spans="1:15"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sheetData>
  <mergeCells count="107">
    <mergeCell ref="H43:H44"/>
    <mergeCell ref="B11:E12"/>
    <mergeCell ref="I11:J12"/>
    <mergeCell ref="B27:E28"/>
    <mergeCell ref="I27:J28"/>
    <mergeCell ref="B43:E44"/>
    <mergeCell ref="I43:J44"/>
    <mergeCell ref="A24:A26"/>
    <mergeCell ref="A27:A33"/>
    <mergeCell ref="A34:A36"/>
    <mergeCell ref="A43:A52"/>
    <mergeCell ref="I52:J52"/>
    <mergeCell ref="I38:J38"/>
    <mergeCell ref="I39:J39"/>
    <mergeCell ref="I40:J40"/>
    <mergeCell ref="I41:J41"/>
    <mergeCell ref="I42:J42"/>
    <mergeCell ref="I33:J33"/>
    <mergeCell ref="I34:J34"/>
    <mergeCell ref="I35:J35"/>
    <mergeCell ref="I36:J36"/>
    <mergeCell ref="I37:J37"/>
    <mergeCell ref="I24:J24"/>
    <mergeCell ref="I25:J25"/>
    <mergeCell ref="A53:A55"/>
    <mergeCell ref="F11:F12"/>
    <mergeCell ref="F27:F28"/>
    <mergeCell ref="F43:F44"/>
    <mergeCell ref="G11:G12"/>
    <mergeCell ref="G27:G28"/>
    <mergeCell ref="G43:G44"/>
    <mergeCell ref="A67:C67"/>
    <mergeCell ref="A70:D70"/>
    <mergeCell ref="B57:H57"/>
    <mergeCell ref="B52:E52"/>
    <mergeCell ref="B53:E53"/>
    <mergeCell ref="B38:H38"/>
    <mergeCell ref="B39:H39"/>
    <mergeCell ref="B40:H40"/>
    <mergeCell ref="B41:H41"/>
    <mergeCell ref="B42:H42"/>
    <mergeCell ref="B33:E33"/>
    <mergeCell ref="B34:E34"/>
    <mergeCell ref="B35:E35"/>
    <mergeCell ref="B36:E36"/>
    <mergeCell ref="B37:H37"/>
    <mergeCell ref="B24:E24"/>
    <mergeCell ref="B25:E25"/>
    <mergeCell ref="H70:J70"/>
    <mergeCell ref="A71:D71"/>
    <mergeCell ref="H71:J71"/>
    <mergeCell ref="A72:D72"/>
    <mergeCell ref="H72:J72"/>
    <mergeCell ref="A73:D73"/>
    <mergeCell ref="H73:J73"/>
    <mergeCell ref="B62:G62"/>
    <mergeCell ref="I62:J62"/>
    <mergeCell ref="B63:G63"/>
    <mergeCell ref="I63:J63"/>
    <mergeCell ref="B64:G64"/>
    <mergeCell ref="I64:J64"/>
    <mergeCell ref="B65:G65"/>
    <mergeCell ref="I65:J65"/>
    <mergeCell ref="A66:J66"/>
    <mergeCell ref="I57:J57"/>
    <mergeCell ref="B58:G58"/>
    <mergeCell ref="I58:J58"/>
    <mergeCell ref="B59:G59"/>
    <mergeCell ref="I59:J59"/>
    <mergeCell ref="B60:G60"/>
    <mergeCell ref="I60:J60"/>
    <mergeCell ref="B61:G61"/>
    <mergeCell ref="I61:J61"/>
    <mergeCell ref="I53:J53"/>
    <mergeCell ref="B54:E54"/>
    <mergeCell ref="I54:J54"/>
    <mergeCell ref="B55:E55"/>
    <mergeCell ref="I55:J55"/>
    <mergeCell ref="B56:H56"/>
    <mergeCell ref="I56:J56"/>
    <mergeCell ref="B45:E45"/>
    <mergeCell ref="I45:J45"/>
    <mergeCell ref="B47:E47"/>
    <mergeCell ref="I47:J47"/>
    <mergeCell ref="B48:E48"/>
    <mergeCell ref="I48:J48"/>
    <mergeCell ref="B49:E49"/>
    <mergeCell ref="I49:J49"/>
    <mergeCell ref="I50:J50"/>
    <mergeCell ref="B26:E26"/>
    <mergeCell ref="I26:J26"/>
    <mergeCell ref="B29:E29"/>
    <mergeCell ref="I29:J29"/>
    <mergeCell ref="B31:E31"/>
    <mergeCell ref="I31:J31"/>
    <mergeCell ref="H27:H28"/>
    <mergeCell ref="H3:J3"/>
    <mergeCell ref="A5:D5"/>
    <mergeCell ref="B13:E13"/>
    <mergeCell ref="I13:J13"/>
    <mergeCell ref="I15:J15"/>
    <mergeCell ref="I16:J16"/>
    <mergeCell ref="I17:J17"/>
    <mergeCell ref="B23:E23"/>
    <mergeCell ref="I23:J23"/>
    <mergeCell ref="A11:A23"/>
    <mergeCell ref="H11:H12"/>
  </mergeCells>
  <printOptions horizontalCentered="1"/>
  <pageMargins left="0.118055555555556" right="0.118055555555556" top="0.39305555555555599" bottom="0" header="0.39305555555555599" footer="0"/>
  <pageSetup paperSize="9" scale="70" orientation="portrait" r:id="rId1"/>
  <headerFooter>
    <oddHeader>&amp;CCONSTRUCTION OF ROAD 
BRGY. L. PIMENTEL, SAN LUIS, AURORA
DETAILED UNIT PRICE ANALYSIS (DUPA)</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V148"/>
  <sheetViews>
    <sheetView tabSelected="1" topLeftCell="F1" workbookViewId="0">
      <selection activeCell="M13" sqref="M13"/>
    </sheetView>
  </sheetViews>
  <sheetFormatPr defaultColWidth="9" defaultRowHeight="14.25"/>
  <cols>
    <col min="1" max="1" width="12.25" style="10" customWidth="1"/>
    <col min="2" max="2" width="48.625" style="158" customWidth="1"/>
    <col min="3" max="3" width="9.5" style="10" customWidth="1"/>
    <col min="4" max="4" width="13" style="159" customWidth="1"/>
    <col min="5" max="5" width="12.875" style="10" customWidth="1"/>
    <col min="6" max="6" width="59.625" style="160" customWidth="1"/>
    <col min="7" max="7" width="11.125" customWidth="1"/>
    <col min="8" max="8" width="14.5" style="161" customWidth="1"/>
    <col min="9" max="9" width="14.375" style="162" customWidth="1"/>
    <col min="10" max="10" width="35.75" customWidth="1"/>
    <col min="11" max="11" width="15.25" customWidth="1"/>
    <col min="12" max="12" width="9.625" customWidth="1"/>
    <col min="13" max="13" width="8.125" customWidth="1"/>
    <col min="14" max="14" width="28.125" customWidth="1"/>
    <col min="15" max="15" width="8.75" customWidth="1"/>
    <col min="16" max="17" width="8.125" customWidth="1"/>
    <col min="18" max="18" width="17.625" customWidth="1"/>
    <col min="19" max="1024" width="8.125" customWidth="1"/>
    <col min="1025" max="1025" width="9" customWidth="1"/>
  </cols>
  <sheetData>
    <row r="1" spans="1:22" ht="15">
      <c r="A1" s="1705" t="s">
        <v>290</v>
      </c>
      <c r="B1" s="1705"/>
      <c r="C1" s="1705"/>
      <c r="D1" s="1705"/>
      <c r="E1" s="1705"/>
      <c r="F1" s="1706" t="s">
        <v>628</v>
      </c>
      <c r="G1" s="1706"/>
      <c r="H1" s="1706"/>
      <c r="I1" s="1706"/>
      <c r="J1" s="1707" t="s">
        <v>165</v>
      </c>
      <c r="K1" s="1707"/>
      <c r="L1" s="1707"/>
      <c r="R1" s="179">
        <f>+'POW-2015-01-00_'!AB32</f>
        <v>7801031.8500000006</v>
      </c>
    </row>
    <row r="2" spans="1:22" ht="15">
      <c r="A2" s="163" t="s">
        <v>629</v>
      </c>
      <c r="B2" s="163" t="s">
        <v>5</v>
      </c>
      <c r="C2" s="163" t="s">
        <v>31</v>
      </c>
      <c r="D2" s="164" t="s">
        <v>630</v>
      </c>
      <c r="E2" s="165" t="s">
        <v>220</v>
      </c>
      <c r="F2" s="166" t="s">
        <v>5</v>
      </c>
      <c r="G2" s="166" t="s">
        <v>31</v>
      </c>
      <c r="H2" s="167" t="s">
        <v>631</v>
      </c>
      <c r="I2" s="166" t="s">
        <v>220</v>
      </c>
      <c r="J2" s="174" t="s">
        <v>5</v>
      </c>
      <c r="K2" s="175" t="s">
        <v>632</v>
      </c>
      <c r="L2" s="175" t="s">
        <v>31</v>
      </c>
      <c r="N2" s="176" t="s">
        <v>633</v>
      </c>
      <c r="O2" s="177">
        <f>+'HAULING_COST_(cement)'!D32</f>
        <v>2</v>
      </c>
      <c r="R2" s="180" t="s">
        <v>111</v>
      </c>
      <c r="S2" s="180" t="s">
        <v>35</v>
      </c>
      <c r="T2" s="180" t="s">
        <v>634</v>
      </c>
      <c r="U2" s="180" t="s">
        <v>8</v>
      </c>
    </row>
    <row r="3" spans="1:22" ht="15">
      <c r="A3" s="168"/>
      <c r="B3" s="158" t="s">
        <v>635</v>
      </c>
      <c r="C3" s="10" t="s">
        <v>213</v>
      </c>
      <c r="D3" s="159">
        <v>50</v>
      </c>
      <c r="F3" s="160" t="s">
        <v>636</v>
      </c>
      <c r="G3" s="10" t="s">
        <v>637</v>
      </c>
      <c r="H3" s="161">
        <v>5000</v>
      </c>
      <c r="J3" t="s">
        <v>346</v>
      </c>
      <c r="K3" s="169">
        <v>110.65</v>
      </c>
      <c r="L3" s="10" t="s">
        <v>638</v>
      </c>
      <c r="N3" s="176" t="s">
        <v>639</v>
      </c>
      <c r="O3" s="177">
        <f>+'HAULING_COST_(RSB)'!H29</f>
        <v>4.0999999999999996</v>
      </c>
      <c r="R3" s="180" t="s">
        <v>640</v>
      </c>
      <c r="S3" s="181">
        <v>0.15</v>
      </c>
      <c r="T3" s="181">
        <v>0.1</v>
      </c>
      <c r="U3" s="181">
        <v>0.05</v>
      </c>
      <c r="V3" s="182">
        <f>+S3+T3</f>
        <v>0.25</v>
      </c>
    </row>
    <row r="4" spans="1:22" ht="15">
      <c r="A4" s="168"/>
      <c r="B4" s="158" t="s">
        <v>641</v>
      </c>
      <c r="C4" s="10" t="s">
        <v>572</v>
      </c>
      <c r="D4" s="159">
        <v>44</v>
      </c>
      <c r="F4" s="160" t="s">
        <v>122</v>
      </c>
      <c r="G4" s="10"/>
      <c r="H4" s="161">
        <v>10815</v>
      </c>
      <c r="J4" t="s">
        <v>348</v>
      </c>
      <c r="K4" s="169">
        <v>80.05</v>
      </c>
      <c r="L4" s="10" t="s">
        <v>638</v>
      </c>
      <c r="R4" s="180" t="s">
        <v>642</v>
      </c>
      <c r="S4" s="181">
        <v>0.12</v>
      </c>
      <c r="T4" s="181">
        <v>0.08</v>
      </c>
      <c r="U4" s="181">
        <v>0.05</v>
      </c>
      <c r="V4" s="182">
        <f>+S4+T4</f>
        <v>0.2</v>
      </c>
    </row>
    <row r="5" spans="1:22" ht="15">
      <c r="A5" s="168"/>
      <c r="B5" s="158" t="s">
        <v>643</v>
      </c>
      <c r="C5" s="10" t="s">
        <v>580</v>
      </c>
      <c r="D5" s="159">
        <v>8000</v>
      </c>
      <c r="F5" s="160" t="s">
        <v>606</v>
      </c>
      <c r="G5" s="10"/>
      <c r="H5" s="169">
        <f>+Equipments!Y40</f>
        <v>1073.9100000000001</v>
      </c>
      <c r="J5" t="s">
        <v>350</v>
      </c>
      <c r="K5" s="169">
        <v>61.75</v>
      </c>
      <c r="L5" s="10" t="s">
        <v>638</v>
      </c>
      <c r="R5" s="180" t="s">
        <v>644</v>
      </c>
      <c r="S5" s="181">
        <v>0.1</v>
      </c>
      <c r="T5" s="181">
        <v>0.08</v>
      </c>
      <c r="U5" s="181">
        <v>0.05</v>
      </c>
      <c r="V5" s="182">
        <f>+S5+T5</f>
        <v>0.18</v>
      </c>
    </row>
    <row r="6" spans="1:22" ht="15">
      <c r="A6" s="170" t="s">
        <v>645</v>
      </c>
      <c r="B6" s="171" t="s">
        <v>646</v>
      </c>
      <c r="F6" s="160" t="s">
        <v>123</v>
      </c>
      <c r="G6" s="10"/>
      <c r="H6" s="169">
        <f>+Equipments!Y38</f>
        <v>2588.75</v>
      </c>
      <c r="R6" s="180" t="s">
        <v>647</v>
      </c>
      <c r="S6" s="181">
        <v>0.08</v>
      </c>
      <c r="T6" s="181">
        <v>0.08</v>
      </c>
      <c r="U6" s="181">
        <v>0.05</v>
      </c>
      <c r="V6" s="182">
        <f>+S6+T6</f>
        <v>0.16</v>
      </c>
    </row>
    <row r="7" spans="1:22">
      <c r="A7" s="168" t="s">
        <v>648</v>
      </c>
      <c r="B7" s="158" t="s">
        <v>649</v>
      </c>
      <c r="C7" s="10" t="s">
        <v>204</v>
      </c>
      <c r="D7" s="159">
        <v>340</v>
      </c>
      <c r="F7" s="160" t="s">
        <v>650</v>
      </c>
      <c r="H7" s="169">
        <f>+Equipments!Y39</f>
        <v>3117.05</v>
      </c>
      <c r="J7" t="s">
        <v>478</v>
      </c>
      <c r="K7" s="169">
        <f>+K3*8</f>
        <v>885.2</v>
      </c>
      <c r="L7" s="10" t="s">
        <v>651</v>
      </c>
    </row>
    <row r="8" spans="1:22">
      <c r="A8" s="168" t="s">
        <v>652</v>
      </c>
      <c r="B8" s="158" t="s">
        <v>653</v>
      </c>
      <c r="C8" s="10" t="s">
        <v>204</v>
      </c>
      <c r="D8" s="159">
        <v>360</v>
      </c>
      <c r="F8" s="160" t="s">
        <v>654</v>
      </c>
      <c r="G8" s="10"/>
      <c r="H8" s="169">
        <f>+Equipments!Y64</f>
        <v>2859.64</v>
      </c>
      <c r="J8" t="s">
        <v>479</v>
      </c>
      <c r="K8" s="169">
        <f>+K4*8</f>
        <v>640.4</v>
      </c>
      <c r="L8" s="10" t="s">
        <v>651</v>
      </c>
    </row>
    <row r="9" spans="1:22">
      <c r="A9" s="168" t="s">
        <v>655</v>
      </c>
      <c r="B9" s="158" t="s">
        <v>656</v>
      </c>
      <c r="C9" s="10" t="s">
        <v>204</v>
      </c>
      <c r="D9" s="159">
        <v>570</v>
      </c>
      <c r="F9" s="160" t="s">
        <v>128</v>
      </c>
      <c r="G9" s="10"/>
      <c r="H9" s="169">
        <f>+Equipments!Y4</f>
        <v>4060.69</v>
      </c>
      <c r="J9" t="s">
        <v>480</v>
      </c>
      <c r="K9" s="169">
        <f>+K5*8</f>
        <v>494</v>
      </c>
      <c r="L9" s="10" t="s">
        <v>651</v>
      </c>
    </row>
    <row r="10" spans="1:22" ht="15">
      <c r="A10" s="170" t="s">
        <v>657</v>
      </c>
      <c r="B10" s="171" t="s">
        <v>658</v>
      </c>
      <c r="F10" s="160" t="s">
        <v>659</v>
      </c>
      <c r="H10" s="169">
        <f>+Equipments!Y5</f>
        <v>4519.54</v>
      </c>
      <c r="J10" t="s">
        <v>660</v>
      </c>
      <c r="K10" s="169">
        <f>+K5*8</f>
        <v>494</v>
      </c>
      <c r="L10" s="10" t="s">
        <v>651</v>
      </c>
    </row>
    <row r="11" spans="1:22" ht="15">
      <c r="A11" s="168" t="s">
        <v>661</v>
      </c>
      <c r="B11" s="158" t="s">
        <v>662</v>
      </c>
      <c r="C11" s="10" t="s">
        <v>204</v>
      </c>
      <c r="D11" s="159">
        <v>470</v>
      </c>
      <c r="F11" s="160" t="s">
        <v>129</v>
      </c>
      <c r="G11" s="10"/>
      <c r="H11" s="169">
        <f>+Equipments!Y6</f>
        <v>2114.8000000000002</v>
      </c>
      <c r="J11" s="5"/>
      <c r="K11" s="12"/>
    </row>
    <row r="12" spans="1:22" ht="15">
      <c r="A12" s="170" t="s">
        <v>663</v>
      </c>
      <c r="B12" s="171" t="s">
        <v>664</v>
      </c>
      <c r="F12" s="160" t="s">
        <v>131</v>
      </c>
      <c r="G12" s="10"/>
      <c r="H12" s="169">
        <f>+Equipments!Y6</f>
        <v>2114.8000000000002</v>
      </c>
      <c r="J12" s="5"/>
      <c r="K12" s="12"/>
    </row>
    <row r="13" spans="1:22" ht="15">
      <c r="A13" s="168" t="s">
        <v>665</v>
      </c>
      <c r="B13" s="158" t="s">
        <v>666</v>
      </c>
      <c r="C13" s="10" t="s">
        <v>204</v>
      </c>
      <c r="D13" s="159">
        <v>550</v>
      </c>
      <c r="F13" s="160" t="s">
        <v>125</v>
      </c>
      <c r="G13" s="10"/>
      <c r="H13" s="169">
        <f>+Equipments!Y62</f>
        <v>2932.45</v>
      </c>
      <c r="J13" s="5"/>
      <c r="K13" s="12"/>
    </row>
    <row r="14" spans="1:22" ht="15">
      <c r="A14" s="168" t="s">
        <v>667</v>
      </c>
      <c r="B14" s="158" t="s">
        <v>668</v>
      </c>
      <c r="C14" s="10" t="s">
        <v>204</v>
      </c>
      <c r="D14" s="159">
        <v>420</v>
      </c>
      <c r="F14" s="160" t="s">
        <v>133</v>
      </c>
      <c r="G14" s="10"/>
      <c r="H14" s="169">
        <f>+Equipments!Y7</f>
        <v>2664.75</v>
      </c>
      <c r="J14" s="5"/>
      <c r="K14" s="12"/>
    </row>
    <row r="15" spans="1:22" ht="15">
      <c r="A15" s="170" t="s">
        <v>669</v>
      </c>
      <c r="B15" s="171" t="s">
        <v>670</v>
      </c>
      <c r="F15" s="160" t="s">
        <v>134</v>
      </c>
      <c r="G15" s="10"/>
      <c r="H15" s="169">
        <f>+Equipments!Y12</f>
        <v>2396.7800000000002</v>
      </c>
      <c r="J15" s="10"/>
      <c r="K15" s="161"/>
    </row>
    <row r="16" spans="1:22">
      <c r="A16" s="168" t="s">
        <v>671</v>
      </c>
      <c r="B16" s="158" t="s">
        <v>672</v>
      </c>
      <c r="C16" s="10" t="s">
        <v>204</v>
      </c>
      <c r="D16" s="159">
        <v>3500</v>
      </c>
      <c r="F16" s="160" t="s">
        <v>136</v>
      </c>
      <c r="G16" s="10"/>
      <c r="H16" s="169">
        <f>+Equipments!Y66</f>
        <v>4217.3100000000004</v>
      </c>
      <c r="J16" s="10"/>
      <c r="K16" s="161"/>
    </row>
    <row r="17" spans="1:11">
      <c r="A17" s="168" t="s">
        <v>673</v>
      </c>
      <c r="B17" s="158" t="s">
        <v>674</v>
      </c>
      <c r="C17" s="10" t="s">
        <v>204</v>
      </c>
      <c r="D17" s="159">
        <v>3900</v>
      </c>
      <c r="F17" s="160" t="s">
        <v>138</v>
      </c>
      <c r="G17" s="10"/>
      <c r="H17" s="169">
        <f>+Equipments!Y57</f>
        <v>2276.6799999999998</v>
      </c>
      <c r="J17" s="10"/>
      <c r="K17" s="161"/>
    </row>
    <row r="18" spans="1:11">
      <c r="A18" s="168" t="s">
        <v>675</v>
      </c>
      <c r="B18" s="158" t="s">
        <v>676</v>
      </c>
      <c r="C18" s="10" t="s">
        <v>204</v>
      </c>
      <c r="D18" s="159">
        <v>4400</v>
      </c>
      <c r="F18" s="160" t="s">
        <v>139</v>
      </c>
      <c r="G18" s="10"/>
      <c r="H18" s="161">
        <f>+Equipments!Y95</f>
        <v>57.17</v>
      </c>
      <c r="J18" s="10"/>
      <c r="K18" s="161"/>
    </row>
    <row r="19" spans="1:11">
      <c r="A19" s="168" t="s">
        <v>677</v>
      </c>
      <c r="B19" s="158" t="s">
        <v>678</v>
      </c>
      <c r="C19" s="10" t="s">
        <v>572</v>
      </c>
      <c r="D19" s="159">
        <v>76</v>
      </c>
      <c r="F19" s="160" t="s">
        <v>140</v>
      </c>
      <c r="G19" s="10"/>
      <c r="H19" s="161">
        <f>+Equipments!Y103</f>
        <v>1759.5</v>
      </c>
    </row>
    <row r="20" spans="1:11">
      <c r="A20" s="168" t="s">
        <v>679</v>
      </c>
      <c r="B20" s="158" t="s">
        <v>680</v>
      </c>
      <c r="C20" s="10" t="s">
        <v>108</v>
      </c>
      <c r="D20" s="159">
        <v>50</v>
      </c>
      <c r="F20" s="160" t="s">
        <v>141</v>
      </c>
      <c r="G20" s="10"/>
      <c r="H20" s="169">
        <f>+Equipments!Y55</f>
        <v>490.01</v>
      </c>
    </row>
    <row r="21" spans="1:11">
      <c r="A21" s="168" t="s">
        <v>681</v>
      </c>
      <c r="B21" s="158" t="s">
        <v>682</v>
      </c>
      <c r="C21" s="10" t="s">
        <v>108</v>
      </c>
      <c r="D21" s="159">
        <v>62</v>
      </c>
      <c r="F21" s="160" t="s">
        <v>142</v>
      </c>
      <c r="G21" s="10"/>
      <c r="H21" s="169">
        <f>+Equipments!Y96</f>
        <v>77.63</v>
      </c>
    </row>
    <row r="22" spans="1:11">
      <c r="A22" s="168" t="s">
        <v>683</v>
      </c>
      <c r="B22" s="158" t="s">
        <v>684</v>
      </c>
      <c r="C22" s="10" t="s">
        <v>108</v>
      </c>
      <c r="D22" s="159">
        <v>75</v>
      </c>
      <c r="F22" s="160" t="s">
        <v>143</v>
      </c>
      <c r="G22" s="10"/>
      <c r="H22" s="161">
        <f>+Equipments!Y97</f>
        <v>105.47</v>
      </c>
    </row>
    <row r="23" spans="1:11" ht="15">
      <c r="A23" s="170" t="s">
        <v>685</v>
      </c>
      <c r="B23" s="171" t="s">
        <v>686</v>
      </c>
      <c r="F23" s="160" t="s">
        <v>145</v>
      </c>
      <c r="G23" s="10"/>
      <c r="H23" s="161">
        <f>+Equipments!Y98</f>
        <v>168.75</v>
      </c>
    </row>
    <row r="24" spans="1:11">
      <c r="A24" s="168" t="s">
        <v>687</v>
      </c>
      <c r="B24" s="158" t="s">
        <v>688</v>
      </c>
      <c r="C24" s="10" t="s">
        <v>302</v>
      </c>
      <c r="D24" s="172">
        <v>53</v>
      </c>
      <c r="F24" s="160" t="s">
        <v>689</v>
      </c>
      <c r="H24" s="169">
        <f>+Equipments!Y63</f>
        <v>1557.7</v>
      </c>
    </row>
    <row r="25" spans="1:11">
      <c r="A25" s="168" t="s">
        <v>690</v>
      </c>
      <c r="B25" s="158" t="s">
        <v>691</v>
      </c>
      <c r="C25" s="10" t="s">
        <v>302</v>
      </c>
      <c r="D25" s="172">
        <v>54</v>
      </c>
      <c r="F25" s="160" t="s">
        <v>146</v>
      </c>
      <c r="G25" s="10"/>
      <c r="H25" s="169">
        <f>+Equipments!Y65</f>
        <v>2544.4699999999998</v>
      </c>
    </row>
    <row r="26" spans="1:11">
      <c r="A26" s="168" t="s">
        <v>692</v>
      </c>
      <c r="B26" s="158" t="s">
        <v>693</v>
      </c>
      <c r="C26" s="10" t="s">
        <v>108</v>
      </c>
      <c r="D26" s="159">
        <v>15605</v>
      </c>
      <c r="F26" s="160" t="s">
        <v>148</v>
      </c>
      <c r="G26" s="10"/>
      <c r="H26" s="161">
        <f>+Equipments!Y56</f>
        <v>172</v>
      </c>
    </row>
    <row r="27" spans="1:11">
      <c r="A27" s="168" t="s">
        <v>694</v>
      </c>
      <c r="B27" s="158" t="s">
        <v>695</v>
      </c>
      <c r="C27" s="10" t="s">
        <v>108</v>
      </c>
      <c r="D27" s="159">
        <v>22790</v>
      </c>
      <c r="F27" s="160" t="s">
        <v>696</v>
      </c>
      <c r="G27" s="10"/>
      <c r="H27" s="169">
        <f>+Equipments!Y14</f>
        <v>153.01</v>
      </c>
    </row>
    <row r="28" spans="1:11">
      <c r="A28" s="168" t="s">
        <v>697</v>
      </c>
      <c r="B28" s="158" t="s">
        <v>698</v>
      </c>
      <c r="C28" s="10" t="s">
        <v>108</v>
      </c>
      <c r="D28" s="159">
        <v>24966</v>
      </c>
      <c r="F28" s="160" t="s">
        <v>699</v>
      </c>
      <c r="G28" s="10"/>
      <c r="H28" s="169">
        <f>+Equipments!Y46</f>
        <v>2989.63</v>
      </c>
    </row>
    <row r="29" spans="1:11">
      <c r="A29" s="168" t="s">
        <v>700</v>
      </c>
      <c r="B29" s="158" t="s">
        <v>701</v>
      </c>
      <c r="C29" s="10" t="s">
        <v>108</v>
      </c>
      <c r="D29" s="159">
        <v>28330</v>
      </c>
      <c r="F29" s="160" t="s">
        <v>702</v>
      </c>
      <c r="G29" s="10"/>
      <c r="H29" s="161">
        <f>+Equipments!Y110</f>
        <v>45.45</v>
      </c>
    </row>
    <row r="30" spans="1:11">
      <c r="A30" s="168" t="s">
        <v>703</v>
      </c>
      <c r="B30" s="158" t="s">
        <v>704</v>
      </c>
      <c r="C30" s="10" t="s">
        <v>302</v>
      </c>
      <c r="D30" s="1141">
        <v>65</v>
      </c>
      <c r="F30" s="160" t="s">
        <v>127</v>
      </c>
      <c r="H30" s="161">
        <f>+Equipments!Y94</f>
        <v>75.36</v>
      </c>
    </row>
    <row r="31" spans="1:11">
      <c r="A31" s="168"/>
      <c r="B31" s="158" t="s">
        <v>705</v>
      </c>
      <c r="C31" s="10" t="s">
        <v>108</v>
      </c>
      <c r="D31" s="159">
        <f>+(1.2)*D28</f>
        <v>29959.199999999997</v>
      </c>
      <c r="F31" s="160" t="s">
        <v>706</v>
      </c>
      <c r="H31" s="169">
        <f>+Equipments!Y47</f>
        <v>12414.43</v>
      </c>
    </row>
    <row r="32" spans="1:11">
      <c r="A32" s="168"/>
      <c r="B32" s="158" t="s">
        <v>707</v>
      </c>
      <c r="C32" s="10" t="s">
        <v>108</v>
      </c>
      <c r="D32" s="159">
        <f>+(1.2)*D29</f>
        <v>33996</v>
      </c>
      <c r="E32" s="159">
        <f>+ROUND(((PI()*(1.824^2)/4)-(PI()*(1.8^2)/4))*1*7850*D30,0)</f>
        <v>34856</v>
      </c>
      <c r="F32" s="160" t="s">
        <v>708</v>
      </c>
      <c r="H32" s="169">
        <f>+Equipments!Y18</f>
        <v>2837.64</v>
      </c>
    </row>
    <row r="33" spans="1:8">
      <c r="A33" s="168" t="s">
        <v>709</v>
      </c>
      <c r="B33" s="158" t="s">
        <v>710</v>
      </c>
      <c r="C33" s="10" t="s">
        <v>302</v>
      </c>
      <c r="D33" s="159">
        <v>65</v>
      </c>
      <c r="F33" s="160" t="s">
        <v>711</v>
      </c>
      <c r="H33" s="169">
        <f>+Equipments!Y19</f>
        <v>3177.24</v>
      </c>
    </row>
    <row r="34" spans="1:8">
      <c r="A34" s="168" t="s">
        <v>712</v>
      </c>
      <c r="B34" s="158" t="s">
        <v>713</v>
      </c>
      <c r="C34" s="10" t="s">
        <v>302</v>
      </c>
      <c r="D34" s="159">
        <v>57</v>
      </c>
      <c r="F34" s="160" t="s">
        <v>714</v>
      </c>
      <c r="H34" s="169">
        <f>+Equipments!Y20</f>
        <v>3059.64</v>
      </c>
    </row>
    <row r="35" spans="1:8">
      <c r="A35" s="168" t="s">
        <v>715</v>
      </c>
      <c r="B35" s="158" t="s">
        <v>716</v>
      </c>
      <c r="C35" s="10" t="s">
        <v>302</v>
      </c>
      <c r="D35" s="159">
        <v>122.5</v>
      </c>
      <c r="F35" s="160" t="s">
        <v>717</v>
      </c>
      <c r="H35" s="169">
        <f>+Equipments!Y17</f>
        <v>2228.7199999999998</v>
      </c>
    </row>
    <row r="36" spans="1:8" ht="15">
      <c r="A36" s="170" t="s">
        <v>718</v>
      </c>
      <c r="B36" s="171" t="s">
        <v>719</v>
      </c>
      <c r="F36" s="160" t="s">
        <v>720</v>
      </c>
      <c r="H36" s="169">
        <f>+Equipments!Y83</f>
        <v>3284.98</v>
      </c>
    </row>
    <row r="37" spans="1:8">
      <c r="A37" s="168" t="s">
        <v>721</v>
      </c>
      <c r="B37" s="158" t="s">
        <v>722</v>
      </c>
      <c r="C37" s="10" t="s">
        <v>302</v>
      </c>
      <c r="D37" s="173">
        <v>0</v>
      </c>
      <c r="F37" s="160" t="s">
        <v>723</v>
      </c>
      <c r="H37" s="169">
        <f>+Equipments!Y85</f>
        <v>9895.75</v>
      </c>
    </row>
    <row r="38" spans="1:8">
      <c r="A38" s="168" t="s">
        <v>724</v>
      </c>
      <c r="B38" s="158" t="s">
        <v>725</v>
      </c>
      <c r="C38" s="10" t="s">
        <v>302</v>
      </c>
      <c r="D38" s="173">
        <v>0</v>
      </c>
      <c r="F38" s="160" t="s">
        <v>726</v>
      </c>
      <c r="H38" s="161">
        <f>+Equipments!Y118</f>
        <v>280</v>
      </c>
    </row>
    <row r="39" spans="1:8">
      <c r="A39" s="168" t="s">
        <v>727</v>
      </c>
      <c r="B39" s="158" t="s">
        <v>728</v>
      </c>
      <c r="C39" s="10" t="s">
        <v>302</v>
      </c>
      <c r="D39" s="1142">
        <v>69</v>
      </c>
      <c r="F39" s="160" t="s">
        <v>729</v>
      </c>
      <c r="H39" s="161">
        <f>+Equipments!Y119</f>
        <v>173</v>
      </c>
    </row>
    <row r="40" spans="1:8" ht="15">
      <c r="A40" s="168" t="s">
        <v>730</v>
      </c>
      <c r="B40" s="158" t="s">
        <v>731</v>
      </c>
      <c r="C40" s="10" t="s">
        <v>302</v>
      </c>
      <c r="D40" s="173">
        <v>0</v>
      </c>
      <c r="F40" s="160" t="s">
        <v>732</v>
      </c>
      <c r="H40" s="169">
        <f>+Equipments!Y78</f>
        <v>168.37</v>
      </c>
    </row>
    <row r="41" spans="1:8" ht="15">
      <c r="A41" s="170" t="s">
        <v>733</v>
      </c>
      <c r="B41" s="171" t="s">
        <v>734</v>
      </c>
      <c r="F41" s="160" t="s">
        <v>735</v>
      </c>
      <c r="H41" s="169">
        <f>+Equipments!Y88</f>
        <v>598.92999999999995</v>
      </c>
    </row>
    <row r="42" spans="1:8">
      <c r="A42" s="168" t="s">
        <v>736</v>
      </c>
      <c r="B42" s="158" t="s">
        <v>737</v>
      </c>
      <c r="C42" s="10" t="s">
        <v>302</v>
      </c>
      <c r="D42" s="172">
        <v>41</v>
      </c>
      <c r="F42" s="160" t="s">
        <v>738</v>
      </c>
      <c r="H42" s="169">
        <f>+Equipments!Y89</f>
        <v>872.86</v>
      </c>
    </row>
    <row r="43" spans="1:8">
      <c r="A43" s="168" t="s">
        <v>739</v>
      </c>
      <c r="B43" s="158" t="s">
        <v>740</v>
      </c>
      <c r="C43" s="10" t="s">
        <v>302</v>
      </c>
      <c r="D43" s="172">
        <v>42</v>
      </c>
      <c r="F43" s="160" t="s">
        <v>741</v>
      </c>
      <c r="H43" s="161">
        <f>+Equipments!Y90</f>
        <v>391</v>
      </c>
    </row>
    <row r="44" spans="1:8" ht="15">
      <c r="A44" s="168" t="s">
        <v>742</v>
      </c>
      <c r="B44" s="158" t="s">
        <v>743</v>
      </c>
      <c r="C44" s="10" t="s">
        <v>302</v>
      </c>
      <c r="D44" s="159">
        <v>85</v>
      </c>
      <c r="F44" s="160" t="s">
        <v>744</v>
      </c>
      <c r="G44" s="5"/>
      <c r="H44" s="161">
        <f>+Equipments!Y120</f>
        <v>320</v>
      </c>
    </row>
    <row r="45" spans="1:8" ht="15">
      <c r="A45" s="170" t="s">
        <v>745</v>
      </c>
      <c r="B45" s="171" t="s">
        <v>746</v>
      </c>
      <c r="F45" s="160" t="s">
        <v>747</v>
      </c>
      <c r="H45" s="161">
        <f>+Equipments!Y114</f>
        <v>559</v>
      </c>
    </row>
    <row r="46" spans="1:8">
      <c r="A46" s="168" t="s">
        <v>748</v>
      </c>
      <c r="B46" s="158" t="s">
        <v>749</v>
      </c>
      <c r="C46" s="10" t="s">
        <v>302</v>
      </c>
      <c r="D46" s="159">
        <v>77.5</v>
      </c>
      <c r="F46" s="160" t="s">
        <v>750</v>
      </c>
      <c r="H46" s="169">
        <f>+Equipments!Y93</f>
        <v>147.19</v>
      </c>
    </row>
    <row r="47" spans="1:8">
      <c r="A47" s="168" t="s">
        <v>751</v>
      </c>
      <c r="B47" s="158" t="s">
        <v>752</v>
      </c>
      <c r="C47" s="10" t="s">
        <v>204</v>
      </c>
      <c r="D47" s="159">
        <v>630</v>
      </c>
      <c r="F47" s="160" t="s">
        <v>753</v>
      </c>
      <c r="H47" s="169">
        <f>+Equipments!Y70</f>
        <v>666.93</v>
      </c>
    </row>
    <row r="48" spans="1:8">
      <c r="A48" s="168" t="s">
        <v>754</v>
      </c>
      <c r="B48" s="158" t="s">
        <v>755</v>
      </c>
      <c r="C48" s="10" t="s">
        <v>204</v>
      </c>
      <c r="D48" s="172">
        <v>400</v>
      </c>
      <c r="F48" s="160" t="s">
        <v>756</v>
      </c>
      <c r="H48" s="161">
        <f>+Equipments!Y99</f>
        <v>260.86</v>
      </c>
    </row>
    <row r="49" spans="1:9">
      <c r="A49" s="168" t="s">
        <v>757</v>
      </c>
      <c r="B49" s="158" t="s">
        <v>758</v>
      </c>
      <c r="C49" s="10" t="s">
        <v>204</v>
      </c>
      <c r="D49" s="159">
        <v>570</v>
      </c>
      <c r="F49" s="160" t="s">
        <v>759</v>
      </c>
      <c r="H49" s="161">
        <f>+Equipments!Y123</f>
        <v>37000</v>
      </c>
    </row>
    <row r="50" spans="1:9">
      <c r="A50" s="168" t="s">
        <v>760</v>
      </c>
      <c r="B50" s="158" t="s">
        <v>761</v>
      </c>
      <c r="C50" s="10" t="s">
        <v>305</v>
      </c>
      <c r="D50" s="159">
        <v>21</v>
      </c>
      <c r="F50" s="160" t="s">
        <v>762</v>
      </c>
      <c r="H50" s="161">
        <f>+Equipments!Y122</f>
        <v>103000</v>
      </c>
    </row>
    <row r="51" spans="1:9">
      <c r="A51" s="168" t="s">
        <v>763</v>
      </c>
      <c r="B51" s="158" t="s">
        <v>764</v>
      </c>
      <c r="C51" s="10" t="s">
        <v>305</v>
      </c>
      <c r="D51" s="159">
        <v>46</v>
      </c>
      <c r="F51" s="160" t="s">
        <v>765</v>
      </c>
      <c r="H51" s="169">
        <f>+Equipments!Y25</f>
        <v>2968.57</v>
      </c>
    </row>
    <row r="52" spans="1:9">
      <c r="A52" s="168" t="s">
        <v>766</v>
      </c>
      <c r="B52" s="158" t="s">
        <v>767</v>
      </c>
      <c r="C52" s="10" t="s">
        <v>580</v>
      </c>
      <c r="D52" s="159">
        <v>420</v>
      </c>
      <c r="E52" s="10" t="s">
        <v>768</v>
      </c>
      <c r="F52" s="160" t="s">
        <v>769</v>
      </c>
      <c r="H52" s="169">
        <f>+Equipments!Y26</f>
        <v>3233.53</v>
      </c>
    </row>
    <row r="53" spans="1:9">
      <c r="A53" s="168" t="s">
        <v>770</v>
      </c>
      <c r="B53" s="158" t="s">
        <v>771</v>
      </c>
      <c r="C53" s="10" t="s">
        <v>580</v>
      </c>
      <c r="D53" s="159">
        <v>780</v>
      </c>
      <c r="E53" s="10" t="s">
        <v>772</v>
      </c>
      <c r="F53" s="160" t="s">
        <v>773</v>
      </c>
      <c r="H53" s="169">
        <f>+Equipments!Y27</f>
        <v>3585.13</v>
      </c>
    </row>
    <row r="54" spans="1:9" ht="15">
      <c r="A54" s="170" t="s">
        <v>774</v>
      </c>
      <c r="B54" s="171" t="s">
        <v>775</v>
      </c>
      <c r="F54" s="160" t="s">
        <v>776</v>
      </c>
      <c r="H54" s="169">
        <f>+Equipments!Y28</f>
        <v>4141.47</v>
      </c>
    </row>
    <row r="55" spans="1:9">
      <c r="A55" s="168" t="s">
        <v>777</v>
      </c>
      <c r="B55" s="158" t="s">
        <v>778</v>
      </c>
      <c r="C55" s="10" t="s">
        <v>392</v>
      </c>
      <c r="D55" s="159">
        <v>1850</v>
      </c>
      <c r="F55" s="160" t="s">
        <v>779</v>
      </c>
      <c r="H55" s="161">
        <f>+Equipments!Y116</f>
        <v>5000</v>
      </c>
    </row>
    <row r="56" spans="1:9">
      <c r="A56" s="168" t="s">
        <v>780</v>
      </c>
      <c r="B56" s="158" t="s">
        <v>781</v>
      </c>
      <c r="C56" s="10" t="s">
        <v>302</v>
      </c>
      <c r="D56" s="159">
        <v>57</v>
      </c>
      <c r="F56" s="160" t="s">
        <v>782</v>
      </c>
      <c r="H56" s="161">
        <f>+Equipments!Y117</f>
        <v>1265</v>
      </c>
    </row>
    <row r="57" spans="1:9">
      <c r="A57" s="168" t="s">
        <v>783</v>
      </c>
      <c r="B57" s="158" t="s">
        <v>784</v>
      </c>
      <c r="C57" s="10" t="s">
        <v>108</v>
      </c>
      <c r="D57" s="159">
        <v>275</v>
      </c>
      <c r="F57" s="160" t="s">
        <v>785</v>
      </c>
      <c r="H57" s="161">
        <f>+Equipments!Y125</f>
        <v>2500</v>
      </c>
    </row>
    <row r="58" spans="1:9" ht="15">
      <c r="A58" s="168" t="s">
        <v>786</v>
      </c>
      <c r="B58" s="158" t="s">
        <v>787</v>
      </c>
      <c r="C58" s="10" t="s">
        <v>108</v>
      </c>
      <c r="D58" s="159">
        <v>40</v>
      </c>
      <c r="F58" s="160" t="s">
        <v>788</v>
      </c>
      <c r="H58" s="161">
        <f>+Equipments!Y59</f>
        <v>866.25</v>
      </c>
      <c r="I58" s="178"/>
    </row>
    <row r="59" spans="1:9">
      <c r="A59" s="168" t="s">
        <v>789</v>
      </c>
      <c r="B59" s="158" t="s">
        <v>790</v>
      </c>
      <c r="C59" s="10" t="s">
        <v>580</v>
      </c>
      <c r="D59" s="159">
        <v>75</v>
      </c>
      <c r="F59" s="160" t="s">
        <v>791</v>
      </c>
      <c r="H59" s="161">
        <f>+Equipments!Y127</f>
        <v>100</v>
      </c>
    </row>
    <row r="60" spans="1:9" ht="15">
      <c r="A60" s="170" t="s">
        <v>792</v>
      </c>
      <c r="B60" s="171" t="s">
        <v>793</v>
      </c>
      <c r="F60" s="160" t="s">
        <v>794</v>
      </c>
      <c r="H60" s="161">
        <f>+Equipments!Y108</f>
        <v>93.75</v>
      </c>
    </row>
    <row r="61" spans="1:9">
      <c r="A61" s="168" t="s">
        <v>795</v>
      </c>
      <c r="B61" s="158" t="s">
        <v>796</v>
      </c>
      <c r="C61" s="10" t="s">
        <v>580</v>
      </c>
      <c r="D61" s="159">
        <v>6300</v>
      </c>
      <c r="E61" s="10" t="s">
        <v>797</v>
      </c>
      <c r="F61" s="160" t="s">
        <v>798</v>
      </c>
      <c r="H61" s="161">
        <f>+Equipments!Y109</f>
        <v>187.5</v>
      </c>
    </row>
    <row r="62" spans="1:9">
      <c r="A62" s="168" t="s">
        <v>799</v>
      </c>
      <c r="B62" s="158" t="s">
        <v>800</v>
      </c>
      <c r="C62" s="10" t="s">
        <v>580</v>
      </c>
      <c r="D62" s="159">
        <v>10500</v>
      </c>
      <c r="F62" s="160" t="s">
        <v>801</v>
      </c>
      <c r="H62" s="161">
        <f>+Equipments!Y126</f>
        <v>1249</v>
      </c>
    </row>
    <row r="63" spans="1:9">
      <c r="A63" s="168" t="s">
        <v>802</v>
      </c>
      <c r="B63" s="158" t="s">
        <v>803</v>
      </c>
      <c r="C63" s="10" t="s">
        <v>580</v>
      </c>
      <c r="D63" s="159">
        <v>16500</v>
      </c>
      <c r="F63" s="160" t="s">
        <v>804</v>
      </c>
      <c r="H63" s="169">
        <f>+Equipments!Y21</f>
        <v>4129.47</v>
      </c>
    </row>
    <row r="64" spans="1:9" ht="15">
      <c r="A64" s="170" t="s">
        <v>805</v>
      </c>
      <c r="B64" s="171" t="s">
        <v>806</v>
      </c>
      <c r="F64" s="160" t="s">
        <v>807</v>
      </c>
      <c r="H64" s="169">
        <f>+Equipments!Y45</f>
        <v>4790.6000000000004</v>
      </c>
    </row>
    <row r="65" spans="1:8">
      <c r="A65" s="168" t="s">
        <v>808</v>
      </c>
      <c r="B65" s="158" t="s">
        <v>809</v>
      </c>
      <c r="C65" s="10" t="s">
        <v>580</v>
      </c>
      <c r="D65" s="159">
        <v>2635</v>
      </c>
      <c r="F65" s="160" t="s">
        <v>810</v>
      </c>
      <c r="H65" s="169">
        <f>+Equipments!Y44</f>
        <v>4210.8100000000004</v>
      </c>
    </row>
    <row r="66" spans="1:8" ht="15">
      <c r="A66" s="170" t="s">
        <v>811</v>
      </c>
      <c r="B66" s="171" t="s">
        <v>812</v>
      </c>
      <c r="H66" s="169"/>
    </row>
    <row r="67" spans="1:8">
      <c r="A67" s="168" t="s">
        <v>813</v>
      </c>
      <c r="B67" s="158" t="s">
        <v>814</v>
      </c>
      <c r="C67" s="10" t="s">
        <v>580</v>
      </c>
      <c r="D67" s="1141">
        <v>18</v>
      </c>
      <c r="H67" s="169"/>
    </row>
    <row r="68" spans="1:8" ht="15">
      <c r="A68" s="170" t="s">
        <v>815</v>
      </c>
      <c r="B68" s="171" t="s">
        <v>816</v>
      </c>
      <c r="F68" s="160" t="s">
        <v>817</v>
      </c>
      <c r="H68" s="169">
        <f>+Equipments!Y50</f>
        <v>1385.82</v>
      </c>
    </row>
    <row r="69" spans="1:8">
      <c r="A69" s="168" t="s">
        <v>818</v>
      </c>
      <c r="B69" s="158" t="s">
        <v>819</v>
      </c>
      <c r="C69" s="10" t="s">
        <v>204</v>
      </c>
      <c r="D69" s="159">
        <v>650</v>
      </c>
      <c r="F69" s="160" t="s">
        <v>820</v>
      </c>
      <c r="H69" s="161">
        <f>+Equipments!Y106</f>
        <v>130.54</v>
      </c>
    </row>
    <row r="70" spans="1:8" ht="15">
      <c r="A70" s="170" t="s">
        <v>821</v>
      </c>
      <c r="B70" s="171" t="s">
        <v>168</v>
      </c>
      <c r="F70" s="160" t="s">
        <v>822</v>
      </c>
      <c r="H70" s="169">
        <f>+Equipments!Y51</f>
        <v>2018.87</v>
      </c>
    </row>
    <row r="71" spans="1:8">
      <c r="A71" s="168" t="s">
        <v>823</v>
      </c>
      <c r="B71" s="158" t="s">
        <v>278</v>
      </c>
      <c r="C71" s="10" t="s">
        <v>204</v>
      </c>
      <c r="D71" s="159">
        <v>700</v>
      </c>
      <c r="F71" s="160" t="s">
        <v>824</v>
      </c>
      <c r="H71" s="169">
        <f>+Equipments!Y11</f>
        <v>1171.8</v>
      </c>
    </row>
    <row r="72" spans="1:8" ht="15">
      <c r="A72" s="170" t="s">
        <v>825</v>
      </c>
      <c r="B72" s="171" t="s">
        <v>826</v>
      </c>
      <c r="F72" s="160" t="s">
        <v>827</v>
      </c>
      <c r="H72" s="169">
        <f>+Equipments!Y13</f>
        <v>2642.76</v>
      </c>
    </row>
    <row r="73" spans="1:8">
      <c r="A73" s="168" t="s">
        <v>828</v>
      </c>
      <c r="B73" s="158" t="s">
        <v>829</v>
      </c>
      <c r="C73" s="10" t="s">
        <v>580</v>
      </c>
      <c r="D73" s="159">
        <v>2480</v>
      </c>
      <c r="F73" s="160" t="s">
        <v>830</v>
      </c>
      <c r="H73" s="161">
        <f>+Equipments!Y74</f>
        <v>150</v>
      </c>
    </row>
    <row r="74" spans="1:8">
      <c r="A74" s="168" t="s">
        <v>831</v>
      </c>
      <c r="B74" s="158" t="s">
        <v>832</v>
      </c>
      <c r="C74" s="10" t="s">
        <v>580</v>
      </c>
      <c r="D74" s="159">
        <v>3800</v>
      </c>
      <c r="F74" s="160" t="s">
        <v>833</v>
      </c>
      <c r="H74" s="169">
        <f>+Equipments!Y72</f>
        <v>1551.78</v>
      </c>
    </row>
    <row r="75" spans="1:8">
      <c r="A75" s="168" t="s">
        <v>834</v>
      </c>
      <c r="B75" s="158" t="s">
        <v>835</v>
      </c>
      <c r="C75" s="10" t="s">
        <v>213</v>
      </c>
      <c r="D75" s="159">
        <v>177</v>
      </c>
      <c r="F75" s="160" t="s">
        <v>144</v>
      </c>
      <c r="H75" s="161">
        <v>84.55</v>
      </c>
    </row>
    <row r="76" spans="1:8" ht="15">
      <c r="A76" s="170" t="s">
        <v>836</v>
      </c>
      <c r="B76" s="171" t="s">
        <v>837</v>
      </c>
    </row>
    <row r="77" spans="1:8">
      <c r="A77" s="168" t="s">
        <v>838</v>
      </c>
      <c r="B77" s="158" t="s">
        <v>839</v>
      </c>
      <c r="C77" s="10" t="s">
        <v>580</v>
      </c>
      <c r="D77" s="172">
        <v>830</v>
      </c>
      <c r="E77" s="10" t="s">
        <v>840</v>
      </c>
    </row>
    <row r="78" spans="1:8">
      <c r="A78" s="168" t="s">
        <v>841</v>
      </c>
      <c r="B78" s="158" t="s">
        <v>842</v>
      </c>
      <c r="C78" s="10" t="s">
        <v>580</v>
      </c>
      <c r="D78" s="159">
        <v>1350</v>
      </c>
      <c r="E78" s="10" t="s">
        <v>843</v>
      </c>
    </row>
    <row r="79" spans="1:8">
      <c r="A79" s="168" t="s">
        <v>844</v>
      </c>
      <c r="B79" s="158" t="s">
        <v>845</v>
      </c>
      <c r="C79" s="10" t="s">
        <v>580</v>
      </c>
      <c r="D79" s="172">
        <v>1840</v>
      </c>
      <c r="E79" s="10" t="s">
        <v>846</v>
      </c>
    </row>
    <row r="80" spans="1:8">
      <c r="A80" s="168" t="s">
        <v>847</v>
      </c>
      <c r="B80" s="158" t="s">
        <v>848</v>
      </c>
      <c r="C80" s="10" t="s">
        <v>580</v>
      </c>
      <c r="D80" s="159">
        <v>3140</v>
      </c>
      <c r="E80" s="10" t="s">
        <v>849</v>
      </c>
    </row>
    <row r="81" spans="1:8" ht="15">
      <c r="A81" s="170" t="s">
        <v>850</v>
      </c>
      <c r="B81" s="171" t="s">
        <v>851</v>
      </c>
    </row>
    <row r="82" spans="1:8">
      <c r="A82" s="168" t="s">
        <v>852</v>
      </c>
      <c r="B82" s="158" t="s">
        <v>853</v>
      </c>
      <c r="C82" s="10" t="s">
        <v>580</v>
      </c>
      <c r="D82" s="159">
        <v>1575</v>
      </c>
    </row>
    <row r="83" spans="1:8">
      <c r="A83" s="168" t="s">
        <v>854</v>
      </c>
      <c r="B83" s="158" t="s">
        <v>855</v>
      </c>
      <c r="C83" s="10" t="s">
        <v>108</v>
      </c>
      <c r="D83" s="159">
        <v>2100</v>
      </c>
    </row>
    <row r="84" spans="1:8">
      <c r="A84" s="168" t="s">
        <v>856</v>
      </c>
      <c r="B84" s="158" t="s">
        <v>857</v>
      </c>
      <c r="C84" s="10" t="s">
        <v>580</v>
      </c>
      <c r="D84" s="159">
        <v>35</v>
      </c>
      <c r="E84" s="10" t="s">
        <v>858</v>
      </c>
    </row>
    <row r="85" spans="1:8">
      <c r="A85" s="168" t="s">
        <v>859</v>
      </c>
      <c r="B85" s="158" t="s">
        <v>860</v>
      </c>
      <c r="C85" s="10" t="s">
        <v>580</v>
      </c>
      <c r="D85" s="159">
        <v>85</v>
      </c>
      <c r="E85" s="10" t="s">
        <v>861</v>
      </c>
    </row>
    <row r="86" spans="1:8">
      <c r="A86" s="168" t="s">
        <v>862</v>
      </c>
      <c r="B86" s="158" t="s">
        <v>863</v>
      </c>
      <c r="C86" s="10" t="s">
        <v>580</v>
      </c>
      <c r="D86" s="159">
        <v>95</v>
      </c>
      <c r="E86" s="10" t="s">
        <v>864</v>
      </c>
    </row>
    <row r="87" spans="1:8" ht="15">
      <c r="A87" s="170" t="s">
        <v>865</v>
      </c>
      <c r="B87" s="171" t="s">
        <v>866</v>
      </c>
    </row>
    <row r="88" spans="1:8">
      <c r="A88" s="168" t="s">
        <v>867</v>
      </c>
      <c r="B88" s="158" t="s">
        <v>868</v>
      </c>
      <c r="C88" s="10" t="s">
        <v>578</v>
      </c>
      <c r="D88" s="159">
        <v>680</v>
      </c>
    </row>
    <row r="89" spans="1:8">
      <c r="A89" s="168" t="s">
        <v>869</v>
      </c>
      <c r="B89" s="158" t="s">
        <v>870</v>
      </c>
      <c r="C89" s="10" t="s">
        <v>572</v>
      </c>
      <c r="D89" s="159">
        <v>132</v>
      </c>
    </row>
    <row r="90" spans="1:8">
      <c r="A90" s="168" t="s">
        <v>871</v>
      </c>
      <c r="B90" s="158" t="s">
        <v>872</v>
      </c>
      <c r="C90" s="10" t="s">
        <v>572</v>
      </c>
      <c r="D90" s="159">
        <v>132</v>
      </c>
    </row>
    <row r="91" spans="1:8">
      <c r="A91" s="168" t="s">
        <v>873</v>
      </c>
      <c r="B91" s="158" t="s">
        <v>874</v>
      </c>
      <c r="C91" s="10" t="s">
        <v>302</v>
      </c>
      <c r="D91" s="159">
        <v>65</v>
      </c>
    </row>
    <row r="92" spans="1:8">
      <c r="A92" s="168" t="s">
        <v>875</v>
      </c>
      <c r="B92" s="158" t="s">
        <v>876</v>
      </c>
      <c r="C92" s="10" t="s">
        <v>580</v>
      </c>
      <c r="D92" s="159">
        <v>98</v>
      </c>
    </row>
    <row r="93" spans="1:8">
      <c r="A93" s="168" t="s">
        <v>877</v>
      </c>
      <c r="B93" s="158" t="s">
        <v>878</v>
      </c>
      <c r="C93" s="10" t="s">
        <v>578</v>
      </c>
      <c r="D93" s="159">
        <v>1490</v>
      </c>
    </row>
    <row r="94" spans="1:8">
      <c r="A94" s="168" t="s">
        <v>879</v>
      </c>
      <c r="B94" s="158" t="s">
        <v>880</v>
      </c>
      <c r="C94" s="10" t="s">
        <v>578</v>
      </c>
      <c r="D94" s="159">
        <v>1540</v>
      </c>
    </row>
    <row r="95" spans="1:8" ht="15">
      <c r="A95" s="168" t="s">
        <v>881</v>
      </c>
      <c r="B95" s="158" t="s">
        <v>882</v>
      </c>
      <c r="C95" s="10" t="s">
        <v>572</v>
      </c>
      <c r="D95" s="159">
        <v>461</v>
      </c>
      <c r="F95" s="183"/>
      <c r="G95" s="5"/>
      <c r="H95" s="7"/>
    </row>
    <row r="96" spans="1:8">
      <c r="A96" s="168" t="s">
        <v>883</v>
      </c>
      <c r="B96" s="158" t="s">
        <v>884</v>
      </c>
      <c r="C96" s="10" t="s">
        <v>572</v>
      </c>
      <c r="D96" s="159">
        <v>481</v>
      </c>
    </row>
    <row r="97" spans="1:9" s="5" customFormat="1" ht="15">
      <c r="A97" s="170" t="s">
        <v>885</v>
      </c>
      <c r="B97" s="171" t="s">
        <v>886</v>
      </c>
      <c r="C97" s="10"/>
      <c r="D97" s="159"/>
      <c r="E97" s="10"/>
      <c r="F97" s="183"/>
      <c r="H97" s="7"/>
      <c r="I97" s="178"/>
    </row>
    <row r="98" spans="1:9">
      <c r="A98" s="168" t="s">
        <v>887</v>
      </c>
      <c r="B98" s="158" t="s">
        <v>888</v>
      </c>
      <c r="C98" s="10" t="s">
        <v>578</v>
      </c>
      <c r="D98" s="172">
        <v>260</v>
      </c>
    </row>
    <row r="99" spans="1:9" ht="15">
      <c r="A99" s="170" t="s">
        <v>889</v>
      </c>
      <c r="B99" s="171" t="s">
        <v>890</v>
      </c>
    </row>
    <row r="100" spans="1:9">
      <c r="A100" s="168" t="s">
        <v>891</v>
      </c>
      <c r="B100" s="158" t="s">
        <v>892</v>
      </c>
      <c r="C100" s="10" t="s">
        <v>893</v>
      </c>
      <c r="D100" s="159">
        <v>68500</v>
      </c>
    </row>
    <row r="101" spans="1:9" ht="15">
      <c r="A101" s="170" t="s">
        <v>894</v>
      </c>
      <c r="B101" s="171" t="s">
        <v>895</v>
      </c>
    </row>
    <row r="102" spans="1:9">
      <c r="A102" s="168" t="s">
        <v>896</v>
      </c>
      <c r="B102" s="158" t="s">
        <v>897</v>
      </c>
      <c r="C102" s="10" t="s">
        <v>572</v>
      </c>
      <c r="D102" s="159">
        <v>137</v>
      </c>
    </row>
    <row r="103" spans="1:9" ht="15">
      <c r="A103" s="170" t="s">
        <v>898</v>
      </c>
      <c r="B103" s="171" t="s">
        <v>899</v>
      </c>
    </row>
    <row r="104" spans="1:9">
      <c r="A104" s="168" t="s">
        <v>900</v>
      </c>
      <c r="B104" s="158" t="s">
        <v>901</v>
      </c>
      <c r="C104" s="10" t="s">
        <v>902</v>
      </c>
      <c r="D104" s="172">
        <v>710</v>
      </c>
    </row>
    <row r="105" spans="1:9" ht="15">
      <c r="A105" s="170" t="s">
        <v>903</v>
      </c>
      <c r="B105" s="171" t="s">
        <v>904</v>
      </c>
      <c r="C105" s="12"/>
      <c r="D105" s="184"/>
      <c r="E105" s="12"/>
    </row>
    <row r="106" spans="1:9" ht="15">
      <c r="A106" s="168" t="s">
        <v>905</v>
      </c>
      <c r="B106" s="158" t="s">
        <v>906</v>
      </c>
      <c r="C106" s="10" t="s">
        <v>572</v>
      </c>
      <c r="D106" s="159">
        <v>53</v>
      </c>
      <c r="E106" s="12"/>
    </row>
    <row r="107" spans="1:9">
      <c r="A107" s="168" t="s">
        <v>907</v>
      </c>
      <c r="B107" s="158" t="s">
        <v>908</v>
      </c>
      <c r="C107" s="10" t="s">
        <v>572</v>
      </c>
      <c r="D107" s="159">
        <v>250</v>
      </c>
    </row>
    <row r="108" spans="1:9" ht="15">
      <c r="A108" s="170" t="s">
        <v>909</v>
      </c>
      <c r="B108" s="171" t="s">
        <v>910</v>
      </c>
    </row>
    <row r="109" spans="1:9">
      <c r="A109" s="168" t="s">
        <v>911</v>
      </c>
      <c r="B109" s="158" t="s">
        <v>912</v>
      </c>
      <c r="C109" s="10" t="s">
        <v>392</v>
      </c>
      <c r="D109" s="159">
        <v>8980</v>
      </c>
    </row>
    <row r="110" spans="1:9">
      <c r="A110" s="168" t="s">
        <v>913</v>
      </c>
      <c r="B110" s="158" t="s">
        <v>914</v>
      </c>
      <c r="C110" s="10" t="s">
        <v>580</v>
      </c>
      <c r="D110" s="159">
        <v>180</v>
      </c>
    </row>
    <row r="111" spans="1:9">
      <c r="A111" s="168" t="s">
        <v>915</v>
      </c>
      <c r="B111" s="158" t="s">
        <v>916</v>
      </c>
      <c r="C111" s="10" t="s">
        <v>580</v>
      </c>
      <c r="D111" s="159">
        <v>840</v>
      </c>
      <c r="E111" s="10" t="s">
        <v>840</v>
      </c>
    </row>
    <row r="112" spans="1:9">
      <c r="A112" s="168" t="s">
        <v>917</v>
      </c>
      <c r="B112" s="158" t="s">
        <v>918</v>
      </c>
      <c r="C112" s="10" t="s">
        <v>580</v>
      </c>
      <c r="D112" s="172">
        <v>1260</v>
      </c>
      <c r="E112" s="10" t="s">
        <v>843</v>
      </c>
    </row>
    <row r="113" spans="1:5">
      <c r="A113" s="168" t="s">
        <v>919</v>
      </c>
      <c r="B113" s="158" t="s">
        <v>920</v>
      </c>
      <c r="C113" s="10" t="s">
        <v>580</v>
      </c>
      <c r="D113" s="159">
        <v>1680</v>
      </c>
      <c r="E113" s="10" t="s">
        <v>846</v>
      </c>
    </row>
    <row r="114" spans="1:5">
      <c r="A114" s="168" t="s">
        <v>921</v>
      </c>
      <c r="B114" s="158" t="s">
        <v>922</v>
      </c>
      <c r="C114" s="10" t="s">
        <v>580</v>
      </c>
      <c r="D114" s="159">
        <v>3040</v>
      </c>
      <c r="E114" s="10" t="s">
        <v>923</v>
      </c>
    </row>
    <row r="115" spans="1:5">
      <c r="A115" s="168" t="s">
        <v>924</v>
      </c>
      <c r="B115" s="158" t="s">
        <v>925</v>
      </c>
      <c r="C115" s="10" t="s">
        <v>580</v>
      </c>
      <c r="D115" s="172">
        <v>440</v>
      </c>
      <c r="E115" s="10" t="s">
        <v>923</v>
      </c>
    </row>
    <row r="116" spans="1:5" ht="15">
      <c r="A116" s="170" t="s">
        <v>926</v>
      </c>
      <c r="B116" s="171" t="s">
        <v>927</v>
      </c>
    </row>
    <row r="117" spans="1:5">
      <c r="A117" s="168" t="s">
        <v>928</v>
      </c>
      <c r="B117" s="158" t="s">
        <v>929</v>
      </c>
      <c r="C117" s="10" t="s">
        <v>930</v>
      </c>
      <c r="D117" s="172">
        <v>1830</v>
      </c>
    </row>
    <row r="118" spans="1:5" ht="15">
      <c r="A118" s="170" t="s">
        <v>931</v>
      </c>
      <c r="B118" s="171" t="s">
        <v>932</v>
      </c>
    </row>
    <row r="119" spans="1:5">
      <c r="A119" s="168" t="s">
        <v>933</v>
      </c>
      <c r="B119" s="158" t="s">
        <v>934</v>
      </c>
      <c r="C119" s="10" t="s">
        <v>213</v>
      </c>
      <c r="D119" s="159">
        <v>375</v>
      </c>
    </row>
    <row r="120" spans="1:5">
      <c r="A120" s="168" t="s">
        <v>935</v>
      </c>
      <c r="B120" s="158" t="s">
        <v>936</v>
      </c>
      <c r="C120" s="10" t="s">
        <v>108</v>
      </c>
      <c r="D120" s="159">
        <v>110</v>
      </c>
    </row>
    <row r="121" spans="1:5">
      <c r="A121" s="168"/>
    </row>
    <row r="122" spans="1:5">
      <c r="A122" s="168"/>
    </row>
    <row r="123" spans="1:5">
      <c r="A123" s="168"/>
    </row>
    <row r="124" spans="1:5">
      <c r="A124" s="168"/>
    </row>
    <row r="125" spans="1:5">
      <c r="A125" s="168"/>
    </row>
    <row r="126" spans="1:5">
      <c r="A126" s="168"/>
    </row>
    <row r="127" spans="1:5">
      <c r="A127" s="168"/>
    </row>
    <row r="128" spans="1:5" ht="15">
      <c r="A128" s="185" t="s">
        <v>937</v>
      </c>
    </row>
    <row r="129" spans="1:4">
      <c r="A129" s="168"/>
      <c r="B129" s="158" t="s">
        <v>938</v>
      </c>
      <c r="C129" s="10" t="s">
        <v>939</v>
      </c>
      <c r="D129" s="159">
        <v>11120</v>
      </c>
    </row>
    <row r="130" spans="1:4">
      <c r="A130" s="168"/>
      <c r="B130" s="158" t="s">
        <v>940</v>
      </c>
      <c r="C130" s="10" t="s">
        <v>902</v>
      </c>
      <c r="D130" s="159">
        <v>850</v>
      </c>
    </row>
    <row r="131" spans="1:4">
      <c r="A131" s="168"/>
      <c r="B131" s="158" t="s">
        <v>941</v>
      </c>
      <c r="C131" s="10" t="s">
        <v>902</v>
      </c>
      <c r="D131" s="159">
        <v>630</v>
      </c>
    </row>
    <row r="132" spans="1:4">
      <c r="A132" s="168"/>
      <c r="B132" s="158" t="s">
        <v>929</v>
      </c>
      <c r="C132" s="10" t="s">
        <v>580</v>
      </c>
      <c r="D132" s="159">
        <v>15</v>
      </c>
    </row>
    <row r="133" spans="1:4">
      <c r="A133" s="168"/>
      <c r="B133" s="158" t="s">
        <v>942</v>
      </c>
      <c r="C133" s="10" t="s">
        <v>580</v>
      </c>
      <c r="D133" s="159">
        <v>59</v>
      </c>
    </row>
    <row r="134" spans="1:4">
      <c r="A134" s="168"/>
      <c r="B134" s="158" t="s">
        <v>943</v>
      </c>
      <c r="C134" s="10" t="s">
        <v>580</v>
      </c>
      <c r="D134" s="159">
        <v>35</v>
      </c>
    </row>
    <row r="135" spans="1:4">
      <c r="A135" s="168"/>
      <c r="B135" s="158" t="s">
        <v>944</v>
      </c>
      <c r="C135" s="10" t="s">
        <v>580</v>
      </c>
      <c r="D135" s="159">
        <v>1700</v>
      </c>
    </row>
    <row r="136" spans="1:4">
      <c r="A136" s="168"/>
      <c r="B136" s="158" t="s">
        <v>945</v>
      </c>
      <c r="C136" s="10" t="s">
        <v>108</v>
      </c>
      <c r="D136" s="159">
        <v>120</v>
      </c>
    </row>
    <row r="137" spans="1:4">
      <c r="A137" s="168"/>
    </row>
    <row r="138" spans="1:4">
      <c r="A138" s="168"/>
    </row>
    <row r="139" spans="1:4">
      <c r="A139" s="168"/>
    </row>
    <row r="140" spans="1:4">
      <c r="A140" s="168"/>
    </row>
    <row r="141" spans="1:4">
      <c r="A141" s="168"/>
    </row>
    <row r="142" spans="1:4">
      <c r="A142" s="168"/>
    </row>
    <row r="143" spans="1:4">
      <c r="A143" s="168"/>
    </row>
    <row r="144" spans="1:4">
      <c r="A144" s="168"/>
    </row>
    <row r="145" spans="1:1">
      <c r="A145" s="168"/>
    </row>
    <row r="146" spans="1:1">
      <c r="A146" s="168"/>
    </row>
    <row r="147" spans="1:1">
      <c r="A147" s="168"/>
    </row>
    <row r="148" spans="1:1">
      <c r="A148" s="168"/>
    </row>
  </sheetData>
  <mergeCells count="3">
    <mergeCell ref="A1:E1"/>
    <mergeCell ref="F1:I1"/>
    <mergeCell ref="J1:L1"/>
  </mergeCells>
  <pageMargins left="0.7" right="0.7" top="1.1436999999999999" bottom="1.1436999999999999" header="0.75" footer="0.75"/>
  <pageSetup paperSize="9" fitToWidth="0" fitToHeight="0" orientation="portrait"/>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MJ135"/>
  <sheetViews>
    <sheetView topLeftCell="A23" workbookViewId="0">
      <selection activeCell="C38" sqref="C38"/>
    </sheetView>
  </sheetViews>
  <sheetFormatPr defaultColWidth="9" defaultRowHeight="14.25" outlineLevelCol="1"/>
  <cols>
    <col min="1" max="1" width="6.25" style="67" customWidth="1"/>
    <col min="2" max="2" width="34.875" style="67" customWidth="1"/>
    <col min="3" max="3" width="25.5" style="68" customWidth="1"/>
    <col min="4" max="4" width="19.125" style="68" customWidth="1"/>
    <col min="5" max="5" width="12.125" style="68" customWidth="1"/>
    <col min="6" max="6" width="3.5" style="68" customWidth="1"/>
    <col min="7" max="7" width="10.625" style="68" customWidth="1"/>
    <col min="8" max="8" width="3.5" style="68" customWidth="1" outlineLevel="1"/>
    <col min="9" max="9" width="10.875" style="68" customWidth="1" outlineLevel="1"/>
    <col min="10" max="10" width="8.125" style="68" customWidth="1" outlineLevel="1"/>
    <col min="11" max="11" width="10" style="68" customWidth="1" outlineLevel="1"/>
    <col min="12" max="12" width="8.125" style="68" customWidth="1" outlineLevel="1"/>
    <col min="13" max="13" width="3.5" style="68" customWidth="1" outlineLevel="1"/>
    <col min="14" max="14" width="11.875" style="68" customWidth="1" outlineLevel="1"/>
    <col min="15" max="15" width="3.5" style="68" customWidth="1" outlineLevel="1"/>
    <col min="16" max="16" width="10" style="68" customWidth="1" outlineLevel="1"/>
    <col min="17" max="17" width="8.125" style="68" customWidth="1" outlineLevel="1"/>
    <col min="18" max="18" width="10" style="68" customWidth="1" outlineLevel="1"/>
    <col min="19" max="19" width="8.125" style="68" customWidth="1" outlineLevel="1"/>
    <col min="20" max="20" width="3.5" style="68" customWidth="1" outlineLevel="1"/>
    <col min="21" max="21" width="11.875" style="68" customWidth="1" outlineLevel="1"/>
    <col min="22" max="22" width="3.5" style="68" customWidth="1" outlineLevel="1"/>
    <col min="23" max="23" width="10.875" style="69" customWidth="1" outlineLevel="1"/>
    <col min="24" max="24" width="4.375" style="68" customWidth="1"/>
    <col min="25" max="25" width="12.25" style="68" customWidth="1"/>
    <col min="26" max="26" width="10.875" style="70" customWidth="1"/>
    <col min="27" max="27" width="8.5" style="67" customWidth="1"/>
    <col min="28" max="28" width="24.75" style="67" customWidth="1"/>
    <col min="29" max="29" width="8.5" style="67" customWidth="1"/>
    <col min="30" max="30" width="8.875" style="67" customWidth="1"/>
    <col min="31" max="1024" width="8.5" style="67" customWidth="1"/>
    <col min="1025" max="1025" width="9" customWidth="1"/>
  </cols>
  <sheetData>
    <row r="1" spans="1:34" s="64" customFormat="1" ht="51.75" customHeight="1">
      <c r="A1" s="1708" t="s">
        <v>946</v>
      </c>
      <c r="B1" s="1708"/>
      <c r="C1" s="1708"/>
      <c r="D1" s="1708"/>
      <c r="E1" s="1708"/>
      <c r="F1" s="1708"/>
      <c r="G1" s="1708"/>
      <c r="H1" s="1708"/>
      <c r="I1" s="1708"/>
      <c r="J1" s="1708"/>
      <c r="K1" s="1708"/>
      <c r="L1" s="1708"/>
      <c r="M1" s="1708"/>
      <c r="N1" s="1708"/>
      <c r="O1" s="1708"/>
      <c r="P1" s="1708"/>
      <c r="Q1" s="1708"/>
      <c r="R1" s="1708"/>
      <c r="S1" s="1708"/>
      <c r="T1" s="1708"/>
      <c r="U1" s="1708"/>
      <c r="V1" s="1708"/>
      <c r="W1" s="1708"/>
      <c r="X1" s="1708"/>
      <c r="Y1" s="1708"/>
      <c r="Z1" s="119"/>
    </row>
    <row r="2" spans="1:34" s="65" customFormat="1" ht="15" customHeight="1">
      <c r="A2" s="1709" t="s">
        <v>947</v>
      </c>
      <c r="B2" s="1709"/>
      <c r="C2" s="1709"/>
      <c r="D2" s="1709"/>
      <c r="E2" s="1709"/>
      <c r="F2" s="1709"/>
      <c r="G2" s="1709"/>
      <c r="H2" s="1710"/>
      <c r="I2" s="1710"/>
      <c r="J2" s="1711" t="s">
        <v>948</v>
      </c>
      <c r="K2" s="1711"/>
      <c r="L2" s="1711"/>
      <c r="M2" s="1711"/>
      <c r="N2" s="1711"/>
      <c r="O2" s="1711"/>
      <c r="P2" s="1711"/>
      <c r="Q2" s="1711" t="s">
        <v>949</v>
      </c>
      <c r="R2" s="1711"/>
      <c r="S2" s="1711"/>
      <c r="T2" s="1711"/>
      <c r="U2" s="1711"/>
      <c r="V2" s="1711"/>
      <c r="W2" s="1711"/>
      <c r="X2" s="1713" t="s">
        <v>950</v>
      </c>
      <c r="Y2" s="1713"/>
      <c r="Z2" s="120"/>
    </row>
    <row r="3" spans="1:34" s="66" customFormat="1" ht="30" customHeight="1">
      <c r="A3" s="1712" t="s">
        <v>5</v>
      </c>
      <c r="B3" s="1712"/>
      <c r="C3" s="71" t="s">
        <v>951</v>
      </c>
      <c r="D3" s="71" t="s">
        <v>952</v>
      </c>
      <c r="E3" s="72" t="s">
        <v>953</v>
      </c>
      <c r="F3" s="1712" t="s">
        <v>954</v>
      </c>
      <c r="G3" s="1712"/>
      <c r="H3" s="1712" t="s">
        <v>955</v>
      </c>
      <c r="I3" s="1712"/>
      <c r="J3" s="71" t="s">
        <v>956</v>
      </c>
      <c r="K3" s="71" t="s">
        <v>957</v>
      </c>
      <c r="L3" s="71" t="s">
        <v>958</v>
      </c>
      <c r="M3" s="1712" t="s">
        <v>959</v>
      </c>
      <c r="N3" s="1712"/>
      <c r="O3" s="1712" t="s">
        <v>960</v>
      </c>
      <c r="P3" s="1712"/>
      <c r="Q3" s="71" t="s">
        <v>956</v>
      </c>
      <c r="R3" s="71" t="s">
        <v>957</v>
      </c>
      <c r="S3" s="71" t="s">
        <v>958</v>
      </c>
      <c r="T3" s="1713" t="s">
        <v>961</v>
      </c>
      <c r="U3" s="1713"/>
      <c r="V3" s="1713" t="s">
        <v>962</v>
      </c>
      <c r="W3" s="1713"/>
      <c r="X3" s="1713"/>
      <c r="Y3" s="1713"/>
      <c r="Z3" s="120"/>
    </row>
    <row r="4" spans="1:34" s="64" customFormat="1" ht="15" customHeight="1">
      <c r="A4" s="73">
        <v>1.1000000000000001</v>
      </c>
      <c r="B4" s="74" t="s">
        <v>963</v>
      </c>
      <c r="C4" s="75" t="s">
        <v>964</v>
      </c>
      <c r="D4" s="75"/>
      <c r="E4" s="75">
        <v>167</v>
      </c>
      <c r="F4" s="76" t="s">
        <v>965</v>
      </c>
      <c r="G4" s="77">
        <v>3642</v>
      </c>
      <c r="H4" s="76" t="s">
        <v>965</v>
      </c>
      <c r="I4" s="77">
        <v>3059</v>
      </c>
      <c r="J4" s="101">
        <f>+ROUND(E4*0.746*0.0905,4)</f>
        <v>11.274699999999999</v>
      </c>
      <c r="K4" s="101">
        <f>+ROUND((J4+L4)/2,4)</f>
        <v>14.6571</v>
      </c>
      <c r="L4" s="101">
        <f>+ROUND(E4*0.746*0.1448,4)</f>
        <v>18.0395</v>
      </c>
      <c r="M4" s="81" t="s">
        <v>965</v>
      </c>
      <c r="N4" s="102">
        <f>+$AD$8</f>
        <v>67.900000000000006</v>
      </c>
      <c r="O4" s="81" t="s">
        <v>965</v>
      </c>
      <c r="P4" s="102">
        <f>+K4*N4</f>
        <v>995.2170900000001</v>
      </c>
      <c r="Q4" s="101">
        <f>ROUND(0.0015*J4,4)</f>
        <v>1.6899999999999998E-2</v>
      </c>
      <c r="R4" s="101">
        <f>+ROUND((Q4+S4)/2,4)</f>
        <v>2.1999999999999999E-2</v>
      </c>
      <c r="S4" s="108">
        <f>ROUND(0.0015*L4,4)</f>
        <v>2.7099999999999999E-2</v>
      </c>
      <c r="T4" s="81" t="s">
        <v>965</v>
      </c>
      <c r="U4" s="102">
        <f>+$AD$9</f>
        <v>294</v>
      </c>
      <c r="V4" s="81" t="s">
        <v>965</v>
      </c>
      <c r="W4" s="102">
        <f>+R4*U4</f>
        <v>6.468</v>
      </c>
      <c r="X4" s="109" t="s">
        <v>965</v>
      </c>
      <c r="Y4" s="121">
        <f>+ROUND(I4+P4+W4,2)</f>
        <v>4060.69</v>
      </c>
      <c r="Z4" s="122">
        <f t="shared" ref="Z4:Z35" si="0">+Y4-G4</f>
        <v>418.69000000000005</v>
      </c>
      <c r="AB4" s="123" t="s">
        <v>966</v>
      </c>
      <c r="AC4" s="124" t="s">
        <v>157</v>
      </c>
      <c r="AD4" s="125">
        <v>9.0499999999999997E-2</v>
      </c>
      <c r="AE4" s="123" t="s">
        <v>967</v>
      </c>
    </row>
    <row r="5" spans="1:34" s="64" customFormat="1" ht="15" customHeight="1">
      <c r="A5" s="78">
        <v>1.2</v>
      </c>
      <c r="B5" s="79" t="s">
        <v>968</v>
      </c>
      <c r="C5" s="75" t="s">
        <v>964</v>
      </c>
      <c r="D5" s="80"/>
      <c r="E5" s="80">
        <v>167</v>
      </c>
      <c r="F5" s="81" t="s">
        <v>965</v>
      </c>
      <c r="G5" s="82">
        <v>4188.3</v>
      </c>
      <c r="H5" s="81" t="s">
        <v>965</v>
      </c>
      <c r="I5" s="82">
        <v>3517.85</v>
      </c>
      <c r="J5" s="101">
        <f>+ROUND(E5*0.746*0.0905,4)</f>
        <v>11.274699999999999</v>
      </c>
      <c r="K5" s="101">
        <f>+ROUND((J5+L5)/2,4)</f>
        <v>14.6571</v>
      </c>
      <c r="L5" s="101">
        <f>+ROUND(E5*0.746*0.1448,4)</f>
        <v>18.0395</v>
      </c>
      <c r="M5" s="81" t="s">
        <v>965</v>
      </c>
      <c r="N5" s="103">
        <f>+$AD$8</f>
        <v>67.900000000000006</v>
      </c>
      <c r="O5" s="81" t="s">
        <v>965</v>
      </c>
      <c r="P5" s="103">
        <f>+K5*N5</f>
        <v>995.2170900000001</v>
      </c>
      <c r="Q5" s="101">
        <f>ROUND(0.0015*J5,4)</f>
        <v>1.6899999999999998E-2</v>
      </c>
      <c r="R5" s="101">
        <f>+ROUND((Q5+S5)/2,4)</f>
        <v>2.1999999999999999E-2</v>
      </c>
      <c r="S5" s="110">
        <f>ROUND(0.0015*L5,4)</f>
        <v>2.7099999999999999E-2</v>
      </c>
      <c r="T5" s="81" t="s">
        <v>965</v>
      </c>
      <c r="U5" s="111">
        <f>+$AD$9</f>
        <v>294</v>
      </c>
      <c r="V5" s="81" t="s">
        <v>965</v>
      </c>
      <c r="W5" s="112">
        <f>+R5*U5</f>
        <v>6.468</v>
      </c>
      <c r="X5" s="113" t="s">
        <v>965</v>
      </c>
      <c r="Y5" s="126">
        <f>+ROUND(I5+P5+W5,2)</f>
        <v>4519.54</v>
      </c>
      <c r="Z5" s="122">
        <f t="shared" si="0"/>
        <v>331.23999999999978</v>
      </c>
      <c r="AB5" s="123" t="s">
        <v>969</v>
      </c>
      <c r="AC5" s="124" t="s">
        <v>157</v>
      </c>
      <c r="AD5" s="125">
        <v>0.14480000000000001</v>
      </c>
      <c r="AE5" s="123" t="s">
        <v>967</v>
      </c>
    </row>
    <row r="6" spans="1:34" s="64" customFormat="1" ht="15" customHeight="1">
      <c r="A6" s="78">
        <v>1.3</v>
      </c>
      <c r="B6" s="79" t="s">
        <v>970</v>
      </c>
      <c r="C6" s="80" t="s">
        <v>971</v>
      </c>
      <c r="D6" s="80" t="s">
        <v>972</v>
      </c>
      <c r="E6" s="80">
        <v>110</v>
      </c>
      <c r="F6" s="81" t="s">
        <v>965</v>
      </c>
      <c r="G6" s="82">
        <v>1733</v>
      </c>
      <c r="H6" s="81" t="s">
        <v>965</v>
      </c>
      <c r="I6" s="82">
        <v>1455</v>
      </c>
      <c r="J6" s="101">
        <f>+ROUND(E6*0.746*0.0905,4)</f>
        <v>7.4264000000000001</v>
      </c>
      <c r="K6" s="101">
        <f>+ROUND((J6+L6)/2,4)</f>
        <v>9.6544000000000008</v>
      </c>
      <c r="L6" s="101">
        <f>+ROUND(E6*0.746*0.1448,4)</f>
        <v>11.882300000000001</v>
      </c>
      <c r="M6" s="81" t="s">
        <v>965</v>
      </c>
      <c r="N6" s="103">
        <f>+$AD$8</f>
        <v>67.900000000000006</v>
      </c>
      <c r="O6" s="81" t="s">
        <v>965</v>
      </c>
      <c r="P6" s="103">
        <f>+K6*N6</f>
        <v>655.53376000000014</v>
      </c>
      <c r="Q6" s="101">
        <f>ROUND(0.0015*J6,4)</f>
        <v>1.11E-2</v>
      </c>
      <c r="R6" s="101">
        <f>+ROUND((Q6+S6)/2,4)</f>
        <v>1.4500000000000001E-2</v>
      </c>
      <c r="S6" s="110">
        <f>ROUND(0.0015*L6,4)</f>
        <v>1.78E-2</v>
      </c>
      <c r="T6" s="81" t="s">
        <v>965</v>
      </c>
      <c r="U6" s="111">
        <f>+$AD$9</f>
        <v>294</v>
      </c>
      <c r="V6" s="81" t="s">
        <v>965</v>
      </c>
      <c r="W6" s="112">
        <f>+R6*U6</f>
        <v>4.2629999999999999</v>
      </c>
      <c r="X6" s="113" t="s">
        <v>965</v>
      </c>
      <c r="Y6" s="126">
        <f>+ROUND(I6+P6+W6,2)</f>
        <v>2114.8000000000002</v>
      </c>
      <c r="Z6" s="122">
        <f t="shared" si="0"/>
        <v>381.80000000000018</v>
      </c>
      <c r="AB6" s="123" t="s">
        <v>973</v>
      </c>
      <c r="AC6" s="124" t="s">
        <v>157</v>
      </c>
      <c r="AD6" s="125">
        <v>0.746</v>
      </c>
      <c r="AE6" s="123" t="s">
        <v>974</v>
      </c>
    </row>
    <row r="7" spans="1:34" s="64" customFormat="1" ht="15" customHeight="1">
      <c r="A7" s="78">
        <v>1.4</v>
      </c>
      <c r="B7" s="79" t="s">
        <v>975</v>
      </c>
      <c r="C7" s="80" t="s">
        <v>976</v>
      </c>
      <c r="D7" s="80"/>
      <c r="E7" s="80">
        <v>140</v>
      </c>
      <c r="F7" s="81" t="s">
        <v>965</v>
      </c>
      <c r="G7" s="82">
        <v>2173</v>
      </c>
      <c r="H7" s="81" t="s">
        <v>965</v>
      </c>
      <c r="I7" s="82">
        <v>1825</v>
      </c>
      <c r="J7" s="101">
        <f>+ROUND(E7*0.746*0.0905,4)</f>
        <v>9.4518000000000004</v>
      </c>
      <c r="K7" s="101">
        <f>+ROUND((J7+L7)/2,4)</f>
        <v>12.2874</v>
      </c>
      <c r="L7" s="101">
        <f>+ROUND(E7*0.746*0.1448,4)</f>
        <v>15.1229</v>
      </c>
      <c r="M7" s="81" t="s">
        <v>965</v>
      </c>
      <c r="N7" s="103">
        <f>+$AD$8</f>
        <v>67.900000000000006</v>
      </c>
      <c r="O7" s="81" t="s">
        <v>965</v>
      </c>
      <c r="P7" s="103">
        <f>+K7*N7</f>
        <v>834.31446000000005</v>
      </c>
      <c r="Q7" s="101">
        <f>ROUND(0.0015*J7,4)</f>
        <v>1.4200000000000001E-2</v>
      </c>
      <c r="R7" s="101">
        <f>+ROUND((Q7+S7)/2,4)</f>
        <v>1.8499999999999999E-2</v>
      </c>
      <c r="S7" s="110">
        <f>ROUND(0.0015*L7,4)</f>
        <v>2.2700000000000001E-2</v>
      </c>
      <c r="T7" s="81" t="s">
        <v>965</v>
      </c>
      <c r="U7" s="111">
        <f>+$AD$9</f>
        <v>294</v>
      </c>
      <c r="V7" s="81" t="s">
        <v>965</v>
      </c>
      <c r="W7" s="112">
        <f>+R7*U7</f>
        <v>5.4390000000000001</v>
      </c>
      <c r="X7" s="113" t="s">
        <v>965</v>
      </c>
      <c r="Y7" s="126">
        <f>+ROUND(I7+P7+W7,2)</f>
        <v>2664.75</v>
      </c>
      <c r="Z7" s="122">
        <f t="shared" si="0"/>
        <v>491.75</v>
      </c>
    </row>
    <row r="8" spans="1:34" s="64" customFormat="1" ht="15" customHeight="1">
      <c r="A8" s="83">
        <v>1.5</v>
      </c>
      <c r="B8" s="84" t="s">
        <v>977</v>
      </c>
      <c r="C8" s="80" t="s">
        <v>976</v>
      </c>
      <c r="D8" s="80"/>
      <c r="E8" s="80">
        <v>140</v>
      </c>
      <c r="F8" s="85" t="s">
        <v>965</v>
      </c>
      <c r="G8" s="86">
        <v>2824.9</v>
      </c>
      <c r="H8" s="85" t="s">
        <v>965</v>
      </c>
      <c r="I8" s="86">
        <v>2372.5</v>
      </c>
      <c r="J8" s="101">
        <f>+ROUND(E8*0.746*0.0905,4)</f>
        <v>9.4518000000000004</v>
      </c>
      <c r="K8" s="101">
        <f>+ROUND((J8+L8)/2,4)</f>
        <v>12.2874</v>
      </c>
      <c r="L8" s="101">
        <f>+ROUND(E8*0.746*0.1448,4)</f>
        <v>15.1229</v>
      </c>
      <c r="M8" s="81" t="s">
        <v>965</v>
      </c>
      <c r="N8" s="103">
        <f>+$AD$8</f>
        <v>67.900000000000006</v>
      </c>
      <c r="O8" s="81" t="s">
        <v>965</v>
      </c>
      <c r="P8" s="104">
        <f>+K8*N8</f>
        <v>834.31446000000005</v>
      </c>
      <c r="Q8" s="114">
        <f>ROUND(0.0015*J8,4)</f>
        <v>1.4200000000000001E-2</v>
      </c>
      <c r="R8" s="114">
        <f>+ROUND((Q8+S8)/2,4)</f>
        <v>1.8499999999999999E-2</v>
      </c>
      <c r="S8" s="106">
        <f>ROUND(0.0015*L8,4)</f>
        <v>2.2700000000000001E-2</v>
      </c>
      <c r="T8" s="81" t="s">
        <v>965</v>
      </c>
      <c r="U8" s="111">
        <f>+$AD$9</f>
        <v>294</v>
      </c>
      <c r="V8" s="81" t="s">
        <v>965</v>
      </c>
      <c r="W8" s="107">
        <f>+R8*U8</f>
        <v>5.4390000000000001</v>
      </c>
      <c r="X8" s="113" t="s">
        <v>965</v>
      </c>
      <c r="Y8" s="126">
        <f>+ROUND(I8+P8+W8,2)</f>
        <v>3212.25</v>
      </c>
      <c r="Z8" s="122">
        <f t="shared" si="0"/>
        <v>387.34999999999991</v>
      </c>
      <c r="AB8" s="127" t="s">
        <v>978</v>
      </c>
      <c r="AC8" s="128" t="s">
        <v>157</v>
      </c>
      <c r="AD8" s="129">
        <v>67.900000000000006</v>
      </c>
      <c r="AE8" s="123"/>
      <c r="AH8" s="66"/>
    </row>
    <row r="9" spans="1:34" s="65" customFormat="1" ht="15" customHeight="1">
      <c r="A9" s="1709" t="s">
        <v>979</v>
      </c>
      <c r="B9" s="1709"/>
      <c r="C9" s="1709"/>
      <c r="D9" s="1709"/>
      <c r="E9" s="1709"/>
      <c r="F9" s="1709"/>
      <c r="G9" s="1709"/>
      <c r="H9" s="1710"/>
      <c r="I9" s="1710"/>
      <c r="J9" s="1711" t="s">
        <v>948</v>
      </c>
      <c r="K9" s="1711"/>
      <c r="L9" s="1711"/>
      <c r="M9" s="1711"/>
      <c r="N9" s="1711"/>
      <c r="O9" s="1711"/>
      <c r="P9" s="1711"/>
      <c r="Q9" s="1711" t="s">
        <v>949</v>
      </c>
      <c r="R9" s="1711"/>
      <c r="S9" s="1711"/>
      <c r="T9" s="1711"/>
      <c r="U9" s="1711"/>
      <c r="V9" s="1711"/>
      <c r="W9" s="1711"/>
      <c r="X9" s="1713" t="s">
        <v>950</v>
      </c>
      <c r="Y9" s="1713"/>
      <c r="Z9" s="122">
        <f t="shared" si="0"/>
        <v>0</v>
      </c>
      <c r="AB9" s="127" t="s">
        <v>980</v>
      </c>
      <c r="AC9" s="128" t="s">
        <v>157</v>
      </c>
      <c r="AD9" s="129">
        <v>294</v>
      </c>
      <c r="AH9" s="133"/>
    </row>
    <row r="10" spans="1:34" s="66" customFormat="1" ht="30" customHeight="1">
      <c r="A10" s="1712" t="s">
        <v>5</v>
      </c>
      <c r="B10" s="1712"/>
      <c r="C10" s="71" t="s">
        <v>951</v>
      </c>
      <c r="D10" s="71" t="s">
        <v>952</v>
      </c>
      <c r="E10" s="72" t="s">
        <v>953</v>
      </c>
      <c r="F10" s="1712" t="s">
        <v>954</v>
      </c>
      <c r="G10" s="1712"/>
      <c r="H10" s="1712" t="s">
        <v>955</v>
      </c>
      <c r="I10" s="1712"/>
      <c r="J10" s="71" t="s">
        <v>956</v>
      </c>
      <c r="K10" s="71" t="s">
        <v>957</v>
      </c>
      <c r="L10" s="71" t="s">
        <v>958</v>
      </c>
      <c r="M10" s="1712" t="s">
        <v>959</v>
      </c>
      <c r="N10" s="1712"/>
      <c r="O10" s="1712" t="s">
        <v>960</v>
      </c>
      <c r="P10" s="1712"/>
      <c r="Q10" s="71" t="s">
        <v>956</v>
      </c>
      <c r="R10" s="71" t="s">
        <v>957</v>
      </c>
      <c r="S10" s="71" t="s">
        <v>958</v>
      </c>
      <c r="T10" s="1713" t="s">
        <v>961</v>
      </c>
      <c r="U10" s="1713"/>
      <c r="V10" s="1713" t="s">
        <v>962</v>
      </c>
      <c r="W10" s="1713"/>
      <c r="X10" s="1713"/>
      <c r="Y10" s="1713"/>
      <c r="Z10" s="122">
        <f t="shared" si="0"/>
        <v>0</v>
      </c>
      <c r="AH10" s="65"/>
    </row>
    <row r="11" spans="1:34" s="64" customFormat="1" ht="15" customHeight="1">
      <c r="A11" s="73">
        <v>2.1</v>
      </c>
      <c r="B11" s="74" t="s">
        <v>981</v>
      </c>
      <c r="C11" s="75" t="s">
        <v>982</v>
      </c>
      <c r="D11" s="75" t="s">
        <v>135</v>
      </c>
      <c r="E11" s="75">
        <v>107</v>
      </c>
      <c r="F11" s="76" t="s">
        <v>965</v>
      </c>
      <c r="G11" s="77">
        <v>561</v>
      </c>
      <c r="H11" s="76" t="s">
        <v>965</v>
      </c>
      <c r="I11" s="77">
        <v>530</v>
      </c>
      <c r="J11" s="101">
        <f>+ROUND(E11*0.746*0.0905,4)</f>
        <v>7.2239000000000004</v>
      </c>
      <c r="K11" s="101">
        <f>+ROUND((J11+L11)/2,4)</f>
        <v>9.3910999999999998</v>
      </c>
      <c r="L11" s="101">
        <f>+ROUND(E11*0.746*0.1448,4)</f>
        <v>11.558199999999999</v>
      </c>
      <c r="M11" s="81" t="s">
        <v>965</v>
      </c>
      <c r="N11" s="103">
        <f>+$AD$8</f>
        <v>67.900000000000006</v>
      </c>
      <c r="O11" s="81" t="s">
        <v>965</v>
      </c>
      <c r="P11" s="103">
        <f>+K11*N11</f>
        <v>637.65569000000005</v>
      </c>
      <c r="Q11" s="101">
        <f>ROUND(0.0015*J11,4)</f>
        <v>1.0800000000000001E-2</v>
      </c>
      <c r="R11" s="101">
        <f>+ROUND((Q11+S11)/2,4)</f>
        <v>1.41E-2</v>
      </c>
      <c r="S11" s="108">
        <f>ROUND(0.0015*L11,4)</f>
        <v>1.7299999999999999E-2</v>
      </c>
      <c r="T11" s="81" t="s">
        <v>965</v>
      </c>
      <c r="U11" s="111">
        <f>+$AD$9</f>
        <v>294</v>
      </c>
      <c r="V11" s="81" t="s">
        <v>965</v>
      </c>
      <c r="W11" s="112">
        <f>+R11*U11</f>
        <v>4.1453999999999995</v>
      </c>
      <c r="X11" s="113" t="s">
        <v>965</v>
      </c>
      <c r="Y11" s="126">
        <f>+ROUND(I11+P11+W11,2)</f>
        <v>1171.8</v>
      </c>
      <c r="Z11" s="122">
        <f t="shared" si="0"/>
        <v>610.79999999999995</v>
      </c>
    </row>
    <row r="12" spans="1:34" s="64" customFormat="1" ht="15" customHeight="1">
      <c r="A12" s="78">
        <v>2.2000000000000002</v>
      </c>
      <c r="B12" s="79" t="s">
        <v>983</v>
      </c>
      <c r="C12" s="80" t="s">
        <v>984</v>
      </c>
      <c r="D12" s="80" t="s">
        <v>135</v>
      </c>
      <c r="E12" s="80">
        <v>125</v>
      </c>
      <c r="F12" s="81" t="s">
        <v>965</v>
      </c>
      <c r="G12" s="82">
        <v>1846</v>
      </c>
      <c r="H12" s="81" t="s">
        <v>965</v>
      </c>
      <c r="I12" s="82">
        <v>1647</v>
      </c>
      <c r="J12" s="101">
        <f>+ROUND(E12*0.746*0.0905,4)</f>
        <v>8.4390999999999998</v>
      </c>
      <c r="K12" s="101">
        <f>+ROUND((J12+L12)/2,4)</f>
        <v>10.9709</v>
      </c>
      <c r="L12" s="101">
        <f>+ROUND(E12*0.746*0.1448,4)</f>
        <v>13.502599999999999</v>
      </c>
      <c r="M12" s="81" t="s">
        <v>965</v>
      </c>
      <c r="N12" s="103">
        <f>+$AD$8</f>
        <v>67.900000000000006</v>
      </c>
      <c r="O12" s="81" t="s">
        <v>965</v>
      </c>
      <c r="P12" s="103">
        <f>+K12*N12</f>
        <v>744.92411000000004</v>
      </c>
      <c r="Q12" s="101">
        <f>ROUND(0.0015*J12,4)</f>
        <v>1.2699999999999999E-2</v>
      </c>
      <c r="R12" s="101">
        <f>+ROUND((Q12+S12)/2,4)</f>
        <v>1.6500000000000001E-2</v>
      </c>
      <c r="S12" s="110">
        <f>ROUND(0.0015*L12,4)</f>
        <v>2.0299999999999999E-2</v>
      </c>
      <c r="T12" s="81" t="s">
        <v>965</v>
      </c>
      <c r="U12" s="111">
        <f>+$AD$9</f>
        <v>294</v>
      </c>
      <c r="V12" s="81" t="s">
        <v>965</v>
      </c>
      <c r="W12" s="112">
        <f>+R12*U12</f>
        <v>4.851</v>
      </c>
      <c r="X12" s="113" t="s">
        <v>965</v>
      </c>
      <c r="Y12" s="126">
        <f>+ROUND(I12+P12+W12,2)</f>
        <v>2396.7800000000002</v>
      </c>
      <c r="Z12" s="122">
        <f t="shared" si="0"/>
        <v>550.7800000000002</v>
      </c>
    </row>
    <row r="13" spans="1:34" s="64" customFormat="1" ht="15" customHeight="1">
      <c r="A13" s="78">
        <v>2.2999999999999998</v>
      </c>
      <c r="B13" s="79" t="s">
        <v>985</v>
      </c>
      <c r="C13" s="80" t="s">
        <v>986</v>
      </c>
      <c r="D13" s="80" t="s">
        <v>987</v>
      </c>
      <c r="E13" s="87">
        <v>134</v>
      </c>
      <c r="F13" s="81" t="s">
        <v>965</v>
      </c>
      <c r="G13" s="82">
        <v>2061</v>
      </c>
      <c r="H13" s="81" t="s">
        <v>965</v>
      </c>
      <c r="I13" s="82">
        <v>1839</v>
      </c>
      <c r="J13" s="101">
        <f>+ROUND(E13*0.746*0.0905,4)</f>
        <v>9.0466999999999995</v>
      </c>
      <c r="K13" s="101">
        <f>+ROUND((J13+L13)/2,4)</f>
        <v>11.7608</v>
      </c>
      <c r="L13" s="101">
        <f>+ROUND(E13*0.746*0.1448,4)</f>
        <v>14.4748</v>
      </c>
      <c r="M13" s="81" t="s">
        <v>965</v>
      </c>
      <c r="N13" s="103">
        <f>+$AD$8</f>
        <v>67.900000000000006</v>
      </c>
      <c r="O13" s="81" t="s">
        <v>965</v>
      </c>
      <c r="P13" s="103">
        <f>+K13*N13</f>
        <v>798.55832000000009</v>
      </c>
      <c r="Q13" s="101">
        <f>ROUND(0.0015*J13,4)</f>
        <v>1.3599999999999999E-2</v>
      </c>
      <c r="R13" s="101">
        <f>+ROUND((Q13+S13)/2,4)</f>
        <v>1.77E-2</v>
      </c>
      <c r="S13" s="110">
        <f>ROUND(0.0015*L13,4)</f>
        <v>2.1700000000000001E-2</v>
      </c>
      <c r="T13" s="81" t="s">
        <v>965</v>
      </c>
      <c r="U13" s="111">
        <f>+$AD$9</f>
        <v>294</v>
      </c>
      <c r="V13" s="81" t="s">
        <v>965</v>
      </c>
      <c r="W13" s="112">
        <f>+R13*U13</f>
        <v>5.2038000000000002</v>
      </c>
      <c r="X13" s="113" t="s">
        <v>965</v>
      </c>
      <c r="Y13" s="126">
        <f>+ROUND(I13+P13+W13,2)</f>
        <v>2642.76</v>
      </c>
      <c r="Z13" s="122">
        <f t="shared" si="0"/>
        <v>581.76000000000022</v>
      </c>
    </row>
    <row r="14" spans="1:34" s="64" customFormat="1" ht="15" customHeight="1">
      <c r="A14" s="83">
        <v>2.4</v>
      </c>
      <c r="B14" s="84" t="s">
        <v>988</v>
      </c>
      <c r="C14" s="80" t="s">
        <v>989</v>
      </c>
      <c r="D14" s="80"/>
      <c r="E14" s="80">
        <v>5</v>
      </c>
      <c r="F14" s="85" t="s">
        <v>965</v>
      </c>
      <c r="G14" s="86">
        <v>123</v>
      </c>
      <c r="H14" s="85" t="s">
        <v>965</v>
      </c>
      <c r="I14" s="105"/>
      <c r="J14" s="101">
        <f>+ROUND(E14*0.746*0.0905,4)</f>
        <v>0.33760000000000001</v>
      </c>
      <c r="K14" s="101">
        <f>+ROUND((J14+L14)/2,4)</f>
        <v>0.43890000000000001</v>
      </c>
      <c r="L14" s="101">
        <f>+ROUND(E14*0.746*0.1448,4)</f>
        <v>0.54010000000000002</v>
      </c>
      <c r="M14" s="81" t="s">
        <v>965</v>
      </c>
      <c r="N14" s="103">
        <f>+$AD$8</f>
        <v>67.900000000000006</v>
      </c>
      <c r="O14" s="81" t="s">
        <v>965</v>
      </c>
      <c r="P14" s="103">
        <f>+K14*N14</f>
        <v>29.801310000000004</v>
      </c>
      <c r="Q14" s="114">
        <f>ROUND(0.0015*J14,4)</f>
        <v>5.0000000000000001E-4</v>
      </c>
      <c r="R14" s="114">
        <f>+ROUND((Q14+S14)/2,4)</f>
        <v>6.9999999999999999E-4</v>
      </c>
      <c r="S14" s="106">
        <f>ROUND(0.0015*L14,4)</f>
        <v>8.0000000000000004E-4</v>
      </c>
      <c r="T14" s="81" t="s">
        <v>965</v>
      </c>
      <c r="U14" s="111">
        <f>+$AD$9</f>
        <v>294</v>
      </c>
      <c r="V14" s="81" t="s">
        <v>965</v>
      </c>
      <c r="W14" s="112">
        <f>+R14*U14</f>
        <v>0.20580000000000001</v>
      </c>
      <c r="X14" s="113" t="s">
        <v>965</v>
      </c>
      <c r="Y14" s="130">
        <f>+ROUND(G14+P14+W14,2)</f>
        <v>153.01</v>
      </c>
      <c r="Z14" s="122">
        <f t="shared" si="0"/>
        <v>30.009999999999991</v>
      </c>
    </row>
    <row r="15" spans="1:34" s="65" customFormat="1" ht="15" customHeight="1">
      <c r="A15" s="1709" t="s">
        <v>990</v>
      </c>
      <c r="B15" s="1709"/>
      <c r="C15" s="1709"/>
      <c r="D15" s="1709"/>
      <c r="E15" s="1709"/>
      <c r="F15" s="1709"/>
      <c r="G15" s="1709"/>
      <c r="H15" s="1710"/>
      <c r="I15" s="1710"/>
      <c r="J15" s="1711" t="s">
        <v>948</v>
      </c>
      <c r="K15" s="1711"/>
      <c r="L15" s="1711"/>
      <c r="M15" s="1711"/>
      <c r="N15" s="1711"/>
      <c r="O15" s="1711"/>
      <c r="P15" s="1711"/>
      <c r="Q15" s="1711" t="s">
        <v>949</v>
      </c>
      <c r="R15" s="1711"/>
      <c r="S15" s="1711"/>
      <c r="T15" s="1711"/>
      <c r="U15" s="1711"/>
      <c r="V15" s="1711"/>
      <c r="W15" s="1711"/>
      <c r="X15" s="1713" t="s">
        <v>950</v>
      </c>
      <c r="Y15" s="1713"/>
      <c r="Z15" s="122">
        <f t="shared" si="0"/>
        <v>0</v>
      </c>
    </row>
    <row r="16" spans="1:34" s="66" customFormat="1" ht="30" customHeight="1">
      <c r="A16" s="1712" t="s">
        <v>5</v>
      </c>
      <c r="B16" s="1712"/>
      <c r="C16" s="71" t="s">
        <v>951</v>
      </c>
      <c r="D16" s="71" t="s">
        <v>952</v>
      </c>
      <c r="E16" s="72" t="s">
        <v>953</v>
      </c>
      <c r="F16" s="1712" t="s">
        <v>954</v>
      </c>
      <c r="G16" s="1712"/>
      <c r="H16" s="1712" t="s">
        <v>955</v>
      </c>
      <c r="I16" s="1712"/>
      <c r="J16" s="71" t="s">
        <v>956</v>
      </c>
      <c r="K16" s="71" t="s">
        <v>957</v>
      </c>
      <c r="L16" s="71" t="s">
        <v>958</v>
      </c>
      <c r="M16" s="1712" t="s">
        <v>959</v>
      </c>
      <c r="N16" s="1712"/>
      <c r="O16" s="1712" t="s">
        <v>960</v>
      </c>
      <c r="P16" s="1712"/>
      <c r="Q16" s="71" t="s">
        <v>956</v>
      </c>
      <c r="R16" s="71" t="s">
        <v>957</v>
      </c>
      <c r="S16" s="71" t="s">
        <v>958</v>
      </c>
      <c r="T16" s="1713" t="s">
        <v>961</v>
      </c>
      <c r="U16" s="1713"/>
      <c r="V16" s="1713" t="s">
        <v>962</v>
      </c>
      <c r="W16" s="1713"/>
      <c r="X16" s="1713"/>
      <c r="Y16" s="1713"/>
      <c r="Z16" s="122">
        <f t="shared" si="0"/>
        <v>0</v>
      </c>
    </row>
    <row r="17" spans="1:26" s="64" customFormat="1" ht="15" customHeight="1">
      <c r="A17" s="88">
        <v>3.1</v>
      </c>
      <c r="B17" s="89" t="s">
        <v>991</v>
      </c>
      <c r="C17" s="75" t="s">
        <v>992</v>
      </c>
      <c r="D17" s="75" t="s">
        <v>993</v>
      </c>
      <c r="E17" s="75">
        <v>145</v>
      </c>
      <c r="F17" s="76" t="s">
        <v>965</v>
      </c>
      <c r="G17" s="77">
        <v>1522</v>
      </c>
      <c r="H17" s="76" t="s">
        <v>965</v>
      </c>
      <c r="I17" s="77">
        <v>1359</v>
      </c>
      <c r="J17" s="101">
        <f t="shared" ref="J17:J28" si="1">+ROUND(E17*0.746*0.0905,4)</f>
        <v>9.7894000000000005</v>
      </c>
      <c r="K17" s="101">
        <f t="shared" ref="K17:K28" si="2">+ROUND((J17+L17)/2,4)</f>
        <v>12.7262</v>
      </c>
      <c r="L17" s="101">
        <f t="shared" ref="L17:L28" si="3">+ROUND(E17*0.746*0.1448,4)</f>
        <v>15.663</v>
      </c>
      <c r="M17" s="81" t="s">
        <v>965</v>
      </c>
      <c r="N17" s="103">
        <f t="shared" ref="N17:N35" si="4">+$AD$8</f>
        <v>67.900000000000006</v>
      </c>
      <c r="O17" s="81" t="s">
        <v>965</v>
      </c>
      <c r="P17" s="103">
        <f t="shared" ref="P17:P35" si="5">+K17*N17</f>
        <v>864.10898000000009</v>
      </c>
      <c r="Q17" s="101">
        <f t="shared" ref="Q17:Q28" si="6">ROUND(0.0015*J17,4)</f>
        <v>1.47E-2</v>
      </c>
      <c r="R17" s="101">
        <f t="shared" ref="R17:R28" si="7">+ROUND((Q17+S17)/2,4)</f>
        <v>1.9099999999999999E-2</v>
      </c>
      <c r="S17" s="108">
        <f t="shared" ref="S17:S28" si="8">ROUND(0.0015*L17,4)</f>
        <v>2.35E-2</v>
      </c>
      <c r="T17" s="81" t="s">
        <v>965</v>
      </c>
      <c r="U17" s="111">
        <f t="shared" ref="U17:U35" si="9">+$AD$9</f>
        <v>294</v>
      </c>
      <c r="V17" s="81" t="s">
        <v>965</v>
      </c>
      <c r="W17" s="112">
        <f t="shared" ref="W17:W35" si="10">+R17*U17</f>
        <v>5.6153999999999993</v>
      </c>
      <c r="X17" s="113" t="s">
        <v>965</v>
      </c>
      <c r="Y17" s="126">
        <f t="shared" ref="Y17:Y28" si="11">+ROUND(I17+P17+W17,2)</f>
        <v>2228.7199999999998</v>
      </c>
      <c r="Z17" s="122">
        <f t="shared" si="0"/>
        <v>706.7199999999998</v>
      </c>
    </row>
    <row r="18" spans="1:26" s="64" customFormat="1" ht="15" customHeight="1">
      <c r="A18" s="78">
        <v>3.2</v>
      </c>
      <c r="B18" s="89" t="s">
        <v>991</v>
      </c>
      <c r="C18" s="75" t="s">
        <v>992</v>
      </c>
      <c r="D18" s="80" t="s">
        <v>994</v>
      </c>
      <c r="E18" s="80">
        <v>190</v>
      </c>
      <c r="F18" s="81" t="s">
        <v>965</v>
      </c>
      <c r="G18" s="82">
        <v>1902</v>
      </c>
      <c r="H18" s="81" t="s">
        <v>965</v>
      </c>
      <c r="I18" s="82">
        <v>1698</v>
      </c>
      <c r="J18" s="101">
        <f t="shared" si="1"/>
        <v>12.827500000000001</v>
      </c>
      <c r="K18" s="101">
        <f t="shared" si="2"/>
        <v>16.675799999999999</v>
      </c>
      <c r="L18" s="101">
        <f t="shared" si="3"/>
        <v>20.524000000000001</v>
      </c>
      <c r="M18" s="81" t="s">
        <v>965</v>
      </c>
      <c r="N18" s="103">
        <f t="shared" si="4"/>
        <v>67.900000000000006</v>
      </c>
      <c r="O18" s="81" t="s">
        <v>965</v>
      </c>
      <c r="P18" s="103">
        <f t="shared" si="5"/>
        <v>1132.28682</v>
      </c>
      <c r="Q18" s="101">
        <f t="shared" si="6"/>
        <v>1.9199999999999998E-2</v>
      </c>
      <c r="R18" s="101">
        <f t="shared" si="7"/>
        <v>2.5000000000000001E-2</v>
      </c>
      <c r="S18" s="110">
        <f t="shared" si="8"/>
        <v>3.0800000000000001E-2</v>
      </c>
      <c r="T18" s="81" t="s">
        <v>965</v>
      </c>
      <c r="U18" s="111">
        <f t="shared" si="9"/>
        <v>294</v>
      </c>
      <c r="V18" s="81" t="s">
        <v>965</v>
      </c>
      <c r="W18" s="112">
        <f t="shared" si="10"/>
        <v>7.3500000000000005</v>
      </c>
      <c r="X18" s="113" t="s">
        <v>965</v>
      </c>
      <c r="Y18" s="126">
        <f t="shared" si="11"/>
        <v>2837.64</v>
      </c>
      <c r="Z18" s="122">
        <f t="shared" si="0"/>
        <v>935.63999999999987</v>
      </c>
    </row>
    <row r="19" spans="1:26" s="64" customFormat="1" ht="15" customHeight="1">
      <c r="A19" s="78">
        <v>3.3</v>
      </c>
      <c r="B19" s="89" t="s">
        <v>995</v>
      </c>
      <c r="C19" s="75" t="s">
        <v>992</v>
      </c>
      <c r="D19" s="80" t="s">
        <v>994</v>
      </c>
      <c r="E19" s="80">
        <v>190</v>
      </c>
      <c r="F19" s="81" t="s">
        <v>965</v>
      </c>
      <c r="G19" s="82">
        <v>2282.4</v>
      </c>
      <c r="H19" s="81" t="s">
        <v>965</v>
      </c>
      <c r="I19" s="82">
        <v>2037.6</v>
      </c>
      <c r="J19" s="101">
        <f t="shared" si="1"/>
        <v>12.827500000000001</v>
      </c>
      <c r="K19" s="101">
        <f t="shared" si="2"/>
        <v>16.675799999999999</v>
      </c>
      <c r="L19" s="101">
        <f t="shared" si="3"/>
        <v>20.524000000000001</v>
      </c>
      <c r="M19" s="81" t="s">
        <v>965</v>
      </c>
      <c r="N19" s="103">
        <f t="shared" si="4"/>
        <v>67.900000000000006</v>
      </c>
      <c r="O19" s="81" t="s">
        <v>965</v>
      </c>
      <c r="P19" s="103">
        <f t="shared" si="5"/>
        <v>1132.28682</v>
      </c>
      <c r="Q19" s="101">
        <f t="shared" si="6"/>
        <v>1.9199999999999998E-2</v>
      </c>
      <c r="R19" s="101">
        <f t="shared" si="7"/>
        <v>2.5000000000000001E-2</v>
      </c>
      <c r="S19" s="110">
        <f t="shared" si="8"/>
        <v>3.0800000000000001E-2</v>
      </c>
      <c r="T19" s="81" t="s">
        <v>965</v>
      </c>
      <c r="U19" s="111">
        <f t="shared" si="9"/>
        <v>294</v>
      </c>
      <c r="V19" s="81" t="s">
        <v>965</v>
      </c>
      <c r="W19" s="112">
        <f t="shared" si="10"/>
        <v>7.3500000000000005</v>
      </c>
      <c r="X19" s="113" t="s">
        <v>965</v>
      </c>
      <c r="Y19" s="126">
        <f t="shared" si="11"/>
        <v>3177.24</v>
      </c>
      <c r="Z19" s="122">
        <f t="shared" si="0"/>
        <v>894.83999999999969</v>
      </c>
    </row>
    <row r="20" spans="1:26" s="64" customFormat="1" ht="15" customHeight="1">
      <c r="A20" s="78">
        <v>3.4</v>
      </c>
      <c r="B20" s="89" t="s">
        <v>991</v>
      </c>
      <c r="C20" s="75" t="s">
        <v>992</v>
      </c>
      <c r="D20" s="80" t="s">
        <v>996</v>
      </c>
      <c r="E20" s="80">
        <v>190</v>
      </c>
      <c r="F20" s="81" t="s">
        <v>965</v>
      </c>
      <c r="G20" s="82">
        <v>2151</v>
      </c>
      <c r="H20" s="81" t="s">
        <v>965</v>
      </c>
      <c r="I20" s="82">
        <v>1920</v>
      </c>
      <c r="J20" s="101">
        <f t="shared" si="1"/>
        <v>12.827500000000001</v>
      </c>
      <c r="K20" s="101">
        <f t="shared" si="2"/>
        <v>16.675799999999999</v>
      </c>
      <c r="L20" s="101">
        <f t="shared" si="3"/>
        <v>20.524000000000001</v>
      </c>
      <c r="M20" s="81" t="s">
        <v>965</v>
      </c>
      <c r="N20" s="103">
        <f t="shared" si="4"/>
        <v>67.900000000000006</v>
      </c>
      <c r="O20" s="81" t="s">
        <v>965</v>
      </c>
      <c r="P20" s="103">
        <f t="shared" si="5"/>
        <v>1132.28682</v>
      </c>
      <c r="Q20" s="101">
        <f t="shared" si="6"/>
        <v>1.9199999999999998E-2</v>
      </c>
      <c r="R20" s="101">
        <f t="shared" si="7"/>
        <v>2.5000000000000001E-2</v>
      </c>
      <c r="S20" s="110">
        <f t="shared" si="8"/>
        <v>3.0800000000000001E-2</v>
      </c>
      <c r="T20" s="81" t="s">
        <v>965</v>
      </c>
      <c r="U20" s="111">
        <f t="shared" si="9"/>
        <v>294</v>
      </c>
      <c r="V20" s="81" t="s">
        <v>965</v>
      </c>
      <c r="W20" s="112">
        <f t="shared" si="10"/>
        <v>7.3500000000000005</v>
      </c>
      <c r="X20" s="113" t="s">
        <v>965</v>
      </c>
      <c r="Y20" s="126">
        <f t="shared" si="11"/>
        <v>3059.64</v>
      </c>
      <c r="Z20" s="122">
        <f t="shared" si="0"/>
        <v>908.63999999999987</v>
      </c>
    </row>
    <row r="21" spans="1:26" s="64" customFormat="1" ht="15" customHeight="1">
      <c r="A21" s="78">
        <v>3.5</v>
      </c>
      <c r="B21" s="89" t="s">
        <v>991</v>
      </c>
      <c r="C21" s="75" t="s">
        <v>992</v>
      </c>
      <c r="D21" s="80" t="s">
        <v>997</v>
      </c>
      <c r="E21" s="80">
        <v>275</v>
      </c>
      <c r="F21" s="81" t="s">
        <v>965</v>
      </c>
      <c r="G21" s="82">
        <v>2778</v>
      </c>
      <c r="H21" s="81" t="s">
        <v>965</v>
      </c>
      <c r="I21" s="82">
        <v>2480</v>
      </c>
      <c r="J21" s="101">
        <f t="shared" si="1"/>
        <v>18.566099999999999</v>
      </c>
      <c r="K21" s="101">
        <f t="shared" si="2"/>
        <v>24.135899999999999</v>
      </c>
      <c r="L21" s="101">
        <f t="shared" si="3"/>
        <v>29.7057</v>
      </c>
      <c r="M21" s="81" t="s">
        <v>965</v>
      </c>
      <c r="N21" s="103">
        <f t="shared" si="4"/>
        <v>67.900000000000006</v>
      </c>
      <c r="O21" s="81" t="s">
        <v>965</v>
      </c>
      <c r="P21" s="103">
        <f t="shared" si="5"/>
        <v>1638.82761</v>
      </c>
      <c r="Q21" s="101">
        <f t="shared" si="6"/>
        <v>2.7799999999999998E-2</v>
      </c>
      <c r="R21" s="101">
        <f t="shared" si="7"/>
        <v>3.6200000000000003E-2</v>
      </c>
      <c r="S21" s="110">
        <f t="shared" si="8"/>
        <v>4.4600000000000001E-2</v>
      </c>
      <c r="T21" s="81" t="s">
        <v>965</v>
      </c>
      <c r="U21" s="111">
        <f t="shared" si="9"/>
        <v>294</v>
      </c>
      <c r="V21" s="81" t="s">
        <v>965</v>
      </c>
      <c r="W21" s="112">
        <f t="shared" si="10"/>
        <v>10.642800000000001</v>
      </c>
      <c r="X21" s="113" t="s">
        <v>965</v>
      </c>
      <c r="Y21" s="126">
        <f t="shared" si="11"/>
        <v>4129.47</v>
      </c>
      <c r="Z21" s="122">
        <f t="shared" si="0"/>
        <v>1351.4700000000003</v>
      </c>
    </row>
    <row r="22" spans="1:26" s="64" customFormat="1" ht="15" customHeight="1">
      <c r="A22" s="78">
        <v>3.6</v>
      </c>
      <c r="B22" s="89" t="s">
        <v>991</v>
      </c>
      <c r="C22" s="75" t="s">
        <v>992</v>
      </c>
      <c r="D22" s="80" t="s">
        <v>998</v>
      </c>
      <c r="E22" s="80">
        <v>275</v>
      </c>
      <c r="F22" s="81" t="s">
        <v>965</v>
      </c>
      <c r="G22" s="82">
        <v>3572</v>
      </c>
      <c r="H22" s="81" t="s">
        <v>965</v>
      </c>
      <c r="I22" s="82">
        <v>3188</v>
      </c>
      <c r="J22" s="101">
        <f t="shared" si="1"/>
        <v>18.566099999999999</v>
      </c>
      <c r="K22" s="101">
        <f t="shared" si="2"/>
        <v>24.135899999999999</v>
      </c>
      <c r="L22" s="101">
        <f t="shared" si="3"/>
        <v>29.7057</v>
      </c>
      <c r="M22" s="81" t="s">
        <v>965</v>
      </c>
      <c r="N22" s="103">
        <f t="shared" si="4"/>
        <v>67.900000000000006</v>
      </c>
      <c r="O22" s="81" t="s">
        <v>965</v>
      </c>
      <c r="P22" s="103">
        <f t="shared" si="5"/>
        <v>1638.82761</v>
      </c>
      <c r="Q22" s="101">
        <f t="shared" si="6"/>
        <v>2.7799999999999998E-2</v>
      </c>
      <c r="R22" s="101">
        <f t="shared" si="7"/>
        <v>3.6200000000000003E-2</v>
      </c>
      <c r="S22" s="110">
        <f t="shared" si="8"/>
        <v>4.4600000000000001E-2</v>
      </c>
      <c r="T22" s="81" t="s">
        <v>965</v>
      </c>
      <c r="U22" s="111">
        <f t="shared" si="9"/>
        <v>294</v>
      </c>
      <c r="V22" s="81" t="s">
        <v>965</v>
      </c>
      <c r="W22" s="112">
        <f t="shared" si="10"/>
        <v>10.642800000000001</v>
      </c>
      <c r="X22" s="113" t="s">
        <v>965</v>
      </c>
      <c r="Y22" s="126">
        <f t="shared" si="11"/>
        <v>4837.47</v>
      </c>
      <c r="Z22" s="122">
        <f t="shared" si="0"/>
        <v>1265.4700000000003</v>
      </c>
    </row>
    <row r="23" spans="1:26" s="64" customFormat="1" ht="15" customHeight="1">
      <c r="A23" s="78">
        <v>3.7</v>
      </c>
      <c r="B23" s="89" t="s">
        <v>991</v>
      </c>
      <c r="C23" s="75" t="s">
        <v>992</v>
      </c>
      <c r="D23" s="80" t="s">
        <v>999</v>
      </c>
      <c r="E23" s="80">
        <v>285</v>
      </c>
      <c r="F23" s="81" t="s">
        <v>965</v>
      </c>
      <c r="G23" s="82">
        <v>3595</v>
      </c>
      <c r="H23" s="81" t="s">
        <v>965</v>
      </c>
      <c r="I23" s="82">
        <v>3208</v>
      </c>
      <c r="J23" s="101">
        <f t="shared" si="1"/>
        <v>19.241199999999999</v>
      </c>
      <c r="K23" s="101">
        <f t="shared" si="2"/>
        <v>25.0136</v>
      </c>
      <c r="L23" s="101">
        <f t="shared" si="3"/>
        <v>30.785900000000002</v>
      </c>
      <c r="M23" s="81" t="s">
        <v>965</v>
      </c>
      <c r="N23" s="103">
        <f t="shared" si="4"/>
        <v>67.900000000000006</v>
      </c>
      <c r="O23" s="81" t="s">
        <v>965</v>
      </c>
      <c r="P23" s="103">
        <f t="shared" si="5"/>
        <v>1698.4234400000003</v>
      </c>
      <c r="Q23" s="101">
        <f t="shared" si="6"/>
        <v>2.8899999999999999E-2</v>
      </c>
      <c r="R23" s="101">
        <f t="shared" si="7"/>
        <v>3.7600000000000001E-2</v>
      </c>
      <c r="S23" s="110">
        <f t="shared" si="8"/>
        <v>4.6199999999999998E-2</v>
      </c>
      <c r="T23" s="81" t="s">
        <v>965</v>
      </c>
      <c r="U23" s="111">
        <f t="shared" si="9"/>
        <v>294</v>
      </c>
      <c r="V23" s="81" t="s">
        <v>965</v>
      </c>
      <c r="W23" s="112">
        <f t="shared" si="10"/>
        <v>11.054400000000001</v>
      </c>
      <c r="X23" s="113" t="s">
        <v>965</v>
      </c>
      <c r="Y23" s="126">
        <f t="shared" si="11"/>
        <v>4917.4799999999996</v>
      </c>
      <c r="Z23" s="122">
        <f t="shared" si="0"/>
        <v>1322.4799999999996</v>
      </c>
    </row>
    <row r="24" spans="1:26" s="64" customFormat="1" ht="15" customHeight="1">
      <c r="A24" s="78">
        <v>3.8</v>
      </c>
      <c r="B24" s="79" t="s">
        <v>1000</v>
      </c>
      <c r="C24" s="75" t="s">
        <v>992</v>
      </c>
      <c r="D24" s="80" t="s">
        <v>993</v>
      </c>
      <c r="E24" s="80">
        <v>200</v>
      </c>
      <c r="F24" s="81" t="s">
        <v>965</v>
      </c>
      <c r="G24" s="82">
        <v>1631</v>
      </c>
      <c r="H24" s="81" t="s">
        <v>965</v>
      </c>
      <c r="I24" s="82">
        <v>1268</v>
      </c>
      <c r="J24" s="101">
        <f t="shared" si="1"/>
        <v>13.502599999999999</v>
      </c>
      <c r="K24" s="101">
        <f t="shared" si="2"/>
        <v>17.5534</v>
      </c>
      <c r="L24" s="101">
        <f t="shared" si="3"/>
        <v>21.604199999999999</v>
      </c>
      <c r="M24" s="81" t="s">
        <v>965</v>
      </c>
      <c r="N24" s="103">
        <f t="shared" si="4"/>
        <v>67.900000000000006</v>
      </c>
      <c r="O24" s="81" t="s">
        <v>965</v>
      </c>
      <c r="P24" s="103">
        <f t="shared" si="5"/>
        <v>1191.8758600000001</v>
      </c>
      <c r="Q24" s="101">
        <f t="shared" si="6"/>
        <v>2.0299999999999999E-2</v>
      </c>
      <c r="R24" s="101">
        <f t="shared" si="7"/>
        <v>2.64E-2</v>
      </c>
      <c r="S24" s="110">
        <f t="shared" si="8"/>
        <v>3.2399999999999998E-2</v>
      </c>
      <c r="T24" s="81" t="s">
        <v>965</v>
      </c>
      <c r="U24" s="111">
        <f t="shared" si="9"/>
        <v>294</v>
      </c>
      <c r="V24" s="81" t="s">
        <v>965</v>
      </c>
      <c r="W24" s="112">
        <f t="shared" si="10"/>
        <v>7.7615999999999996</v>
      </c>
      <c r="X24" s="113" t="s">
        <v>965</v>
      </c>
      <c r="Y24" s="126">
        <f t="shared" si="11"/>
        <v>2467.64</v>
      </c>
      <c r="Z24" s="122">
        <f t="shared" si="0"/>
        <v>836.63999999999987</v>
      </c>
    </row>
    <row r="25" spans="1:26" s="64" customFormat="1" ht="15" customHeight="1">
      <c r="A25" s="78">
        <v>3.9</v>
      </c>
      <c r="B25" s="79" t="s">
        <v>1000</v>
      </c>
      <c r="C25" s="75" t="s">
        <v>992</v>
      </c>
      <c r="D25" s="80" t="s">
        <v>1001</v>
      </c>
      <c r="E25" s="80">
        <v>238</v>
      </c>
      <c r="F25" s="81" t="s">
        <v>965</v>
      </c>
      <c r="G25" s="82">
        <v>1861</v>
      </c>
      <c r="H25" s="81" t="s">
        <v>965</v>
      </c>
      <c r="I25" s="82">
        <v>1541</v>
      </c>
      <c r="J25" s="101">
        <f t="shared" si="1"/>
        <v>16.068100000000001</v>
      </c>
      <c r="K25" s="101">
        <f t="shared" si="2"/>
        <v>20.8886</v>
      </c>
      <c r="L25" s="101">
        <f t="shared" si="3"/>
        <v>25.709</v>
      </c>
      <c r="M25" s="81" t="s">
        <v>965</v>
      </c>
      <c r="N25" s="103">
        <f t="shared" si="4"/>
        <v>67.900000000000006</v>
      </c>
      <c r="O25" s="81" t="s">
        <v>965</v>
      </c>
      <c r="P25" s="103">
        <f t="shared" si="5"/>
        <v>1418.3359400000002</v>
      </c>
      <c r="Q25" s="101">
        <f t="shared" si="6"/>
        <v>2.41E-2</v>
      </c>
      <c r="R25" s="101">
        <f t="shared" si="7"/>
        <v>3.1399999999999997E-2</v>
      </c>
      <c r="S25" s="110">
        <f t="shared" si="8"/>
        <v>3.8600000000000002E-2</v>
      </c>
      <c r="T25" s="81" t="s">
        <v>965</v>
      </c>
      <c r="U25" s="111">
        <f t="shared" si="9"/>
        <v>294</v>
      </c>
      <c r="V25" s="81" t="s">
        <v>965</v>
      </c>
      <c r="W25" s="112">
        <f t="shared" si="10"/>
        <v>9.2315999999999985</v>
      </c>
      <c r="X25" s="113" t="s">
        <v>965</v>
      </c>
      <c r="Y25" s="126">
        <f t="shared" si="11"/>
        <v>2968.57</v>
      </c>
      <c r="Z25" s="122">
        <f t="shared" si="0"/>
        <v>1107.5700000000002</v>
      </c>
    </row>
    <row r="26" spans="1:26" s="64" customFormat="1" ht="15" customHeight="1">
      <c r="A26" s="90">
        <v>3.1</v>
      </c>
      <c r="B26" s="79" t="s">
        <v>1000</v>
      </c>
      <c r="C26" s="75" t="s">
        <v>992</v>
      </c>
      <c r="D26" s="80" t="s">
        <v>996</v>
      </c>
      <c r="E26" s="80">
        <v>246</v>
      </c>
      <c r="F26" s="81" t="s">
        <v>965</v>
      </c>
      <c r="G26" s="82">
        <v>2606</v>
      </c>
      <c r="H26" s="81" t="s">
        <v>965</v>
      </c>
      <c r="I26" s="82">
        <v>1758</v>
      </c>
      <c r="J26" s="101">
        <f t="shared" si="1"/>
        <v>16.6082</v>
      </c>
      <c r="K26" s="101">
        <f t="shared" si="2"/>
        <v>21.590699999999998</v>
      </c>
      <c r="L26" s="101">
        <f t="shared" si="3"/>
        <v>26.5731</v>
      </c>
      <c r="M26" s="81" t="s">
        <v>965</v>
      </c>
      <c r="N26" s="103">
        <f t="shared" si="4"/>
        <v>67.900000000000006</v>
      </c>
      <c r="O26" s="81" t="s">
        <v>965</v>
      </c>
      <c r="P26" s="103">
        <f t="shared" si="5"/>
        <v>1466.0085300000001</v>
      </c>
      <c r="Q26" s="101">
        <f t="shared" si="6"/>
        <v>2.4899999999999999E-2</v>
      </c>
      <c r="R26" s="101">
        <f t="shared" si="7"/>
        <v>3.2399999999999998E-2</v>
      </c>
      <c r="S26" s="110">
        <f t="shared" si="8"/>
        <v>3.9899999999999998E-2</v>
      </c>
      <c r="T26" s="81" t="s">
        <v>965</v>
      </c>
      <c r="U26" s="111">
        <f t="shared" si="9"/>
        <v>294</v>
      </c>
      <c r="V26" s="81" t="s">
        <v>965</v>
      </c>
      <c r="W26" s="112">
        <f t="shared" si="10"/>
        <v>9.525599999999999</v>
      </c>
      <c r="X26" s="113" t="s">
        <v>965</v>
      </c>
      <c r="Y26" s="126">
        <f t="shared" si="11"/>
        <v>3233.53</v>
      </c>
      <c r="Z26" s="122">
        <f t="shared" si="0"/>
        <v>627.5300000000002</v>
      </c>
    </row>
    <row r="27" spans="1:26" s="64" customFormat="1" ht="15" customHeight="1">
      <c r="A27" s="90">
        <v>3.11</v>
      </c>
      <c r="B27" s="79" t="s">
        <v>1002</v>
      </c>
      <c r="C27" s="75" t="s">
        <v>992</v>
      </c>
      <c r="D27" s="80" t="s">
        <v>996</v>
      </c>
      <c r="E27" s="80">
        <v>246</v>
      </c>
      <c r="F27" s="81" t="s">
        <v>965</v>
      </c>
      <c r="G27" s="82">
        <v>3127.2</v>
      </c>
      <c r="H27" s="81" t="s">
        <v>965</v>
      </c>
      <c r="I27" s="82">
        <v>2109.6</v>
      </c>
      <c r="J27" s="101">
        <f t="shared" si="1"/>
        <v>16.6082</v>
      </c>
      <c r="K27" s="101">
        <f t="shared" si="2"/>
        <v>21.590699999999998</v>
      </c>
      <c r="L27" s="101">
        <f t="shared" si="3"/>
        <v>26.5731</v>
      </c>
      <c r="M27" s="81" t="s">
        <v>965</v>
      </c>
      <c r="N27" s="103">
        <f t="shared" si="4"/>
        <v>67.900000000000006</v>
      </c>
      <c r="O27" s="81" t="s">
        <v>965</v>
      </c>
      <c r="P27" s="103">
        <f t="shared" si="5"/>
        <v>1466.0085300000001</v>
      </c>
      <c r="Q27" s="101">
        <f t="shared" si="6"/>
        <v>2.4899999999999999E-2</v>
      </c>
      <c r="R27" s="101">
        <f t="shared" si="7"/>
        <v>3.2399999999999998E-2</v>
      </c>
      <c r="S27" s="110">
        <f t="shared" si="8"/>
        <v>3.9899999999999998E-2</v>
      </c>
      <c r="T27" s="81" t="s">
        <v>965</v>
      </c>
      <c r="U27" s="111">
        <f t="shared" si="9"/>
        <v>294</v>
      </c>
      <c r="V27" s="81" t="s">
        <v>965</v>
      </c>
      <c r="W27" s="112">
        <f t="shared" si="10"/>
        <v>9.525599999999999</v>
      </c>
      <c r="X27" s="113" t="s">
        <v>965</v>
      </c>
      <c r="Y27" s="126">
        <f t="shared" si="11"/>
        <v>3585.13</v>
      </c>
      <c r="Z27" s="122">
        <f t="shared" si="0"/>
        <v>457.93000000000029</v>
      </c>
    </row>
    <row r="28" spans="1:26" s="64" customFormat="1" ht="15" customHeight="1">
      <c r="A28" s="90">
        <v>3.12</v>
      </c>
      <c r="B28" s="79" t="s">
        <v>1000</v>
      </c>
      <c r="C28" s="75" t="s">
        <v>992</v>
      </c>
      <c r="D28" s="80" t="s">
        <v>997</v>
      </c>
      <c r="E28" s="80">
        <v>280</v>
      </c>
      <c r="F28" s="81" t="s">
        <v>965</v>
      </c>
      <c r="G28" s="82">
        <v>3237</v>
      </c>
      <c r="H28" s="81" t="s">
        <v>965</v>
      </c>
      <c r="I28" s="82">
        <v>2462</v>
      </c>
      <c r="J28" s="101">
        <f t="shared" si="1"/>
        <v>18.903600000000001</v>
      </c>
      <c r="K28" s="101">
        <f t="shared" si="2"/>
        <v>24.5747</v>
      </c>
      <c r="L28" s="101">
        <f t="shared" si="3"/>
        <v>30.245799999999999</v>
      </c>
      <c r="M28" s="81" t="s">
        <v>965</v>
      </c>
      <c r="N28" s="103">
        <f t="shared" si="4"/>
        <v>67.900000000000006</v>
      </c>
      <c r="O28" s="81" t="s">
        <v>965</v>
      </c>
      <c r="P28" s="103">
        <f t="shared" si="5"/>
        <v>1668.6221300000002</v>
      </c>
      <c r="Q28" s="101">
        <f t="shared" si="6"/>
        <v>2.8400000000000002E-2</v>
      </c>
      <c r="R28" s="101">
        <f t="shared" si="7"/>
        <v>3.6900000000000002E-2</v>
      </c>
      <c r="S28" s="110">
        <f t="shared" si="8"/>
        <v>4.5400000000000003E-2</v>
      </c>
      <c r="T28" s="81" t="s">
        <v>965</v>
      </c>
      <c r="U28" s="111">
        <f t="shared" si="9"/>
        <v>294</v>
      </c>
      <c r="V28" s="81" t="s">
        <v>965</v>
      </c>
      <c r="W28" s="112">
        <f t="shared" si="10"/>
        <v>10.848600000000001</v>
      </c>
      <c r="X28" s="113" t="s">
        <v>965</v>
      </c>
      <c r="Y28" s="126">
        <f t="shared" si="11"/>
        <v>4141.47</v>
      </c>
      <c r="Z28" s="122">
        <f t="shared" si="0"/>
        <v>904.47000000000025</v>
      </c>
    </row>
    <row r="29" spans="1:26" s="64" customFormat="1" ht="15" customHeight="1">
      <c r="A29" s="90">
        <v>3.13</v>
      </c>
      <c r="B29" s="79" t="s">
        <v>1003</v>
      </c>
      <c r="C29" s="80" t="s">
        <v>1004</v>
      </c>
      <c r="D29" s="80" t="s">
        <v>1005</v>
      </c>
      <c r="E29" s="91"/>
      <c r="F29" s="81" t="s">
        <v>965</v>
      </c>
      <c r="G29" s="92">
        <v>4221</v>
      </c>
      <c r="H29" s="81" t="s">
        <v>965</v>
      </c>
      <c r="I29" s="82"/>
      <c r="J29" s="101"/>
      <c r="K29" s="101"/>
      <c r="L29" s="101"/>
      <c r="M29" s="81" t="s">
        <v>965</v>
      </c>
      <c r="N29" s="103">
        <f t="shared" si="4"/>
        <v>67.900000000000006</v>
      </c>
      <c r="O29" s="81" t="s">
        <v>965</v>
      </c>
      <c r="P29" s="103">
        <f t="shared" si="5"/>
        <v>0</v>
      </c>
      <c r="Q29" s="101"/>
      <c r="R29" s="101"/>
      <c r="S29" s="110"/>
      <c r="T29" s="81" t="s">
        <v>965</v>
      </c>
      <c r="U29" s="111">
        <f t="shared" si="9"/>
        <v>294</v>
      </c>
      <c r="V29" s="81" t="s">
        <v>965</v>
      </c>
      <c r="W29" s="112">
        <f t="shared" si="10"/>
        <v>0</v>
      </c>
      <c r="X29" s="113" t="s">
        <v>965</v>
      </c>
      <c r="Y29" s="131">
        <f t="shared" ref="Y29:Y34" si="12">+G29</f>
        <v>4221</v>
      </c>
      <c r="Z29" s="122">
        <f t="shared" si="0"/>
        <v>0</v>
      </c>
    </row>
    <row r="30" spans="1:26" s="64" customFormat="1" ht="15" customHeight="1">
      <c r="A30" s="90">
        <v>3.14</v>
      </c>
      <c r="B30" s="79" t="s">
        <v>1003</v>
      </c>
      <c r="C30" s="80" t="s">
        <v>1006</v>
      </c>
      <c r="D30" s="80" t="s">
        <v>1007</v>
      </c>
      <c r="E30" s="91"/>
      <c r="F30" s="81" t="s">
        <v>965</v>
      </c>
      <c r="G30" s="92">
        <v>5664</v>
      </c>
      <c r="H30" s="81" t="s">
        <v>965</v>
      </c>
      <c r="I30" s="82"/>
      <c r="J30" s="101"/>
      <c r="K30" s="101"/>
      <c r="L30" s="101"/>
      <c r="M30" s="81" t="s">
        <v>965</v>
      </c>
      <c r="N30" s="103">
        <f t="shared" si="4"/>
        <v>67.900000000000006</v>
      </c>
      <c r="O30" s="81" t="s">
        <v>965</v>
      </c>
      <c r="P30" s="103">
        <f t="shared" si="5"/>
        <v>0</v>
      </c>
      <c r="Q30" s="101"/>
      <c r="R30" s="101"/>
      <c r="S30" s="110"/>
      <c r="T30" s="81" t="s">
        <v>965</v>
      </c>
      <c r="U30" s="111">
        <f t="shared" si="9"/>
        <v>294</v>
      </c>
      <c r="V30" s="81" t="s">
        <v>965</v>
      </c>
      <c r="W30" s="112">
        <f t="shared" si="10"/>
        <v>0</v>
      </c>
      <c r="X30" s="113" t="s">
        <v>965</v>
      </c>
      <c r="Y30" s="131">
        <f t="shared" si="12"/>
        <v>5664</v>
      </c>
      <c r="Z30" s="122">
        <f t="shared" si="0"/>
        <v>0</v>
      </c>
    </row>
    <row r="31" spans="1:26" s="64" customFormat="1" ht="15" customHeight="1">
      <c r="A31" s="90">
        <v>3.15</v>
      </c>
      <c r="B31" s="79" t="s">
        <v>1003</v>
      </c>
      <c r="C31" s="80" t="s">
        <v>1008</v>
      </c>
      <c r="D31" s="80" t="s">
        <v>1009</v>
      </c>
      <c r="E31" s="91"/>
      <c r="F31" s="81" t="s">
        <v>965</v>
      </c>
      <c r="G31" s="92">
        <v>8605</v>
      </c>
      <c r="H31" s="81" t="s">
        <v>965</v>
      </c>
      <c r="I31" s="82"/>
      <c r="J31" s="101"/>
      <c r="K31" s="101"/>
      <c r="L31" s="101"/>
      <c r="M31" s="81" t="s">
        <v>965</v>
      </c>
      <c r="N31" s="103">
        <f t="shared" si="4"/>
        <v>67.900000000000006</v>
      </c>
      <c r="O31" s="81" t="s">
        <v>965</v>
      </c>
      <c r="P31" s="103">
        <f t="shared" si="5"/>
        <v>0</v>
      </c>
      <c r="Q31" s="101"/>
      <c r="R31" s="101"/>
      <c r="S31" s="110"/>
      <c r="T31" s="81" t="s">
        <v>965</v>
      </c>
      <c r="U31" s="111">
        <f t="shared" si="9"/>
        <v>294</v>
      </c>
      <c r="V31" s="81" t="s">
        <v>965</v>
      </c>
      <c r="W31" s="112">
        <f t="shared" si="10"/>
        <v>0</v>
      </c>
      <c r="X31" s="113" t="s">
        <v>965</v>
      </c>
      <c r="Y31" s="131">
        <f t="shared" si="12"/>
        <v>8605</v>
      </c>
      <c r="Z31" s="122">
        <f t="shared" si="0"/>
        <v>0</v>
      </c>
    </row>
    <row r="32" spans="1:26" s="64" customFormat="1" ht="15" customHeight="1">
      <c r="A32" s="90">
        <v>3.16</v>
      </c>
      <c r="B32" s="79" t="s">
        <v>1003</v>
      </c>
      <c r="C32" s="80" t="s">
        <v>1010</v>
      </c>
      <c r="D32" s="80" t="s">
        <v>1011</v>
      </c>
      <c r="E32" s="91"/>
      <c r="F32" s="81" t="s">
        <v>965</v>
      </c>
      <c r="G32" s="92">
        <v>8895</v>
      </c>
      <c r="H32" s="81" t="s">
        <v>965</v>
      </c>
      <c r="I32" s="82"/>
      <c r="J32" s="101"/>
      <c r="K32" s="101"/>
      <c r="L32" s="101"/>
      <c r="M32" s="81" t="s">
        <v>965</v>
      </c>
      <c r="N32" s="103">
        <f t="shared" si="4"/>
        <v>67.900000000000006</v>
      </c>
      <c r="O32" s="81" t="s">
        <v>965</v>
      </c>
      <c r="P32" s="103">
        <f t="shared" si="5"/>
        <v>0</v>
      </c>
      <c r="Q32" s="101"/>
      <c r="R32" s="101"/>
      <c r="S32" s="110"/>
      <c r="T32" s="81" t="s">
        <v>965</v>
      </c>
      <c r="U32" s="111">
        <f t="shared" si="9"/>
        <v>294</v>
      </c>
      <c r="V32" s="81" t="s">
        <v>965</v>
      </c>
      <c r="W32" s="112">
        <f t="shared" si="10"/>
        <v>0</v>
      </c>
      <c r="X32" s="113" t="s">
        <v>965</v>
      </c>
      <c r="Y32" s="131">
        <f t="shared" si="12"/>
        <v>8895</v>
      </c>
      <c r="Z32" s="122">
        <f t="shared" si="0"/>
        <v>0</v>
      </c>
    </row>
    <row r="33" spans="1:26" s="64" customFormat="1" ht="15" customHeight="1">
      <c r="A33" s="90">
        <v>3.17</v>
      </c>
      <c r="B33" s="79" t="s">
        <v>1003</v>
      </c>
      <c r="C33" s="80" t="s">
        <v>1012</v>
      </c>
      <c r="D33" s="80" t="s">
        <v>1013</v>
      </c>
      <c r="E33" s="91"/>
      <c r="F33" s="81" t="s">
        <v>965</v>
      </c>
      <c r="G33" s="92">
        <v>6419</v>
      </c>
      <c r="H33" s="81" t="s">
        <v>965</v>
      </c>
      <c r="I33" s="82"/>
      <c r="J33" s="101"/>
      <c r="K33" s="101"/>
      <c r="L33" s="101"/>
      <c r="M33" s="81" t="s">
        <v>965</v>
      </c>
      <c r="N33" s="103">
        <f t="shared" si="4"/>
        <v>67.900000000000006</v>
      </c>
      <c r="O33" s="81" t="s">
        <v>965</v>
      </c>
      <c r="P33" s="103">
        <f t="shared" si="5"/>
        <v>0</v>
      </c>
      <c r="Q33" s="101"/>
      <c r="R33" s="101"/>
      <c r="S33" s="110"/>
      <c r="T33" s="81" t="s">
        <v>965</v>
      </c>
      <c r="U33" s="111">
        <f t="shared" si="9"/>
        <v>294</v>
      </c>
      <c r="V33" s="81" t="s">
        <v>965</v>
      </c>
      <c r="W33" s="112">
        <f t="shared" si="10"/>
        <v>0</v>
      </c>
      <c r="X33" s="113" t="s">
        <v>965</v>
      </c>
      <c r="Y33" s="131">
        <f t="shared" si="12"/>
        <v>6419</v>
      </c>
      <c r="Z33" s="122">
        <f t="shared" si="0"/>
        <v>0</v>
      </c>
    </row>
    <row r="34" spans="1:26" s="64" customFormat="1" ht="15" customHeight="1">
      <c r="A34" s="90">
        <v>3.18</v>
      </c>
      <c r="B34" s="79" t="s">
        <v>1003</v>
      </c>
      <c r="C34" s="80" t="s">
        <v>1014</v>
      </c>
      <c r="D34" s="80" t="s">
        <v>1015</v>
      </c>
      <c r="E34" s="91"/>
      <c r="F34" s="81" t="s">
        <v>965</v>
      </c>
      <c r="G34" s="92">
        <v>8390</v>
      </c>
      <c r="H34" s="81" t="s">
        <v>965</v>
      </c>
      <c r="I34" s="82"/>
      <c r="J34" s="101"/>
      <c r="K34" s="101"/>
      <c r="L34" s="101"/>
      <c r="M34" s="81" t="s">
        <v>965</v>
      </c>
      <c r="N34" s="103">
        <f t="shared" si="4"/>
        <v>67.900000000000006</v>
      </c>
      <c r="O34" s="81" t="s">
        <v>965</v>
      </c>
      <c r="P34" s="103">
        <f t="shared" si="5"/>
        <v>0</v>
      </c>
      <c r="Q34" s="101"/>
      <c r="R34" s="101"/>
      <c r="S34" s="110"/>
      <c r="T34" s="81" t="s">
        <v>965</v>
      </c>
      <c r="U34" s="111">
        <f t="shared" si="9"/>
        <v>294</v>
      </c>
      <c r="V34" s="81" t="s">
        <v>965</v>
      </c>
      <c r="W34" s="112">
        <f t="shared" si="10"/>
        <v>0</v>
      </c>
      <c r="X34" s="113" t="s">
        <v>965</v>
      </c>
      <c r="Y34" s="131">
        <f t="shared" si="12"/>
        <v>8390</v>
      </c>
      <c r="Z34" s="122">
        <f t="shared" si="0"/>
        <v>0</v>
      </c>
    </row>
    <row r="35" spans="1:26" s="64" customFormat="1" ht="15" customHeight="1">
      <c r="A35" s="90">
        <v>3.19</v>
      </c>
      <c r="B35" s="79" t="s">
        <v>1016</v>
      </c>
      <c r="C35" s="80" t="s">
        <v>1017</v>
      </c>
      <c r="D35" s="80" t="s">
        <v>1018</v>
      </c>
      <c r="E35" s="80">
        <v>60</v>
      </c>
      <c r="F35" s="85" t="s">
        <v>965</v>
      </c>
      <c r="G35" s="86">
        <v>1386</v>
      </c>
      <c r="H35" s="85" t="s">
        <v>965</v>
      </c>
      <c r="I35" s="86">
        <v>1164</v>
      </c>
      <c r="J35" s="101">
        <f>+ROUND(E35*0.746*0.0905,4)</f>
        <v>4.0507999999999997</v>
      </c>
      <c r="K35" s="101">
        <f>+ROUND((J35+L35)/2,4)</f>
        <v>5.266</v>
      </c>
      <c r="L35" s="101">
        <f>+ROUND(E35*0.746*0.1448,4)</f>
        <v>6.4812000000000003</v>
      </c>
      <c r="M35" s="81" t="s">
        <v>965</v>
      </c>
      <c r="N35" s="103">
        <f t="shared" si="4"/>
        <v>67.900000000000006</v>
      </c>
      <c r="O35" s="81" t="s">
        <v>965</v>
      </c>
      <c r="P35" s="103">
        <f t="shared" si="5"/>
        <v>357.56140000000005</v>
      </c>
      <c r="Q35" s="114">
        <f>ROUND(0.0015*J35,4)</f>
        <v>6.1000000000000004E-3</v>
      </c>
      <c r="R35" s="114">
        <f>+ROUND((Q35+S35)/2,4)</f>
        <v>7.9000000000000008E-3</v>
      </c>
      <c r="S35" s="106">
        <f>ROUND(0.0015*L35,4)</f>
        <v>9.7000000000000003E-3</v>
      </c>
      <c r="T35" s="81" t="s">
        <v>965</v>
      </c>
      <c r="U35" s="111">
        <f t="shared" si="9"/>
        <v>294</v>
      </c>
      <c r="V35" s="81" t="s">
        <v>965</v>
      </c>
      <c r="W35" s="112">
        <f t="shared" si="10"/>
        <v>2.3226000000000004</v>
      </c>
      <c r="X35" s="113" t="s">
        <v>965</v>
      </c>
      <c r="Y35" s="126">
        <f>+ROUND(I35+P35+W35,2)</f>
        <v>1523.88</v>
      </c>
      <c r="Z35" s="122">
        <f t="shared" si="0"/>
        <v>137.88000000000011</v>
      </c>
    </row>
    <row r="36" spans="1:26" s="65" customFormat="1" ht="15" customHeight="1">
      <c r="A36" s="1709" t="s">
        <v>1019</v>
      </c>
      <c r="B36" s="1709"/>
      <c r="C36" s="1709"/>
      <c r="D36" s="1709"/>
      <c r="E36" s="1709"/>
      <c r="F36" s="1709"/>
      <c r="G36" s="1709"/>
      <c r="H36" s="1710"/>
      <c r="I36" s="1710"/>
      <c r="J36" s="1711" t="s">
        <v>948</v>
      </c>
      <c r="K36" s="1711"/>
      <c r="L36" s="1711"/>
      <c r="M36" s="1711"/>
      <c r="N36" s="1711"/>
      <c r="O36" s="1711"/>
      <c r="P36" s="1711"/>
      <c r="Q36" s="1711" t="s">
        <v>949</v>
      </c>
      <c r="R36" s="1711"/>
      <c r="S36" s="1711"/>
      <c r="T36" s="1711"/>
      <c r="U36" s="1711"/>
      <c r="V36" s="1711"/>
      <c r="W36" s="1711"/>
      <c r="X36" s="1713" t="s">
        <v>950</v>
      </c>
      <c r="Y36" s="1713"/>
      <c r="Z36" s="122">
        <f t="shared" ref="Z36:Z67" si="13">+Y36-G36</f>
        <v>0</v>
      </c>
    </row>
    <row r="37" spans="1:26" s="66" customFormat="1" ht="30" customHeight="1">
      <c r="A37" s="1712" t="s">
        <v>5</v>
      </c>
      <c r="B37" s="1712"/>
      <c r="C37" s="71" t="s">
        <v>951</v>
      </c>
      <c r="D37" s="71" t="s">
        <v>952</v>
      </c>
      <c r="E37" s="72" t="s">
        <v>953</v>
      </c>
      <c r="F37" s="1712" t="s">
        <v>954</v>
      </c>
      <c r="G37" s="1712"/>
      <c r="H37" s="1712" t="s">
        <v>955</v>
      </c>
      <c r="I37" s="1712"/>
      <c r="J37" s="71" t="s">
        <v>956</v>
      </c>
      <c r="K37" s="71" t="s">
        <v>957</v>
      </c>
      <c r="L37" s="71" t="s">
        <v>958</v>
      </c>
      <c r="M37" s="1712" t="s">
        <v>959</v>
      </c>
      <c r="N37" s="1712"/>
      <c r="O37" s="1712" t="s">
        <v>960</v>
      </c>
      <c r="P37" s="1712"/>
      <c r="Q37" s="71" t="s">
        <v>956</v>
      </c>
      <c r="R37" s="71" t="s">
        <v>957</v>
      </c>
      <c r="S37" s="71" t="s">
        <v>958</v>
      </c>
      <c r="T37" s="1713" t="s">
        <v>961</v>
      </c>
      <c r="U37" s="1713"/>
      <c r="V37" s="1713" t="s">
        <v>962</v>
      </c>
      <c r="W37" s="1713"/>
      <c r="X37" s="1713"/>
      <c r="Y37" s="1713"/>
      <c r="Z37" s="122">
        <f t="shared" si="13"/>
        <v>0</v>
      </c>
    </row>
    <row r="38" spans="1:26" s="64" customFormat="1" ht="15" customHeight="1">
      <c r="A38" s="78">
        <v>4.0999999999999996</v>
      </c>
      <c r="B38" s="79" t="s">
        <v>1020</v>
      </c>
      <c r="C38" s="80" t="s">
        <v>1021</v>
      </c>
      <c r="D38" s="80" t="s">
        <v>1022</v>
      </c>
      <c r="E38" s="80">
        <v>138</v>
      </c>
      <c r="F38" s="76" t="s">
        <v>965</v>
      </c>
      <c r="G38" s="77">
        <v>2096</v>
      </c>
      <c r="H38" s="76" t="s">
        <v>965</v>
      </c>
      <c r="I38" s="77">
        <v>1761</v>
      </c>
      <c r="J38" s="101">
        <f>+ROUND(E38*0.746*0.0905,4)</f>
        <v>9.3168000000000006</v>
      </c>
      <c r="K38" s="101">
        <f>+ROUND((J38+L38)/2,4)</f>
        <v>12.1119</v>
      </c>
      <c r="L38" s="101">
        <f>+ROUND(E38*0.746*0.1448,4)</f>
        <v>14.9069</v>
      </c>
      <c r="M38" s="81" t="s">
        <v>965</v>
      </c>
      <c r="N38" s="103">
        <f>+$AD$8</f>
        <v>67.900000000000006</v>
      </c>
      <c r="O38" s="81" t="s">
        <v>965</v>
      </c>
      <c r="P38" s="103">
        <f>+K38*N38</f>
        <v>822.39801000000011</v>
      </c>
      <c r="Q38" s="101">
        <f>ROUND(0.0015*J38,4)</f>
        <v>1.4E-2</v>
      </c>
      <c r="R38" s="101">
        <f>+ROUND((Q38+S38)/2,4)</f>
        <v>1.8200000000000001E-2</v>
      </c>
      <c r="S38" s="108">
        <f>ROUND(0.0015*L38,4)</f>
        <v>2.24E-2</v>
      </c>
      <c r="T38" s="81" t="s">
        <v>965</v>
      </c>
      <c r="U38" s="111">
        <f>+$AD$9</f>
        <v>294</v>
      </c>
      <c r="V38" s="81" t="s">
        <v>965</v>
      </c>
      <c r="W38" s="112">
        <f>+R38*U38</f>
        <v>5.3508000000000004</v>
      </c>
      <c r="X38" s="113" t="s">
        <v>965</v>
      </c>
      <c r="Y38" s="126">
        <f>+ROUND(I38+P38+W38,2)</f>
        <v>2588.75</v>
      </c>
      <c r="Z38" s="122">
        <f t="shared" si="13"/>
        <v>492.75</v>
      </c>
    </row>
    <row r="39" spans="1:26" s="64" customFormat="1" ht="15" customHeight="1">
      <c r="A39" s="78">
        <v>4.2</v>
      </c>
      <c r="B39" s="79" t="s">
        <v>1023</v>
      </c>
      <c r="C39" s="80" t="s">
        <v>1021</v>
      </c>
      <c r="D39" s="80" t="s">
        <v>1022</v>
      </c>
      <c r="E39" s="80">
        <v>138</v>
      </c>
      <c r="F39" s="81" t="s">
        <v>965</v>
      </c>
      <c r="G39" s="82">
        <v>2724.8</v>
      </c>
      <c r="H39" s="81" t="s">
        <v>965</v>
      </c>
      <c r="I39" s="82">
        <v>2289.3000000000002</v>
      </c>
      <c r="J39" s="101">
        <f>+ROUND(E39*0.746*0.0905,4)</f>
        <v>9.3168000000000006</v>
      </c>
      <c r="K39" s="101">
        <f>+ROUND((J39+L39)/2,4)</f>
        <v>12.1119</v>
      </c>
      <c r="L39" s="101">
        <f>+ROUND(E39*0.746*0.1448,4)</f>
        <v>14.9069</v>
      </c>
      <c r="M39" s="81" t="s">
        <v>965</v>
      </c>
      <c r="N39" s="103">
        <f>+$AD$8</f>
        <v>67.900000000000006</v>
      </c>
      <c r="O39" s="81" t="s">
        <v>965</v>
      </c>
      <c r="P39" s="103">
        <f>+K39*N39</f>
        <v>822.39801000000011</v>
      </c>
      <c r="Q39" s="101">
        <f>ROUND(0.0015*J39,4)</f>
        <v>1.4E-2</v>
      </c>
      <c r="R39" s="101">
        <f>+ROUND((Q39+S39)/2,4)</f>
        <v>1.8200000000000001E-2</v>
      </c>
      <c r="S39" s="110">
        <f>ROUND(0.0015*L39,4)</f>
        <v>2.24E-2</v>
      </c>
      <c r="T39" s="81" t="s">
        <v>965</v>
      </c>
      <c r="U39" s="111">
        <f>+$AD$9</f>
        <v>294</v>
      </c>
      <c r="V39" s="81" t="s">
        <v>965</v>
      </c>
      <c r="W39" s="112">
        <f>+R39*U39</f>
        <v>5.3508000000000004</v>
      </c>
      <c r="X39" s="113" t="s">
        <v>965</v>
      </c>
      <c r="Y39" s="126">
        <f>+ROUND(I39+P39+W39,2)</f>
        <v>3117.05</v>
      </c>
      <c r="Z39" s="122">
        <f t="shared" si="13"/>
        <v>392.25</v>
      </c>
    </row>
    <row r="40" spans="1:26" s="64" customFormat="1" ht="15" customHeight="1">
      <c r="A40" s="78">
        <v>4.3</v>
      </c>
      <c r="B40" s="79" t="s">
        <v>1024</v>
      </c>
      <c r="C40" s="80" t="s">
        <v>1025</v>
      </c>
      <c r="D40" s="80" t="s">
        <v>1026</v>
      </c>
      <c r="E40" s="80">
        <v>50</v>
      </c>
      <c r="F40" s="85" t="s">
        <v>965</v>
      </c>
      <c r="G40" s="86">
        <v>922</v>
      </c>
      <c r="H40" s="85" t="s">
        <v>965</v>
      </c>
      <c r="I40" s="86">
        <v>774</v>
      </c>
      <c r="J40" s="101">
        <f>+ROUND(E40*0.746*0.0905,4)</f>
        <v>3.3757000000000001</v>
      </c>
      <c r="K40" s="101">
        <f>+ROUND((J40+L40)/2,4)</f>
        <v>4.3883999999999999</v>
      </c>
      <c r="L40" s="101">
        <f>+ROUND(E40*0.746*0.1448,4)</f>
        <v>5.4009999999999998</v>
      </c>
      <c r="M40" s="81" t="s">
        <v>965</v>
      </c>
      <c r="N40" s="103">
        <f>+$AD$8</f>
        <v>67.900000000000006</v>
      </c>
      <c r="O40" s="81" t="s">
        <v>965</v>
      </c>
      <c r="P40" s="103">
        <f>+K40*N40</f>
        <v>297.97236000000004</v>
      </c>
      <c r="Q40" s="114">
        <f>ROUND(0.0015*J40,4)</f>
        <v>5.1000000000000004E-3</v>
      </c>
      <c r="R40" s="114">
        <f>+ROUND((Q40+S40)/2,4)</f>
        <v>6.6E-3</v>
      </c>
      <c r="S40" s="106">
        <f>ROUND(0.0015*L40,4)</f>
        <v>8.0999999999999996E-3</v>
      </c>
      <c r="T40" s="81" t="s">
        <v>965</v>
      </c>
      <c r="U40" s="111">
        <f>+$AD$9</f>
        <v>294</v>
      </c>
      <c r="V40" s="81" t="s">
        <v>965</v>
      </c>
      <c r="W40" s="112">
        <f>+R40*U40</f>
        <v>1.9403999999999999</v>
      </c>
      <c r="X40" s="113" t="s">
        <v>965</v>
      </c>
      <c r="Y40" s="126">
        <f>+ROUND(I40+P40+W40,2)</f>
        <v>1073.9100000000001</v>
      </c>
      <c r="Z40" s="122">
        <f t="shared" si="13"/>
        <v>151.91000000000008</v>
      </c>
    </row>
    <row r="41" spans="1:26" s="65" customFormat="1" ht="15" customHeight="1">
      <c r="A41" s="1709" t="s">
        <v>1027</v>
      </c>
      <c r="B41" s="1709"/>
      <c r="C41" s="1709"/>
      <c r="D41" s="1709"/>
      <c r="E41" s="1709"/>
      <c r="F41" s="1709"/>
      <c r="G41" s="1709"/>
      <c r="H41" s="1710"/>
      <c r="I41" s="1710"/>
      <c r="J41" s="1711" t="s">
        <v>948</v>
      </c>
      <c r="K41" s="1711"/>
      <c r="L41" s="1711"/>
      <c r="M41" s="1711"/>
      <c r="N41" s="1711"/>
      <c r="O41" s="1711"/>
      <c r="P41" s="1711"/>
      <c r="Q41" s="1711" t="s">
        <v>949</v>
      </c>
      <c r="R41" s="1711"/>
      <c r="S41" s="1711"/>
      <c r="T41" s="1711"/>
      <c r="U41" s="1711"/>
      <c r="V41" s="1711"/>
      <c r="W41" s="1711"/>
      <c r="X41" s="1713" t="s">
        <v>950</v>
      </c>
      <c r="Y41" s="1713"/>
      <c r="Z41" s="122">
        <f t="shared" si="13"/>
        <v>0</v>
      </c>
    </row>
    <row r="42" spans="1:26" s="66" customFormat="1" ht="30" customHeight="1">
      <c r="A42" s="1712" t="s">
        <v>5</v>
      </c>
      <c r="B42" s="1712"/>
      <c r="C42" s="71" t="s">
        <v>951</v>
      </c>
      <c r="D42" s="71" t="s">
        <v>952</v>
      </c>
      <c r="E42" s="72" t="s">
        <v>953</v>
      </c>
      <c r="F42" s="1712" t="s">
        <v>954</v>
      </c>
      <c r="G42" s="1712"/>
      <c r="H42" s="1712" t="s">
        <v>955</v>
      </c>
      <c r="I42" s="1712"/>
      <c r="J42" s="71" t="s">
        <v>956</v>
      </c>
      <c r="K42" s="71" t="s">
        <v>957</v>
      </c>
      <c r="L42" s="71" t="s">
        <v>958</v>
      </c>
      <c r="M42" s="1712" t="s">
        <v>959</v>
      </c>
      <c r="N42" s="1712"/>
      <c r="O42" s="1712" t="s">
        <v>960</v>
      </c>
      <c r="P42" s="1712"/>
      <c r="Q42" s="71" t="s">
        <v>956</v>
      </c>
      <c r="R42" s="71" t="s">
        <v>957</v>
      </c>
      <c r="S42" s="71" t="s">
        <v>958</v>
      </c>
      <c r="T42" s="1713" t="s">
        <v>961</v>
      </c>
      <c r="U42" s="1713"/>
      <c r="V42" s="1713" t="s">
        <v>962</v>
      </c>
      <c r="W42" s="1713"/>
      <c r="X42" s="1713"/>
      <c r="Y42" s="1713"/>
      <c r="Z42" s="122">
        <f t="shared" si="13"/>
        <v>0</v>
      </c>
    </row>
    <row r="43" spans="1:26" s="64" customFormat="1" ht="15" customHeight="1">
      <c r="A43" s="88">
        <v>5.0999999999999996</v>
      </c>
      <c r="B43" s="89" t="s">
        <v>1028</v>
      </c>
      <c r="C43" s="75" t="s">
        <v>1029</v>
      </c>
      <c r="D43" s="75" t="s">
        <v>1030</v>
      </c>
      <c r="E43" s="93"/>
      <c r="F43" s="76" t="s">
        <v>965</v>
      </c>
      <c r="G43" s="94">
        <v>1286</v>
      </c>
      <c r="H43" s="76" t="s">
        <v>965</v>
      </c>
      <c r="I43" s="77">
        <v>1080</v>
      </c>
      <c r="J43" s="101"/>
      <c r="K43" s="101"/>
      <c r="L43" s="101"/>
      <c r="M43" s="81" t="s">
        <v>965</v>
      </c>
      <c r="N43" s="103">
        <f>+$AD$8</f>
        <v>67.900000000000006</v>
      </c>
      <c r="O43" s="81" t="s">
        <v>965</v>
      </c>
      <c r="P43" s="103">
        <f>+K43*N43</f>
        <v>0</v>
      </c>
      <c r="Q43" s="101"/>
      <c r="R43" s="101"/>
      <c r="S43" s="108"/>
      <c r="T43" s="81" t="s">
        <v>965</v>
      </c>
      <c r="U43" s="111">
        <f>+$AD$9</f>
        <v>294</v>
      </c>
      <c r="V43" s="81" t="s">
        <v>965</v>
      </c>
      <c r="W43" s="112">
        <f>+R43*U43</f>
        <v>0</v>
      </c>
      <c r="X43" s="113" t="s">
        <v>965</v>
      </c>
      <c r="Y43" s="131">
        <f>+G43</f>
        <v>1286</v>
      </c>
      <c r="Z43" s="122">
        <f t="shared" si="13"/>
        <v>0</v>
      </c>
    </row>
    <row r="44" spans="1:26" s="64" customFormat="1" ht="15" customHeight="1">
      <c r="A44" s="78">
        <v>5.2</v>
      </c>
      <c r="B44" s="79" t="s">
        <v>1031</v>
      </c>
      <c r="C44" s="80" t="s">
        <v>1032</v>
      </c>
      <c r="D44" s="80" t="s">
        <v>1033</v>
      </c>
      <c r="E44" s="80">
        <v>272.22000000000003</v>
      </c>
      <c r="F44" s="81" t="s">
        <v>965</v>
      </c>
      <c r="G44" s="82">
        <v>3069</v>
      </c>
      <c r="H44" s="81" t="s">
        <v>965</v>
      </c>
      <c r="I44" s="82">
        <v>2578</v>
      </c>
      <c r="J44" s="101">
        <f>+ROUND(E44*0.746*0.0905,4)</f>
        <v>18.378399999999999</v>
      </c>
      <c r="K44" s="101">
        <f>+ROUND((J44+L44)/2,4)</f>
        <v>23.8919</v>
      </c>
      <c r="L44" s="101">
        <f>+ROUND(E44*0.746*0.1448,4)</f>
        <v>29.4054</v>
      </c>
      <c r="M44" s="81" t="s">
        <v>965</v>
      </c>
      <c r="N44" s="103">
        <f>+$AD$8</f>
        <v>67.900000000000006</v>
      </c>
      <c r="O44" s="81" t="s">
        <v>965</v>
      </c>
      <c r="P44" s="103">
        <f>+K44*N44</f>
        <v>1622.2600100000002</v>
      </c>
      <c r="Q44" s="101">
        <f>ROUND(0.0015*J44,4)</f>
        <v>2.76E-2</v>
      </c>
      <c r="R44" s="101">
        <f>+ROUND((Q44+S44)/2,4)</f>
        <v>3.5900000000000001E-2</v>
      </c>
      <c r="S44" s="110">
        <f>ROUND(0.0015*L44,4)</f>
        <v>4.41E-2</v>
      </c>
      <c r="T44" s="81" t="s">
        <v>965</v>
      </c>
      <c r="U44" s="111">
        <f>+$AD$9</f>
        <v>294</v>
      </c>
      <c r="V44" s="81" t="s">
        <v>965</v>
      </c>
      <c r="W44" s="112">
        <f>+R44*U44</f>
        <v>10.554600000000001</v>
      </c>
      <c r="X44" s="113" t="s">
        <v>965</v>
      </c>
      <c r="Y44" s="126">
        <f>+ROUND(I44+P44+W44,2)</f>
        <v>4210.8100000000004</v>
      </c>
      <c r="Z44" s="122">
        <f t="shared" si="13"/>
        <v>1141.8100000000004</v>
      </c>
    </row>
    <row r="45" spans="1:26" s="64" customFormat="1" ht="15" customHeight="1">
      <c r="A45" s="88">
        <v>5.3</v>
      </c>
      <c r="B45" s="79" t="s">
        <v>1031</v>
      </c>
      <c r="C45" s="80" t="s">
        <v>1034</v>
      </c>
      <c r="D45" s="80" t="s">
        <v>1035</v>
      </c>
      <c r="E45" s="80">
        <v>222</v>
      </c>
      <c r="F45" s="81" t="s">
        <v>965</v>
      </c>
      <c r="G45" s="82">
        <v>4118</v>
      </c>
      <c r="H45" s="81" t="s">
        <v>965</v>
      </c>
      <c r="I45" s="82">
        <v>3459</v>
      </c>
      <c r="J45" s="101">
        <f>+ROUND(E45*0.746*0.0905,4)</f>
        <v>14.9879</v>
      </c>
      <c r="K45" s="101">
        <f>+ROUND((J45+L45)/2,4)</f>
        <v>19.484300000000001</v>
      </c>
      <c r="L45" s="101">
        <f>+ROUND(E45*0.746*0.1448,4)</f>
        <v>23.980599999999999</v>
      </c>
      <c r="M45" s="81" t="s">
        <v>965</v>
      </c>
      <c r="N45" s="103">
        <f>+$AD$8</f>
        <v>67.900000000000006</v>
      </c>
      <c r="O45" s="81" t="s">
        <v>965</v>
      </c>
      <c r="P45" s="103">
        <f>+K45*N45</f>
        <v>1322.9839700000002</v>
      </c>
      <c r="Q45" s="101">
        <f>ROUND(0.0015*J45,4)</f>
        <v>2.2499999999999999E-2</v>
      </c>
      <c r="R45" s="101">
        <f>+ROUND((Q45+S45)/2,4)</f>
        <v>2.93E-2</v>
      </c>
      <c r="S45" s="110">
        <f>ROUND(0.0015*L45,4)</f>
        <v>3.5999999999999997E-2</v>
      </c>
      <c r="T45" s="81" t="s">
        <v>965</v>
      </c>
      <c r="U45" s="111">
        <f>+$AD$9</f>
        <v>294</v>
      </c>
      <c r="V45" s="81" t="s">
        <v>965</v>
      </c>
      <c r="W45" s="112">
        <f>+R45*U45</f>
        <v>8.6142000000000003</v>
      </c>
      <c r="X45" s="113" t="s">
        <v>965</v>
      </c>
      <c r="Y45" s="126">
        <f>+ROUND(I45+P45+W45,2)</f>
        <v>4790.6000000000004</v>
      </c>
      <c r="Z45" s="122">
        <f t="shared" si="13"/>
        <v>672.60000000000036</v>
      </c>
    </row>
    <row r="46" spans="1:26" s="64" customFormat="1" ht="15" customHeight="1">
      <c r="A46" s="78">
        <v>5.4</v>
      </c>
      <c r="B46" s="79" t="s">
        <v>1031</v>
      </c>
      <c r="C46" s="80" t="s">
        <v>1036</v>
      </c>
      <c r="D46" s="80" t="s">
        <v>1037</v>
      </c>
      <c r="E46" s="80">
        <v>201</v>
      </c>
      <c r="F46" s="81" t="s">
        <v>965</v>
      </c>
      <c r="G46" s="82">
        <v>2123</v>
      </c>
      <c r="H46" s="81" t="s">
        <v>965</v>
      </c>
      <c r="I46" s="82">
        <v>1784</v>
      </c>
      <c r="J46" s="101">
        <f>+ROUND(E46*0.746*0.0905,4)</f>
        <v>13.5701</v>
      </c>
      <c r="K46" s="101">
        <f>+ROUND((J46+L46)/2,4)</f>
        <v>17.641200000000001</v>
      </c>
      <c r="L46" s="101">
        <f>+ROUND(E46*0.746*0.1448,4)</f>
        <v>21.712199999999999</v>
      </c>
      <c r="M46" s="81" t="s">
        <v>965</v>
      </c>
      <c r="N46" s="103">
        <f>+$AD$8</f>
        <v>67.900000000000006</v>
      </c>
      <c r="O46" s="81" t="s">
        <v>965</v>
      </c>
      <c r="P46" s="103">
        <f>+K46*N46</f>
        <v>1197.8374800000001</v>
      </c>
      <c r="Q46" s="101">
        <f>ROUND(0.0015*J46,4)</f>
        <v>2.0400000000000001E-2</v>
      </c>
      <c r="R46" s="115">
        <f>+ROUND((Q46+S46)/2,4)</f>
        <v>2.6499999999999999E-2</v>
      </c>
      <c r="S46" s="110">
        <f>ROUND(0.0015*L46,4)</f>
        <v>3.2599999999999997E-2</v>
      </c>
      <c r="T46" s="81" t="s">
        <v>965</v>
      </c>
      <c r="U46" s="111">
        <f>+$AD$9</f>
        <v>294</v>
      </c>
      <c r="V46" s="81" t="s">
        <v>965</v>
      </c>
      <c r="W46" s="112">
        <f>+R46*U46</f>
        <v>7.7909999999999995</v>
      </c>
      <c r="X46" s="113" t="s">
        <v>965</v>
      </c>
      <c r="Y46" s="126">
        <f>+ROUND(I46+P46+W46,2)</f>
        <v>2989.63</v>
      </c>
      <c r="Z46" s="122">
        <f t="shared" si="13"/>
        <v>866.63000000000011</v>
      </c>
    </row>
    <row r="47" spans="1:26" s="64" customFormat="1" ht="30" customHeight="1">
      <c r="A47" s="88">
        <v>5.5</v>
      </c>
      <c r="B47" s="79" t="s">
        <v>1038</v>
      </c>
      <c r="C47" s="95" t="s">
        <v>1039</v>
      </c>
      <c r="D47" s="80"/>
      <c r="E47" s="80">
        <v>300</v>
      </c>
      <c r="F47" s="85" t="s">
        <v>965</v>
      </c>
      <c r="G47" s="86">
        <v>12637</v>
      </c>
      <c r="H47" s="85" t="s">
        <v>965</v>
      </c>
      <c r="I47" s="86">
        <v>10615</v>
      </c>
      <c r="J47" s="101">
        <f>+ROUND(E47*0.746*0.0905,4)</f>
        <v>20.253900000000002</v>
      </c>
      <c r="K47" s="101">
        <f>+ROUND((J47+L47)/2,4)</f>
        <v>26.330100000000002</v>
      </c>
      <c r="L47" s="101">
        <f>+ROUND(E47*0.746*0.1448,4)</f>
        <v>32.406199999999998</v>
      </c>
      <c r="M47" s="81" t="s">
        <v>965</v>
      </c>
      <c r="N47" s="103">
        <f>+$AD$8</f>
        <v>67.900000000000006</v>
      </c>
      <c r="O47" s="81" t="s">
        <v>965</v>
      </c>
      <c r="P47" s="103">
        <f>+K47*N47</f>
        <v>1787.8137900000002</v>
      </c>
      <c r="Q47" s="114">
        <f>ROUND(0.0015*J47,4)</f>
        <v>3.04E-2</v>
      </c>
      <c r="R47" s="114">
        <f>+ROUND((Q47+S47)/2,4)</f>
        <v>3.95E-2</v>
      </c>
      <c r="S47" s="106">
        <f>ROUND(0.0015*L47,4)</f>
        <v>4.8599999999999997E-2</v>
      </c>
      <c r="T47" s="81" t="s">
        <v>965</v>
      </c>
      <c r="U47" s="111">
        <f>+$AD$9</f>
        <v>294</v>
      </c>
      <c r="V47" s="81" t="s">
        <v>965</v>
      </c>
      <c r="W47" s="112">
        <f>+R47*U47</f>
        <v>11.613</v>
      </c>
      <c r="X47" s="113" t="s">
        <v>965</v>
      </c>
      <c r="Y47" s="126">
        <f>+ROUND(I47+P47+W47,2)</f>
        <v>12414.43</v>
      </c>
      <c r="Z47" s="122">
        <f t="shared" si="13"/>
        <v>-222.56999999999971</v>
      </c>
    </row>
    <row r="48" spans="1:26" s="65" customFormat="1" ht="15" customHeight="1">
      <c r="A48" s="1709" t="s">
        <v>1040</v>
      </c>
      <c r="B48" s="1709"/>
      <c r="C48" s="1709"/>
      <c r="D48" s="1709"/>
      <c r="E48" s="1709"/>
      <c r="F48" s="1709"/>
      <c r="G48" s="1709"/>
      <c r="H48" s="1710"/>
      <c r="I48" s="1710"/>
      <c r="J48" s="1711" t="s">
        <v>948</v>
      </c>
      <c r="K48" s="1711"/>
      <c r="L48" s="1711"/>
      <c r="M48" s="1711"/>
      <c r="N48" s="1711"/>
      <c r="O48" s="1711"/>
      <c r="P48" s="1711"/>
      <c r="Q48" s="1711" t="s">
        <v>949</v>
      </c>
      <c r="R48" s="1711"/>
      <c r="S48" s="1711"/>
      <c r="T48" s="1711"/>
      <c r="U48" s="1711"/>
      <c r="V48" s="1711"/>
      <c r="W48" s="1711"/>
      <c r="X48" s="1713" t="s">
        <v>950</v>
      </c>
      <c r="Y48" s="1713"/>
      <c r="Z48" s="122">
        <f t="shared" si="13"/>
        <v>0</v>
      </c>
    </row>
    <row r="49" spans="1:26" s="66" customFormat="1" ht="30" customHeight="1">
      <c r="A49" s="1712" t="s">
        <v>5</v>
      </c>
      <c r="B49" s="1712"/>
      <c r="C49" s="71" t="s">
        <v>951</v>
      </c>
      <c r="D49" s="71" t="s">
        <v>952</v>
      </c>
      <c r="E49" s="72" t="s">
        <v>953</v>
      </c>
      <c r="F49" s="1712" t="s">
        <v>954</v>
      </c>
      <c r="G49" s="1712"/>
      <c r="H49" s="1712" t="s">
        <v>955</v>
      </c>
      <c r="I49" s="1712"/>
      <c r="J49" s="71" t="s">
        <v>956</v>
      </c>
      <c r="K49" s="71" t="s">
        <v>957</v>
      </c>
      <c r="L49" s="71" t="s">
        <v>958</v>
      </c>
      <c r="M49" s="1712" t="s">
        <v>959</v>
      </c>
      <c r="N49" s="1712"/>
      <c r="O49" s="1712" t="s">
        <v>960</v>
      </c>
      <c r="P49" s="1712"/>
      <c r="Q49" s="71" t="s">
        <v>956</v>
      </c>
      <c r="R49" s="71" t="s">
        <v>957</v>
      </c>
      <c r="S49" s="71" t="s">
        <v>958</v>
      </c>
      <c r="T49" s="1713" t="s">
        <v>961</v>
      </c>
      <c r="U49" s="1713"/>
      <c r="V49" s="1713" t="s">
        <v>962</v>
      </c>
      <c r="W49" s="1713"/>
      <c r="X49" s="1713"/>
      <c r="Y49" s="1713"/>
      <c r="Z49" s="122">
        <f t="shared" si="13"/>
        <v>0</v>
      </c>
    </row>
    <row r="50" spans="1:26" s="64" customFormat="1" ht="15" customHeight="1">
      <c r="A50" s="78">
        <v>6.1</v>
      </c>
      <c r="B50" s="79" t="s">
        <v>1041</v>
      </c>
      <c r="C50" s="80" t="s">
        <v>1042</v>
      </c>
      <c r="D50" s="80" t="s">
        <v>1043</v>
      </c>
      <c r="E50" s="80">
        <v>100</v>
      </c>
      <c r="F50" s="76" t="s">
        <v>965</v>
      </c>
      <c r="G50" s="77">
        <v>936</v>
      </c>
      <c r="H50" s="76" t="s">
        <v>965</v>
      </c>
      <c r="I50" s="77">
        <v>786</v>
      </c>
      <c r="J50" s="101">
        <f>+ROUND(E50*0.746*0.0905,4)</f>
        <v>6.7512999999999996</v>
      </c>
      <c r="K50" s="101">
        <f>+ROUND((J50+L50)/2,4)</f>
        <v>8.7766999999999999</v>
      </c>
      <c r="L50" s="101">
        <f>+ROUND(E50*0.746*0.1448,4)</f>
        <v>10.802099999999999</v>
      </c>
      <c r="M50" s="81" t="s">
        <v>965</v>
      </c>
      <c r="N50" s="103">
        <f>+$AD$8</f>
        <v>67.900000000000006</v>
      </c>
      <c r="O50" s="81" t="s">
        <v>965</v>
      </c>
      <c r="P50" s="103">
        <f>+K50*N50</f>
        <v>595.93793000000005</v>
      </c>
      <c r="Q50" s="101">
        <f>ROUND(0.0015*J50,4)</f>
        <v>1.01E-2</v>
      </c>
      <c r="R50" s="101">
        <f>+ROUND((Q50+S50)/2,4)</f>
        <v>1.32E-2</v>
      </c>
      <c r="S50" s="108">
        <f>ROUND(0.0015*L50,4)</f>
        <v>1.6199999999999999E-2</v>
      </c>
      <c r="T50" s="81" t="s">
        <v>965</v>
      </c>
      <c r="U50" s="111">
        <f>+$AD$9</f>
        <v>294</v>
      </c>
      <c r="V50" s="81" t="s">
        <v>965</v>
      </c>
      <c r="W50" s="112">
        <f>+R50*U50</f>
        <v>3.8807999999999998</v>
      </c>
      <c r="X50" s="113" t="s">
        <v>965</v>
      </c>
      <c r="Y50" s="126">
        <f>+ROUND(I50+P50+W50,2)</f>
        <v>1385.82</v>
      </c>
      <c r="Z50" s="122">
        <f t="shared" si="13"/>
        <v>449.81999999999994</v>
      </c>
    </row>
    <row r="51" spans="1:26" s="64" customFormat="1" ht="15" customHeight="1">
      <c r="A51" s="83">
        <v>6.2</v>
      </c>
      <c r="B51" s="84" t="s">
        <v>1044</v>
      </c>
      <c r="C51" s="96" t="s">
        <v>1045</v>
      </c>
      <c r="D51" s="96"/>
      <c r="E51" s="96">
        <v>80</v>
      </c>
      <c r="F51" s="97" t="s">
        <v>965</v>
      </c>
      <c r="G51" s="98">
        <v>1833</v>
      </c>
      <c r="H51" s="97" t="s">
        <v>965</v>
      </c>
      <c r="I51" s="98">
        <v>1539</v>
      </c>
      <c r="J51" s="106">
        <f>+ROUND(E51*0.746*0.0905,4)</f>
        <v>5.4009999999999998</v>
      </c>
      <c r="K51" s="106">
        <f>+ROUND((J51+L51)/2,4)</f>
        <v>7.0213999999999999</v>
      </c>
      <c r="L51" s="106">
        <f>+ROUND(E51*0.746*0.1448,4)</f>
        <v>8.6417000000000002</v>
      </c>
      <c r="M51" s="97" t="s">
        <v>965</v>
      </c>
      <c r="N51" s="107">
        <f>+$AD$8</f>
        <v>67.900000000000006</v>
      </c>
      <c r="O51" s="97" t="s">
        <v>965</v>
      </c>
      <c r="P51" s="107">
        <f>+K51*N51</f>
        <v>476.75306</v>
      </c>
      <c r="Q51" s="106">
        <f>ROUND(0.0015*J51,4)</f>
        <v>8.0999999999999996E-3</v>
      </c>
      <c r="R51" s="116">
        <f>+ROUND((Q51+S51)/2,4)</f>
        <v>1.06E-2</v>
      </c>
      <c r="S51" s="106">
        <f>ROUND(0.0015*L51,4)</f>
        <v>1.2999999999999999E-2</v>
      </c>
      <c r="T51" s="97" t="s">
        <v>965</v>
      </c>
      <c r="U51" s="117">
        <f>+$AD$9</f>
        <v>294</v>
      </c>
      <c r="V51" s="97" t="s">
        <v>965</v>
      </c>
      <c r="W51" s="107">
        <f>+R51*U51</f>
        <v>3.1164000000000001</v>
      </c>
      <c r="X51" s="118" t="s">
        <v>965</v>
      </c>
      <c r="Y51" s="132">
        <f>+ROUND(I51+P51+W51,2)</f>
        <v>2018.87</v>
      </c>
      <c r="Z51" s="122">
        <f t="shared" si="13"/>
        <v>185.86999999999989</v>
      </c>
    </row>
    <row r="52" spans="1:26" s="65" customFormat="1" ht="15" customHeight="1">
      <c r="A52" s="1709" t="s">
        <v>1046</v>
      </c>
      <c r="B52" s="1709"/>
      <c r="C52" s="1709"/>
      <c r="D52" s="1709"/>
      <c r="E52" s="1709"/>
      <c r="F52" s="1709"/>
      <c r="G52" s="1709"/>
      <c r="H52" s="1710"/>
      <c r="I52" s="1710"/>
      <c r="J52" s="1711" t="s">
        <v>948</v>
      </c>
      <c r="K52" s="1711"/>
      <c r="L52" s="1711"/>
      <c r="M52" s="1711"/>
      <c r="N52" s="1711"/>
      <c r="O52" s="1711"/>
      <c r="P52" s="1711"/>
      <c r="Q52" s="1711" t="s">
        <v>949</v>
      </c>
      <c r="R52" s="1711"/>
      <c r="S52" s="1711"/>
      <c r="T52" s="1711"/>
      <c r="U52" s="1711"/>
      <c r="V52" s="1711"/>
      <c r="W52" s="1711"/>
      <c r="X52" s="1713" t="s">
        <v>950</v>
      </c>
      <c r="Y52" s="1713"/>
      <c r="Z52" s="122">
        <f t="shared" si="13"/>
        <v>0</v>
      </c>
    </row>
    <row r="53" spans="1:26" s="66" customFormat="1" ht="30" customHeight="1">
      <c r="A53" s="1712" t="s">
        <v>5</v>
      </c>
      <c r="B53" s="1712"/>
      <c r="C53" s="71" t="s">
        <v>951</v>
      </c>
      <c r="D53" s="71" t="s">
        <v>952</v>
      </c>
      <c r="E53" s="72" t="s">
        <v>953</v>
      </c>
      <c r="F53" s="1712" t="s">
        <v>954</v>
      </c>
      <c r="G53" s="1712"/>
      <c r="H53" s="1712" t="s">
        <v>955</v>
      </c>
      <c r="I53" s="1712"/>
      <c r="J53" s="71" t="s">
        <v>956</v>
      </c>
      <c r="K53" s="71" t="s">
        <v>957</v>
      </c>
      <c r="L53" s="71" t="s">
        <v>958</v>
      </c>
      <c r="M53" s="1712" t="s">
        <v>959</v>
      </c>
      <c r="N53" s="1712"/>
      <c r="O53" s="1712" t="s">
        <v>960</v>
      </c>
      <c r="P53" s="1712"/>
      <c r="Q53" s="71" t="s">
        <v>956</v>
      </c>
      <c r="R53" s="71" t="s">
        <v>957</v>
      </c>
      <c r="S53" s="71" t="s">
        <v>958</v>
      </c>
      <c r="T53" s="1713" t="s">
        <v>961</v>
      </c>
      <c r="U53" s="1713"/>
      <c r="V53" s="1713" t="s">
        <v>962</v>
      </c>
      <c r="W53" s="1713"/>
      <c r="X53" s="1713"/>
      <c r="Y53" s="1713"/>
      <c r="Z53" s="122">
        <f t="shared" si="13"/>
        <v>0</v>
      </c>
    </row>
    <row r="54" spans="1:26" s="64" customFormat="1" ht="15" customHeight="1">
      <c r="A54" s="88">
        <v>7.1</v>
      </c>
      <c r="B54" s="89" t="s">
        <v>1047</v>
      </c>
      <c r="C54" s="75" t="s">
        <v>1048</v>
      </c>
      <c r="D54" s="75"/>
      <c r="E54" s="75">
        <v>169</v>
      </c>
      <c r="F54" s="76" t="s">
        <v>965</v>
      </c>
      <c r="G54" s="77">
        <v>6765</v>
      </c>
      <c r="H54" s="76" t="s">
        <v>965</v>
      </c>
      <c r="I54" s="77">
        <v>5683</v>
      </c>
      <c r="J54" s="101">
        <f>+ROUND(E54*0.746*0.0905,4)</f>
        <v>11.409700000000001</v>
      </c>
      <c r="K54" s="101">
        <f>+ROUND((J54+L54)/2,4)</f>
        <v>14.832599999999999</v>
      </c>
      <c r="L54" s="101">
        <f>+ROUND(E54*0.746*0.1448,4)</f>
        <v>18.255500000000001</v>
      </c>
      <c r="M54" s="81" t="s">
        <v>965</v>
      </c>
      <c r="N54" s="103">
        <f t="shared" ref="N54:N59" si="14">+$AD$8</f>
        <v>67.900000000000006</v>
      </c>
      <c r="O54" s="81" t="s">
        <v>965</v>
      </c>
      <c r="P54" s="103">
        <f t="shared" ref="P54:P59" si="15">+K54*N54</f>
        <v>1007.13354</v>
      </c>
      <c r="Q54" s="101">
        <f>ROUND(0.0015*J54,4)</f>
        <v>1.7100000000000001E-2</v>
      </c>
      <c r="R54" s="115">
        <f>+ROUND((Q54+S54)/2,4)</f>
        <v>2.23E-2</v>
      </c>
      <c r="S54" s="108">
        <f>ROUND(0.0015*L54,4)</f>
        <v>2.7400000000000001E-2</v>
      </c>
      <c r="T54" s="81" t="s">
        <v>965</v>
      </c>
      <c r="U54" s="111">
        <f t="shared" ref="U54:U59" si="16">+$AD$9</f>
        <v>294</v>
      </c>
      <c r="V54" s="81" t="s">
        <v>965</v>
      </c>
      <c r="W54" s="112">
        <f t="shared" ref="W54:W59" si="17">+R54*U54</f>
        <v>6.5562000000000005</v>
      </c>
      <c r="X54" s="113" t="s">
        <v>965</v>
      </c>
      <c r="Y54" s="126">
        <f>+ROUND(I54+P54+W54,2)</f>
        <v>6696.69</v>
      </c>
      <c r="Z54" s="122">
        <f t="shared" si="13"/>
        <v>-68.3100000000004</v>
      </c>
    </row>
    <row r="55" spans="1:26" s="64" customFormat="1" ht="15" customHeight="1">
      <c r="A55" s="78">
        <v>7.2</v>
      </c>
      <c r="B55" s="89" t="s">
        <v>1049</v>
      </c>
      <c r="C55" s="80" t="s">
        <v>1050</v>
      </c>
      <c r="D55" s="80"/>
      <c r="E55" s="80">
        <v>5.5</v>
      </c>
      <c r="F55" s="81" t="s">
        <v>965</v>
      </c>
      <c r="G55" s="82">
        <v>545</v>
      </c>
      <c r="H55" s="81" t="s">
        <v>965</v>
      </c>
      <c r="I55" s="82">
        <v>457</v>
      </c>
      <c r="J55" s="101">
        <f>+ROUND(E55*0.746*0.0905,4)</f>
        <v>0.37130000000000002</v>
      </c>
      <c r="K55" s="101">
        <f>+ROUND((J55+L55)/2,4)</f>
        <v>0.48270000000000002</v>
      </c>
      <c r="L55" s="101">
        <f>+ROUND(E55*0.746*0.1448,4)</f>
        <v>0.59409999999999996</v>
      </c>
      <c r="M55" s="81" t="s">
        <v>965</v>
      </c>
      <c r="N55" s="103">
        <f t="shared" si="14"/>
        <v>67.900000000000006</v>
      </c>
      <c r="O55" s="81" t="s">
        <v>965</v>
      </c>
      <c r="P55" s="103">
        <f t="shared" si="15"/>
        <v>32.775330000000004</v>
      </c>
      <c r="Q55" s="101">
        <f>ROUND(0.0015*J55,4)</f>
        <v>5.9999999999999995E-4</v>
      </c>
      <c r="R55" s="115">
        <f>+ROUND((Q55+S55)/2,4)</f>
        <v>8.0000000000000004E-4</v>
      </c>
      <c r="S55" s="110">
        <f>ROUND(0.0015*L55,4)</f>
        <v>8.9999999999999998E-4</v>
      </c>
      <c r="T55" s="81" t="s">
        <v>965</v>
      </c>
      <c r="U55" s="111">
        <f t="shared" si="16"/>
        <v>294</v>
      </c>
      <c r="V55" s="81" t="s">
        <v>965</v>
      </c>
      <c r="W55" s="112">
        <f t="shared" si="17"/>
        <v>0.23520000000000002</v>
      </c>
      <c r="X55" s="113" t="s">
        <v>965</v>
      </c>
      <c r="Y55" s="126">
        <f>+ROUND(I55+P55+W55,2)</f>
        <v>490.01</v>
      </c>
      <c r="Z55" s="122">
        <f t="shared" si="13"/>
        <v>-54.990000000000009</v>
      </c>
    </row>
    <row r="56" spans="1:26" s="64" customFormat="1" ht="15" customHeight="1">
      <c r="A56" s="88">
        <v>7.3</v>
      </c>
      <c r="B56" s="89" t="s">
        <v>1051</v>
      </c>
      <c r="C56" s="80"/>
      <c r="D56" s="99" t="s">
        <v>1052</v>
      </c>
      <c r="E56" s="91"/>
      <c r="F56" s="81" t="s">
        <v>965</v>
      </c>
      <c r="G56" s="92">
        <v>172</v>
      </c>
      <c r="H56" s="81" t="s">
        <v>965</v>
      </c>
      <c r="I56" s="82">
        <v>144</v>
      </c>
      <c r="J56" s="101"/>
      <c r="K56" s="101"/>
      <c r="L56" s="101"/>
      <c r="M56" s="81" t="s">
        <v>965</v>
      </c>
      <c r="N56" s="103">
        <f t="shared" si="14"/>
        <v>67.900000000000006</v>
      </c>
      <c r="O56" s="81" t="s">
        <v>965</v>
      </c>
      <c r="P56" s="103">
        <f t="shared" si="15"/>
        <v>0</v>
      </c>
      <c r="Q56" s="101"/>
      <c r="R56" s="101"/>
      <c r="S56" s="110"/>
      <c r="T56" s="81" t="s">
        <v>965</v>
      </c>
      <c r="U56" s="111">
        <f t="shared" si="16"/>
        <v>294</v>
      </c>
      <c r="V56" s="81" t="s">
        <v>965</v>
      </c>
      <c r="W56" s="112">
        <f t="shared" si="17"/>
        <v>0</v>
      </c>
      <c r="X56" s="113" t="s">
        <v>965</v>
      </c>
      <c r="Y56" s="131">
        <f>+G56</f>
        <v>172</v>
      </c>
      <c r="Z56" s="122">
        <f t="shared" si="13"/>
        <v>0</v>
      </c>
    </row>
    <row r="57" spans="1:26" s="64" customFormat="1" ht="15" customHeight="1">
      <c r="A57" s="78">
        <v>7.4</v>
      </c>
      <c r="B57" s="89" t="s">
        <v>1053</v>
      </c>
      <c r="C57" s="80" t="s">
        <v>992</v>
      </c>
      <c r="D57" s="80" t="s">
        <v>1054</v>
      </c>
      <c r="E57" s="80">
        <v>175</v>
      </c>
      <c r="F57" s="81" t="s">
        <v>965</v>
      </c>
      <c r="G57" s="82">
        <v>1461</v>
      </c>
      <c r="H57" s="81" t="s">
        <v>965</v>
      </c>
      <c r="I57" s="82">
        <v>1227</v>
      </c>
      <c r="J57" s="101">
        <f>+ROUND(E57*0.746*0.0905,4)</f>
        <v>11.8148</v>
      </c>
      <c r="K57" s="101">
        <f>+ROUND((J57+L57)/2,4)</f>
        <v>15.3592</v>
      </c>
      <c r="L57" s="101">
        <f>+ROUND(E57*0.746*0.1448,4)</f>
        <v>18.903600000000001</v>
      </c>
      <c r="M57" s="81" t="s">
        <v>965</v>
      </c>
      <c r="N57" s="103">
        <f t="shared" si="14"/>
        <v>67.900000000000006</v>
      </c>
      <c r="O57" s="81" t="s">
        <v>965</v>
      </c>
      <c r="P57" s="103">
        <f t="shared" si="15"/>
        <v>1042.88968</v>
      </c>
      <c r="Q57" s="101">
        <f>ROUND(0.0015*J57,4)</f>
        <v>1.77E-2</v>
      </c>
      <c r="R57" s="115">
        <f>+ROUND((Q57+S57)/2,4)</f>
        <v>2.3099999999999999E-2</v>
      </c>
      <c r="S57" s="110">
        <f>ROUND(0.0015*L57,4)</f>
        <v>2.8400000000000002E-2</v>
      </c>
      <c r="T57" s="81" t="s">
        <v>965</v>
      </c>
      <c r="U57" s="111">
        <f t="shared" si="16"/>
        <v>294</v>
      </c>
      <c r="V57" s="81" t="s">
        <v>965</v>
      </c>
      <c r="W57" s="112">
        <f t="shared" si="17"/>
        <v>6.7913999999999994</v>
      </c>
      <c r="X57" s="113" t="s">
        <v>965</v>
      </c>
      <c r="Y57" s="126">
        <f>+ROUND(I57+P57+W57,2)</f>
        <v>2276.6799999999998</v>
      </c>
      <c r="Z57" s="122">
        <f t="shared" si="13"/>
        <v>815.67999999999984</v>
      </c>
    </row>
    <row r="58" spans="1:26" s="64" customFormat="1" ht="30" customHeight="1">
      <c r="A58" s="88">
        <v>7.5</v>
      </c>
      <c r="B58" s="89" t="s">
        <v>1055</v>
      </c>
      <c r="C58" s="95" t="s">
        <v>1056</v>
      </c>
      <c r="D58" s="80" t="s">
        <v>1057</v>
      </c>
      <c r="E58" s="80">
        <v>130</v>
      </c>
      <c r="F58" s="81" t="s">
        <v>965</v>
      </c>
      <c r="G58" s="82">
        <v>2076</v>
      </c>
      <c r="H58" s="81" t="s">
        <v>965</v>
      </c>
      <c r="I58" s="82">
        <v>1744</v>
      </c>
      <c r="J58" s="101">
        <f>+ROUND(E58*0.746*0.0905,4)</f>
        <v>8.7766999999999999</v>
      </c>
      <c r="K58" s="101">
        <f>+ROUND((J58+L58)/2,4)</f>
        <v>11.409700000000001</v>
      </c>
      <c r="L58" s="101">
        <f>+ROUND(E58*0.746*0.1448,4)</f>
        <v>14.0427</v>
      </c>
      <c r="M58" s="81" t="s">
        <v>965</v>
      </c>
      <c r="N58" s="103">
        <f t="shared" si="14"/>
        <v>67.900000000000006</v>
      </c>
      <c r="O58" s="81" t="s">
        <v>965</v>
      </c>
      <c r="P58" s="103">
        <f t="shared" si="15"/>
        <v>774.71863000000008</v>
      </c>
      <c r="Q58" s="101">
        <f>ROUND(0.0015*J58,4)</f>
        <v>1.32E-2</v>
      </c>
      <c r="R58" s="101">
        <f>+ROUND((Q58+S58)/2,4)</f>
        <v>1.72E-2</v>
      </c>
      <c r="S58" s="110">
        <f>ROUND(0.0015*L58,4)</f>
        <v>2.1100000000000001E-2</v>
      </c>
      <c r="T58" s="81" t="s">
        <v>965</v>
      </c>
      <c r="U58" s="111">
        <f t="shared" si="16"/>
        <v>294</v>
      </c>
      <c r="V58" s="81" t="s">
        <v>965</v>
      </c>
      <c r="W58" s="112">
        <f t="shared" si="17"/>
        <v>5.0568</v>
      </c>
      <c r="X58" s="113" t="s">
        <v>965</v>
      </c>
      <c r="Y58" s="126">
        <f>+ROUND(I58+P58+W58,2)</f>
        <v>2523.7800000000002</v>
      </c>
      <c r="Z58" s="122">
        <f t="shared" si="13"/>
        <v>447.7800000000002</v>
      </c>
    </row>
    <row r="59" spans="1:26" s="64" customFormat="1" ht="15" customHeight="1">
      <c r="A59" s="78">
        <v>7.6</v>
      </c>
      <c r="B59" s="89" t="s">
        <v>1058</v>
      </c>
      <c r="C59" s="1714" t="s">
        <v>1059</v>
      </c>
      <c r="D59" s="1714"/>
      <c r="E59" s="1714"/>
      <c r="F59" s="85" t="s">
        <v>965</v>
      </c>
      <c r="G59" s="100">
        <v>866.25</v>
      </c>
      <c r="H59" s="85" t="s">
        <v>965</v>
      </c>
      <c r="I59" s="86"/>
      <c r="J59" s="101"/>
      <c r="K59" s="101"/>
      <c r="L59" s="101"/>
      <c r="M59" s="81" t="s">
        <v>965</v>
      </c>
      <c r="N59" s="103">
        <f t="shared" si="14"/>
        <v>67.900000000000006</v>
      </c>
      <c r="O59" s="81" t="s">
        <v>965</v>
      </c>
      <c r="P59" s="103">
        <f t="shared" si="15"/>
        <v>0</v>
      </c>
      <c r="Q59" s="114"/>
      <c r="R59" s="114"/>
      <c r="S59" s="106"/>
      <c r="T59" s="81" t="s">
        <v>965</v>
      </c>
      <c r="U59" s="111">
        <f t="shared" si="16"/>
        <v>294</v>
      </c>
      <c r="V59" s="81" t="s">
        <v>965</v>
      </c>
      <c r="W59" s="112">
        <f t="shared" si="17"/>
        <v>0</v>
      </c>
      <c r="X59" s="113" t="s">
        <v>965</v>
      </c>
      <c r="Y59" s="131">
        <f>+G59</f>
        <v>866.25</v>
      </c>
      <c r="Z59" s="122">
        <f t="shared" si="13"/>
        <v>0</v>
      </c>
    </row>
    <row r="60" spans="1:26" s="65" customFormat="1" ht="15" customHeight="1">
      <c r="A60" s="1709" t="s">
        <v>1060</v>
      </c>
      <c r="B60" s="1709"/>
      <c r="C60" s="1709"/>
      <c r="D60" s="1709"/>
      <c r="E60" s="1709"/>
      <c r="F60" s="1709"/>
      <c r="G60" s="1709"/>
      <c r="H60" s="1710"/>
      <c r="I60" s="1710"/>
      <c r="J60" s="1711" t="s">
        <v>948</v>
      </c>
      <c r="K60" s="1711"/>
      <c r="L60" s="1711"/>
      <c r="M60" s="1711"/>
      <c r="N60" s="1711"/>
      <c r="O60" s="1711"/>
      <c r="P60" s="1711"/>
      <c r="Q60" s="1711" t="s">
        <v>949</v>
      </c>
      <c r="R60" s="1711"/>
      <c r="S60" s="1711"/>
      <c r="T60" s="1711"/>
      <c r="U60" s="1711"/>
      <c r="V60" s="1711"/>
      <c r="W60" s="1711"/>
      <c r="X60" s="1713" t="s">
        <v>950</v>
      </c>
      <c r="Y60" s="1713"/>
      <c r="Z60" s="122">
        <f t="shared" si="13"/>
        <v>0</v>
      </c>
    </row>
    <row r="61" spans="1:26" s="66" customFormat="1" ht="30" customHeight="1">
      <c r="A61" s="1712" t="s">
        <v>5</v>
      </c>
      <c r="B61" s="1712"/>
      <c r="C61" s="71" t="s">
        <v>951</v>
      </c>
      <c r="D61" s="71" t="s">
        <v>952</v>
      </c>
      <c r="E61" s="72" t="s">
        <v>953</v>
      </c>
      <c r="F61" s="1712" t="s">
        <v>954</v>
      </c>
      <c r="G61" s="1712"/>
      <c r="H61" s="1712" t="s">
        <v>955</v>
      </c>
      <c r="I61" s="1712"/>
      <c r="J61" s="71" t="s">
        <v>956</v>
      </c>
      <c r="K61" s="71" t="s">
        <v>957</v>
      </c>
      <c r="L61" s="71" t="s">
        <v>958</v>
      </c>
      <c r="M61" s="1712" t="s">
        <v>959</v>
      </c>
      <c r="N61" s="1712"/>
      <c r="O61" s="1712" t="s">
        <v>960</v>
      </c>
      <c r="P61" s="1712"/>
      <c r="Q61" s="71" t="s">
        <v>956</v>
      </c>
      <c r="R61" s="71" t="s">
        <v>957</v>
      </c>
      <c r="S61" s="71" t="s">
        <v>958</v>
      </c>
      <c r="T61" s="1713" t="s">
        <v>961</v>
      </c>
      <c r="U61" s="1713"/>
      <c r="V61" s="1713" t="s">
        <v>962</v>
      </c>
      <c r="W61" s="1713"/>
      <c r="X61" s="1713"/>
      <c r="Y61" s="1713"/>
      <c r="Z61" s="122">
        <f t="shared" si="13"/>
        <v>0</v>
      </c>
    </row>
    <row r="62" spans="1:26" s="64" customFormat="1" ht="15" customHeight="1">
      <c r="A62" s="88">
        <v>8.1</v>
      </c>
      <c r="B62" s="89" t="s">
        <v>1061</v>
      </c>
      <c r="C62" s="75" t="s">
        <v>992</v>
      </c>
      <c r="D62" s="75" t="s">
        <v>1062</v>
      </c>
      <c r="E62" s="75">
        <v>290</v>
      </c>
      <c r="F62" s="76" t="s">
        <v>965</v>
      </c>
      <c r="G62" s="77">
        <v>1420</v>
      </c>
      <c r="H62" s="76" t="s">
        <v>965</v>
      </c>
      <c r="I62" s="77">
        <v>1193</v>
      </c>
      <c r="J62" s="101">
        <f>+ROUND(E62*0.746*0.0905,4)</f>
        <v>19.578800000000001</v>
      </c>
      <c r="K62" s="101">
        <f>+ROUND((J62+L62)/2,4)</f>
        <v>25.452400000000001</v>
      </c>
      <c r="L62" s="101">
        <f>+ROUND(E62*0.746*0.1448,4)</f>
        <v>31.326000000000001</v>
      </c>
      <c r="M62" s="81" t="s">
        <v>965</v>
      </c>
      <c r="N62" s="103">
        <f>+$AD$8</f>
        <v>67.900000000000006</v>
      </c>
      <c r="O62" s="81" t="s">
        <v>965</v>
      </c>
      <c r="P62" s="103">
        <f>+K62*N62</f>
        <v>1728.2179600000002</v>
      </c>
      <c r="Q62" s="101">
        <f>ROUND(0.0015*J62,4)</f>
        <v>2.9399999999999999E-2</v>
      </c>
      <c r="R62" s="101">
        <f>+ROUND((Q62+S62)/2,4)</f>
        <v>3.8199999999999998E-2</v>
      </c>
      <c r="S62" s="108">
        <f>ROUND(0.0015*L62,4)</f>
        <v>4.7E-2</v>
      </c>
      <c r="T62" s="81" t="s">
        <v>965</v>
      </c>
      <c r="U62" s="111">
        <f>+$AD$9</f>
        <v>294</v>
      </c>
      <c r="V62" s="81" t="s">
        <v>965</v>
      </c>
      <c r="W62" s="112">
        <f>+R62*U62</f>
        <v>11.230799999999999</v>
      </c>
      <c r="X62" s="113" t="s">
        <v>965</v>
      </c>
      <c r="Y62" s="126">
        <f>+ROUND(I62+P62+W62,2)</f>
        <v>2932.45</v>
      </c>
      <c r="Z62" s="122">
        <f t="shared" si="13"/>
        <v>1512.4499999999998</v>
      </c>
    </row>
    <row r="63" spans="1:26" s="64" customFormat="1" ht="15" customHeight="1">
      <c r="A63" s="78">
        <v>8.1999999999999993</v>
      </c>
      <c r="B63" s="89" t="s">
        <v>1063</v>
      </c>
      <c r="C63" s="80" t="s">
        <v>992</v>
      </c>
      <c r="D63" s="80" t="s">
        <v>1064</v>
      </c>
      <c r="E63" s="80">
        <v>160</v>
      </c>
      <c r="F63" s="81" t="s">
        <v>965</v>
      </c>
      <c r="G63" s="82">
        <v>783</v>
      </c>
      <c r="H63" s="81" t="s">
        <v>965</v>
      </c>
      <c r="I63" s="82">
        <v>598</v>
      </c>
      <c r="J63" s="101">
        <f>+ROUND(E63*0.746*0.0905,4)</f>
        <v>10.802099999999999</v>
      </c>
      <c r="K63" s="101">
        <f>+ROUND((J63+L63)/2,4)</f>
        <v>14.0427</v>
      </c>
      <c r="L63" s="101">
        <f>+ROUND(E63*0.746*0.1448,4)</f>
        <v>17.283300000000001</v>
      </c>
      <c r="M63" s="81" t="s">
        <v>965</v>
      </c>
      <c r="N63" s="103">
        <f>+$AD$8</f>
        <v>67.900000000000006</v>
      </c>
      <c r="O63" s="81" t="s">
        <v>965</v>
      </c>
      <c r="P63" s="103">
        <f>+K63*N63</f>
        <v>953.4993300000001</v>
      </c>
      <c r="Q63" s="101">
        <f>ROUND(0.0015*J63,4)</f>
        <v>1.6199999999999999E-2</v>
      </c>
      <c r="R63" s="101">
        <f>+ROUND((Q63+S63)/2,4)</f>
        <v>2.1100000000000001E-2</v>
      </c>
      <c r="S63" s="110">
        <f>ROUND(0.0015*L63,4)</f>
        <v>2.5899999999999999E-2</v>
      </c>
      <c r="T63" s="81" t="s">
        <v>965</v>
      </c>
      <c r="U63" s="111">
        <f>+$AD$9</f>
        <v>294</v>
      </c>
      <c r="V63" s="81" t="s">
        <v>965</v>
      </c>
      <c r="W63" s="112">
        <f>+R63*U63</f>
        <v>6.2034000000000002</v>
      </c>
      <c r="X63" s="113" t="s">
        <v>965</v>
      </c>
      <c r="Y63" s="126">
        <f>+ROUND(I63+P63+W63,2)</f>
        <v>1557.7</v>
      </c>
      <c r="Z63" s="122">
        <f t="shared" si="13"/>
        <v>774.7</v>
      </c>
    </row>
    <row r="64" spans="1:26" s="64" customFormat="1" ht="15" customHeight="1">
      <c r="A64" s="88">
        <v>8.3000000000000007</v>
      </c>
      <c r="B64" s="89" t="s">
        <v>1065</v>
      </c>
      <c r="C64" s="80" t="s">
        <v>1066</v>
      </c>
      <c r="D64" s="80"/>
      <c r="E64" s="80">
        <v>197</v>
      </c>
      <c r="F64" s="81" t="s">
        <v>965</v>
      </c>
      <c r="G64" s="82">
        <v>1930</v>
      </c>
      <c r="H64" s="81" t="s">
        <v>965</v>
      </c>
      <c r="I64" s="82">
        <v>1678</v>
      </c>
      <c r="J64" s="101">
        <f>+ROUND(E64*0.746*0.0905,4)</f>
        <v>13.3001</v>
      </c>
      <c r="K64" s="101">
        <f>+ROUND((J64+L64)/2,4)</f>
        <v>17.290099999999999</v>
      </c>
      <c r="L64" s="101">
        <f>+ROUND(E64*0.746*0.1448,4)</f>
        <v>21.280100000000001</v>
      </c>
      <c r="M64" s="81" t="s">
        <v>965</v>
      </c>
      <c r="N64" s="103">
        <f>+$AD$8</f>
        <v>67.900000000000006</v>
      </c>
      <c r="O64" s="81" t="s">
        <v>965</v>
      </c>
      <c r="P64" s="103">
        <f>+K64*N64</f>
        <v>1173.9977900000001</v>
      </c>
      <c r="Q64" s="101">
        <f>ROUND(0.0015*J64,4)</f>
        <v>0.02</v>
      </c>
      <c r="R64" s="101">
        <f>+ROUND((Q64+S64)/2,4)</f>
        <v>2.5999999999999999E-2</v>
      </c>
      <c r="S64" s="110">
        <f>ROUND(0.0015*L64,4)</f>
        <v>3.1899999999999998E-2</v>
      </c>
      <c r="T64" s="81" t="s">
        <v>965</v>
      </c>
      <c r="U64" s="111">
        <f>+$AD$9</f>
        <v>294</v>
      </c>
      <c r="V64" s="81" t="s">
        <v>965</v>
      </c>
      <c r="W64" s="112">
        <f>+R64*U64</f>
        <v>7.6439999999999992</v>
      </c>
      <c r="X64" s="113" t="s">
        <v>965</v>
      </c>
      <c r="Y64" s="126">
        <f>+ROUND(I64+P64+W64,2)</f>
        <v>2859.64</v>
      </c>
      <c r="Z64" s="122">
        <f t="shared" si="13"/>
        <v>929.63999999999987</v>
      </c>
    </row>
    <row r="65" spans="1:26" s="64" customFormat="1" ht="15" customHeight="1">
      <c r="A65" s="78">
        <v>8.4</v>
      </c>
      <c r="B65" s="89" t="s">
        <v>1063</v>
      </c>
      <c r="C65" s="80" t="s">
        <v>992</v>
      </c>
      <c r="D65" s="80" t="s">
        <v>1067</v>
      </c>
      <c r="E65" s="80">
        <v>270</v>
      </c>
      <c r="F65" s="81" t="s">
        <v>965</v>
      </c>
      <c r="G65" s="82">
        <v>1212</v>
      </c>
      <c r="H65" s="81" t="s">
        <v>965</v>
      </c>
      <c r="I65" s="82">
        <v>925</v>
      </c>
      <c r="J65" s="101">
        <f>+ROUND(E65*0.746*0.0905,4)</f>
        <v>18.2285</v>
      </c>
      <c r="K65" s="101">
        <f>+ROUND((J65+L65)/2,4)</f>
        <v>23.697099999999999</v>
      </c>
      <c r="L65" s="101">
        <f>+ROUND(E65*0.746*0.1448,4)</f>
        <v>29.165600000000001</v>
      </c>
      <c r="M65" s="81" t="s">
        <v>965</v>
      </c>
      <c r="N65" s="103">
        <f>+$AD$8</f>
        <v>67.900000000000006</v>
      </c>
      <c r="O65" s="81" t="s">
        <v>965</v>
      </c>
      <c r="P65" s="103">
        <f>+K65*N65</f>
        <v>1609.0330900000001</v>
      </c>
      <c r="Q65" s="101">
        <f>ROUND(0.0015*J65,4)</f>
        <v>2.7300000000000001E-2</v>
      </c>
      <c r="R65" s="101">
        <f>+ROUND((Q65+S65)/2,4)</f>
        <v>3.5499999999999997E-2</v>
      </c>
      <c r="S65" s="110">
        <f>ROUND(0.0015*L65,4)</f>
        <v>4.3700000000000003E-2</v>
      </c>
      <c r="T65" s="81" t="s">
        <v>965</v>
      </c>
      <c r="U65" s="111">
        <f>+$AD$9</f>
        <v>294</v>
      </c>
      <c r="V65" s="81" t="s">
        <v>965</v>
      </c>
      <c r="W65" s="112">
        <f>+R65*U65</f>
        <v>10.436999999999999</v>
      </c>
      <c r="X65" s="113" t="s">
        <v>965</v>
      </c>
      <c r="Y65" s="126">
        <f>+ROUND(I65+P65+W65,2)</f>
        <v>2544.4699999999998</v>
      </c>
      <c r="Z65" s="122">
        <f t="shared" si="13"/>
        <v>1332.4699999999998</v>
      </c>
    </row>
    <row r="66" spans="1:26" s="64" customFormat="1" ht="15" customHeight="1">
      <c r="A66" s="88">
        <v>8.5</v>
      </c>
      <c r="B66" s="89" t="s">
        <v>1068</v>
      </c>
      <c r="C66" s="80" t="s">
        <v>1069</v>
      </c>
      <c r="D66" s="80" t="s">
        <v>137</v>
      </c>
      <c r="E66" s="80">
        <v>360</v>
      </c>
      <c r="F66" s="85" t="s">
        <v>965</v>
      </c>
      <c r="G66" s="86">
        <v>2450</v>
      </c>
      <c r="H66" s="85" t="s">
        <v>965</v>
      </c>
      <c r="I66" s="86">
        <v>2058</v>
      </c>
      <c r="J66" s="101">
        <f>+ROUND(E66*0.746*0.0905,4)</f>
        <v>24.3047</v>
      </c>
      <c r="K66" s="101">
        <f>+ROUND((J66+L66)/2,4)</f>
        <v>31.5961</v>
      </c>
      <c r="L66" s="101">
        <f>+ROUND(E66*0.746*0.1448,4)</f>
        <v>38.887500000000003</v>
      </c>
      <c r="M66" s="81" t="s">
        <v>965</v>
      </c>
      <c r="N66" s="103">
        <f>+$AD$8</f>
        <v>67.900000000000006</v>
      </c>
      <c r="O66" s="81" t="s">
        <v>965</v>
      </c>
      <c r="P66" s="103">
        <f>+K66*N66</f>
        <v>2145.3751900000002</v>
      </c>
      <c r="Q66" s="114">
        <f>ROUND(0.0015*J66,4)</f>
        <v>3.6499999999999998E-2</v>
      </c>
      <c r="R66" s="114">
        <f>+ROUND((Q66+S66)/2,4)</f>
        <v>4.7399999999999998E-2</v>
      </c>
      <c r="S66" s="106">
        <f>ROUND(0.0015*L66,4)</f>
        <v>5.8299999999999998E-2</v>
      </c>
      <c r="T66" s="81" t="s">
        <v>965</v>
      </c>
      <c r="U66" s="111">
        <f>+$AD$9</f>
        <v>294</v>
      </c>
      <c r="V66" s="81" t="s">
        <v>965</v>
      </c>
      <c r="W66" s="112">
        <f>+R66*U66</f>
        <v>13.935599999999999</v>
      </c>
      <c r="X66" s="113" t="s">
        <v>965</v>
      </c>
      <c r="Y66" s="126">
        <f>+ROUND(I66+P66+W66,2)</f>
        <v>4217.3100000000004</v>
      </c>
      <c r="Z66" s="122">
        <f t="shared" si="13"/>
        <v>1767.3100000000004</v>
      </c>
    </row>
    <row r="67" spans="1:26" s="65" customFormat="1" ht="15" customHeight="1">
      <c r="A67" s="1709" t="s">
        <v>1070</v>
      </c>
      <c r="B67" s="1709"/>
      <c r="C67" s="1709"/>
      <c r="D67" s="1709"/>
      <c r="E67" s="1709"/>
      <c r="F67" s="1709"/>
      <c r="G67" s="1709"/>
      <c r="H67" s="1710"/>
      <c r="I67" s="1710"/>
      <c r="J67" s="1711" t="s">
        <v>948</v>
      </c>
      <c r="K67" s="1711"/>
      <c r="L67" s="1711"/>
      <c r="M67" s="1711"/>
      <c r="N67" s="1711"/>
      <c r="O67" s="1711"/>
      <c r="P67" s="1711"/>
      <c r="Q67" s="1711" t="s">
        <v>949</v>
      </c>
      <c r="R67" s="1711"/>
      <c r="S67" s="1711"/>
      <c r="T67" s="1711"/>
      <c r="U67" s="1711"/>
      <c r="V67" s="1711"/>
      <c r="W67" s="1711"/>
      <c r="X67" s="1713" t="s">
        <v>950</v>
      </c>
      <c r="Y67" s="1713"/>
      <c r="Z67" s="122">
        <f t="shared" si="13"/>
        <v>0</v>
      </c>
    </row>
    <row r="68" spans="1:26" s="66" customFormat="1" ht="30" customHeight="1">
      <c r="A68" s="1712" t="s">
        <v>5</v>
      </c>
      <c r="B68" s="1712"/>
      <c r="C68" s="71" t="s">
        <v>951</v>
      </c>
      <c r="D68" s="71" t="s">
        <v>952</v>
      </c>
      <c r="E68" s="72" t="s">
        <v>953</v>
      </c>
      <c r="F68" s="1712" t="s">
        <v>954</v>
      </c>
      <c r="G68" s="1712"/>
      <c r="H68" s="1712" t="s">
        <v>955</v>
      </c>
      <c r="I68" s="1712"/>
      <c r="J68" s="71" t="s">
        <v>956</v>
      </c>
      <c r="K68" s="71" t="s">
        <v>957</v>
      </c>
      <c r="L68" s="71" t="s">
        <v>958</v>
      </c>
      <c r="M68" s="1712" t="s">
        <v>959</v>
      </c>
      <c r="N68" s="1712"/>
      <c r="O68" s="1712" t="s">
        <v>960</v>
      </c>
      <c r="P68" s="1712"/>
      <c r="Q68" s="71" t="s">
        <v>956</v>
      </c>
      <c r="R68" s="71" t="s">
        <v>957</v>
      </c>
      <c r="S68" s="71" t="s">
        <v>958</v>
      </c>
      <c r="T68" s="1713" t="s">
        <v>961</v>
      </c>
      <c r="U68" s="1713"/>
      <c r="V68" s="1713" t="s">
        <v>962</v>
      </c>
      <c r="W68" s="1713"/>
      <c r="X68" s="1713"/>
      <c r="Y68" s="1713"/>
      <c r="Z68" s="122">
        <f t="shared" ref="Z68:Z99" si="18">+Y68-G68</f>
        <v>0</v>
      </c>
    </row>
    <row r="69" spans="1:26" s="64" customFormat="1" ht="15" customHeight="1">
      <c r="A69" s="88">
        <v>9.1</v>
      </c>
      <c r="B69" s="89" t="s">
        <v>1071</v>
      </c>
      <c r="C69" s="80" t="s">
        <v>992</v>
      </c>
      <c r="D69" s="75" t="s">
        <v>1072</v>
      </c>
      <c r="E69" s="75">
        <v>20</v>
      </c>
      <c r="F69" s="76" t="s">
        <v>965</v>
      </c>
      <c r="G69" s="77">
        <v>205</v>
      </c>
      <c r="H69" s="76" t="s">
        <v>965</v>
      </c>
      <c r="I69" s="77">
        <v>164</v>
      </c>
      <c r="J69" s="101">
        <f>+ROUND(E69*0.746*0.0905,4)</f>
        <v>1.3503000000000001</v>
      </c>
      <c r="K69" s="101">
        <f>+ROUND((J69+L69)/2,4)</f>
        <v>1.7554000000000001</v>
      </c>
      <c r="L69" s="101">
        <f>+ROUND(E69*0.746*0.1448,4)</f>
        <v>2.1604000000000001</v>
      </c>
      <c r="M69" s="81" t="s">
        <v>965</v>
      </c>
      <c r="N69" s="103">
        <f t="shared" ref="N69:N75" si="19">+$AD$8</f>
        <v>67.900000000000006</v>
      </c>
      <c r="O69" s="81" t="s">
        <v>965</v>
      </c>
      <c r="P69" s="103">
        <f t="shared" ref="P69:P75" si="20">+K69*N69</f>
        <v>119.19166000000001</v>
      </c>
      <c r="Q69" s="101">
        <f>ROUND(0.0015*J69,4)</f>
        <v>2E-3</v>
      </c>
      <c r="R69" s="101">
        <f>+ROUND((Q69+S69)/2,4)</f>
        <v>2.5999999999999999E-3</v>
      </c>
      <c r="S69" s="108">
        <f>ROUND(0.0015*L69,4)</f>
        <v>3.2000000000000002E-3</v>
      </c>
      <c r="T69" s="81" t="s">
        <v>965</v>
      </c>
      <c r="U69" s="111">
        <f t="shared" ref="U69:U75" si="21">+$AD$9</f>
        <v>294</v>
      </c>
      <c r="V69" s="81" t="s">
        <v>965</v>
      </c>
      <c r="W69" s="112">
        <f t="shared" ref="W69:W75" si="22">+R69*U69</f>
        <v>0.76439999999999997</v>
      </c>
      <c r="X69" s="113" t="s">
        <v>965</v>
      </c>
      <c r="Y69" s="126">
        <f>+ROUND(I69+P69+W69,2)</f>
        <v>283.95999999999998</v>
      </c>
      <c r="Z69" s="122">
        <f t="shared" si="18"/>
        <v>78.95999999999998</v>
      </c>
    </row>
    <row r="70" spans="1:26" s="64" customFormat="1" ht="15" customHeight="1">
      <c r="A70" s="78">
        <v>9.1999999999999993</v>
      </c>
      <c r="B70" s="89" t="s">
        <v>1071</v>
      </c>
      <c r="C70" s="80" t="s">
        <v>992</v>
      </c>
      <c r="D70" s="80" t="s">
        <v>1073</v>
      </c>
      <c r="E70" s="80">
        <v>51</v>
      </c>
      <c r="F70" s="81" t="s">
        <v>965</v>
      </c>
      <c r="G70" s="82">
        <v>450</v>
      </c>
      <c r="H70" s="81" t="s">
        <v>965</v>
      </c>
      <c r="I70" s="82">
        <v>361</v>
      </c>
      <c r="J70" s="101">
        <f>+ROUND(E70*0.746*0.0905,4)</f>
        <v>3.4432</v>
      </c>
      <c r="K70" s="101">
        <f>+ROUND((J70+L70)/2,4)</f>
        <v>4.4762000000000004</v>
      </c>
      <c r="L70" s="101">
        <f>+ROUND(E70*0.746*0.1448,4)</f>
        <v>5.5091000000000001</v>
      </c>
      <c r="M70" s="81" t="s">
        <v>965</v>
      </c>
      <c r="N70" s="103">
        <f t="shared" si="19"/>
        <v>67.900000000000006</v>
      </c>
      <c r="O70" s="81" t="s">
        <v>965</v>
      </c>
      <c r="P70" s="103">
        <f t="shared" si="20"/>
        <v>303.93398000000008</v>
      </c>
      <c r="Q70" s="101">
        <f>ROUND(0.0015*J70,4)</f>
        <v>5.1999999999999998E-3</v>
      </c>
      <c r="R70" s="115">
        <f>+ROUND((Q70+S70)/2,4)</f>
        <v>6.7999999999999996E-3</v>
      </c>
      <c r="S70" s="110">
        <f>ROUND(0.0015*L70,4)</f>
        <v>8.3000000000000001E-3</v>
      </c>
      <c r="T70" s="81" t="s">
        <v>965</v>
      </c>
      <c r="U70" s="111">
        <f t="shared" si="21"/>
        <v>294</v>
      </c>
      <c r="V70" s="81" t="s">
        <v>965</v>
      </c>
      <c r="W70" s="112">
        <f t="shared" si="22"/>
        <v>1.9991999999999999</v>
      </c>
      <c r="X70" s="113" t="s">
        <v>965</v>
      </c>
      <c r="Y70" s="126">
        <f>+ROUND(I70+P70+W70,2)</f>
        <v>666.93</v>
      </c>
      <c r="Z70" s="122">
        <f t="shared" si="18"/>
        <v>216.92999999999995</v>
      </c>
    </row>
    <row r="71" spans="1:26" s="64" customFormat="1" ht="15" customHeight="1">
      <c r="A71" s="88">
        <v>9.3000000000000007</v>
      </c>
      <c r="B71" s="89" t="s">
        <v>1071</v>
      </c>
      <c r="C71" s="80" t="s">
        <v>992</v>
      </c>
      <c r="D71" s="80" t="s">
        <v>1074</v>
      </c>
      <c r="E71" s="80">
        <v>69</v>
      </c>
      <c r="F71" s="81" t="s">
        <v>965</v>
      </c>
      <c r="G71" s="82">
        <v>502</v>
      </c>
      <c r="H71" s="81" t="s">
        <v>965</v>
      </c>
      <c r="I71" s="82">
        <v>402</v>
      </c>
      <c r="J71" s="101">
        <f>+ROUND(E71*0.746*0.0905,4)</f>
        <v>4.6584000000000003</v>
      </c>
      <c r="K71" s="101">
        <f>+ROUND((J71+L71)/2,4)</f>
        <v>6.0559000000000003</v>
      </c>
      <c r="L71" s="101">
        <f>+ROUND(E71*0.746*0.1448,4)</f>
        <v>7.4534000000000002</v>
      </c>
      <c r="M71" s="81" t="s">
        <v>965</v>
      </c>
      <c r="N71" s="103">
        <f t="shared" si="19"/>
        <v>67.900000000000006</v>
      </c>
      <c r="O71" s="81" t="s">
        <v>965</v>
      </c>
      <c r="P71" s="103">
        <f t="shared" si="20"/>
        <v>411.19561000000004</v>
      </c>
      <c r="Q71" s="101">
        <f>ROUND(0.0015*J71,4)</f>
        <v>7.0000000000000001E-3</v>
      </c>
      <c r="R71" s="101">
        <f>+ROUND((Q71+S71)/2,4)</f>
        <v>9.1000000000000004E-3</v>
      </c>
      <c r="S71" s="110">
        <f>ROUND(0.0015*L71,4)</f>
        <v>1.12E-2</v>
      </c>
      <c r="T71" s="81" t="s">
        <v>965</v>
      </c>
      <c r="U71" s="111">
        <f t="shared" si="21"/>
        <v>294</v>
      </c>
      <c r="V71" s="81" t="s">
        <v>965</v>
      </c>
      <c r="W71" s="112">
        <f t="shared" si="22"/>
        <v>2.6754000000000002</v>
      </c>
      <c r="X71" s="113" t="s">
        <v>965</v>
      </c>
      <c r="Y71" s="126">
        <f>+ROUND(I71+P71+W71,2)</f>
        <v>815.87</v>
      </c>
      <c r="Z71" s="122">
        <f t="shared" si="18"/>
        <v>313.87</v>
      </c>
    </row>
    <row r="72" spans="1:26" s="64" customFormat="1" ht="15" customHeight="1">
      <c r="A72" s="78">
        <v>9.4</v>
      </c>
      <c r="B72" s="89" t="s">
        <v>1071</v>
      </c>
      <c r="C72" s="80" t="s">
        <v>992</v>
      </c>
      <c r="D72" s="80" t="s">
        <v>1075</v>
      </c>
      <c r="E72" s="80">
        <v>130</v>
      </c>
      <c r="F72" s="81" t="s">
        <v>965</v>
      </c>
      <c r="G72" s="82">
        <v>965</v>
      </c>
      <c r="H72" s="81" t="s">
        <v>965</v>
      </c>
      <c r="I72" s="82">
        <v>772</v>
      </c>
      <c r="J72" s="101">
        <f>+ROUND(E72*0.746*0.0905,4)</f>
        <v>8.7766999999999999</v>
      </c>
      <c r="K72" s="101">
        <f>+ROUND((J72+L72)/2,4)</f>
        <v>11.409700000000001</v>
      </c>
      <c r="L72" s="101">
        <f>+ROUND(E72*0.746*0.1448,4)</f>
        <v>14.0427</v>
      </c>
      <c r="M72" s="81" t="s">
        <v>965</v>
      </c>
      <c r="N72" s="103">
        <f t="shared" si="19"/>
        <v>67.900000000000006</v>
      </c>
      <c r="O72" s="81" t="s">
        <v>965</v>
      </c>
      <c r="P72" s="103">
        <f t="shared" si="20"/>
        <v>774.71863000000008</v>
      </c>
      <c r="Q72" s="101">
        <f>ROUND(0.0015*J72,4)</f>
        <v>1.32E-2</v>
      </c>
      <c r="R72" s="115">
        <f>+ROUND((Q72+S72)/2,4)</f>
        <v>1.72E-2</v>
      </c>
      <c r="S72" s="110">
        <f>ROUND(0.0015*L72,4)</f>
        <v>2.1100000000000001E-2</v>
      </c>
      <c r="T72" s="81" t="s">
        <v>965</v>
      </c>
      <c r="U72" s="111">
        <f t="shared" si="21"/>
        <v>294</v>
      </c>
      <c r="V72" s="81" t="s">
        <v>965</v>
      </c>
      <c r="W72" s="112">
        <f t="shared" si="22"/>
        <v>5.0568</v>
      </c>
      <c r="X72" s="113" t="s">
        <v>965</v>
      </c>
      <c r="Y72" s="126">
        <f>+ROUND(I72+P72+W72,2)</f>
        <v>1551.78</v>
      </c>
      <c r="Z72" s="122">
        <f t="shared" si="18"/>
        <v>586.78</v>
      </c>
    </row>
    <row r="73" spans="1:26" s="64" customFormat="1" ht="15" customHeight="1">
      <c r="A73" s="88">
        <v>9.5</v>
      </c>
      <c r="B73" s="89" t="s">
        <v>1076</v>
      </c>
      <c r="C73" s="80" t="s">
        <v>1077</v>
      </c>
      <c r="D73" s="80"/>
      <c r="E73" s="91"/>
      <c r="F73" s="81" t="s">
        <v>965</v>
      </c>
      <c r="G73" s="92">
        <v>201.25</v>
      </c>
      <c r="H73" s="81" t="s">
        <v>965</v>
      </c>
      <c r="I73" s="82">
        <v>168.75</v>
      </c>
      <c r="J73" s="101"/>
      <c r="K73" s="101"/>
      <c r="L73" s="101"/>
      <c r="M73" s="81" t="s">
        <v>965</v>
      </c>
      <c r="N73" s="103">
        <f t="shared" si="19"/>
        <v>67.900000000000006</v>
      </c>
      <c r="O73" s="81" t="s">
        <v>965</v>
      </c>
      <c r="P73" s="103">
        <f t="shared" si="20"/>
        <v>0</v>
      </c>
      <c r="Q73" s="101"/>
      <c r="R73" s="101"/>
      <c r="S73" s="110"/>
      <c r="T73" s="81" t="s">
        <v>965</v>
      </c>
      <c r="U73" s="111">
        <f t="shared" si="21"/>
        <v>294</v>
      </c>
      <c r="V73" s="81" t="s">
        <v>965</v>
      </c>
      <c r="W73" s="112">
        <f t="shared" si="22"/>
        <v>0</v>
      </c>
      <c r="X73" s="113" t="s">
        <v>965</v>
      </c>
      <c r="Y73" s="131">
        <f>+G73</f>
        <v>201.25</v>
      </c>
      <c r="Z73" s="122">
        <f t="shared" si="18"/>
        <v>0</v>
      </c>
    </row>
    <row r="74" spans="1:26" s="64" customFormat="1" ht="15" customHeight="1">
      <c r="A74" s="78">
        <v>9.6</v>
      </c>
      <c r="B74" s="89" t="s">
        <v>830</v>
      </c>
      <c r="C74" s="80"/>
      <c r="D74" s="80"/>
      <c r="E74" s="91"/>
      <c r="F74" s="81" t="s">
        <v>965</v>
      </c>
      <c r="G74" s="92">
        <v>150</v>
      </c>
      <c r="H74" s="81" t="s">
        <v>965</v>
      </c>
      <c r="I74" s="82"/>
      <c r="J74" s="101"/>
      <c r="K74" s="101"/>
      <c r="L74" s="101"/>
      <c r="M74" s="81" t="s">
        <v>965</v>
      </c>
      <c r="N74" s="103">
        <f t="shared" si="19"/>
        <v>67.900000000000006</v>
      </c>
      <c r="O74" s="81" t="s">
        <v>965</v>
      </c>
      <c r="P74" s="103">
        <f t="shared" si="20"/>
        <v>0</v>
      </c>
      <c r="Q74" s="101"/>
      <c r="R74" s="101"/>
      <c r="S74" s="110"/>
      <c r="T74" s="81" t="s">
        <v>965</v>
      </c>
      <c r="U74" s="111">
        <f t="shared" si="21"/>
        <v>294</v>
      </c>
      <c r="V74" s="81" t="s">
        <v>965</v>
      </c>
      <c r="W74" s="112">
        <f t="shared" si="22"/>
        <v>0</v>
      </c>
      <c r="X74" s="113" t="s">
        <v>965</v>
      </c>
      <c r="Y74" s="131">
        <f>+G74</f>
        <v>150</v>
      </c>
      <c r="Z74" s="122">
        <f t="shared" si="18"/>
        <v>0</v>
      </c>
    </row>
    <row r="75" spans="1:26" s="64" customFormat="1" ht="15" customHeight="1">
      <c r="A75" s="88">
        <v>9.6999999999999993</v>
      </c>
      <c r="B75" s="89" t="s">
        <v>1078</v>
      </c>
      <c r="C75" s="80"/>
      <c r="D75" s="80"/>
      <c r="E75" s="91"/>
      <c r="F75" s="85" t="s">
        <v>965</v>
      </c>
      <c r="G75" s="100">
        <v>170</v>
      </c>
      <c r="H75" s="85" t="s">
        <v>965</v>
      </c>
      <c r="I75" s="86"/>
      <c r="J75" s="101"/>
      <c r="K75" s="101"/>
      <c r="L75" s="101"/>
      <c r="M75" s="81" t="s">
        <v>965</v>
      </c>
      <c r="N75" s="103">
        <f t="shared" si="19"/>
        <v>67.900000000000006</v>
      </c>
      <c r="O75" s="81" t="s">
        <v>965</v>
      </c>
      <c r="P75" s="103">
        <f t="shared" si="20"/>
        <v>0</v>
      </c>
      <c r="Q75" s="114"/>
      <c r="R75" s="114"/>
      <c r="S75" s="106"/>
      <c r="T75" s="81" t="s">
        <v>965</v>
      </c>
      <c r="U75" s="111">
        <f t="shared" si="21"/>
        <v>294</v>
      </c>
      <c r="V75" s="81" t="s">
        <v>965</v>
      </c>
      <c r="W75" s="112">
        <f t="shared" si="22"/>
        <v>0</v>
      </c>
      <c r="X75" s="113" t="s">
        <v>965</v>
      </c>
      <c r="Y75" s="131">
        <f>+G75</f>
        <v>170</v>
      </c>
      <c r="Z75" s="122">
        <f t="shared" si="18"/>
        <v>0</v>
      </c>
    </row>
    <row r="76" spans="1:26" s="65" customFormat="1" ht="15" customHeight="1">
      <c r="A76" s="1709" t="s">
        <v>1079</v>
      </c>
      <c r="B76" s="1709"/>
      <c r="C76" s="1709"/>
      <c r="D76" s="1709"/>
      <c r="E76" s="1709"/>
      <c r="F76" s="1709"/>
      <c r="G76" s="1709"/>
      <c r="H76" s="1710"/>
      <c r="I76" s="1710"/>
      <c r="J76" s="1711" t="s">
        <v>948</v>
      </c>
      <c r="K76" s="1711"/>
      <c r="L76" s="1711"/>
      <c r="M76" s="1711"/>
      <c r="N76" s="1711"/>
      <c r="O76" s="1711"/>
      <c r="P76" s="1711"/>
      <c r="Q76" s="1711" t="s">
        <v>949</v>
      </c>
      <c r="R76" s="1711"/>
      <c r="S76" s="1711"/>
      <c r="T76" s="1711"/>
      <c r="U76" s="1711"/>
      <c r="V76" s="1711"/>
      <c r="W76" s="1711"/>
      <c r="X76" s="1713" t="s">
        <v>950</v>
      </c>
      <c r="Y76" s="1713"/>
      <c r="Z76" s="122">
        <f t="shared" si="18"/>
        <v>0</v>
      </c>
    </row>
    <row r="77" spans="1:26" s="66" customFormat="1" ht="30" customHeight="1">
      <c r="A77" s="1712" t="s">
        <v>5</v>
      </c>
      <c r="B77" s="1712"/>
      <c r="C77" s="71" t="s">
        <v>951</v>
      </c>
      <c r="D77" s="71" t="s">
        <v>952</v>
      </c>
      <c r="E77" s="72" t="s">
        <v>953</v>
      </c>
      <c r="F77" s="1712" t="s">
        <v>954</v>
      </c>
      <c r="G77" s="1712"/>
      <c r="H77" s="1712" t="s">
        <v>955</v>
      </c>
      <c r="I77" s="1712"/>
      <c r="J77" s="71" t="s">
        <v>956</v>
      </c>
      <c r="K77" s="71" t="s">
        <v>957</v>
      </c>
      <c r="L77" s="71" t="s">
        <v>958</v>
      </c>
      <c r="M77" s="1712" t="s">
        <v>959</v>
      </c>
      <c r="N77" s="1712"/>
      <c r="O77" s="1712" t="s">
        <v>960</v>
      </c>
      <c r="P77" s="1712"/>
      <c r="Q77" s="71" t="s">
        <v>956</v>
      </c>
      <c r="R77" s="71" t="s">
        <v>957</v>
      </c>
      <c r="S77" s="71" t="s">
        <v>958</v>
      </c>
      <c r="T77" s="1713" t="s">
        <v>961</v>
      </c>
      <c r="U77" s="1713"/>
      <c r="V77" s="1713" t="s">
        <v>962</v>
      </c>
      <c r="W77" s="1713"/>
      <c r="X77" s="1713"/>
      <c r="Y77" s="1713"/>
      <c r="Z77" s="122">
        <f t="shared" si="18"/>
        <v>0</v>
      </c>
    </row>
    <row r="78" spans="1:26" s="64" customFormat="1" ht="15" customHeight="1">
      <c r="A78" s="88">
        <v>10.1</v>
      </c>
      <c r="B78" s="89" t="s">
        <v>1080</v>
      </c>
      <c r="C78" s="75">
        <v>1800</v>
      </c>
      <c r="D78" s="75"/>
      <c r="E78" s="134">
        <v>7.5</v>
      </c>
      <c r="F78" s="76" t="s">
        <v>965</v>
      </c>
      <c r="G78" s="77">
        <v>123.38</v>
      </c>
      <c r="H78" s="76" t="s">
        <v>965</v>
      </c>
      <c r="I78" s="146"/>
      <c r="J78" s="101">
        <f>+ROUND(E78*0.746*0.0905,4)</f>
        <v>0.50629999999999997</v>
      </c>
      <c r="K78" s="101">
        <f>+ROUND((J78+L78)/2,4)</f>
        <v>0.6583</v>
      </c>
      <c r="L78" s="101">
        <f>+ROUND(E78*0.746*0.1448,4)</f>
        <v>0.81020000000000003</v>
      </c>
      <c r="M78" s="81" t="s">
        <v>965</v>
      </c>
      <c r="N78" s="103">
        <f>+$AD$8</f>
        <v>67.900000000000006</v>
      </c>
      <c r="O78" s="81" t="s">
        <v>965</v>
      </c>
      <c r="P78" s="103">
        <f>+K78*N78</f>
        <v>44.698570000000004</v>
      </c>
      <c r="Q78" s="101">
        <f>ROUND(0.0015*J78,4)</f>
        <v>8.0000000000000004E-4</v>
      </c>
      <c r="R78" s="101">
        <f>+ROUND((Q78+S78)/2,4)</f>
        <v>1E-3</v>
      </c>
      <c r="S78" s="108">
        <f>ROUND(0.0015*L78,4)</f>
        <v>1.1999999999999999E-3</v>
      </c>
      <c r="T78" s="81" t="s">
        <v>965</v>
      </c>
      <c r="U78" s="111">
        <f>+$AD$9</f>
        <v>294</v>
      </c>
      <c r="V78" s="81" t="s">
        <v>965</v>
      </c>
      <c r="W78" s="112">
        <f>+R78*U78</f>
        <v>0.29399999999999998</v>
      </c>
      <c r="X78" s="113" t="s">
        <v>965</v>
      </c>
      <c r="Y78" s="130">
        <f>+ROUND(G78+P78+W78,2)</f>
        <v>168.37</v>
      </c>
      <c r="Z78" s="122">
        <f t="shared" si="18"/>
        <v>44.990000000000009</v>
      </c>
    </row>
    <row r="79" spans="1:26" s="64" customFormat="1" ht="15" customHeight="1">
      <c r="A79" s="78">
        <v>10.199999999999999</v>
      </c>
      <c r="B79" s="89" t="s">
        <v>1080</v>
      </c>
      <c r="C79" s="80">
        <v>2667</v>
      </c>
      <c r="D79" s="80">
        <v>50</v>
      </c>
      <c r="E79" s="80">
        <v>16</v>
      </c>
      <c r="F79" s="85" t="s">
        <v>965</v>
      </c>
      <c r="G79" s="86">
        <v>266.25</v>
      </c>
      <c r="H79" s="85" t="s">
        <v>965</v>
      </c>
      <c r="I79" s="105"/>
      <c r="J79" s="101">
        <f>+ROUND(E79*0.746*0.0905,4)</f>
        <v>1.0802</v>
      </c>
      <c r="K79" s="101">
        <f>+ROUND((J79+L79)/2,4)</f>
        <v>1.4043000000000001</v>
      </c>
      <c r="L79" s="101">
        <f>+ROUND(E79*0.746*0.1448,4)</f>
        <v>1.7282999999999999</v>
      </c>
      <c r="M79" s="81" t="s">
        <v>965</v>
      </c>
      <c r="N79" s="103">
        <f>+$AD$8</f>
        <v>67.900000000000006</v>
      </c>
      <c r="O79" s="81" t="s">
        <v>965</v>
      </c>
      <c r="P79" s="103">
        <f>+K79*N79</f>
        <v>95.351970000000009</v>
      </c>
      <c r="Q79" s="114">
        <f>ROUND(0.0015*J79,4)</f>
        <v>1.6000000000000001E-3</v>
      </c>
      <c r="R79" s="114">
        <f>+ROUND((Q79+S79)/2,4)</f>
        <v>2.0999999999999999E-3</v>
      </c>
      <c r="S79" s="106">
        <f>ROUND(0.0015*L79,4)</f>
        <v>2.5999999999999999E-3</v>
      </c>
      <c r="T79" s="81" t="s">
        <v>965</v>
      </c>
      <c r="U79" s="111">
        <f>+$AD$9</f>
        <v>294</v>
      </c>
      <c r="V79" s="81" t="s">
        <v>965</v>
      </c>
      <c r="W79" s="112">
        <f>+R79*U79</f>
        <v>0.61739999999999995</v>
      </c>
      <c r="X79" s="113" t="s">
        <v>965</v>
      </c>
      <c r="Y79" s="130">
        <f>+ROUND(G79+P79+W79,2)</f>
        <v>362.22</v>
      </c>
      <c r="Z79" s="122">
        <f t="shared" si="18"/>
        <v>95.970000000000027</v>
      </c>
    </row>
    <row r="80" spans="1:26" s="65" customFormat="1" ht="15" customHeight="1">
      <c r="A80" s="1709" t="s">
        <v>1081</v>
      </c>
      <c r="B80" s="1709"/>
      <c r="C80" s="1709"/>
      <c r="D80" s="1709"/>
      <c r="E80" s="1709"/>
      <c r="F80" s="1709"/>
      <c r="G80" s="1709"/>
      <c r="H80" s="1710"/>
      <c r="I80" s="1710"/>
      <c r="J80" s="1711" t="s">
        <v>948</v>
      </c>
      <c r="K80" s="1711"/>
      <c r="L80" s="1711"/>
      <c r="M80" s="1711"/>
      <c r="N80" s="1711"/>
      <c r="O80" s="1711"/>
      <c r="P80" s="1711"/>
      <c r="Q80" s="1711" t="s">
        <v>949</v>
      </c>
      <c r="R80" s="1711"/>
      <c r="S80" s="1711"/>
      <c r="T80" s="1711"/>
      <c r="U80" s="1711"/>
      <c r="V80" s="1711"/>
      <c r="W80" s="1711"/>
      <c r="X80" s="1713" t="s">
        <v>950</v>
      </c>
      <c r="Y80" s="1713"/>
      <c r="Z80" s="122">
        <f t="shared" si="18"/>
        <v>0</v>
      </c>
    </row>
    <row r="81" spans="1:26" s="65" customFormat="1" ht="15" customHeight="1">
      <c r="A81" s="1712" t="s">
        <v>5</v>
      </c>
      <c r="B81" s="1712"/>
      <c r="C81" s="1712" t="s">
        <v>951</v>
      </c>
      <c r="D81" s="1711" t="s">
        <v>952</v>
      </c>
      <c r="E81" s="1711"/>
      <c r="F81" s="1712" t="s">
        <v>954</v>
      </c>
      <c r="G81" s="1712"/>
      <c r="H81" s="1712" t="s">
        <v>955</v>
      </c>
      <c r="I81" s="1712"/>
      <c r="J81" s="1712" t="s">
        <v>956</v>
      </c>
      <c r="K81" s="1712" t="s">
        <v>957</v>
      </c>
      <c r="L81" s="1712" t="s">
        <v>958</v>
      </c>
      <c r="M81" s="1712" t="s">
        <v>959</v>
      </c>
      <c r="N81" s="1712"/>
      <c r="O81" s="1712" t="s">
        <v>960</v>
      </c>
      <c r="P81" s="1712"/>
      <c r="Q81" s="1712" t="s">
        <v>956</v>
      </c>
      <c r="R81" s="1712" t="s">
        <v>957</v>
      </c>
      <c r="S81" s="1712" t="s">
        <v>958</v>
      </c>
      <c r="T81" s="1713" t="s">
        <v>961</v>
      </c>
      <c r="U81" s="1713"/>
      <c r="V81" s="1713" t="s">
        <v>962</v>
      </c>
      <c r="W81" s="1713"/>
      <c r="X81" s="1713"/>
      <c r="Y81" s="1713"/>
      <c r="Z81" s="122">
        <f t="shared" si="18"/>
        <v>0</v>
      </c>
    </row>
    <row r="82" spans="1:26" s="66" customFormat="1" ht="15" customHeight="1">
      <c r="A82" s="1712"/>
      <c r="B82" s="1712"/>
      <c r="C82" s="1712"/>
      <c r="D82" s="71" t="s">
        <v>1082</v>
      </c>
      <c r="E82" s="72" t="s">
        <v>1083</v>
      </c>
      <c r="F82" s="1712"/>
      <c r="G82" s="1712"/>
      <c r="H82" s="1712"/>
      <c r="I82" s="1712"/>
      <c r="J82" s="1712"/>
      <c r="K82" s="1712"/>
      <c r="L82" s="1712"/>
      <c r="M82" s="1712"/>
      <c r="N82" s="1712"/>
      <c r="O82" s="1712"/>
      <c r="P82" s="1712"/>
      <c r="Q82" s="1712"/>
      <c r="R82" s="1712"/>
      <c r="S82" s="1712"/>
      <c r="T82" s="1713"/>
      <c r="U82" s="1713"/>
      <c r="V82" s="1713"/>
      <c r="W82" s="1713"/>
      <c r="X82" s="1713"/>
      <c r="Y82" s="1713"/>
      <c r="Z82" s="122">
        <f t="shared" si="18"/>
        <v>0</v>
      </c>
    </row>
    <row r="83" spans="1:26" s="64" customFormat="1" ht="15" customHeight="1">
      <c r="A83" s="88">
        <v>11.1</v>
      </c>
      <c r="B83" s="89" t="s">
        <v>1084</v>
      </c>
      <c r="C83" s="75" t="s">
        <v>1069</v>
      </c>
      <c r="D83" s="75">
        <v>300</v>
      </c>
      <c r="E83" s="75">
        <v>375</v>
      </c>
      <c r="F83" s="76" t="s">
        <v>965</v>
      </c>
      <c r="G83" s="77">
        <v>872.87</v>
      </c>
      <c r="H83" s="76" t="s">
        <v>965</v>
      </c>
      <c r="I83" s="146"/>
      <c r="J83" s="101">
        <f>+ROUND(D83*0.0905,4)</f>
        <v>27.15</v>
      </c>
      <c r="K83" s="101">
        <f>+ROUND((J83+L83)/2,4)</f>
        <v>35.295000000000002</v>
      </c>
      <c r="L83" s="101">
        <f>+ROUND(D83*0.1448,4)</f>
        <v>43.44</v>
      </c>
      <c r="M83" s="81" t="s">
        <v>965</v>
      </c>
      <c r="N83" s="103">
        <f>+$AD$8</f>
        <v>67.900000000000006</v>
      </c>
      <c r="O83" s="81" t="s">
        <v>965</v>
      </c>
      <c r="P83" s="103">
        <f>+K83*N83</f>
        <v>2396.5305000000003</v>
      </c>
      <c r="Q83" s="101">
        <f>ROUND(0.0015*J83,4)</f>
        <v>4.07E-2</v>
      </c>
      <c r="R83" s="115">
        <f>+ROUND((Q83+S83)/2,4)</f>
        <v>5.2999999999999999E-2</v>
      </c>
      <c r="S83" s="108">
        <f>ROUND(0.0015*L83,4)</f>
        <v>6.5199999999999994E-2</v>
      </c>
      <c r="T83" s="81" t="s">
        <v>965</v>
      </c>
      <c r="U83" s="111">
        <f>+$AD$9</f>
        <v>294</v>
      </c>
      <c r="V83" s="81" t="s">
        <v>965</v>
      </c>
      <c r="W83" s="112">
        <f>+R83*U83</f>
        <v>15.581999999999999</v>
      </c>
      <c r="X83" s="113" t="s">
        <v>965</v>
      </c>
      <c r="Y83" s="130">
        <f>+ROUND(G83+P83+W83,2)</f>
        <v>3284.98</v>
      </c>
      <c r="Z83" s="122">
        <f t="shared" si="18"/>
        <v>2412.11</v>
      </c>
    </row>
    <row r="84" spans="1:26" s="64" customFormat="1" ht="15" customHeight="1">
      <c r="A84" s="78">
        <v>11.2</v>
      </c>
      <c r="B84" s="89" t="s">
        <v>1084</v>
      </c>
      <c r="C84" s="75" t="s">
        <v>1069</v>
      </c>
      <c r="D84" s="80">
        <v>700</v>
      </c>
      <c r="E84" s="80">
        <v>875</v>
      </c>
      <c r="F84" s="81" t="s">
        <v>965</v>
      </c>
      <c r="G84" s="82">
        <v>2147.27</v>
      </c>
      <c r="H84" s="81" t="s">
        <v>965</v>
      </c>
      <c r="I84" s="147"/>
      <c r="J84" s="101">
        <f>+ROUND(D84*0.0905,4)</f>
        <v>63.35</v>
      </c>
      <c r="K84" s="115">
        <f>+ROUND((J84+L84)/2,4)</f>
        <v>82.355000000000004</v>
      </c>
      <c r="L84" s="115">
        <f>+ROUND(D84*0.1448,4)</f>
        <v>101.36</v>
      </c>
      <c r="M84" s="81" t="s">
        <v>965</v>
      </c>
      <c r="N84" s="103">
        <f>+$AD$8</f>
        <v>67.900000000000006</v>
      </c>
      <c r="O84" s="81" t="s">
        <v>965</v>
      </c>
      <c r="P84" s="103">
        <f>+K84*N84</f>
        <v>5591.9045000000006</v>
      </c>
      <c r="Q84" s="101">
        <f>ROUND(0.0015*J84,4)</f>
        <v>9.5000000000000001E-2</v>
      </c>
      <c r="R84" s="115">
        <f>+ROUND((Q84+S84)/2,4)</f>
        <v>0.1235</v>
      </c>
      <c r="S84" s="154">
        <f>ROUND(0.0015*L84,4)</f>
        <v>0.152</v>
      </c>
      <c r="T84" s="81" t="s">
        <v>965</v>
      </c>
      <c r="U84" s="111">
        <f>+$AD$9</f>
        <v>294</v>
      </c>
      <c r="V84" s="81" t="s">
        <v>965</v>
      </c>
      <c r="W84" s="112">
        <f>+R84*U84</f>
        <v>36.308999999999997</v>
      </c>
      <c r="X84" s="113" t="s">
        <v>965</v>
      </c>
      <c r="Y84" s="130">
        <f>+ROUND(G84+P84+W84,2)</f>
        <v>7775.48</v>
      </c>
      <c r="Z84" s="122">
        <f t="shared" si="18"/>
        <v>5628.2099999999991</v>
      </c>
    </row>
    <row r="85" spans="1:26" s="64" customFormat="1" ht="15" customHeight="1">
      <c r="A85" s="88">
        <v>11.3</v>
      </c>
      <c r="B85" s="89" t="s">
        <v>1084</v>
      </c>
      <c r="C85" s="75" t="s">
        <v>1069</v>
      </c>
      <c r="D85" s="80">
        <v>900</v>
      </c>
      <c r="E85" s="80">
        <v>1125</v>
      </c>
      <c r="F85" s="85" t="s">
        <v>965</v>
      </c>
      <c r="G85" s="86">
        <v>2659.44</v>
      </c>
      <c r="H85" s="85" t="s">
        <v>965</v>
      </c>
      <c r="I85" s="105"/>
      <c r="J85" s="101">
        <f>+ROUND(D85*0.0905,4)</f>
        <v>81.45</v>
      </c>
      <c r="K85" s="115">
        <f>+ROUND((J85+L85)/2,4)</f>
        <v>105.88500000000001</v>
      </c>
      <c r="L85" s="115">
        <f>+ROUND(D85*0.1448,4)</f>
        <v>130.32</v>
      </c>
      <c r="M85" s="81" t="s">
        <v>965</v>
      </c>
      <c r="N85" s="103">
        <f>+$AD$8</f>
        <v>67.900000000000006</v>
      </c>
      <c r="O85" s="81" t="s">
        <v>965</v>
      </c>
      <c r="P85" s="103">
        <f>+K85*N85</f>
        <v>7189.5915000000014</v>
      </c>
      <c r="Q85" s="114">
        <f>ROUND(0.0015*J85,4)</f>
        <v>0.1222</v>
      </c>
      <c r="R85" s="155">
        <f>+ROUND((Q85+S85)/2,4)</f>
        <v>0.15890000000000001</v>
      </c>
      <c r="S85" s="116">
        <f>ROUND(0.0015*L85,4)</f>
        <v>0.19550000000000001</v>
      </c>
      <c r="T85" s="81" t="s">
        <v>965</v>
      </c>
      <c r="U85" s="111">
        <f>+$AD$9</f>
        <v>294</v>
      </c>
      <c r="V85" s="81" t="s">
        <v>965</v>
      </c>
      <c r="W85" s="112">
        <f>+R85*U85</f>
        <v>46.716600000000007</v>
      </c>
      <c r="X85" s="113" t="s">
        <v>965</v>
      </c>
      <c r="Y85" s="130">
        <f>+ROUND(G85+P85+W85,2)</f>
        <v>9895.75</v>
      </c>
      <c r="Z85" s="122">
        <f t="shared" si="18"/>
        <v>7236.3099999999995</v>
      </c>
    </row>
    <row r="86" spans="1:26" s="65" customFormat="1" ht="15" customHeight="1">
      <c r="A86" s="1709" t="s">
        <v>1085</v>
      </c>
      <c r="B86" s="1709"/>
      <c r="C86" s="1709"/>
      <c r="D86" s="1709"/>
      <c r="E86" s="1709"/>
      <c r="F86" s="1709"/>
      <c r="G86" s="1709"/>
      <c r="H86" s="1710"/>
      <c r="I86" s="1710"/>
      <c r="J86" s="1711" t="s">
        <v>948</v>
      </c>
      <c r="K86" s="1711"/>
      <c r="L86" s="1711"/>
      <c r="M86" s="1711"/>
      <c r="N86" s="1711"/>
      <c r="O86" s="1711"/>
      <c r="P86" s="1711"/>
      <c r="Q86" s="1711" t="s">
        <v>949</v>
      </c>
      <c r="R86" s="1711"/>
      <c r="S86" s="1711"/>
      <c r="T86" s="1711"/>
      <c r="U86" s="1711"/>
      <c r="V86" s="1711"/>
      <c r="W86" s="1711"/>
      <c r="X86" s="1713" t="s">
        <v>950</v>
      </c>
      <c r="Y86" s="1713"/>
      <c r="Z86" s="122">
        <f t="shared" si="18"/>
        <v>0</v>
      </c>
    </row>
    <row r="87" spans="1:26" s="66" customFormat="1" ht="30" customHeight="1">
      <c r="A87" s="1712" t="s">
        <v>5</v>
      </c>
      <c r="B87" s="1712"/>
      <c r="C87" s="71" t="s">
        <v>951</v>
      </c>
      <c r="D87" s="71" t="s">
        <v>1086</v>
      </c>
      <c r="E87" s="72" t="s">
        <v>953</v>
      </c>
      <c r="F87" s="1712" t="s">
        <v>954</v>
      </c>
      <c r="G87" s="1712"/>
      <c r="H87" s="1712" t="s">
        <v>955</v>
      </c>
      <c r="I87" s="1712"/>
      <c r="J87" s="71" t="s">
        <v>956</v>
      </c>
      <c r="K87" s="71" t="s">
        <v>957</v>
      </c>
      <c r="L87" s="71" t="s">
        <v>958</v>
      </c>
      <c r="M87" s="1712" t="s">
        <v>959</v>
      </c>
      <c r="N87" s="1712"/>
      <c r="O87" s="1712" t="s">
        <v>960</v>
      </c>
      <c r="P87" s="1712"/>
      <c r="Q87" s="71" t="s">
        <v>956</v>
      </c>
      <c r="R87" s="71" t="s">
        <v>957</v>
      </c>
      <c r="S87" s="71" t="s">
        <v>958</v>
      </c>
      <c r="T87" s="1713" t="s">
        <v>961</v>
      </c>
      <c r="U87" s="1713"/>
      <c r="V87" s="1713" t="s">
        <v>962</v>
      </c>
      <c r="W87" s="1713"/>
      <c r="X87" s="1713"/>
      <c r="Y87" s="1713"/>
      <c r="Z87" s="122">
        <f t="shared" si="18"/>
        <v>0</v>
      </c>
    </row>
    <row r="88" spans="1:26" s="64" customFormat="1" ht="15" customHeight="1">
      <c r="A88" s="88">
        <v>12.1</v>
      </c>
      <c r="B88" s="89" t="s">
        <v>1087</v>
      </c>
      <c r="C88" s="75" t="s">
        <v>1088</v>
      </c>
      <c r="D88" s="75">
        <v>300</v>
      </c>
      <c r="E88" s="75">
        <v>48</v>
      </c>
      <c r="F88" s="76" t="s">
        <v>965</v>
      </c>
      <c r="G88" s="77">
        <v>371</v>
      </c>
      <c r="H88" s="76" t="s">
        <v>965</v>
      </c>
      <c r="I88" s="77">
        <v>311</v>
      </c>
      <c r="J88" s="101">
        <f>+ROUND(E88*0.746*0.0905,4)</f>
        <v>3.2406000000000001</v>
      </c>
      <c r="K88" s="101">
        <f>+ROUND((J88+L88)/2,4)</f>
        <v>4.2127999999999997</v>
      </c>
      <c r="L88" s="101">
        <f>+ROUND(E88*0.746*0.1448,4)</f>
        <v>5.1849999999999996</v>
      </c>
      <c r="M88" s="81" t="s">
        <v>965</v>
      </c>
      <c r="N88" s="103">
        <f>+$AD$8</f>
        <v>67.900000000000006</v>
      </c>
      <c r="O88" s="81" t="s">
        <v>965</v>
      </c>
      <c r="P88" s="103">
        <f>+K88*N88</f>
        <v>286.04912000000002</v>
      </c>
      <c r="Q88" s="101">
        <f>ROUND(0.0015*J88,4)</f>
        <v>4.8999999999999998E-3</v>
      </c>
      <c r="R88" s="115">
        <f>+ROUND((Q88+S88)/2,4)</f>
        <v>6.4000000000000003E-3</v>
      </c>
      <c r="S88" s="108">
        <f>ROUND(0.0015*L88,4)</f>
        <v>7.7999999999999996E-3</v>
      </c>
      <c r="T88" s="81" t="s">
        <v>965</v>
      </c>
      <c r="U88" s="111">
        <f>+$AD$9</f>
        <v>294</v>
      </c>
      <c r="V88" s="81" t="s">
        <v>965</v>
      </c>
      <c r="W88" s="112">
        <f>+R88*U88</f>
        <v>1.8816000000000002</v>
      </c>
      <c r="X88" s="113" t="s">
        <v>965</v>
      </c>
      <c r="Y88" s="126">
        <f>+ROUND(I88+P88+W88,2)</f>
        <v>598.92999999999995</v>
      </c>
      <c r="Z88" s="122">
        <f t="shared" si="18"/>
        <v>227.92999999999995</v>
      </c>
    </row>
    <row r="89" spans="1:26" s="64" customFormat="1" ht="15" customHeight="1">
      <c r="A89" s="78">
        <v>12.2</v>
      </c>
      <c r="B89" s="89" t="s">
        <v>1087</v>
      </c>
      <c r="C89" s="75" t="s">
        <v>1088</v>
      </c>
      <c r="D89" s="80">
        <v>500</v>
      </c>
      <c r="E89" s="80">
        <v>70</v>
      </c>
      <c r="F89" s="81" t="s">
        <v>965</v>
      </c>
      <c r="G89" s="82">
        <v>539</v>
      </c>
      <c r="H89" s="81" t="s">
        <v>965</v>
      </c>
      <c r="I89" s="82">
        <v>453</v>
      </c>
      <c r="J89" s="101">
        <f>+ROUND(E89*0.746*0.0905,4)</f>
        <v>4.7259000000000002</v>
      </c>
      <c r="K89" s="101">
        <f>+ROUND((J89+L89)/2,4)</f>
        <v>6.1436999999999999</v>
      </c>
      <c r="L89" s="101">
        <f>+ROUND(E89*0.746*0.1448,4)</f>
        <v>7.5614999999999997</v>
      </c>
      <c r="M89" s="81" t="s">
        <v>965</v>
      </c>
      <c r="N89" s="103">
        <f>+$AD$8</f>
        <v>67.900000000000006</v>
      </c>
      <c r="O89" s="81" t="s">
        <v>965</v>
      </c>
      <c r="P89" s="103">
        <f>+K89*N89</f>
        <v>417.15723000000003</v>
      </c>
      <c r="Q89" s="101">
        <f>ROUND(0.0015*J89,4)</f>
        <v>7.1000000000000004E-3</v>
      </c>
      <c r="R89" s="101">
        <f>+ROUND((Q89+S89)/2,4)</f>
        <v>9.1999999999999998E-3</v>
      </c>
      <c r="S89" s="110">
        <f>ROUND(0.0015*L89,4)</f>
        <v>1.1299999999999999E-2</v>
      </c>
      <c r="T89" s="81" t="s">
        <v>965</v>
      </c>
      <c r="U89" s="111">
        <f>+$AD$9</f>
        <v>294</v>
      </c>
      <c r="V89" s="81" t="s">
        <v>965</v>
      </c>
      <c r="W89" s="112">
        <f>+R89*U89</f>
        <v>2.7048000000000001</v>
      </c>
      <c r="X89" s="113" t="s">
        <v>965</v>
      </c>
      <c r="Y89" s="126">
        <f>+ROUND(I89+P89+W89,2)</f>
        <v>872.86</v>
      </c>
      <c r="Z89" s="122">
        <f t="shared" si="18"/>
        <v>333.86</v>
      </c>
    </row>
    <row r="90" spans="1:26" s="64" customFormat="1" ht="15" customHeight="1">
      <c r="A90" s="88">
        <v>12.3</v>
      </c>
      <c r="B90" s="89" t="s">
        <v>1087</v>
      </c>
      <c r="C90" s="80" t="s">
        <v>1089</v>
      </c>
      <c r="D90" s="80">
        <v>500</v>
      </c>
      <c r="E90" s="91"/>
      <c r="F90" s="85" t="s">
        <v>965</v>
      </c>
      <c r="G90" s="100">
        <v>391</v>
      </c>
      <c r="H90" s="85" t="s">
        <v>965</v>
      </c>
      <c r="I90" s="86"/>
      <c r="J90" s="101"/>
      <c r="K90" s="101"/>
      <c r="L90" s="101"/>
      <c r="M90" s="81" t="s">
        <v>965</v>
      </c>
      <c r="N90" s="103">
        <f>+$AD$8</f>
        <v>67.900000000000006</v>
      </c>
      <c r="O90" s="81" t="s">
        <v>965</v>
      </c>
      <c r="P90" s="103">
        <f>+K90*N90</f>
        <v>0</v>
      </c>
      <c r="Q90" s="114"/>
      <c r="R90" s="114"/>
      <c r="S90" s="106"/>
      <c r="T90" s="81" t="s">
        <v>965</v>
      </c>
      <c r="U90" s="111">
        <f>+$AD$9</f>
        <v>294</v>
      </c>
      <c r="V90" s="81" t="s">
        <v>965</v>
      </c>
      <c r="W90" s="112">
        <f>+R90*U90</f>
        <v>0</v>
      </c>
      <c r="X90" s="113" t="s">
        <v>965</v>
      </c>
      <c r="Y90" s="131">
        <f>+G90</f>
        <v>391</v>
      </c>
      <c r="Z90" s="122">
        <f t="shared" si="18"/>
        <v>0</v>
      </c>
    </row>
    <row r="91" spans="1:26" s="65" customFormat="1" ht="15" customHeight="1">
      <c r="A91" s="1709" t="s">
        <v>1090</v>
      </c>
      <c r="B91" s="1709"/>
      <c r="C91" s="1709"/>
      <c r="D91" s="1709"/>
      <c r="E91" s="1709"/>
      <c r="F91" s="1709"/>
      <c r="G91" s="1709"/>
      <c r="H91" s="1710"/>
      <c r="I91" s="1710"/>
      <c r="J91" s="1711" t="s">
        <v>948</v>
      </c>
      <c r="K91" s="1711"/>
      <c r="L91" s="1711"/>
      <c r="M91" s="1711"/>
      <c r="N91" s="1711"/>
      <c r="O91" s="1711"/>
      <c r="P91" s="1711"/>
      <c r="Q91" s="1711" t="s">
        <v>949</v>
      </c>
      <c r="R91" s="1711"/>
      <c r="S91" s="1711"/>
      <c r="T91" s="1711"/>
      <c r="U91" s="1711"/>
      <c r="V91" s="1711"/>
      <c r="W91" s="1711"/>
      <c r="X91" s="1713" t="s">
        <v>950</v>
      </c>
      <c r="Y91" s="1713"/>
      <c r="Z91" s="122">
        <f t="shared" si="18"/>
        <v>0</v>
      </c>
    </row>
    <row r="92" spans="1:26" s="66" customFormat="1" ht="30" customHeight="1">
      <c r="A92" s="1712" t="s">
        <v>5</v>
      </c>
      <c r="B92" s="1712"/>
      <c r="C92" s="1712" t="s">
        <v>1091</v>
      </c>
      <c r="D92" s="1712"/>
      <c r="E92" s="72" t="s">
        <v>953</v>
      </c>
      <c r="F92" s="1712" t="s">
        <v>954</v>
      </c>
      <c r="G92" s="1712"/>
      <c r="H92" s="1712" t="s">
        <v>955</v>
      </c>
      <c r="I92" s="1712"/>
      <c r="J92" s="71" t="s">
        <v>956</v>
      </c>
      <c r="K92" s="71" t="s">
        <v>957</v>
      </c>
      <c r="L92" s="71" t="s">
        <v>958</v>
      </c>
      <c r="M92" s="1712" t="s">
        <v>959</v>
      </c>
      <c r="N92" s="1712"/>
      <c r="O92" s="1712" t="s">
        <v>960</v>
      </c>
      <c r="P92" s="1712"/>
      <c r="Q92" s="71" t="s">
        <v>956</v>
      </c>
      <c r="R92" s="71" t="s">
        <v>957</v>
      </c>
      <c r="S92" s="71" t="s">
        <v>958</v>
      </c>
      <c r="T92" s="1713" t="s">
        <v>961</v>
      </c>
      <c r="U92" s="1713"/>
      <c r="V92" s="1713" t="s">
        <v>962</v>
      </c>
      <c r="W92" s="1713"/>
      <c r="X92" s="1713"/>
      <c r="Y92" s="1713"/>
      <c r="Z92" s="122">
        <f t="shared" si="18"/>
        <v>0</v>
      </c>
    </row>
    <row r="93" spans="1:26" s="64" customFormat="1" ht="15" customHeight="1">
      <c r="A93" s="88">
        <v>14.1</v>
      </c>
      <c r="B93" s="89" t="s">
        <v>1092</v>
      </c>
      <c r="C93" s="1715" t="s">
        <v>1093</v>
      </c>
      <c r="D93" s="1715"/>
      <c r="E93" s="75">
        <v>4</v>
      </c>
      <c r="F93" s="76" t="s">
        <v>965</v>
      </c>
      <c r="G93" s="77">
        <v>123.2</v>
      </c>
      <c r="H93" s="76" t="s">
        <v>965</v>
      </c>
      <c r="I93" s="146"/>
      <c r="J93" s="101">
        <f>+ROUND(E93*0.746*0.0905,4)</f>
        <v>0.27010000000000001</v>
      </c>
      <c r="K93" s="101">
        <f>+ROUND((J93+L93)/2,4)</f>
        <v>0.35110000000000002</v>
      </c>
      <c r="L93" s="101">
        <f>+ROUND(E93*0.746*0.1448,4)</f>
        <v>0.43209999999999998</v>
      </c>
      <c r="M93" s="81" t="s">
        <v>965</v>
      </c>
      <c r="N93" s="103">
        <f t="shared" ref="N93:N99" si="23">+$AD$8</f>
        <v>67.900000000000006</v>
      </c>
      <c r="O93" s="81" t="s">
        <v>965</v>
      </c>
      <c r="P93" s="103">
        <f t="shared" ref="P93:P99" si="24">+K93*N93</f>
        <v>23.839690000000004</v>
      </c>
      <c r="Q93" s="101">
        <f>ROUND(0.0015*J93,4)</f>
        <v>4.0000000000000002E-4</v>
      </c>
      <c r="R93" s="101">
        <f>+ROUND((Q93+S93)/2,4)</f>
        <v>5.0000000000000001E-4</v>
      </c>
      <c r="S93" s="108">
        <f>ROUND(0.0015*L93,4)</f>
        <v>5.9999999999999995E-4</v>
      </c>
      <c r="T93" s="81" t="s">
        <v>965</v>
      </c>
      <c r="U93" s="111">
        <f t="shared" ref="U93:U99" si="25">+$AD$9</f>
        <v>294</v>
      </c>
      <c r="V93" s="81" t="s">
        <v>965</v>
      </c>
      <c r="W93" s="112">
        <f t="shared" ref="W93:W99" si="26">+R93*U93</f>
        <v>0.14699999999999999</v>
      </c>
      <c r="X93" s="113" t="s">
        <v>965</v>
      </c>
      <c r="Y93" s="130">
        <f>+ROUND(G93+P93+W93,2)</f>
        <v>147.19</v>
      </c>
      <c r="Z93" s="122">
        <f t="shared" si="18"/>
        <v>23.989999999999995</v>
      </c>
    </row>
    <row r="94" spans="1:26" s="64" customFormat="1" ht="15" customHeight="1">
      <c r="A94" s="78">
        <v>14.2</v>
      </c>
      <c r="B94" s="89" t="s">
        <v>1094</v>
      </c>
      <c r="C94" s="1716" t="s">
        <v>1095</v>
      </c>
      <c r="D94" s="1716"/>
      <c r="E94" s="1716"/>
      <c r="F94" s="81" t="s">
        <v>965</v>
      </c>
      <c r="G94" s="92">
        <v>75.36</v>
      </c>
      <c r="H94" s="81" t="s">
        <v>965</v>
      </c>
      <c r="I94" s="82"/>
      <c r="J94" s="101"/>
      <c r="K94" s="101"/>
      <c r="L94" s="101"/>
      <c r="M94" s="81" t="s">
        <v>965</v>
      </c>
      <c r="N94" s="103">
        <f t="shared" si="23"/>
        <v>67.900000000000006</v>
      </c>
      <c r="O94" s="81" t="s">
        <v>965</v>
      </c>
      <c r="P94" s="103">
        <f t="shared" si="24"/>
        <v>0</v>
      </c>
      <c r="Q94" s="101"/>
      <c r="R94" s="101"/>
      <c r="S94" s="110"/>
      <c r="T94" s="81" t="s">
        <v>965</v>
      </c>
      <c r="U94" s="111">
        <f t="shared" si="25"/>
        <v>294</v>
      </c>
      <c r="V94" s="81" t="s">
        <v>965</v>
      </c>
      <c r="W94" s="112">
        <f t="shared" si="26"/>
        <v>0</v>
      </c>
      <c r="X94" s="113" t="s">
        <v>965</v>
      </c>
      <c r="Y94" s="131">
        <f>+G94</f>
        <v>75.36</v>
      </c>
      <c r="Z94" s="122">
        <f t="shared" si="18"/>
        <v>0</v>
      </c>
    </row>
    <row r="95" spans="1:26" s="64" customFormat="1" ht="15" customHeight="1">
      <c r="A95" s="88">
        <v>14.3</v>
      </c>
      <c r="B95" s="89" t="s">
        <v>139</v>
      </c>
      <c r="C95" s="1716" t="s">
        <v>1096</v>
      </c>
      <c r="D95" s="1716"/>
      <c r="E95" s="1716"/>
      <c r="F95" s="81" t="s">
        <v>965</v>
      </c>
      <c r="G95" s="92">
        <v>57.17</v>
      </c>
      <c r="H95" s="81" t="s">
        <v>965</v>
      </c>
      <c r="I95" s="82"/>
      <c r="J95" s="101"/>
      <c r="K95" s="101"/>
      <c r="L95" s="101"/>
      <c r="M95" s="81" t="s">
        <v>965</v>
      </c>
      <c r="N95" s="103">
        <f t="shared" si="23"/>
        <v>67.900000000000006</v>
      </c>
      <c r="O95" s="81" t="s">
        <v>965</v>
      </c>
      <c r="P95" s="103">
        <f t="shared" si="24"/>
        <v>0</v>
      </c>
      <c r="Q95" s="101"/>
      <c r="R95" s="101"/>
      <c r="S95" s="110"/>
      <c r="T95" s="81" t="s">
        <v>965</v>
      </c>
      <c r="U95" s="111">
        <f t="shared" si="25"/>
        <v>294</v>
      </c>
      <c r="V95" s="81" t="s">
        <v>965</v>
      </c>
      <c r="W95" s="112">
        <f t="shared" si="26"/>
        <v>0</v>
      </c>
      <c r="X95" s="113" t="s">
        <v>965</v>
      </c>
      <c r="Y95" s="131">
        <f>+G95</f>
        <v>57.17</v>
      </c>
      <c r="Z95" s="122">
        <f t="shared" si="18"/>
        <v>0</v>
      </c>
    </row>
    <row r="96" spans="1:26" s="64" customFormat="1" ht="15" customHeight="1">
      <c r="A96" s="78">
        <v>14.4</v>
      </c>
      <c r="B96" s="89" t="s">
        <v>1097</v>
      </c>
      <c r="C96" s="1716" t="s">
        <v>1098</v>
      </c>
      <c r="D96" s="1716"/>
      <c r="E96" s="87">
        <v>7.5</v>
      </c>
      <c r="F96" s="81" t="s">
        <v>965</v>
      </c>
      <c r="G96" s="82">
        <v>32.64</v>
      </c>
      <c r="H96" s="81" t="s">
        <v>965</v>
      </c>
      <c r="I96" s="147"/>
      <c r="J96" s="101">
        <f>+ROUND(E96*0.746*0.0905,4)</f>
        <v>0.50629999999999997</v>
      </c>
      <c r="K96" s="101">
        <f>+ROUND((J96+L96)/2,4)</f>
        <v>0.6583</v>
      </c>
      <c r="L96" s="101">
        <f>+ROUND(E96*0.746*0.1448,4)</f>
        <v>0.81020000000000003</v>
      </c>
      <c r="M96" s="81" t="s">
        <v>965</v>
      </c>
      <c r="N96" s="103">
        <f t="shared" si="23"/>
        <v>67.900000000000006</v>
      </c>
      <c r="O96" s="81" t="s">
        <v>965</v>
      </c>
      <c r="P96" s="103">
        <f t="shared" si="24"/>
        <v>44.698570000000004</v>
      </c>
      <c r="Q96" s="101">
        <f>ROUND(0.0015*J96,4)</f>
        <v>8.0000000000000004E-4</v>
      </c>
      <c r="R96" s="101">
        <f>+ROUND((Q96+S96)/2,4)</f>
        <v>1E-3</v>
      </c>
      <c r="S96" s="110">
        <f>ROUND(0.0015*L96,4)</f>
        <v>1.1999999999999999E-3</v>
      </c>
      <c r="T96" s="81" t="s">
        <v>965</v>
      </c>
      <c r="U96" s="111">
        <f t="shared" si="25"/>
        <v>294</v>
      </c>
      <c r="V96" s="81" t="s">
        <v>965</v>
      </c>
      <c r="W96" s="112">
        <f t="shared" si="26"/>
        <v>0.29399999999999998</v>
      </c>
      <c r="X96" s="113" t="s">
        <v>965</v>
      </c>
      <c r="Y96" s="130">
        <f>+ROUND(G96+P96+W96,2)</f>
        <v>77.63</v>
      </c>
      <c r="Z96" s="122">
        <f t="shared" si="18"/>
        <v>44.989999999999995</v>
      </c>
    </row>
    <row r="97" spans="1:26" s="64" customFormat="1" ht="15" customHeight="1">
      <c r="A97" s="88">
        <v>14.5</v>
      </c>
      <c r="B97" s="89" t="s">
        <v>1099</v>
      </c>
      <c r="C97" s="1716" t="s">
        <v>1100</v>
      </c>
      <c r="D97" s="1716"/>
      <c r="E97" s="1716"/>
      <c r="F97" s="81" t="s">
        <v>965</v>
      </c>
      <c r="G97" s="92">
        <v>105.47</v>
      </c>
      <c r="H97" s="81" t="s">
        <v>965</v>
      </c>
      <c r="I97" s="82"/>
      <c r="J97" s="101"/>
      <c r="K97" s="101"/>
      <c r="L97" s="101"/>
      <c r="M97" s="81" t="s">
        <v>965</v>
      </c>
      <c r="N97" s="103">
        <f t="shared" si="23"/>
        <v>67.900000000000006</v>
      </c>
      <c r="O97" s="81" t="s">
        <v>965</v>
      </c>
      <c r="P97" s="103">
        <f t="shared" si="24"/>
        <v>0</v>
      </c>
      <c r="Q97" s="101"/>
      <c r="R97" s="101"/>
      <c r="S97" s="110"/>
      <c r="T97" s="81" t="s">
        <v>965</v>
      </c>
      <c r="U97" s="111">
        <f t="shared" si="25"/>
        <v>294</v>
      </c>
      <c r="V97" s="81" t="s">
        <v>965</v>
      </c>
      <c r="W97" s="112">
        <f t="shared" si="26"/>
        <v>0</v>
      </c>
      <c r="X97" s="113" t="s">
        <v>965</v>
      </c>
      <c r="Y97" s="131">
        <f>+G97</f>
        <v>105.47</v>
      </c>
      <c r="Z97" s="122">
        <f t="shared" si="18"/>
        <v>0</v>
      </c>
    </row>
    <row r="98" spans="1:26" s="64" customFormat="1" ht="15" customHeight="1">
      <c r="A98" s="78">
        <v>14.6</v>
      </c>
      <c r="B98" s="89" t="s">
        <v>1101</v>
      </c>
      <c r="C98" s="1716" t="s">
        <v>1102</v>
      </c>
      <c r="D98" s="1716"/>
      <c r="E98" s="1716"/>
      <c r="F98" s="81" t="s">
        <v>965</v>
      </c>
      <c r="G98" s="92">
        <v>168.75</v>
      </c>
      <c r="H98" s="81" t="s">
        <v>965</v>
      </c>
      <c r="I98" s="82"/>
      <c r="J98" s="101"/>
      <c r="K98" s="101"/>
      <c r="L98" s="101"/>
      <c r="M98" s="81" t="s">
        <v>965</v>
      </c>
      <c r="N98" s="103">
        <f t="shared" si="23"/>
        <v>67.900000000000006</v>
      </c>
      <c r="O98" s="81" t="s">
        <v>965</v>
      </c>
      <c r="P98" s="103">
        <f t="shared" si="24"/>
        <v>0</v>
      </c>
      <c r="Q98" s="101"/>
      <c r="R98" s="101"/>
      <c r="S98" s="110"/>
      <c r="T98" s="81" t="s">
        <v>965</v>
      </c>
      <c r="U98" s="111">
        <f t="shared" si="25"/>
        <v>294</v>
      </c>
      <c r="V98" s="81" t="s">
        <v>965</v>
      </c>
      <c r="W98" s="112">
        <f t="shared" si="26"/>
        <v>0</v>
      </c>
      <c r="X98" s="113" t="s">
        <v>965</v>
      </c>
      <c r="Y98" s="131">
        <f>+G98</f>
        <v>168.75</v>
      </c>
      <c r="Z98" s="122">
        <f t="shared" si="18"/>
        <v>0</v>
      </c>
    </row>
    <row r="99" spans="1:26" s="64" customFormat="1" ht="30" customHeight="1">
      <c r="A99" s="83">
        <v>14.7</v>
      </c>
      <c r="B99" s="84" t="s">
        <v>756</v>
      </c>
      <c r="C99" s="1717" t="s">
        <v>1103</v>
      </c>
      <c r="D99" s="1717"/>
      <c r="E99" s="1717"/>
      <c r="F99" s="97" t="s">
        <v>965</v>
      </c>
      <c r="G99" s="135">
        <v>260.86</v>
      </c>
      <c r="H99" s="97" t="s">
        <v>965</v>
      </c>
      <c r="I99" s="98"/>
      <c r="J99" s="106"/>
      <c r="K99" s="106"/>
      <c r="L99" s="106"/>
      <c r="M99" s="97" t="s">
        <v>965</v>
      </c>
      <c r="N99" s="107">
        <f t="shared" si="23"/>
        <v>67.900000000000006</v>
      </c>
      <c r="O99" s="97" t="s">
        <v>965</v>
      </c>
      <c r="P99" s="107">
        <f t="shared" si="24"/>
        <v>0</v>
      </c>
      <c r="Q99" s="106"/>
      <c r="R99" s="106"/>
      <c r="S99" s="106"/>
      <c r="T99" s="97" t="s">
        <v>965</v>
      </c>
      <c r="U99" s="117">
        <f t="shared" si="25"/>
        <v>294</v>
      </c>
      <c r="V99" s="97" t="s">
        <v>965</v>
      </c>
      <c r="W99" s="107">
        <f t="shared" si="26"/>
        <v>0</v>
      </c>
      <c r="X99" s="118" t="s">
        <v>965</v>
      </c>
      <c r="Y99" s="131">
        <f>+G99</f>
        <v>260.86</v>
      </c>
      <c r="Z99" s="122">
        <f t="shared" si="18"/>
        <v>0</v>
      </c>
    </row>
    <row r="100" spans="1:26" s="65" customFormat="1" ht="15" customHeight="1">
      <c r="A100" s="1709" t="s">
        <v>1104</v>
      </c>
      <c r="B100" s="1709"/>
      <c r="C100" s="1709"/>
      <c r="D100" s="1709"/>
      <c r="E100" s="1709"/>
      <c r="F100" s="1709"/>
      <c r="G100" s="1709"/>
      <c r="H100" s="1710"/>
      <c r="I100" s="1710"/>
      <c r="J100" s="1711" t="s">
        <v>948</v>
      </c>
      <c r="K100" s="1711"/>
      <c r="L100" s="1711"/>
      <c r="M100" s="1711"/>
      <c r="N100" s="1711"/>
      <c r="O100" s="1711"/>
      <c r="P100" s="1711"/>
      <c r="Q100" s="1711" t="s">
        <v>949</v>
      </c>
      <c r="R100" s="1711"/>
      <c r="S100" s="1711"/>
      <c r="T100" s="1711"/>
      <c r="U100" s="1711"/>
      <c r="V100" s="1711"/>
      <c r="W100" s="1711"/>
      <c r="X100" s="1713" t="s">
        <v>950</v>
      </c>
      <c r="Y100" s="1713"/>
      <c r="Z100" s="122">
        <f t="shared" ref="Z100:Z127" si="27">+Y100-G100</f>
        <v>0</v>
      </c>
    </row>
    <row r="101" spans="1:26" s="66" customFormat="1" ht="30" customHeight="1">
      <c r="A101" s="1712" t="s">
        <v>5</v>
      </c>
      <c r="B101" s="1712"/>
      <c r="C101" s="1712" t="s">
        <v>1091</v>
      </c>
      <c r="D101" s="1712"/>
      <c r="E101" s="1712"/>
      <c r="F101" s="1712" t="s">
        <v>954</v>
      </c>
      <c r="G101" s="1712"/>
      <c r="H101" s="1712" t="s">
        <v>955</v>
      </c>
      <c r="I101" s="1712"/>
      <c r="J101" s="71" t="s">
        <v>956</v>
      </c>
      <c r="K101" s="71" t="s">
        <v>957</v>
      </c>
      <c r="L101" s="71" t="s">
        <v>958</v>
      </c>
      <c r="M101" s="1712" t="s">
        <v>959</v>
      </c>
      <c r="N101" s="1712"/>
      <c r="O101" s="1712" t="s">
        <v>960</v>
      </c>
      <c r="P101" s="1712"/>
      <c r="Q101" s="71" t="s">
        <v>956</v>
      </c>
      <c r="R101" s="71" t="s">
        <v>957</v>
      </c>
      <c r="S101" s="71" t="s">
        <v>958</v>
      </c>
      <c r="T101" s="1713" t="s">
        <v>961</v>
      </c>
      <c r="U101" s="1713"/>
      <c r="V101" s="1713" t="s">
        <v>962</v>
      </c>
      <c r="W101" s="1713"/>
      <c r="X101" s="1713"/>
      <c r="Y101" s="1713"/>
      <c r="Z101" s="122">
        <f t="shared" si="27"/>
        <v>0</v>
      </c>
    </row>
    <row r="102" spans="1:26" s="64" customFormat="1" ht="92.25" customHeight="1">
      <c r="A102" s="136">
        <v>15.1</v>
      </c>
      <c r="B102" s="137" t="s">
        <v>1105</v>
      </c>
      <c r="C102" s="1718" t="s">
        <v>1106</v>
      </c>
      <c r="D102" s="1718"/>
      <c r="E102" s="1718"/>
      <c r="F102" s="138" t="s">
        <v>965</v>
      </c>
      <c r="G102" s="139">
        <v>4286.63</v>
      </c>
      <c r="H102" s="138" t="s">
        <v>965</v>
      </c>
      <c r="I102" s="148"/>
      <c r="J102" s="101"/>
      <c r="K102" s="101"/>
      <c r="L102" s="101"/>
      <c r="M102" s="81"/>
      <c r="N102" s="103"/>
      <c r="O102" s="81"/>
      <c r="P102" s="149"/>
      <c r="Q102" s="101"/>
      <c r="R102" s="101"/>
      <c r="S102" s="108"/>
      <c r="T102" s="81"/>
      <c r="U102" s="149"/>
      <c r="V102" s="81"/>
      <c r="W102" s="102"/>
      <c r="X102" s="113" t="s">
        <v>965</v>
      </c>
      <c r="Y102" s="131">
        <f>+G102</f>
        <v>4286.63</v>
      </c>
      <c r="Z102" s="122">
        <f t="shared" si="27"/>
        <v>0</v>
      </c>
    </row>
    <row r="103" spans="1:26" s="64" customFormat="1" ht="64.5" customHeight="1">
      <c r="A103" s="140">
        <v>15.2</v>
      </c>
      <c r="B103" s="137" t="s">
        <v>140</v>
      </c>
      <c r="C103" s="1719" t="s">
        <v>1107</v>
      </c>
      <c r="D103" s="1719"/>
      <c r="E103" s="1719"/>
      <c r="F103" s="141" t="s">
        <v>965</v>
      </c>
      <c r="G103" s="142">
        <v>1759.5</v>
      </c>
      <c r="H103" s="141" t="s">
        <v>965</v>
      </c>
      <c r="I103" s="150"/>
      <c r="J103" s="101"/>
      <c r="K103" s="101"/>
      <c r="L103" s="101"/>
      <c r="M103" s="81"/>
      <c r="N103" s="103"/>
      <c r="O103" s="81"/>
      <c r="P103" s="151"/>
      <c r="Q103" s="114"/>
      <c r="R103" s="114"/>
      <c r="S103" s="106"/>
      <c r="T103" s="81"/>
      <c r="U103" s="151"/>
      <c r="V103" s="81"/>
      <c r="W103" s="107"/>
      <c r="X103" s="113" t="s">
        <v>965</v>
      </c>
      <c r="Y103" s="131">
        <f>+G103</f>
        <v>1759.5</v>
      </c>
      <c r="Z103" s="122">
        <f t="shared" si="27"/>
        <v>0</v>
      </c>
    </row>
    <row r="104" spans="1:26" s="65" customFormat="1" ht="15" customHeight="1">
      <c r="A104" s="1709" t="s">
        <v>1108</v>
      </c>
      <c r="B104" s="1709"/>
      <c r="C104" s="1709"/>
      <c r="D104" s="1709"/>
      <c r="E104" s="1709"/>
      <c r="F104" s="1709"/>
      <c r="G104" s="1709"/>
      <c r="H104" s="1710"/>
      <c r="I104" s="1710"/>
      <c r="J104" s="1711" t="s">
        <v>948</v>
      </c>
      <c r="K104" s="1711"/>
      <c r="L104" s="1711"/>
      <c r="M104" s="1711"/>
      <c r="N104" s="1711"/>
      <c r="O104" s="1711"/>
      <c r="P104" s="1711"/>
      <c r="Q104" s="1711" t="s">
        <v>949</v>
      </c>
      <c r="R104" s="1711"/>
      <c r="S104" s="1711"/>
      <c r="T104" s="1711"/>
      <c r="U104" s="1711"/>
      <c r="V104" s="1711"/>
      <c r="W104" s="1711"/>
      <c r="X104" s="1713" t="s">
        <v>950</v>
      </c>
      <c r="Y104" s="1713"/>
      <c r="Z104" s="122">
        <f t="shared" si="27"/>
        <v>0</v>
      </c>
    </row>
    <row r="105" spans="1:26" s="66" customFormat="1" ht="30" customHeight="1">
      <c r="A105" s="1712" t="s">
        <v>5</v>
      </c>
      <c r="B105" s="1712"/>
      <c r="C105" s="1712" t="s">
        <v>1091</v>
      </c>
      <c r="D105" s="1712"/>
      <c r="E105" s="1712"/>
      <c r="F105" s="1712" t="s">
        <v>954</v>
      </c>
      <c r="G105" s="1712"/>
      <c r="H105" s="1712" t="s">
        <v>955</v>
      </c>
      <c r="I105" s="1712"/>
      <c r="J105" s="71" t="s">
        <v>956</v>
      </c>
      <c r="K105" s="71" t="s">
        <v>957</v>
      </c>
      <c r="L105" s="71" t="s">
        <v>958</v>
      </c>
      <c r="M105" s="1712" t="s">
        <v>959</v>
      </c>
      <c r="N105" s="1712"/>
      <c r="O105" s="1712" t="s">
        <v>960</v>
      </c>
      <c r="P105" s="1712"/>
      <c r="Q105" s="71" t="s">
        <v>956</v>
      </c>
      <c r="R105" s="71" t="s">
        <v>957</v>
      </c>
      <c r="S105" s="71" t="s">
        <v>958</v>
      </c>
      <c r="T105" s="1713" t="s">
        <v>961</v>
      </c>
      <c r="U105" s="1713"/>
      <c r="V105" s="1713" t="s">
        <v>962</v>
      </c>
      <c r="W105" s="1713"/>
      <c r="X105" s="1713"/>
      <c r="Y105" s="1713"/>
      <c r="Z105" s="122">
        <f t="shared" si="27"/>
        <v>0</v>
      </c>
    </row>
    <row r="106" spans="1:26" s="64" customFormat="1" ht="15" customHeight="1">
      <c r="A106" s="88">
        <v>18.100000000000001</v>
      </c>
      <c r="B106" s="89" t="s">
        <v>1109</v>
      </c>
      <c r="C106" s="1715" t="s">
        <v>1110</v>
      </c>
      <c r="D106" s="1715"/>
      <c r="E106" s="1715"/>
      <c r="F106" s="76" t="s">
        <v>965</v>
      </c>
      <c r="G106" s="94">
        <v>130.54</v>
      </c>
      <c r="H106" s="76" t="s">
        <v>965</v>
      </c>
      <c r="I106" s="77"/>
      <c r="J106" s="101"/>
      <c r="K106" s="101"/>
      <c r="L106" s="101"/>
      <c r="M106" s="81"/>
      <c r="N106" s="149"/>
      <c r="O106" s="81"/>
      <c r="P106" s="149"/>
      <c r="Q106" s="101"/>
      <c r="R106" s="101"/>
      <c r="S106" s="108"/>
      <c r="T106" s="81"/>
      <c r="U106" s="149"/>
      <c r="V106" s="81"/>
      <c r="W106" s="102"/>
      <c r="X106" s="113" t="s">
        <v>965</v>
      </c>
      <c r="Y106" s="131">
        <f t="shared" ref="Y106:Y127" si="28">+G106</f>
        <v>130.54</v>
      </c>
      <c r="Z106" s="122">
        <f t="shared" si="27"/>
        <v>0</v>
      </c>
    </row>
    <row r="107" spans="1:26" s="64" customFormat="1" ht="15" customHeight="1">
      <c r="A107" s="78">
        <v>18.2</v>
      </c>
      <c r="B107" s="89" t="s">
        <v>1111</v>
      </c>
      <c r="C107" s="1518"/>
      <c r="D107" s="1518"/>
      <c r="E107" s="1518"/>
      <c r="F107" s="81" t="s">
        <v>965</v>
      </c>
      <c r="G107" s="92">
        <v>952</v>
      </c>
      <c r="H107" s="81" t="s">
        <v>965</v>
      </c>
      <c r="I107" s="82"/>
      <c r="J107" s="101"/>
      <c r="K107" s="101"/>
      <c r="L107" s="101"/>
      <c r="M107" s="81"/>
      <c r="N107" s="152"/>
      <c r="O107" s="81"/>
      <c r="P107" s="152"/>
      <c r="Q107" s="101"/>
      <c r="R107" s="101"/>
      <c r="S107" s="110"/>
      <c r="T107" s="81"/>
      <c r="U107" s="152"/>
      <c r="V107" s="81"/>
      <c r="W107" s="112"/>
      <c r="X107" s="113" t="s">
        <v>965</v>
      </c>
      <c r="Y107" s="131">
        <f t="shared" si="28"/>
        <v>952</v>
      </c>
      <c r="Z107" s="122">
        <f t="shared" si="27"/>
        <v>0</v>
      </c>
    </row>
    <row r="108" spans="1:26" s="64" customFormat="1" ht="15" customHeight="1">
      <c r="A108" s="88">
        <v>18.3</v>
      </c>
      <c r="B108" s="89" t="s">
        <v>794</v>
      </c>
      <c r="C108" s="1518"/>
      <c r="D108" s="1518"/>
      <c r="E108" s="1518"/>
      <c r="F108" s="81" t="s">
        <v>965</v>
      </c>
      <c r="G108" s="92">
        <v>93.75</v>
      </c>
      <c r="H108" s="81" t="s">
        <v>965</v>
      </c>
      <c r="I108" s="82"/>
      <c r="J108" s="101"/>
      <c r="K108" s="101"/>
      <c r="L108" s="101"/>
      <c r="M108" s="81"/>
      <c r="N108" s="152"/>
      <c r="O108" s="81"/>
      <c r="P108" s="152"/>
      <c r="Q108" s="101"/>
      <c r="R108" s="101"/>
      <c r="S108" s="110"/>
      <c r="T108" s="81"/>
      <c r="U108" s="152"/>
      <c r="V108" s="81"/>
      <c r="W108" s="112"/>
      <c r="X108" s="113" t="s">
        <v>965</v>
      </c>
      <c r="Y108" s="131">
        <f t="shared" si="28"/>
        <v>93.75</v>
      </c>
      <c r="Z108" s="122">
        <f t="shared" si="27"/>
        <v>0</v>
      </c>
    </row>
    <row r="109" spans="1:26" s="64" customFormat="1" ht="15" customHeight="1">
      <c r="A109" s="78">
        <v>18.399999999999999</v>
      </c>
      <c r="B109" s="89" t="s">
        <v>798</v>
      </c>
      <c r="C109" s="1518"/>
      <c r="D109" s="1518"/>
      <c r="E109" s="1518"/>
      <c r="F109" s="81" t="s">
        <v>965</v>
      </c>
      <c r="G109" s="92">
        <v>187.5</v>
      </c>
      <c r="H109" s="81" t="s">
        <v>965</v>
      </c>
      <c r="I109" s="82"/>
      <c r="J109" s="101"/>
      <c r="K109" s="101"/>
      <c r="L109" s="101"/>
      <c r="M109" s="81"/>
      <c r="N109" s="152"/>
      <c r="O109" s="81"/>
      <c r="P109" s="152"/>
      <c r="Q109" s="101"/>
      <c r="R109" s="101"/>
      <c r="S109" s="110"/>
      <c r="T109" s="81"/>
      <c r="U109" s="152"/>
      <c r="V109" s="81"/>
      <c r="W109" s="112"/>
      <c r="X109" s="113" t="s">
        <v>965</v>
      </c>
      <c r="Y109" s="131">
        <f t="shared" si="28"/>
        <v>187.5</v>
      </c>
      <c r="Z109" s="122">
        <f t="shared" si="27"/>
        <v>0</v>
      </c>
    </row>
    <row r="110" spans="1:26" s="64" customFormat="1" ht="15" customHeight="1">
      <c r="A110" s="88">
        <v>18.5</v>
      </c>
      <c r="B110" s="89" t="s">
        <v>702</v>
      </c>
      <c r="C110" s="1518"/>
      <c r="D110" s="1518"/>
      <c r="E110" s="1518"/>
      <c r="F110" s="81" t="s">
        <v>965</v>
      </c>
      <c r="G110" s="92">
        <v>45.45</v>
      </c>
      <c r="H110" s="81" t="s">
        <v>965</v>
      </c>
      <c r="I110" s="82"/>
      <c r="J110" s="101"/>
      <c r="K110" s="101"/>
      <c r="L110" s="101"/>
      <c r="M110" s="81"/>
      <c r="N110" s="152"/>
      <c r="O110" s="81"/>
      <c r="P110" s="152"/>
      <c r="Q110" s="101"/>
      <c r="R110" s="101"/>
      <c r="S110" s="110"/>
      <c r="T110" s="81"/>
      <c r="U110" s="152"/>
      <c r="V110" s="81"/>
      <c r="W110" s="112"/>
      <c r="X110" s="113" t="s">
        <v>965</v>
      </c>
      <c r="Y110" s="131">
        <f t="shared" si="28"/>
        <v>45.45</v>
      </c>
      <c r="Z110" s="122">
        <f t="shared" si="27"/>
        <v>0</v>
      </c>
    </row>
    <row r="111" spans="1:26" s="64" customFormat="1" ht="15" customHeight="1">
      <c r="A111" s="78">
        <v>18.600000000000001</v>
      </c>
      <c r="B111" s="89" t="s">
        <v>1112</v>
      </c>
      <c r="C111" s="1518"/>
      <c r="D111" s="1518"/>
      <c r="E111" s="1518"/>
      <c r="F111" s="81" t="s">
        <v>965</v>
      </c>
      <c r="G111" s="92">
        <v>300</v>
      </c>
      <c r="H111" s="81" t="s">
        <v>965</v>
      </c>
      <c r="I111" s="82"/>
      <c r="J111" s="101"/>
      <c r="K111" s="101"/>
      <c r="L111" s="101"/>
      <c r="M111" s="81"/>
      <c r="N111" s="152"/>
      <c r="O111" s="81"/>
      <c r="P111" s="152"/>
      <c r="Q111" s="101"/>
      <c r="R111" s="101"/>
      <c r="S111" s="110"/>
      <c r="T111" s="81"/>
      <c r="U111" s="152"/>
      <c r="V111" s="81"/>
      <c r="W111" s="112"/>
      <c r="X111" s="113" t="s">
        <v>965</v>
      </c>
      <c r="Y111" s="131">
        <f t="shared" si="28"/>
        <v>300</v>
      </c>
      <c r="Z111" s="122">
        <f t="shared" si="27"/>
        <v>0</v>
      </c>
    </row>
    <row r="112" spans="1:26" s="64" customFormat="1" ht="15" customHeight="1">
      <c r="A112" s="88">
        <v>18.7</v>
      </c>
      <c r="B112" s="89" t="s">
        <v>1113</v>
      </c>
      <c r="C112" s="1518"/>
      <c r="D112" s="1518"/>
      <c r="E112" s="1518"/>
      <c r="F112" s="81" t="s">
        <v>965</v>
      </c>
      <c r="G112" s="92">
        <v>200</v>
      </c>
      <c r="H112" s="81" t="s">
        <v>965</v>
      </c>
      <c r="I112" s="82"/>
      <c r="J112" s="101"/>
      <c r="K112" s="101"/>
      <c r="L112" s="101"/>
      <c r="M112" s="81"/>
      <c r="N112" s="152"/>
      <c r="O112" s="81"/>
      <c r="P112" s="152"/>
      <c r="Q112" s="101"/>
      <c r="R112" s="101"/>
      <c r="S112" s="110"/>
      <c r="T112" s="81"/>
      <c r="U112" s="152"/>
      <c r="V112" s="81"/>
      <c r="W112" s="112"/>
      <c r="X112" s="113" t="s">
        <v>965</v>
      </c>
      <c r="Y112" s="131">
        <f t="shared" si="28"/>
        <v>200</v>
      </c>
      <c r="Z112" s="122">
        <f t="shared" si="27"/>
        <v>0</v>
      </c>
    </row>
    <row r="113" spans="1:26" s="64" customFormat="1" ht="15" customHeight="1">
      <c r="A113" s="78">
        <v>18.8</v>
      </c>
      <c r="B113" s="79" t="s">
        <v>1114</v>
      </c>
      <c r="C113" s="1518"/>
      <c r="D113" s="1518"/>
      <c r="E113" s="1518"/>
      <c r="F113" s="81" t="s">
        <v>965</v>
      </c>
      <c r="G113" s="92">
        <v>10</v>
      </c>
      <c r="H113" s="81" t="s">
        <v>965</v>
      </c>
      <c r="I113" s="82"/>
      <c r="J113" s="101"/>
      <c r="K113" s="101"/>
      <c r="L113" s="101"/>
      <c r="M113" s="81"/>
      <c r="N113" s="152"/>
      <c r="O113" s="81"/>
      <c r="P113" s="152"/>
      <c r="Q113" s="101"/>
      <c r="R113" s="101"/>
      <c r="S113" s="110"/>
      <c r="T113" s="81"/>
      <c r="U113" s="152"/>
      <c r="V113" s="81"/>
      <c r="W113" s="112"/>
      <c r="X113" s="113" t="s">
        <v>965</v>
      </c>
      <c r="Y113" s="131">
        <f t="shared" si="28"/>
        <v>10</v>
      </c>
      <c r="Z113" s="122">
        <f t="shared" si="27"/>
        <v>0</v>
      </c>
    </row>
    <row r="114" spans="1:26" s="64" customFormat="1" ht="15" customHeight="1">
      <c r="A114" s="88">
        <v>18.899999999999999</v>
      </c>
      <c r="B114" s="79" t="s">
        <v>747</v>
      </c>
      <c r="C114" s="1518"/>
      <c r="D114" s="1518"/>
      <c r="E114" s="1518"/>
      <c r="F114" s="81" t="s">
        <v>965</v>
      </c>
      <c r="G114" s="92">
        <v>559</v>
      </c>
      <c r="H114" s="81" t="s">
        <v>965</v>
      </c>
      <c r="I114" s="82"/>
      <c r="J114" s="101"/>
      <c r="K114" s="101"/>
      <c r="L114" s="101"/>
      <c r="M114" s="81"/>
      <c r="N114" s="152"/>
      <c r="O114" s="81"/>
      <c r="P114" s="152"/>
      <c r="Q114" s="101"/>
      <c r="R114" s="101"/>
      <c r="S114" s="110"/>
      <c r="T114" s="81"/>
      <c r="U114" s="152"/>
      <c r="V114" s="81"/>
      <c r="W114" s="112"/>
      <c r="X114" s="113" t="s">
        <v>965</v>
      </c>
      <c r="Y114" s="131">
        <f t="shared" si="28"/>
        <v>559</v>
      </c>
      <c r="Z114" s="122">
        <f t="shared" si="27"/>
        <v>0</v>
      </c>
    </row>
    <row r="115" spans="1:26" s="64" customFormat="1" ht="15" customHeight="1">
      <c r="A115" s="90">
        <v>18.100000000000001</v>
      </c>
      <c r="B115" s="79" t="s">
        <v>1115</v>
      </c>
      <c r="C115" s="1518"/>
      <c r="D115" s="1518"/>
      <c r="E115" s="1518"/>
      <c r="F115" s="81" t="s">
        <v>965</v>
      </c>
      <c r="G115" s="92">
        <v>200</v>
      </c>
      <c r="H115" s="81" t="s">
        <v>965</v>
      </c>
      <c r="I115" s="82"/>
      <c r="J115" s="101"/>
      <c r="K115" s="101"/>
      <c r="L115" s="101"/>
      <c r="M115" s="81"/>
      <c r="N115" s="152"/>
      <c r="O115" s="81"/>
      <c r="P115" s="152"/>
      <c r="Q115" s="101"/>
      <c r="R115" s="101"/>
      <c r="S115" s="110"/>
      <c r="T115" s="81"/>
      <c r="U115" s="152"/>
      <c r="V115" s="81"/>
      <c r="W115" s="112"/>
      <c r="X115" s="113" t="s">
        <v>965</v>
      </c>
      <c r="Y115" s="131">
        <f t="shared" si="28"/>
        <v>200</v>
      </c>
      <c r="Z115" s="122">
        <f t="shared" si="27"/>
        <v>0</v>
      </c>
    </row>
    <row r="116" spans="1:26" s="64" customFormat="1" ht="15" customHeight="1">
      <c r="A116" s="90">
        <v>18.11</v>
      </c>
      <c r="B116" s="79" t="s">
        <v>1116</v>
      </c>
      <c r="C116" s="1518"/>
      <c r="D116" s="1518"/>
      <c r="E116" s="1518"/>
      <c r="F116" s="81" t="s">
        <v>965</v>
      </c>
      <c r="G116" s="92">
        <v>5000</v>
      </c>
      <c r="H116" s="81" t="s">
        <v>965</v>
      </c>
      <c r="I116" s="82"/>
      <c r="J116" s="101"/>
      <c r="K116" s="101"/>
      <c r="L116" s="101"/>
      <c r="M116" s="81"/>
      <c r="N116" s="152"/>
      <c r="O116" s="81"/>
      <c r="P116" s="152"/>
      <c r="Q116" s="101"/>
      <c r="R116" s="101"/>
      <c r="S116" s="110"/>
      <c r="T116" s="81"/>
      <c r="U116" s="152"/>
      <c r="V116" s="81"/>
      <c r="W116" s="112"/>
      <c r="X116" s="113" t="s">
        <v>965</v>
      </c>
      <c r="Y116" s="131">
        <f t="shared" si="28"/>
        <v>5000</v>
      </c>
      <c r="Z116" s="122">
        <f t="shared" si="27"/>
        <v>0</v>
      </c>
    </row>
    <row r="117" spans="1:26" s="64" customFormat="1" ht="15" customHeight="1">
      <c r="A117" s="90">
        <v>18.12</v>
      </c>
      <c r="B117" s="79" t="s">
        <v>1117</v>
      </c>
      <c r="C117" s="1518"/>
      <c r="D117" s="1518"/>
      <c r="E117" s="1518"/>
      <c r="F117" s="81" t="s">
        <v>965</v>
      </c>
      <c r="G117" s="92">
        <v>1265</v>
      </c>
      <c r="H117" s="81" t="s">
        <v>965</v>
      </c>
      <c r="I117" s="82"/>
      <c r="J117" s="101"/>
      <c r="K117" s="101"/>
      <c r="L117" s="101"/>
      <c r="M117" s="81"/>
      <c r="N117" s="152"/>
      <c r="O117" s="81"/>
      <c r="P117" s="152"/>
      <c r="Q117" s="101"/>
      <c r="R117" s="101"/>
      <c r="S117" s="110"/>
      <c r="T117" s="81"/>
      <c r="U117" s="152"/>
      <c r="V117" s="81"/>
      <c r="W117" s="112"/>
      <c r="X117" s="113" t="s">
        <v>965</v>
      </c>
      <c r="Y117" s="131">
        <f t="shared" si="28"/>
        <v>1265</v>
      </c>
      <c r="Z117" s="122">
        <f t="shared" si="27"/>
        <v>0</v>
      </c>
    </row>
    <row r="118" spans="1:26" s="64" customFormat="1" ht="15" customHeight="1">
      <c r="A118" s="90">
        <v>18.13</v>
      </c>
      <c r="B118" s="79" t="s">
        <v>726</v>
      </c>
      <c r="C118" s="1518"/>
      <c r="D118" s="1518"/>
      <c r="E118" s="1518"/>
      <c r="F118" s="81" t="s">
        <v>965</v>
      </c>
      <c r="G118" s="92">
        <v>280</v>
      </c>
      <c r="H118" s="81" t="s">
        <v>965</v>
      </c>
      <c r="I118" s="82"/>
      <c r="J118" s="101"/>
      <c r="K118" s="101"/>
      <c r="L118" s="101"/>
      <c r="M118" s="81"/>
      <c r="N118" s="152"/>
      <c r="O118" s="81"/>
      <c r="P118" s="152"/>
      <c r="Q118" s="101"/>
      <c r="R118" s="101"/>
      <c r="S118" s="110"/>
      <c r="T118" s="81"/>
      <c r="U118" s="152"/>
      <c r="V118" s="81"/>
      <c r="W118" s="112"/>
      <c r="X118" s="113" t="s">
        <v>965</v>
      </c>
      <c r="Y118" s="131">
        <f t="shared" si="28"/>
        <v>280</v>
      </c>
      <c r="Z118" s="122">
        <f t="shared" si="27"/>
        <v>0</v>
      </c>
    </row>
    <row r="119" spans="1:26" s="64" customFormat="1" ht="15" customHeight="1">
      <c r="A119" s="90">
        <v>18.14</v>
      </c>
      <c r="B119" s="79" t="s">
        <v>729</v>
      </c>
      <c r="C119" s="1518"/>
      <c r="D119" s="1518"/>
      <c r="E119" s="1518"/>
      <c r="F119" s="81" t="s">
        <v>965</v>
      </c>
      <c r="G119" s="92">
        <v>173</v>
      </c>
      <c r="H119" s="81" t="s">
        <v>965</v>
      </c>
      <c r="I119" s="82"/>
      <c r="J119" s="101"/>
      <c r="K119" s="101"/>
      <c r="L119" s="101"/>
      <c r="M119" s="81"/>
      <c r="N119" s="152"/>
      <c r="O119" s="81"/>
      <c r="P119" s="152"/>
      <c r="Q119" s="101"/>
      <c r="R119" s="101"/>
      <c r="S119" s="110"/>
      <c r="T119" s="81"/>
      <c r="U119" s="152"/>
      <c r="V119" s="81"/>
      <c r="W119" s="112"/>
      <c r="X119" s="113" t="s">
        <v>965</v>
      </c>
      <c r="Y119" s="131">
        <f t="shared" si="28"/>
        <v>173</v>
      </c>
      <c r="Z119" s="122">
        <f t="shared" si="27"/>
        <v>0</v>
      </c>
    </row>
    <row r="120" spans="1:26" s="64" customFormat="1" ht="15" customHeight="1">
      <c r="A120" s="90">
        <v>18.149999999999999</v>
      </c>
      <c r="B120" s="79" t="s">
        <v>744</v>
      </c>
      <c r="C120" s="1518"/>
      <c r="D120" s="1518"/>
      <c r="E120" s="1518"/>
      <c r="F120" s="81" t="s">
        <v>965</v>
      </c>
      <c r="G120" s="92">
        <v>320</v>
      </c>
      <c r="H120" s="81" t="s">
        <v>965</v>
      </c>
      <c r="I120" s="82"/>
      <c r="J120" s="101"/>
      <c r="K120" s="101"/>
      <c r="L120" s="101"/>
      <c r="M120" s="81"/>
      <c r="N120" s="152"/>
      <c r="O120" s="81"/>
      <c r="P120" s="152"/>
      <c r="Q120" s="101"/>
      <c r="R120" s="101"/>
      <c r="S120" s="110"/>
      <c r="T120" s="81"/>
      <c r="U120" s="152"/>
      <c r="V120" s="81"/>
      <c r="W120" s="112"/>
      <c r="X120" s="113" t="s">
        <v>965</v>
      </c>
      <c r="Y120" s="131">
        <f t="shared" si="28"/>
        <v>320</v>
      </c>
      <c r="Z120" s="122">
        <f t="shared" si="27"/>
        <v>0</v>
      </c>
    </row>
    <row r="121" spans="1:26" s="64" customFormat="1" ht="39.950000000000003" customHeight="1">
      <c r="A121" s="143">
        <v>18.16</v>
      </c>
      <c r="B121" s="144" t="s">
        <v>1118</v>
      </c>
      <c r="C121" s="1518"/>
      <c r="D121" s="1518"/>
      <c r="E121" s="1518"/>
      <c r="F121" s="81" t="s">
        <v>965</v>
      </c>
      <c r="G121" s="92">
        <v>65000</v>
      </c>
      <c r="H121" s="81" t="s">
        <v>965</v>
      </c>
      <c r="I121" s="82"/>
      <c r="J121" s="101"/>
      <c r="K121" s="101"/>
      <c r="L121" s="101"/>
      <c r="M121" s="81"/>
      <c r="N121" s="152"/>
      <c r="O121" s="81"/>
      <c r="P121" s="152"/>
      <c r="Q121" s="101"/>
      <c r="R121" s="101"/>
      <c r="S121" s="110"/>
      <c r="T121" s="81"/>
      <c r="U121" s="152"/>
      <c r="V121" s="81"/>
      <c r="W121" s="112"/>
      <c r="X121" s="113" t="s">
        <v>965</v>
      </c>
      <c r="Y121" s="131">
        <f t="shared" si="28"/>
        <v>65000</v>
      </c>
      <c r="Z121" s="122">
        <f t="shared" si="27"/>
        <v>0</v>
      </c>
    </row>
    <row r="122" spans="1:26" s="64" customFormat="1" ht="39.950000000000003" customHeight="1">
      <c r="A122" s="143">
        <v>18.170000000000002</v>
      </c>
      <c r="B122" s="144" t="s">
        <v>1119</v>
      </c>
      <c r="C122" s="1518"/>
      <c r="D122" s="1518"/>
      <c r="E122" s="1518"/>
      <c r="F122" s="81" t="s">
        <v>965</v>
      </c>
      <c r="G122" s="92">
        <v>103000</v>
      </c>
      <c r="H122" s="81" t="s">
        <v>965</v>
      </c>
      <c r="I122" s="82"/>
      <c r="J122" s="101"/>
      <c r="K122" s="101"/>
      <c r="L122" s="101"/>
      <c r="M122" s="81"/>
      <c r="N122" s="152"/>
      <c r="O122" s="81"/>
      <c r="P122" s="152"/>
      <c r="Q122" s="101"/>
      <c r="R122" s="101"/>
      <c r="S122" s="110"/>
      <c r="T122" s="81"/>
      <c r="U122" s="152"/>
      <c r="V122" s="81"/>
      <c r="W122" s="112"/>
      <c r="X122" s="113" t="s">
        <v>965</v>
      </c>
      <c r="Y122" s="131">
        <f t="shared" si="28"/>
        <v>103000</v>
      </c>
      <c r="Z122" s="122">
        <f t="shared" si="27"/>
        <v>0</v>
      </c>
    </row>
    <row r="123" spans="1:26" s="64" customFormat="1" ht="39.950000000000003" customHeight="1">
      <c r="A123" s="143">
        <v>18.18</v>
      </c>
      <c r="B123" s="144" t="s">
        <v>1120</v>
      </c>
      <c r="C123" s="1518"/>
      <c r="D123" s="1518"/>
      <c r="E123" s="1518"/>
      <c r="F123" s="81" t="s">
        <v>965</v>
      </c>
      <c r="G123" s="92">
        <v>37000</v>
      </c>
      <c r="H123" s="81" t="s">
        <v>965</v>
      </c>
      <c r="I123" s="82"/>
      <c r="J123" s="101"/>
      <c r="K123" s="101"/>
      <c r="L123" s="101"/>
      <c r="M123" s="81"/>
      <c r="N123" s="152"/>
      <c r="O123" s="81"/>
      <c r="P123" s="152"/>
      <c r="Q123" s="101"/>
      <c r="R123" s="101"/>
      <c r="S123" s="110"/>
      <c r="T123" s="81"/>
      <c r="U123" s="152"/>
      <c r="V123" s="81"/>
      <c r="W123" s="112"/>
      <c r="X123" s="113" t="s">
        <v>965</v>
      </c>
      <c r="Y123" s="131">
        <f t="shared" si="28"/>
        <v>37000</v>
      </c>
      <c r="Z123" s="122">
        <f t="shared" si="27"/>
        <v>0</v>
      </c>
    </row>
    <row r="124" spans="1:26" s="64" customFormat="1" ht="15" customHeight="1">
      <c r="A124" s="90">
        <v>18.190000000000001</v>
      </c>
      <c r="B124" s="79" t="s">
        <v>1121</v>
      </c>
      <c r="C124" s="1518"/>
      <c r="D124" s="1518"/>
      <c r="E124" s="1518"/>
      <c r="F124" s="81" t="s">
        <v>965</v>
      </c>
      <c r="G124" s="92">
        <v>75.38</v>
      </c>
      <c r="H124" s="81" t="s">
        <v>965</v>
      </c>
      <c r="I124" s="82"/>
      <c r="J124" s="101"/>
      <c r="K124" s="101"/>
      <c r="L124" s="101"/>
      <c r="M124" s="81"/>
      <c r="N124" s="152"/>
      <c r="O124" s="81"/>
      <c r="P124" s="152"/>
      <c r="Q124" s="101"/>
      <c r="R124" s="101"/>
      <c r="S124" s="110"/>
      <c r="T124" s="81"/>
      <c r="U124" s="152"/>
      <c r="V124" s="81"/>
      <c r="W124" s="112"/>
      <c r="X124" s="113" t="s">
        <v>965</v>
      </c>
      <c r="Y124" s="131">
        <f t="shared" si="28"/>
        <v>75.38</v>
      </c>
      <c r="Z124" s="122">
        <f t="shared" si="27"/>
        <v>0</v>
      </c>
    </row>
    <row r="125" spans="1:26" s="64" customFormat="1" ht="15" customHeight="1">
      <c r="A125" s="90">
        <v>18.2</v>
      </c>
      <c r="B125" s="79" t="s">
        <v>785</v>
      </c>
      <c r="C125" s="1518"/>
      <c r="D125" s="1518"/>
      <c r="E125" s="1518"/>
      <c r="F125" s="81" t="s">
        <v>965</v>
      </c>
      <c r="G125" s="92">
        <v>2500</v>
      </c>
      <c r="H125" s="81" t="s">
        <v>965</v>
      </c>
      <c r="I125" s="82"/>
      <c r="J125" s="101"/>
      <c r="K125" s="101"/>
      <c r="L125" s="101"/>
      <c r="M125" s="81"/>
      <c r="N125" s="152"/>
      <c r="O125" s="81"/>
      <c r="P125" s="152"/>
      <c r="Q125" s="101"/>
      <c r="R125" s="101"/>
      <c r="S125" s="110"/>
      <c r="T125" s="81"/>
      <c r="U125" s="152"/>
      <c r="V125" s="81"/>
      <c r="W125" s="112"/>
      <c r="X125" s="113" t="s">
        <v>965</v>
      </c>
      <c r="Y125" s="131">
        <f t="shared" si="28"/>
        <v>2500</v>
      </c>
      <c r="Z125" s="122">
        <f t="shared" si="27"/>
        <v>0</v>
      </c>
    </row>
    <row r="126" spans="1:26" s="64" customFormat="1" ht="15" customHeight="1">
      <c r="A126" s="90">
        <v>18.21</v>
      </c>
      <c r="B126" s="79" t="s">
        <v>801</v>
      </c>
      <c r="C126" s="1518"/>
      <c r="D126" s="1518"/>
      <c r="E126" s="1518"/>
      <c r="F126" s="81" t="s">
        <v>965</v>
      </c>
      <c r="G126" s="92">
        <v>1249</v>
      </c>
      <c r="H126" s="81" t="s">
        <v>965</v>
      </c>
      <c r="I126" s="82"/>
      <c r="J126" s="110"/>
      <c r="K126" s="110"/>
      <c r="L126" s="110"/>
      <c r="M126" s="81"/>
      <c r="N126" s="152"/>
      <c r="O126" s="81"/>
      <c r="P126" s="152"/>
      <c r="Q126" s="110"/>
      <c r="R126" s="110"/>
      <c r="S126" s="110"/>
      <c r="T126" s="81"/>
      <c r="U126" s="152"/>
      <c r="V126" s="81"/>
      <c r="W126" s="112"/>
      <c r="X126" s="113" t="s">
        <v>965</v>
      </c>
      <c r="Y126" s="131">
        <f t="shared" si="28"/>
        <v>1249</v>
      </c>
      <c r="Z126" s="122">
        <f t="shared" si="27"/>
        <v>0</v>
      </c>
    </row>
    <row r="127" spans="1:26" s="64" customFormat="1" ht="15" customHeight="1">
      <c r="A127" s="145">
        <v>18.22</v>
      </c>
      <c r="B127" s="84" t="s">
        <v>791</v>
      </c>
      <c r="C127" s="1720"/>
      <c r="D127" s="1720"/>
      <c r="E127" s="1720"/>
      <c r="F127" s="97" t="s">
        <v>965</v>
      </c>
      <c r="G127" s="135">
        <v>100</v>
      </c>
      <c r="H127" s="85" t="s">
        <v>965</v>
      </c>
      <c r="I127" s="86"/>
      <c r="J127" s="153"/>
      <c r="K127" s="153"/>
      <c r="L127" s="106"/>
      <c r="M127" s="97"/>
      <c r="N127" s="151"/>
      <c r="O127" s="97"/>
      <c r="P127" s="151"/>
      <c r="Q127" s="106"/>
      <c r="R127" s="106"/>
      <c r="S127" s="106"/>
      <c r="T127" s="97"/>
      <c r="U127" s="151"/>
      <c r="V127" s="97"/>
      <c r="W127" s="107"/>
      <c r="X127" s="118" t="s">
        <v>965</v>
      </c>
      <c r="Y127" s="131">
        <f t="shared" si="28"/>
        <v>100</v>
      </c>
      <c r="Z127" s="122">
        <f t="shared" si="27"/>
        <v>0</v>
      </c>
    </row>
    <row r="128" spans="1:26" ht="15" customHeight="1">
      <c r="A128" s="67" t="s">
        <v>1122</v>
      </c>
    </row>
    <row r="130" spans="2:5">
      <c r="B130" s="67" t="str">
        <f>+'POW-2015-01-00_'!A45</f>
        <v>Prepared by:</v>
      </c>
      <c r="D130" s="156" t="str">
        <f>+'POW-2015-01-00_'!H45</f>
        <v>Checked/Submitted by:</v>
      </c>
    </row>
    <row r="131" spans="2:5" ht="15.75" customHeight="1"/>
    <row r="132" spans="2:5" ht="15.75" customHeight="1"/>
    <row r="133" spans="2:5">
      <c r="B133" s="157" t="str">
        <f>+'POW-2015-01-00_'!A48</f>
        <v xml:space="preserve">WINLOVE A. ESTEVES
</v>
      </c>
      <c r="D133" s="1721" t="str">
        <f>+'POW-2015-01-00_'!H48</f>
        <v>MARK ANGELO E. SURIL</v>
      </c>
      <c r="E133" s="1721"/>
    </row>
    <row r="134" spans="2:5">
      <c r="B134" s="68" t="str">
        <f>+'POW-2015-01-00_'!A49</f>
        <v>Engineer II</v>
      </c>
      <c r="D134" s="1722" t="str">
        <f>+'POW-2015-01-00_'!H49</f>
        <v>Engineer II</v>
      </c>
      <c r="E134" s="1722"/>
    </row>
    <row r="135" spans="2:5">
      <c r="B135" s="68" t="str">
        <f>+'POW-2015-01-00_'!A50</f>
        <v>Planning and Design Section</v>
      </c>
      <c r="D135" s="1723" t="str">
        <f>+'POW-2015-01-00_'!H50</f>
        <v>Planning and Design Section</v>
      </c>
      <c r="E135" s="1723"/>
    </row>
  </sheetData>
  <mergeCells count="227">
    <mergeCell ref="X9:Y10"/>
    <mergeCell ref="X15:Y16"/>
    <mergeCell ref="X36:Y37"/>
    <mergeCell ref="X41:Y42"/>
    <mergeCell ref="X48:Y49"/>
    <mergeCell ref="X52:Y53"/>
    <mergeCell ref="X60:Y61"/>
    <mergeCell ref="X67:Y68"/>
    <mergeCell ref="X76:Y77"/>
    <mergeCell ref="X100:Y101"/>
    <mergeCell ref="X104:Y105"/>
    <mergeCell ref="X80:Y82"/>
    <mergeCell ref="A81:B82"/>
    <mergeCell ref="M81:N82"/>
    <mergeCell ref="O81:P82"/>
    <mergeCell ref="F81:G82"/>
    <mergeCell ref="H81:I82"/>
    <mergeCell ref="T81:U82"/>
    <mergeCell ref="V81:W82"/>
    <mergeCell ref="X91:Y92"/>
    <mergeCell ref="X86:Y87"/>
    <mergeCell ref="Q100:W100"/>
    <mergeCell ref="A101:B101"/>
    <mergeCell ref="C101:E101"/>
    <mergeCell ref="F101:G101"/>
    <mergeCell ref="H101:I101"/>
    <mergeCell ref="M101:N101"/>
    <mergeCell ref="O101:P101"/>
    <mergeCell ref="T101:U101"/>
    <mergeCell ref="V101:W101"/>
    <mergeCell ref="C94:E94"/>
    <mergeCell ref="C95:E95"/>
    <mergeCell ref="C96:D96"/>
    <mergeCell ref="C124:E124"/>
    <mergeCell ref="C125:E125"/>
    <mergeCell ref="C126:E126"/>
    <mergeCell ref="C127:E127"/>
    <mergeCell ref="D133:E133"/>
    <mergeCell ref="D134:E134"/>
    <mergeCell ref="D135:E135"/>
    <mergeCell ref="C81:C82"/>
    <mergeCell ref="J81:J82"/>
    <mergeCell ref="C115:E115"/>
    <mergeCell ref="C116:E116"/>
    <mergeCell ref="C117:E117"/>
    <mergeCell ref="C118:E118"/>
    <mergeCell ref="C119:E119"/>
    <mergeCell ref="C120:E120"/>
    <mergeCell ref="C121:E121"/>
    <mergeCell ref="C122:E122"/>
    <mergeCell ref="C123:E123"/>
    <mergeCell ref="C106:E106"/>
    <mergeCell ref="C107:E107"/>
    <mergeCell ref="C108:E108"/>
    <mergeCell ref="C109:E109"/>
    <mergeCell ref="C110:E110"/>
    <mergeCell ref="C111:E111"/>
    <mergeCell ref="C112:E112"/>
    <mergeCell ref="C113:E113"/>
    <mergeCell ref="C114:E114"/>
    <mergeCell ref="C102:E102"/>
    <mergeCell ref="C103:E103"/>
    <mergeCell ref="A104:G104"/>
    <mergeCell ref="H104:I104"/>
    <mergeCell ref="J104:P104"/>
    <mergeCell ref="Q104:W104"/>
    <mergeCell ref="A105:B105"/>
    <mergeCell ref="C105:E105"/>
    <mergeCell ref="F105:G105"/>
    <mergeCell ref="H105:I105"/>
    <mergeCell ref="M105:N105"/>
    <mergeCell ref="O105:P105"/>
    <mergeCell ref="T105:U105"/>
    <mergeCell ref="V105:W105"/>
    <mergeCell ref="C97:E97"/>
    <mergeCell ref="C98:E98"/>
    <mergeCell ref="C99:E99"/>
    <mergeCell ref="A100:G100"/>
    <mergeCell ref="H100:I100"/>
    <mergeCell ref="J100:P100"/>
    <mergeCell ref="A92:B92"/>
    <mergeCell ref="C92:D92"/>
    <mergeCell ref="F92:G92"/>
    <mergeCell ref="H92:I92"/>
    <mergeCell ref="M92:N92"/>
    <mergeCell ref="O92:P92"/>
    <mergeCell ref="T92:U92"/>
    <mergeCell ref="V92:W92"/>
    <mergeCell ref="C93:D93"/>
    <mergeCell ref="A87:B87"/>
    <mergeCell ref="F87:G87"/>
    <mergeCell ref="H87:I87"/>
    <mergeCell ref="M87:N87"/>
    <mergeCell ref="O87:P87"/>
    <mergeCell ref="T87:U87"/>
    <mergeCell ref="V87:W87"/>
    <mergeCell ref="A91:G91"/>
    <mergeCell ref="H91:I91"/>
    <mergeCell ref="J91:P91"/>
    <mergeCell ref="Q91:W91"/>
    <mergeCell ref="A80:G80"/>
    <mergeCell ref="H80:I80"/>
    <mergeCell ref="J80:P80"/>
    <mergeCell ref="Q80:W80"/>
    <mergeCell ref="D81:E81"/>
    <mergeCell ref="A86:G86"/>
    <mergeCell ref="H86:I86"/>
    <mergeCell ref="J86:P86"/>
    <mergeCell ref="Q86:W86"/>
    <mergeCell ref="K81:K82"/>
    <mergeCell ref="L81:L82"/>
    <mergeCell ref="Q81:Q82"/>
    <mergeCell ref="R81:R82"/>
    <mergeCell ref="S81:S82"/>
    <mergeCell ref="A76:G76"/>
    <mergeCell ref="H76:I76"/>
    <mergeCell ref="J76:P76"/>
    <mergeCell ref="Q76:W76"/>
    <mergeCell ref="A77:B77"/>
    <mergeCell ref="F77:G77"/>
    <mergeCell ref="H77:I77"/>
    <mergeCell ref="M77:N77"/>
    <mergeCell ref="O77:P77"/>
    <mergeCell ref="T77:U77"/>
    <mergeCell ref="V77:W77"/>
    <mergeCell ref="A67:G67"/>
    <mergeCell ref="H67:I67"/>
    <mergeCell ref="J67:P67"/>
    <mergeCell ref="Q67:W67"/>
    <mergeCell ref="A68:B68"/>
    <mergeCell ref="F68:G68"/>
    <mergeCell ref="H68:I68"/>
    <mergeCell ref="M68:N68"/>
    <mergeCell ref="O68:P68"/>
    <mergeCell ref="T68:U68"/>
    <mergeCell ref="V68:W68"/>
    <mergeCell ref="C59:E59"/>
    <mergeCell ref="A60:G60"/>
    <mergeCell ref="H60:I60"/>
    <mergeCell ref="J60:P60"/>
    <mergeCell ref="Q60:W60"/>
    <mergeCell ref="A61:B61"/>
    <mergeCell ref="F61:G61"/>
    <mergeCell ref="H61:I61"/>
    <mergeCell ref="M61:N61"/>
    <mergeCell ref="O61:P61"/>
    <mergeCell ref="T61:U61"/>
    <mergeCell ref="V61:W61"/>
    <mergeCell ref="A52:G52"/>
    <mergeCell ref="H52:I52"/>
    <mergeCell ref="J52:P52"/>
    <mergeCell ref="Q52:W52"/>
    <mergeCell ref="A53:B53"/>
    <mergeCell ref="F53:G53"/>
    <mergeCell ref="H53:I53"/>
    <mergeCell ref="M53:N53"/>
    <mergeCell ref="O53:P53"/>
    <mergeCell ref="T53:U53"/>
    <mergeCell ref="V53:W53"/>
    <mergeCell ref="A48:G48"/>
    <mergeCell ref="H48:I48"/>
    <mergeCell ref="J48:P48"/>
    <mergeCell ref="Q48:W48"/>
    <mergeCell ref="A49:B49"/>
    <mergeCell ref="F49:G49"/>
    <mergeCell ref="H49:I49"/>
    <mergeCell ref="M49:N49"/>
    <mergeCell ref="O49:P49"/>
    <mergeCell ref="T49:U49"/>
    <mergeCell ref="V49:W49"/>
    <mergeCell ref="A41:G41"/>
    <mergeCell ref="H41:I41"/>
    <mergeCell ref="J41:P41"/>
    <mergeCell ref="Q41:W41"/>
    <mergeCell ref="A42:B42"/>
    <mergeCell ref="F42:G42"/>
    <mergeCell ref="H42:I42"/>
    <mergeCell ref="M42:N42"/>
    <mergeCell ref="O42:P42"/>
    <mergeCell ref="T42:U42"/>
    <mergeCell ref="V42:W42"/>
    <mergeCell ref="A36:G36"/>
    <mergeCell ref="H36:I36"/>
    <mergeCell ref="J36:P36"/>
    <mergeCell ref="Q36:W36"/>
    <mergeCell ref="A37:B37"/>
    <mergeCell ref="F37:G37"/>
    <mergeCell ref="H37:I37"/>
    <mergeCell ref="M37:N37"/>
    <mergeCell ref="O37:P37"/>
    <mergeCell ref="T37:U37"/>
    <mergeCell ref="V37:W37"/>
    <mergeCell ref="A15:G15"/>
    <mergeCell ref="H15:I15"/>
    <mergeCell ref="J15:P15"/>
    <mergeCell ref="Q15:W15"/>
    <mergeCell ref="A16:B16"/>
    <mergeCell ref="F16:G16"/>
    <mergeCell ref="H16:I16"/>
    <mergeCell ref="M16:N16"/>
    <mergeCell ref="O16:P16"/>
    <mergeCell ref="T16:U16"/>
    <mergeCell ref="V16:W16"/>
    <mergeCell ref="A9:G9"/>
    <mergeCell ref="H9:I9"/>
    <mergeCell ref="J9:P9"/>
    <mergeCell ref="Q9:W9"/>
    <mergeCell ref="A10:B10"/>
    <mergeCell ref="F10:G10"/>
    <mergeCell ref="H10:I10"/>
    <mergeCell ref="M10:N10"/>
    <mergeCell ref="O10:P10"/>
    <mergeCell ref="T10:U10"/>
    <mergeCell ref="V10:W10"/>
    <mergeCell ref="A1:Y1"/>
    <mergeCell ref="A2:G2"/>
    <mergeCell ref="H2:I2"/>
    <mergeCell ref="J2:P2"/>
    <mergeCell ref="Q2:W2"/>
    <mergeCell ref="A3:B3"/>
    <mergeCell ref="F3:G3"/>
    <mergeCell ref="H3:I3"/>
    <mergeCell ref="M3:N3"/>
    <mergeCell ref="O3:P3"/>
    <mergeCell ref="T3:U3"/>
    <mergeCell ref="V3:W3"/>
    <mergeCell ref="X2:Y3"/>
  </mergeCells>
  <printOptions horizontalCentered="1"/>
  <pageMargins left="0.19650000000000001" right="0.19650000000000001" top="0.84760000000000002" bottom="0.63460000000000005" header="0.39369999999999999" footer="0"/>
  <pageSetup paperSize="9" scale="52" fitToWidth="0" fitToHeight="0" orientation="landscape"/>
  <headerFooter alignWithMargins="0">
    <oddHeader>&amp;L&amp;"Calibri,Bold"&amp;12CONSTRUCTION OF ROAD 
&amp;"Calibri,Regular"BRGY. STO. CRISTO, MARIA AURORA, AURORA</oddHeader>
    <oddFooter>&amp;C&amp;"Calibri,Regular"Page &amp;P of &amp;N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tabColor rgb="FFDDD9C3"/>
    <pageSetUpPr fitToPage="1"/>
  </sheetPr>
  <dimension ref="A1:Q1177"/>
  <sheetViews>
    <sheetView view="pageBreakPreview" zoomScale="60" zoomScaleNormal="100" workbookViewId="0">
      <selection activeCell="H10" sqref="H10"/>
    </sheetView>
  </sheetViews>
  <sheetFormatPr defaultColWidth="9" defaultRowHeight="14.25"/>
  <cols>
    <col min="1" max="1" width="24.75" customWidth="1"/>
    <col min="2" max="2" width="2.125" customWidth="1"/>
    <col min="3" max="3" width="15.875" customWidth="1"/>
    <col min="4" max="5" width="9.5" customWidth="1"/>
    <col min="6" max="6" width="17.125" customWidth="1"/>
    <col min="7" max="7" width="9.5" customWidth="1"/>
    <col min="8" max="8" width="10.75" customWidth="1"/>
    <col min="9" max="9" width="11.25" customWidth="1"/>
    <col min="10" max="10" width="9.5" customWidth="1"/>
    <col min="11" max="11" width="8.375" customWidth="1"/>
    <col min="12" max="12" width="9.5" customWidth="1"/>
    <col min="13" max="13" width="11.875" customWidth="1"/>
    <col min="14" max="14" width="9.5" customWidth="1"/>
    <col min="15" max="16" width="18.625" customWidth="1"/>
    <col min="17" max="1024" width="4.5" customWidth="1"/>
    <col min="1025" max="1025" width="9" customWidth="1"/>
  </cols>
  <sheetData>
    <row r="1" spans="1:17" s="15" customFormat="1" ht="16.5">
      <c r="A1" s="17" t="s">
        <v>1123</v>
      </c>
      <c r="B1" s="17" t="s">
        <v>49</v>
      </c>
      <c r="C1" s="15" t="str">
        <f>+BACKUP!B1</f>
        <v>CONSTRUCTION OF ROAD</v>
      </c>
    </row>
    <row r="2" spans="1:17" s="15" customFormat="1" ht="16.5">
      <c r="A2" s="17" t="s">
        <v>1124</v>
      </c>
      <c r="B2" s="17" t="s">
        <v>49</v>
      </c>
      <c r="C2" s="15" t="str">
        <f>+BACKUP!B2</f>
        <v>BRGY. L. PIMENTEL, SAN LUIS, AURORA</v>
      </c>
    </row>
    <row r="3" spans="1:17" s="15" customFormat="1" ht="16.5">
      <c r="A3" s="17" t="s">
        <v>1125</v>
      </c>
      <c r="B3" s="17" t="s">
        <v>49</v>
      </c>
      <c r="C3" s="15" t="s">
        <v>292</v>
      </c>
    </row>
    <row r="4" spans="1:17" s="15" customFormat="1" ht="16.5">
      <c r="A4" s="17" t="s">
        <v>1126</v>
      </c>
      <c r="B4" s="17" t="s">
        <v>49</v>
      </c>
      <c r="C4" s="15" t="s">
        <v>1127</v>
      </c>
    </row>
    <row r="5" spans="1:17" s="15" customFormat="1" ht="16.5">
      <c r="A5" s="17" t="s">
        <v>1128</v>
      </c>
      <c r="B5" s="17" t="s">
        <v>49</v>
      </c>
      <c r="C5" s="57">
        <f>+PRICE_LIST!D98</f>
        <v>260</v>
      </c>
      <c r="D5" s="15" t="s">
        <v>1129</v>
      </c>
      <c r="O5" s="15" t="s">
        <v>1127</v>
      </c>
      <c r="P5" s="62">
        <v>232000</v>
      </c>
    </row>
    <row r="6" spans="1:17" s="15" customFormat="1" ht="16.5">
      <c r="A6" s="17" t="s">
        <v>1130</v>
      </c>
      <c r="B6" s="17" t="s">
        <v>49</v>
      </c>
      <c r="C6" s="19">
        <f>+C8+C7</f>
        <v>23.2</v>
      </c>
      <c r="D6" s="15" t="s">
        <v>194</v>
      </c>
      <c r="O6" s="15" t="s">
        <v>1131</v>
      </c>
      <c r="P6" s="62">
        <v>265000</v>
      </c>
    </row>
    <row r="7" spans="1:17" s="15" customFormat="1" ht="16.5">
      <c r="A7" s="17" t="s">
        <v>525</v>
      </c>
      <c r="B7" s="17" t="s">
        <v>49</v>
      </c>
      <c r="C7" s="58">
        <v>5</v>
      </c>
      <c r="D7" s="15" t="s">
        <v>194</v>
      </c>
      <c r="O7" s="15" t="s">
        <v>1132</v>
      </c>
      <c r="P7" s="19">
        <f>+(P6-P5)/1000</f>
        <v>33</v>
      </c>
      <c r="Q7" s="15" t="s">
        <v>194</v>
      </c>
    </row>
    <row r="8" spans="1:17" s="15" customFormat="1" ht="16.5">
      <c r="A8" s="17" t="s">
        <v>526</v>
      </c>
      <c r="B8" s="17" t="s">
        <v>49</v>
      </c>
      <c r="C8" s="59">
        <f>+SUM(B11:C19)</f>
        <v>18.2</v>
      </c>
      <c r="D8" s="15" t="s">
        <v>194</v>
      </c>
    </row>
    <row r="9" spans="1:17" s="15" customFormat="1" ht="16.5">
      <c r="A9" s="17"/>
    </row>
    <row r="10" spans="1:17" s="15" customFormat="1" ht="66">
      <c r="A10" s="60" t="s">
        <v>527</v>
      </c>
      <c r="B10" s="1724" t="s">
        <v>528</v>
      </c>
      <c r="C10" s="1724"/>
      <c r="D10" s="21" t="s">
        <v>529</v>
      </c>
      <c r="E10" s="21" t="s">
        <v>530</v>
      </c>
      <c r="F10" s="21" t="s">
        <v>531</v>
      </c>
      <c r="G10" s="21" t="s">
        <v>532</v>
      </c>
      <c r="H10" s="21" t="s">
        <v>533</v>
      </c>
      <c r="I10" s="21" t="s">
        <v>534</v>
      </c>
      <c r="J10" s="21" t="s">
        <v>529</v>
      </c>
      <c r="K10" s="21" t="s">
        <v>535</v>
      </c>
      <c r="L10" s="21" t="s">
        <v>536</v>
      </c>
      <c r="M10" s="21" t="s">
        <v>537</v>
      </c>
      <c r="N10" s="21" t="s">
        <v>538</v>
      </c>
    </row>
    <row r="11" spans="1:17" s="15" customFormat="1" ht="16.5">
      <c r="A11" s="22" t="s">
        <v>539</v>
      </c>
      <c r="B11" s="1518"/>
      <c r="C11" s="1518"/>
      <c r="D11" s="24"/>
      <c r="E11" s="24"/>
      <c r="F11" s="24"/>
      <c r="G11" s="24"/>
      <c r="H11" s="24"/>
      <c r="I11" s="24"/>
      <c r="J11" s="24"/>
      <c r="K11" s="24"/>
      <c r="L11" s="24"/>
      <c r="M11" s="24"/>
      <c r="N11" s="24"/>
    </row>
    <row r="12" spans="1:17" s="15" customFormat="1" ht="16.5">
      <c r="A12" s="25" t="s">
        <v>540</v>
      </c>
      <c r="B12" s="1725">
        <v>18.2</v>
      </c>
      <c r="C12" s="1725"/>
      <c r="D12" s="24">
        <v>35</v>
      </c>
      <c r="E12" s="24">
        <v>3</v>
      </c>
      <c r="F12" s="26">
        <f>E12/60</f>
        <v>0.05</v>
      </c>
      <c r="G12" s="26">
        <f>(B12/D12)+F12</f>
        <v>0.57000000000000006</v>
      </c>
      <c r="H12" s="24">
        <v>2</v>
      </c>
      <c r="I12" s="26">
        <f>H12/60</f>
        <v>3.3333333333333333E-2</v>
      </c>
      <c r="J12" s="24">
        <v>55</v>
      </c>
      <c r="K12" s="26">
        <f>(B12/J12)+I12</f>
        <v>0.3642424242424242</v>
      </c>
      <c r="L12" s="26">
        <f>K12+G12</f>
        <v>0.93424242424242432</v>
      </c>
      <c r="M12" s="47">
        <f>L12*0.1</f>
        <v>9.3424242424242437E-2</v>
      </c>
      <c r="N12" s="47">
        <f>M12+L12</f>
        <v>1.0276666666666667</v>
      </c>
    </row>
    <row r="13" spans="1:17" s="15" customFormat="1" ht="16.5">
      <c r="A13" s="25" t="s">
        <v>541</v>
      </c>
      <c r="B13" s="1518"/>
      <c r="C13" s="1518"/>
      <c r="D13" s="24">
        <v>30</v>
      </c>
      <c r="E13" s="24"/>
      <c r="F13" s="24">
        <f>E13/60</f>
        <v>0</v>
      </c>
      <c r="G13" s="26">
        <f>(B13/D13)+F13</f>
        <v>0</v>
      </c>
      <c r="H13" s="24"/>
      <c r="I13" s="26">
        <f>H13/60</f>
        <v>0</v>
      </c>
      <c r="J13" s="24">
        <v>45</v>
      </c>
      <c r="K13" s="26">
        <f>(B13/J13)+I13</f>
        <v>0</v>
      </c>
      <c r="L13" s="26">
        <f>K13+G13</f>
        <v>0</v>
      </c>
      <c r="M13" s="47">
        <f>L13*0.1</f>
        <v>0</v>
      </c>
      <c r="N13" s="47">
        <f>M13+L13</f>
        <v>0</v>
      </c>
    </row>
    <row r="14" spans="1:17" s="15" customFormat="1" ht="16.5">
      <c r="A14" s="22" t="s">
        <v>542</v>
      </c>
      <c r="B14" s="1518"/>
      <c r="C14" s="1518"/>
      <c r="D14" s="27"/>
      <c r="E14" s="24"/>
      <c r="F14" s="24"/>
      <c r="G14" s="24"/>
      <c r="H14" s="24"/>
      <c r="I14" s="24"/>
      <c r="J14" s="24"/>
      <c r="K14" s="24"/>
      <c r="L14" s="24"/>
      <c r="M14" s="24"/>
      <c r="N14" s="24"/>
    </row>
    <row r="15" spans="1:17" s="15" customFormat="1" ht="16.5">
      <c r="A15" s="25" t="s">
        <v>540</v>
      </c>
      <c r="B15" s="1725">
        <v>0</v>
      </c>
      <c r="C15" s="1725"/>
      <c r="D15" s="24">
        <v>30</v>
      </c>
      <c r="E15" s="24"/>
      <c r="F15" s="24">
        <f>E15/60</f>
        <v>0</v>
      </c>
      <c r="G15" s="26">
        <f>(B15/D15)+F15</f>
        <v>0</v>
      </c>
      <c r="H15" s="24"/>
      <c r="I15" s="26">
        <f>H15/60</f>
        <v>0</v>
      </c>
      <c r="J15" s="24">
        <v>40</v>
      </c>
      <c r="K15" s="26">
        <f>(B15/J15)+I15</f>
        <v>0</v>
      </c>
      <c r="L15" s="26">
        <f>K15+G15</f>
        <v>0</v>
      </c>
      <c r="M15" s="47">
        <f>L15*0.1</f>
        <v>0</v>
      </c>
      <c r="N15" s="47">
        <f>M15+L15</f>
        <v>0</v>
      </c>
    </row>
    <row r="16" spans="1:17" s="15" customFormat="1" ht="16.5">
      <c r="A16" s="25" t="s">
        <v>541</v>
      </c>
      <c r="B16" s="1518"/>
      <c r="C16" s="1518"/>
      <c r="D16" s="24">
        <v>25</v>
      </c>
      <c r="E16" s="24"/>
      <c r="F16" s="24">
        <f>E16/60</f>
        <v>0</v>
      </c>
      <c r="G16" s="26">
        <f>(B16/D16)+F16</f>
        <v>0</v>
      </c>
      <c r="H16" s="24"/>
      <c r="I16" s="26">
        <f>H16/60</f>
        <v>0</v>
      </c>
      <c r="J16" s="24">
        <v>35</v>
      </c>
      <c r="K16" s="26">
        <f>(B16/J16)+I16</f>
        <v>0</v>
      </c>
      <c r="L16" s="26">
        <f>K16+G16</f>
        <v>0</v>
      </c>
      <c r="M16" s="47">
        <f>L16*0.1</f>
        <v>0</v>
      </c>
      <c r="N16" s="47">
        <f>M16+L16</f>
        <v>0</v>
      </c>
    </row>
    <row r="17" spans="1:15" s="15" customFormat="1" ht="16.5">
      <c r="A17" s="22" t="s">
        <v>543</v>
      </c>
      <c r="B17" s="1518"/>
      <c r="C17" s="1518"/>
      <c r="D17" s="27"/>
      <c r="E17" s="24"/>
      <c r="F17" s="24"/>
      <c r="G17" s="24"/>
      <c r="H17" s="24"/>
      <c r="I17" s="24"/>
      <c r="J17" s="24"/>
      <c r="K17" s="24"/>
      <c r="L17" s="24"/>
      <c r="M17" s="24"/>
      <c r="N17" s="24"/>
    </row>
    <row r="18" spans="1:15" s="15" customFormat="1" ht="16.5">
      <c r="A18" s="25" t="s">
        <v>540</v>
      </c>
      <c r="B18" s="1725">
        <v>0</v>
      </c>
      <c r="C18" s="1725"/>
      <c r="D18" s="24">
        <v>20</v>
      </c>
      <c r="E18" s="24"/>
      <c r="F18" s="24">
        <f>E18/60</f>
        <v>0</v>
      </c>
      <c r="G18" s="26">
        <f>(B18/D18)+F18</f>
        <v>0</v>
      </c>
      <c r="H18" s="24"/>
      <c r="I18" s="26">
        <f>H18/60</f>
        <v>0</v>
      </c>
      <c r="J18" s="24">
        <v>30</v>
      </c>
      <c r="K18" s="26">
        <f>(B18/J18)+I18</f>
        <v>0</v>
      </c>
      <c r="L18" s="26">
        <f>K18+G18</f>
        <v>0</v>
      </c>
      <c r="M18" s="47">
        <f>L18*0.1</f>
        <v>0</v>
      </c>
      <c r="N18" s="47">
        <f>M18+L18</f>
        <v>0</v>
      </c>
    </row>
    <row r="19" spans="1:15" s="15" customFormat="1" ht="16.5">
      <c r="A19" s="28" t="s">
        <v>541</v>
      </c>
      <c r="B19" s="1518"/>
      <c r="C19" s="1518"/>
      <c r="D19" s="29">
        <v>15</v>
      </c>
      <c r="E19" s="29"/>
      <c r="F19" s="29">
        <f>E19/60</f>
        <v>0</v>
      </c>
      <c r="G19" s="30">
        <f>(B19/D19)+F19</f>
        <v>0</v>
      </c>
      <c r="H19" s="29"/>
      <c r="I19" s="30">
        <f>H19/60</f>
        <v>0</v>
      </c>
      <c r="J19" s="29">
        <v>25</v>
      </c>
      <c r="K19" s="30">
        <f>(B19/J19)+I19</f>
        <v>0</v>
      </c>
      <c r="L19" s="30">
        <f>K19+G19</f>
        <v>0</v>
      </c>
      <c r="M19" s="48">
        <f>L19*0.1</f>
        <v>0</v>
      </c>
      <c r="N19" s="48">
        <f>M19+L19</f>
        <v>0</v>
      </c>
    </row>
    <row r="20" spans="1:15" s="15" customFormat="1" ht="16.5">
      <c r="A20" s="1726"/>
      <c r="B20" s="1726"/>
      <c r="C20" s="1726"/>
      <c r="D20" s="1726"/>
      <c r="E20" s="1726"/>
      <c r="F20" s="1726"/>
      <c r="G20" s="1726"/>
      <c r="H20" s="1726"/>
      <c r="I20" s="1726"/>
      <c r="J20" s="1726"/>
      <c r="K20" s="1726"/>
      <c r="L20" s="1726"/>
      <c r="M20" s="1726"/>
      <c r="N20" s="49">
        <f>+SUM(N11:N19)</f>
        <v>1.0276666666666667</v>
      </c>
      <c r="O20" s="15">
        <f>+SUM(B11:C19)</f>
        <v>18.2</v>
      </c>
    </row>
    <row r="21" spans="1:15" s="15" customFormat="1" ht="16.5">
      <c r="A21" s="17"/>
    </row>
    <row r="22" spans="1:15" s="15" customFormat="1" ht="16.5">
      <c r="A22" s="31" t="s">
        <v>165</v>
      </c>
      <c r="B22" s="1727" t="s">
        <v>1133</v>
      </c>
      <c r="C22" s="1727"/>
      <c r="D22" s="1727" t="s">
        <v>1134</v>
      </c>
      <c r="E22" s="1727"/>
      <c r="F22" s="1727" t="s">
        <v>1135</v>
      </c>
      <c r="G22" s="1727"/>
      <c r="H22" s="1727" t="s">
        <v>269</v>
      </c>
      <c r="I22" s="1727"/>
    </row>
    <row r="23" spans="1:15" s="15" customFormat="1" ht="16.5">
      <c r="A23" s="32" t="s">
        <v>1136</v>
      </c>
      <c r="B23" s="1725">
        <v>2</v>
      </c>
      <c r="C23" s="1725"/>
      <c r="D23" s="1728">
        <f>N20</f>
        <v>1.0276666666666667</v>
      </c>
      <c r="E23" s="1728"/>
      <c r="F23" s="1729">
        <f>+PRICE_LIST!K5</f>
        <v>61.75</v>
      </c>
      <c r="G23" s="1729"/>
      <c r="H23" s="1730">
        <f>+B23*D23*F23</f>
        <v>126.91683333333334</v>
      </c>
      <c r="I23" s="1730"/>
      <c r="K23" s="17" t="s">
        <v>20</v>
      </c>
    </row>
    <row r="24" spans="1:15" s="15" customFormat="1" ht="16.5">
      <c r="A24" s="32" t="s">
        <v>1137</v>
      </c>
      <c r="B24" s="1725">
        <v>1</v>
      </c>
      <c r="C24" s="1725"/>
      <c r="D24" s="1728">
        <f>N20</f>
        <v>1.0276666666666667</v>
      </c>
      <c r="E24" s="1728"/>
      <c r="F24" s="1729">
        <f>+PRICE_LIST!K4</f>
        <v>80.05</v>
      </c>
      <c r="G24" s="1729"/>
      <c r="H24" s="1730">
        <f>+B24*D24*F24</f>
        <v>82.264716666666672</v>
      </c>
      <c r="I24" s="1730"/>
    </row>
    <row r="25" spans="1:15" s="15" customFormat="1" ht="16.5">
      <c r="A25" s="31" t="s">
        <v>167</v>
      </c>
      <c r="B25" s="1727" t="s">
        <v>1138</v>
      </c>
      <c r="C25" s="1727"/>
      <c r="D25" s="1727" t="s">
        <v>1134</v>
      </c>
      <c r="E25" s="1727"/>
      <c r="F25" s="1724" t="s">
        <v>1135</v>
      </c>
      <c r="G25" s="1724"/>
      <c r="H25" s="1727" t="s">
        <v>269</v>
      </c>
      <c r="I25" s="1727"/>
    </row>
    <row r="26" spans="1:15" s="15" customFormat="1" ht="16.5">
      <c r="A26" s="33" t="s">
        <v>1139</v>
      </c>
      <c r="B26" s="1725">
        <v>1</v>
      </c>
      <c r="C26" s="1725"/>
      <c r="D26" s="1728">
        <f>N20</f>
        <v>1.0276666666666667</v>
      </c>
      <c r="E26" s="1728"/>
      <c r="F26" s="1731">
        <f>+Equipments!Y65</f>
        <v>2544.4699999999998</v>
      </c>
      <c r="G26" s="1731"/>
      <c r="H26" s="1730">
        <f>+B26*D26*F26</f>
        <v>2614.8670033333333</v>
      </c>
      <c r="I26" s="1730"/>
      <c r="K26" s="1732" t="str">
        <f>+'POW-2015-01-00_'!A48</f>
        <v xml:space="preserve">WINLOVE A. ESTEVES
</v>
      </c>
      <c r="L26" s="1732"/>
      <c r="M26" s="1732"/>
      <c r="N26" s="63"/>
    </row>
    <row r="27" spans="1:15" s="15" customFormat="1" ht="16.5">
      <c r="A27" s="1733" t="s">
        <v>10</v>
      </c>
      <c r="B27" s="1733"/>
      <c r="C27" s="1733"/>
      <c r="D27" s="1733"/>
      <c r="E27" s="1733"/>
      <c r="F27" s="1733"/>
      <c r="G27" s="1733"/>
      <c r="H27" s="1734">
        <f>+H23+H24+H26</f>
        <v>2824.0485533333331</v>
      </c>
      <c r="I27" s="1734"/>
      <c r="K27" s="1735" t="str">
        <f>+'POW-2015-01-00_'!A49</f>
        <v>Engineer II</v>
      </c>
      <c r="L27" s="1735"/>
      <c r="M27" s="1735"/>
      <c r="N27" s="63"/>
    </row>
    <row r="28" spans="1:15" s="16" customFormat="1" ht="16.5">
      <c r="A28" s="34"/>
      <c r="B28" s="34"/>
      <c r="C28" s="34"/>
      <c r="D28" s="34"/>
      <c r="E28" s="34"/>
      <c r="F28" s="34"/>
      <c r="G28" s="34"/>
      <c r="H28" s="35"/>
      <c r="K28" s="1736" t="str">
        <f>+'POW-2015-01-00_'!A50</f>
        <v>Planning and Design Section</v>
      </c>
      <c r="L28" s="1736"/>
      <c r="M28" s="1736"/>
      <c r="N28" s="50"/>
    </row>
    <row r="29" spans="1:15" s="15" customFormat="1" ht="16.5">
      <c r="A29" s="1741" t="s">
        <v>1140</v>
      </c>
      <c r="B29" s="1742" t="s">
        <v>1141</v>
      </c>
      <c r="C29" s="1742" t="s">
        <v>1142</v>
      </c>
      <c r="D29" s="1742"/>
      <c r="E29" s="1742" t="s">
        <v>1141</v>
      </c>
      <c r="F29" s="36">
        <f>H27</f>
        <v>2824.0485533333331</v>
      </c>
      <c r="G29" s="1742" t="s">
        <v>1141</v>
      </c>
      <c r="H29" s="1739">
        <f>+F29/F30</f>
        <v>5.8834344861111103E-2</v>
      </c>
      <c r="K29" s="17" t="s">
        <v>422</v>
      </c>
    </row>
    <row r="30" spans="1:15" s="15" customFormat="1" ht="16.5">
      <c r="A30" s="1741"/>
      <c r="B30" s="1742"/>
      <c r="C30" s="1742" t="s">
        <v>1143</v>
      </c>
      <c r="D30" s="1742"/>
      <c r="E30" s="1742"/>
      <c r="F30" s="37">
        <v>48000</v>
      </c>
      <c r="G30" s="1742"/>
      <c r="H30" s="1739"/>
    </row>
    <row r="31" spans="1:15" s="15" customFormat="1" ht="16.5">
      <c r="C31" s="61"/>
      <c r="D31" s="58"/>
    </row>
    <row r="32" spans="1:15" s="15" customFormat="1" ht="16.5">
      <c r="A32" s="1743" t="s">
        <v>1144</v>
      </c>
      <c r="B32" s="1743"/>
      <c r="C32" s="1743"/>
      <c r="D32" s="1740">
        <f>+ROUND(H29*40,0)</f>
        <v>2</v>
      </c>
      <c r="E32" s="1743" t="s">
        <v>1145</v>
      </c>
      <c r="F32" s="1743"/>
      <c r="G32" s="1743"/>
      <c r="H32" s="1740">
        <f>+C5</f>
        <v>260</v>
      </c>
      <c r="K32" s="1732" t="str">
        <f>+'POW-2015-01-00_'!H48</f>
        <v>MARK ANGELO E. SURIL</v>
      </c>
      <c r="L32" s="1732"/>
      <c r="M32" s="1732"/>
      <c r="N32" s="63"/>
    </row>
    <row r="33" spans="1:14" s="15" customFormat="1" ht="16.5">
      <c r="A33" s="1743"/>
      <c r="B33" s="1743"/>
      <c r="C33" s="1743"/>
      <c r="D33" s="1740"/>
      <c r="E33" s="1743"/>
      <c r="F33" s="1743"/>
      <c r="G33" s="1743"/>
      <c r="H33" s="1740"/>
      <c r="K33" s="1735" t="str">
        <f>+'POW-2015-01-00_'!H49</f>
        <v>Engineer II</v>
      </c>
      <c r="L33" s="1735"/>
      <c r="M33" s="1735"/>
      <c r="N33" s="63"/>
    </row>
    <row r="34" spans="1:14" s="15" customFormat="1" ht="16.5">
      <c r="A34" s="44"/>
      <c r="B34" s="16"/>
      <c r="C34" s="1737" t="s">
        <v>1146</v>
      </c>
      <c r="D34" s="1737"/>
      <c r="K34" s="1738" t="str">
        <f>+'POW-2015-01-00_'!H50</f>
        <v>Planning and Design Section</v>
      </c>
      <c r="L34" s="1738"/>
      <c r="M34" s="1738"/>
      <c r="N34" s="27"/>
    </row>
    <row r="35" spans="1:14" s="15" customFormat="1" ht="16.5"/>
    <row r="36" spans="1:14" s="15" customFormat="1" ht="16.5"/>
    <row r="37" spans="1:14" s="15" customFormat="1" ht="16.5"/>
    <row r="38" spans="1:14" s="15" customFormat="1" ht="16.5"/>
    <row r="39" spans="1:14" s="15" customFormat="1" ht="16.5"/>
    <row r="40" spans="1:14" s="15" customFormat="1" ht="16.5"/>
    <row r="41" spans="1:14" s="15" customFormat="1" ht="16.5"/>
    <row r="42" spans="1:14" s="15" customFormat="1" ht="16.5"/>
    <row r="43" spans="1:14" s="15" customFormat="1" ht="16.5"/>
    <row r="44" spans="1:14" s="15" customFormat="1" ht="16.5"/>
    <row r="45" spans="1:14" s="15" customFormat="1" ht="16.5"/>
    <row r="46" spans="1:14" s="15" customFormat="1" ht="16.5"/>
    <row r="47" spans="1:14" s="15" customFormat="1" ht="16.5"/>
    <row r="48" spans="1:14" s="15" customFormat="1" ht="16.5"/>
    <row r="49" s="15" customFormat="1" ht="16.5"/>
    <row r="50" s="15" customFormat="1" ht="16.5"/>
    <row r="51" s="15" customFormat="1" ht="16.5"/>
    <row r="52" s="15" customFormat="1" ht="16.5"/>
    <row r="53" s="15" customFormat="1" ht="16.5"/>
    <row r="54" s="15" customFormat="1" ht="16.5"/>
    <row r="55" s="15" customFormat="1" ht="16.5"/>
    <row r="56" s="15" customFormat="1" ht="16.5"/>
    <row r="57" s="15" customFormat="1" ht="16.5"/>
    <row r="58" s="15" customFormat="1" ht="16.5"/>
    <row r="59" s="15" customFormat="1" ht="16.5"/>
    <row r="60" s="15" customFormat="1" ht="16.5"/>
    <row r="61" s="15" customFormat="1" ht="16.5"/>
    <row r="62" s="15" customFormat="1" ht="16.5"/>
    <row r="63" s="15" customFormat="1" ht="16.5"/>
    <row r="64" s="15" customFormat="1" ht="16.5"/>
    <row r="65" s="15" customFormat="1" ht="16.5"/>
    <row r="66" s="15" customFormat="1" ht="16.5" customHeight="1"/>
    <row r="67" s="15" customFormat="1" ht="17.25" customHeight="1"/>
    <row r="68" s="15" customFormat="1" ht="16.5"/>
    <row r="69" s="15" customFormat="1" ht="16.5"/>
    <row r="70" s="15" customFormat="1" ht="16.5"/>
    <row r="71" s="15" customFormat="1" ht="16.5"/>
    <row r="72" s="15" customFormat="1" ht="16.5"/>
    <row r="73" s="15" customFormat="1" ht="16.5"/>
    <row r="74" s="15" customFormat="1" ht="16.5"/>
    <row r="75" s="15" customFormat="1" ht="16.5"/>
    <row r="76" s="15" customFormat="1" ht="16.5"/>
    <row r="77" s="15" customFormat="1" ht="16.5"/>
    <row r="78" s="15" customFormat="1" ht="16.5"/>
    <row r="79" s="15" customFormat="1" ht="16.5"/>
    <row r="80" s="15" customFormat="1" ht="16.5"/>
    <row r="81" s="15" customFormat="1" ht="16.5"/>
    <row r="82" s="15" customFormat="1" ht="16.5"/>
    <row r="83" s="15" customFormat="1" ht="16.5"/>
    <row r="84" s="15" customFormat="1" ht="16.5"/>
    <row r="85" s="15" customFormat="1" ht="16.5"/>
    <row r="86" s="15" customFormat="1" ht="16.5"/>
    <row r="87" s="15" customFormat="1" ht="16.5"/>
    <row r="88" s="15" customFormat="1" ht="16.5"/>
    <row r="89" s="15" customFormat="1" ht="16.5"/>
    <row r="90" s="15" customFormat="1" ht="16.5"/>
    <row r="91" s="15" customFormat="1" ht="16.5"/>
    <row r="92" s="15" customFormat="1" ht="16.5"/>
    <row r="93" s="15" customFormat="1" ht="16.5"/>
    <row r="94" s="15" customFormat="1" ht="16.5"/>
    <row r="95" s="15" customFormat="1" ht="16.5"/>
    <row r="96" s="15" customFormat="1" ht="16.5"/>
    <row r="97" s="15" customFormat="1" ht="16.5"/>
    <row r="98" s="15" customFormat="1" ht="16.5"/>
    <row r="99" s="15" customFormat="1" ht="16.5"/>
    <row r="100" s="15" customFormat="1" ht="16.5"/>
    <row r="101" s="15" customFormat="1" ht="16.5"/>
    <row r="102" s="15" customFormat="1" ht="16.5"/>
    <row r="103" s="15" customFormat="1" ht="16.5"/>
    <row r="104" s="15" customFormat="1" ht="16.5"/>
    <row r="105" s="15" customFormat="1" ht="16.5"/>
    <row r="106" s="15" customFormat="1" ht="16.5"/>
    <row r="107" s="15" customFormat="1" ht="16.5"/>
    <row r="108" s="15" customFormat="1" ht="16.5"/>
    <row r="109" s="15" customFormat="1" ht="16.5"/>
    <row r="110" s="15" customFormat="1" ht="16.5"/>
    <row r="111" s="15" customFormat="1" ht="16.5"/>
    <row r="112" s="15" customFormat="1" ht="16.5"/>
    <row r="113" s="15" customFormat="1" ht="16.5"/>
    <row r="114" s="15" customFormat="1" ht="16.5"/>
    <row r="115" s="15" customFormat="1" ht="16.5"/>
    <row r="116" s="15" customFormat="1" ht="16.5"/>
    <row r="117" s="15" customFormat="1" ht="16.5"/>
    <row r="118" s="15" customFormat="1" ht="16.5"/>
    <row r="119" s="15" customFormat="1" ht="16.5"/>
    <row r="120" s="15" customFormat="1" ht="16.5"/>
    <row r="121" s="15" customFormat="1" ht="16.5"/>
    <row r="122" s="15" customFormat="1" ht="16.5"/>
    <row r="123" s="15" customFormat="1" ht="16.5"/>
    <row r="124" s="15" customFormat="1" ht="16.5"/>
    <row r="125" s="15" customFormat="1" ht="16.5"/>
    <row r="126" s="15" customFormat="1" ht="16.5"/>
    <row r="127" s="15" customFormat="1" ht="16.5"/>
    <row r="128" s="15" customFormat="1" ht="16.5"/>
    <row r="129" s="15" customFormat="1" ht="16.5"/>
    <row r="130" s="15" customFormat="1" ht="16.5"/>
    <row r="131" s="15" customFormat="1" ht="16.5"/>
    <row r="132" s="15" customFormat="1" ht="16.5"/>
    <row r="133" s="15" customFormat="1" ht="16.5"/>
    <row r="134" s="15" customFormat="1" ht="16.5"/>
    <row r="135" s="15" customFormat="1" ht="16.5"/>
    <row r="136" s="15" customFormat="1" ht="16.5"/>
    <row r="137" s="15" customFormat="1" ht="16.5"/>
    <row r="138" s="15" customFormat="1" ht="16.5"/>
    <row r="139" s="15" customFormat="1" ht="16.5"/>
    <row r="140" s="15" customFormat="1" ht="16.5"/>
    <row r="141" s="15" customFormat="1" ht="16.5"/>
    <row r="142" s="15" customFormat="1" ht="16.5"/>
    <row r="143" s="15" customFormat="1" ht="16.5"/>
    <row r="144" s="15" customFormat="1" ht="16.5"/>
    <row r="145" s="15" customFormat="1" ht="16.5"/>
    <row r="146" s="15" customFormat="1" ht="16.5"/>
    <row r="147" s="15" customFormat="1" ht="16.5"/>
    <row r="148" s="15" customFormat="1" ht="16.5"/>
    <row r="149" s="15" customFormat="1" ht="16.5"/>
    <row r="150" s="15" customFormat="1" ht="16.5"/>
    <row r="151" s="15" customFormat="1" ht="16.5"/>
    <row r="152" s="15" customFormat="1" ht="16.5"/>
    <row r="153" s="15" customFormat="1" ht="16.5"/>
    <row r="154" s="15" customFormat="1" ht="16.5"/>
    <row r="155" s="15" customFormat="1" ht="16.5"/>
    <row r="156" s="15" customFormat="1" ht="16.5"/>
    <row r="157" s="15" customFormat="1" ht="16.5"/>
    <row r="158" s="15" customFormat="1" ht="16.5"/>
    <row r="159" s="15" customFormat="1" ht="16.5"/>
    <row r="160" s="15" customFormat="1" ht="16.5"/>
    <row r="161" s="15" customFormat="1" ht="16.5"/>
    <row r="162" s="15" customFormat="1" ht="16.5"/>
    <row r="163" s="15" customFormat="1" ht="16.5"/>
    <row r="164" s="15" customFormat="1" ht="16.5"/>
    <row r="165" s="15" customFormat="1" ht="16.5"/>
    <row r="166" s="15" customFormat="1" ht="16.5"/>
    <row r="167" s="15" customFormat="1" ht="16.5"/>
    <row r="168" s="15" customFormat="1" ht="16.5"/>
    <row r="169" s="15" customFormat="1" ht="16.5"/>
    <row r="170" s="15" customFormat="1" ht="16.5"/>
    <row r="171" s="15" customFormat="1" ht="16.5"/>
    <row r="172" s="15" customFormat="1" ht="16.5"/>
    <row r="173" s="15" customFormat="1" ht="16.5"/>
    <row r="174" s="15" customFormat="1" ht="16.5"/>
    <row r="175" s="15" customFormat="1" ht="16.5"/>
    <row r="176" s="15" customFormat="1" ht="16.5"/>
    <row r="177" s="15" customFormat="1" ht="16.5"/>
    <row r="178" s="15" customFormat="1" ht="16.5"/>
    <row r="179" s="15" customFormat="1" ht="16.5"/>
    <row r="180" s="15" customFormat="1" ht="16.5"/>
    <row r="181" s="15" customFormat="1" ht="16.5"/>
    <row r="182" s="15" customFormat="1" ht="16.5"/>
    <row r="183" s="15" customFormat="1" ht="16.5"/>
    <row r="184" s="15" customFormat="1" ht="16.5"/>
    <row r="185" s="15" customFormat="1" ht="16.5"/>
    <row r="186" s="15" customFormat="1" ht="16.5"/>
    <row r="187" s="15" customFormat="1" ht="16.5"/>
    <row r="188" s="15" customFormat="1" ht="16.5"/>
    <row r="189" s="15" customFormat="1" ht="16.5"/>
    <row r="190" s="15" customFormat="1" ht="16.5"/>
    <row r="191" s="15" customFormat="1" ht="16.5"/>
    <row r="192" s="15" customFormat="1" ht="16.5"/>
    <row r="193" s="15" customFormat="1" ht="16.5"/>
    <row r="194" s="15" customFormat="1" ht="16.5"/>
    <row r="195" s="15" customFormat="1" ht="16.5"/>
    <row r="196" s="15" customFormat="1" ht="16.5"/>
    <row r="197" s="15" customFormat="1" ht="16.5"/>
    <row r="198" s="15" customFormat="1" ht="16.5"/>
    <row r="199" s="15" customFormat="1" ht="16.5"/>
    <row r="200" s="15" customFormat="1" ht="16.5"/>
    <row r="201" s="15" customFormat="1" ht="16.5"/>
    <row r="202" s="15" customFormat="1" ht="16.5"/>
    <row r="203" s="15" customFormat="1" ht="16.5"/>
    <row r="204" s="15" customFormat="1" ht="16.5"/>
    <row r="205" s="15" customFormat="1" ht="16.5"/>
    <row r="206" s="15" customFormat="1" ht="16.5"/>
    <row r="207" s="15" customFormat="1" ht="16.5"/>
    <row r="208" s="15" customFormat="1" ht="16.5"/>
    <row r="209" s="15" customFormat="1" ht="16.5"/>
    <row r="210" s="15" customFormat="1" ht="16.5"/>
    <row r="211" s="15" customFormat="1" ht="16.5"/>
    <row r="212" s="15" customFormat="1" ht="16.5"/>
    <row r="213" s="15" customFormat="1" ht="16.5"/>
    <row r="214" s="15" customFormat="1" ht="16.5"/>
    <row r="215" s="15" customFormat="1" ht="16.5"/>
    <row r="216" s="15" customFormat="1" ht="16.5"/>
    <row r="217" s="15" customFormat="1" ht="16.5"/>
    <row r="218" s="15" customFormat="1" ht="16.5"/>
    <row r="219" s="15" customFormat="1" ht="16.5"/>
    <row r="220" s="15" customFormat="1" ht="16.5"/>
    <row r="221" s="15" customFormat="1" ht="16.5"/>
    <row r="222" s="15" customFormat="1" ht="16.5"/>
    <row r="223" s="15" customFormat="1" ht="16.5"/>
    <row r="224" s="15" customFormat="1" ht="16.5"/>
    <row r="225" s="15" customFormat="1" ht="16.5"/>
    <row r="226" s="15" customFormat="1" ht="16.5"/>
    <row r="227" s="15" customFormat="1" ht="16.5"/>
    <row r="228" s="15" customFormat="1" ht="16.5"/>
    <row r="229" s="15" customFormat="1" ht="16.5"/>
    <row r="230" s="15" customFormat="1" ht="16.5"/>
    <row r="231" s="15" customFormat="1" ht="16.5"/>
    <row r="232" s="15" customFormat="1" ht="16.5"/>
    <row r="233" s="15" customFormat="1" ht="16.5"/>
    <row r="234" s="15" customFormat="1" ht="16.5"/>
    <row r="235" s="15" customFormat="1" ht="16.5"/>
    <row r="236" s="15" customFormat="1" ht="16.5"/>
    <row r="237" s="15" customFormat="1" ht="16.5"/>
    <row r="238" s="15" customFormat="1" ht="16.5"/>
    <row r="239" s="15" customFormat="1" ht="16.5"/>
    <row r="240" s="15" customFormat="1" ht="16.5"/>
    <row r="241" s="15" customFormat="1" ht="16.5"/>
    <row r="242" s="15" customFormat="1" ht="16.5"/>
    <row r="243" s="15" customFormat="1" ht="16.5"/>
    <row r="244" s="15" customFormat="1" ht="16.5"/>
    <row r="245" s="15" customFormat="1" ht="16.5"/>
    <row r="246" s="15" customFormat="1" ht="16.5"/>
    <row r="247" s="15" customFormat="1" ht="16.5"/>
    <row r="248" s="15" customFormat="1" ht="16.5"/>
    <row r="249" s="15" customFormat="1" ht="16.5"/>
    <row r="250" s="15" customFormat="1" ht="16.5"/>
    <row r="251" s="15" customFormat="1" ht="16.5"/>
    <row r="252" s="15" customFormat="1" ht="16.5"/>
    <row r="253" s="15" customFormat="1" ht="16.5"/>
    <row r="254" s="15" customFormat="1" ht="16.5"/>
    <row r="255" s="15" customFormat="1" ht="16.5"/>
    <row r="256" s="15" customFormat="1" ht="16.5"/>
    <row r="257" s="15" customFormat="1" ht="16.5"/>
    <row r="258" s="15" customFormat="1" ht="16.5"/>
    <row r="259" s="15" customFormat="1" ht="16.5"/>
    <row r="260" s="15" customFormat="1" ht="16.5"/>
    <row r="261" s="15" customFormat="1" ht="16.5"/>
    <row r="262" s="15" customFormat="1" ht="16.5"/>
    <row r="263" s="15" customFormat="1" ht="16.5"/>
    <row r="264" s="15" customFormat="1" ht="16.5"/>
    <row r="265" s="15" customFormat="1" ht="16.5"/>
    <row r="266" s="15" customFormat="1" ht="16.5"/>
    <row r="267" s="15" customFormat="1" ht="16.5"/>
    <row r="268" s="15" customFormat="1" ht="16.5"/>
    <row r="269" s="15" customFormat="1" ht="16.5"/>
    <row r="270" s="15" customFormat="1" ht="16.5"/>
    <row r="271" s="15" customFormat="1" ht="16.5"/>
    <row r="272" s="15" customFormat="1" ht="16.5"/>
    <row r="273" s="15" customFormat="1" ht="16.5"/>
    <row r="274" s="15" customFormat="1" ht="16.5"/>
    <row r="275" s="15" customFormat="1" ht="16.5"/>
    <row r="276" s="15" customFormat="1" ht="16.5"/>
    <row r="277" s="15" customFormat="1" ht="16.5"/>
    <row r="278" s="15" customFormat="1" ht="16.5"/>
    <row r="279" s="15" customFormat="1" ht="16.5"/>
    <row r="280" s="15" customFormat="1" ht="16.5"/>
    <row r="281" s="15" customFormat="1" ht="16.5"/>
    <row r="282" s="15" customFormat="1" ht="16.5"/>
    <row r="283" s="15" customFormat="1" ht="16.5"/>
    <row r="284" s="15" customFormat="1" ht="16.5"/>
    <row r="285" s="15" customFormat="1" ht="16.5"/>
    <row r="286" s="15" customFormat="1" ht="16.5"/>
    <row r="287" s="15" customFormat="1" ht="16.5"/>
    <row r="288" s="15" customFormat="1" ht="16.5"/>
    <row r="289" s="15" customFormat="1" ht="16.5"/>
    <row r="290" s="15" customFormat="1" ht="16.5"/>
    <row r="291" s="15" customFormat="1" ht="16.5"/>
    <row r="292" s="15" customFormat="1" ht="16.5"/>
    <row r="293" s="15" customFormat="1" ht="16.5"/>
    <row r="294" s="15" customFormat="1" ht="16.5"/>
    <row r="295" s="15" customFormat="1" ht="16.5"/>
    <row r="296" s="15" customFormat="1" ht="16.5"/>
    <row r="297" s="15" customFormat="1" ht="16.5"/>
    <row r="298" s="15" customFormat="1" ht="16.5"/>
    <row r="299" s="15" customFormat="1" ht="16.5"/>
    <row r="300" s="15" customFormat="1" ht="16.5"/>
    <row r="301" s="15" customFormat="1" ht="16.5"/>
    <row r="302" s="15" customFormat="1" ht="16.5"/>
    <row r="303" s="15" customFormat="1" ht="16.5"/>
    <row r="304" s="15" customFormat="1" ht="16.5"/>
    <row r="305" s="15" customFormat="1" ht="16.5"/>
    <row r="306" s="15" customFormat="1" ht="16.5"/>
    <row r="307" s="15" customFormat="1" ht="16.5"/>
    <row r="308" s="15" customFormat="1" ht="16.5"/>
    <row r="309" s="15" customFormat="1" ht="16.5"/>
    <row r="310" s="15" customFormat="1" ht="16.5"/>
    <row r="311" s="15" customFormat="1" ht="16.5"/>
    <row r="312" s="15" customFormat="1" ht="16.5"/>
    <row r="313" s="15" customFormat="1" ht="16.5"/>
    <row r="314" s="15" customFormat="1" ht="16.5"/>
    <row r="315" s="15" customFormat="1" ht="16.5"/>
    <row r="316" s="15" customFormat="1" ht="16.5"/>
    <row r="317" s="15" customFormat="1" ht="16.5"/>
    <row r="318" s="15" customFormat="1" ht="16.5"/>
    <row r="319" s="15" customFormat="1" ht="16.5"/>
    <row r="320" s="15" customFormat="1" ht="16.5"/>
    <row r="321" s="15" customFormat="1" ht="16.5"/>
    <row r="322" s="15" customFormat="1" ht="16.5"/>
    <row r="323" s="15" customFormat="1" ht="16.5"/>
    <row r="324" s="15" customFormat="1" ht="16.5"/>
    <row r="325" s="15" customFormat="1" ht="16.5"/>
    <row r="326" s="15" customFormat="1" ht="16.5"/>
    <row r="327" s="15" customFormat="1" ht="16.5"/>
    <row r="328" s="15" customFormat="1" ht="16.5"/>
    <row r="329" s="15" customFormat="1" ht="16.5"/>
    <row r="330" s="15" customFormat="1" ht="16.5"/>
    <row r="331" s="15" customFormat="1" ht="16.5"/>
    <row r="332" s="15" customFormat="1" ht="16.5"/>
    <row r="333" s="15" customFormat="1" ht="16.5"/>
    <row r="334" s="15" customFormat="1" ht="16.5"/>
    <row r="335" s="15" customFormat="1" ht="16.5"/>
    <row r="336" s="15" customFormat="1" ht="16.5"/>
    <row r="337" s="15" customFormat="1" ht="16.5"/>
    <row r="338" s="15" customFormat="1" ht="16.5"/>
    <row r="339" s="15" customFormat="1" ht="16.5"/>
    <row r="340" s="15" customFormat="1" ht="16.5"/>
    <row r="341" s="15" customFormat="1" ht="16.5"/>
    <row r="342" s="15" customFormat="1" ht="16.5"/>
    <row r="343" s="15" customFormat="1" ht="16.5"/>
    <row r="344" s="15" customFormat="1" ht="16.5"/>
    <row r="345" s="15" customFormat="1" ht="16.5"/>
    <row r="346" s="15" customFormat="1" ht="16.5"/>
    <row r="347" s="15" customFormat="1" ht="16.5"/>
    <row r="348" s="15" customFormat="1" ht="16.5"/>
    <row r="349" s="15" customFormat="1" ht="16.5"/>
    <row r="350" s="15" customFormat="1" ht="16.5"/>
    <row r="351" s="15" customFormat="1" ht="16.5"/>
    <row r="352" s="15" customFormat="1" ht="16.5"/>
    <row r="353" s="15" customFormat="1" ht="16.5"/>
    <row r="354" s="15" customFormat="1" ht="16.5"/>
    <row r="355" s="15" customFormat="1" ht="16.5"/>
    <row r="356" s="15" customFormat="1" ht="16.5"/>
    <row r="357" s="15" customFormat="1" ht="16.5"/>
    <row r="358" s="15" customFormat="1" ht="16.5"/>
    <row r="359" s="15" customFormat="1" ht="16.5"/>
    <row r="360" s="15" customFormat="1" ht="16.5"/>
    <row r="361" s="15" customFormat="1" ht="16.5"/>
    <row r="362" s="15" customFormat="1" ht="16.5"/>
    <row r="363" s="15" customFormat="1" ht="16.5"/>
    <row r="364" s="15" customFormat="1" ht="16.5"/>
    <row r="365" s="15" customFormat="1" ht="16.5"/>
    <row r="366" s="15" customFormat="1" ht="16.5"/>
    <row r="367" s="15" customFormat="1" ht="16.5"/>
    <row r="368" s="15" customFormat="1" ht="16.5"/>
    <row r="369" s="15" customFormat="1" ht="16.5"/>
    <row r="370" s="15" customFormat="1" ht="16.5"/>
    <row r="371" s="15" customFormat="1" ht="16.5"/>
    <row r="372" s="15" customFormat="1" ht="16.5"/>
    <row r="373" s="15" customFormat="1" ht="16.5"/>
    <row r="374" s="15" customFormat="1" ht="16.5"/>
    <row r="375" s="15" customFormat="1" ht="16.5"/>
    <row r="376" s="15" customFormat="1" ht="16.5"/>
    <row r="377" s="15" customFormat="1" ht="16.5"/>
    <row r="378" s="15" customFormat="1" ht="16.5"/>
    <row r="379" s="15" customFormat="1" ht="16.5"/>
    <row r="380" s="15" customFormat="1" ht="16.5"/>
    <row r="381" s="15" customFormat="1" ht="16.5"/>
    <row r="382" s="15" customFormat="1" ht="16.5"/>
    <row r="383" s="15" customFormat="1" ht="16.5"/>
    <row r="384" s="15" customFormat="1" ht="16.5"/>
    <row r="385" s="15" customFormat="1" ht="16.5"/>
    <row r="386" s="15" customFormat="1" ht="16.5"/>
    <row r="387" s="15" customFormat="1" ht="16.5"/>
    <row r="388" s="15" customFormat="1" ht="16.5"/>
    <row r="389" s="15" customFormat="1" ht="16.5"/>
    <row r="390" s="15" customFormat="1" ht="16.5"/>
    <row r="391" s="15" customFormat="1" ht="16.5"/>
    <row r="392" s="15" customFormat="1" ht="16.5"/>
    <row r="393" s="15" customFormat="1" ht="16.5"/>
    <row r="394" s="15" customFormat="1" ht="16.5"/>
    <row r="395" s="15" customFormat="1" ht="16.5"/>
    <row r="396" s="15" customFormat="1" ht="16.5"/>
    <row r="397" s="15" customFormat="1" ht="16.5"/>
    <row r="398" s="15" customFormat="1" ht="16.5"/>
    <row r="399" s="15" customFormat="1" ht="16.5"/>
    <row r="400" s="15" customFormat="1" ht="16.5"/>
    <row r="401" s="15" customFormat="1" ht="16.5"/>
    <row r="402" s="15" customFormat="1" ht="16.5"/>
    <row r="403" s="15" customFormat="1" ht="16.5"/>
    <row r="404" s="15" customFormat="1" ht="16.5"/>
    <row r="405" s="15" customFormat="1" ht="16.5"/>
    <row r="406" s="15" customFormat="1" ht="16.5"/>
    <row r="407" s="15" customFormat="1" ht="16.5"/>
    <row r="408" s="15" customFormat="1" ht="16.5"/>
    <row r="409" s="15" customFormat="1" ht="16.5"/>
    <row r="410" s="15" customFormat="1" ht="16.5"/>
    <row r="411" s="15" customFormat="1" ht="16.5"/>
    <row r="412" s="15" customFormat="1" ht="16.5"/>
    <row r="413" s="15" customFormat="1" ht="16.5"/>
    <row r="414" s="15" customFormat="1" ht="16.5"/>
    <row r="415" s="15" customFormat="1" ht="16.5"/>
    <row r="416" s="15" customFormat="1" ht="16.5"/>
    <row r="417" s="15" customFormat="1" ht="16.5"/>
    <row r="418" s="15" customFormat="1" ht="16.5"/>
    <row r="419" s="15" customFormat="1" ht="16.5"/>
    <row r="420" s="15" customFormat="1" ht="16.5"/>
    <row r="421" s="15" customFormat="1" ht="16.5"/>
    <row r="422" s="15" customFormat="1" ht="16.5"/>
    <row r="423" s="15" customFormat="1" ht="16.5"/>
    <row r="424" s="15" customFormat="1" ht="16.5"/>
    <row r="425" s="15" customFormat="1" ht="16.5"/>
    <row r="426" s="15" customFormat="1" ht="16.5"/>
    <row r="427" s="15" customFormat="1" ht="16.5"/>
    <row r="428" s="15" customFormat="1" ht="16.5"/>
    <row r="429" s="15" customFormat="1" ht="16.5"/>
    <row r="430" s="15" customFormat="1" ht="16.5"/>
    <row r="431" s="15" customFormat="1" ht="16.5"/>
    <row r="432" s="15" customFormat="1" ht="16.5"/>
    <row r="433" s="15" customFormat="1" ht="16.5"/>
    <row r="434" s="15" customFormat="1" ht="16.5"/>
    <row r="435" s="15" customFormat="1" ht="16.5"/>
    <row r="436" s="15" customFormat="1" ht="16.5"/>
    <row r="437" s="15" customFormat="1" ht="16.5"/>
    <row r="438" s="15" customFormat="1" ht="16.5"/>
    <row r="439" s="15" customFormat="1" ht="16.5"/>
    <row r="440" s="15" customFormat="1" ht="16.5"/>
    <row r="441" s="15" customFormat="1" ht="16.5"/>
    <row r="442" s="15" customFormat="1" ht="16.5"/>
    <row r="443" s="15" customFormat="1" ht="16.5"/>
    <row r="444" s="15" customFormat="1" ht="16.5"/>
    <row r="445" s="15" customFormat="1" ht="16.5"/>
    <row r="446" s="15" customFormat="1" ht="16.5"/>
    <row r="447" s="15" customFormat="1" ht="16.5"/>
    <row r="448" s="15" customFormat="1" ht="16.5"/>
    <row r="449" s="15" customFormat="1" ht="16.5"/>
    <row r="450" s="15" customFormat="1" ht="16.5"/>
    <row r="451" s="15" customFormat="1" ht="16.5"/>
    <row r="452" s="15" customFormat="1" ht="16.5"/>
    <row r="453" s="15" customFormat="1" ht="16.5"/>
    <row r="454" s="15" customFormat="1" ht="16.5"/>
    <row r="455" s="15" customFormat="1" ht="16.5"/>
    <row r="456" s="15" customFormat="1" ht="16.5"/>
    <row r="457" s="15" customFormat="1" ht="16.5"/>
    <row r="458" s="15" customFormat="1" ht="16.5"/>
    <row r="459" s="15" customFormat="1" ht="16.5"/>
    <row r="460" s="15" customFormat="1" ht="16.5"/>
    <row r="461" s="15" customFormat="1" ht="16.5"/>
    <row r="462" s="15" customFormat="1" ht="16.5"/>
    <row r="463" s="15" customFormat="1" ht="16.5"/>
    <row r="464" s="15" customFormat="1" ht="16.5"/>
    <row r="465" s="15" customFormat="1" ht="16.5"/>
    <row r="466" s="15" customFormat="1" ht="16.5"/>
    <row r="467" s="15" customFormat="1" ht="16.5"/>
    <row r="468" s="15" customFormat="1" ht="16.5"/>
    <row r="469" s="15" customFormat="1" ht="16.5"/>
    <row r="470" s="15" customFormat="1" ht="16.5"/>
    <row r="471" s="15" customFormat="1" ht="16.5"/>
    <row r="472" s="15" customFormat="1" ht="16.5"/>
    <row r="473" s="15" customFormat="1" ht="16.5"/>
    <row r="474" s="15" customFormat="1" ht="16.5"/>
    <row r="475" s="15" customFormat="1" ht="16.5"/>
    <row r="476" s="15" customFormat="1" ht="16.5"/>
    <row r="477" s="15" customFormat="1" ht="16.5"/>
    <row r="478" s="15" customFormat="1" ht="16.5"/>
    <row r="479" s="15" customFormat="1" ht="16.5"/>
    <row r="480" s="15" customFormat="1" ht="16.5"/>
    <row r="481" s="15" customFormat="1" ht="16.5"/>
    <row r="482" s="15" customFormat="1" ht="16.5"/>
    <row r="483" s="15" customFormat="1" ht="16.5"/>
    <row r="484" s="15" customFormat="1" ht="16.5"/>
    <row r="485" s="15" customFormat="1" ht="16.5"/>
    <row r="486" s="15" customFormat="1" ht="16.5"/>
    <row r="487" s="15" customFormat="1" ht="16.5"/>
    <row r="488" s="15" customFormat="1" ht="16.5"/>
    <row r="489" s="15" customFormat="1" ht="16.5"/>
    <row r="490" s="15" customFormat="1" ht="16.5"/>
    <row r="491" s="15" customFormat="1" ht="16.5"/>
    <row r="492" s="15" customFormat="1" ht="16.5"/>
    <row r="493" s="15" customFormat="1" ht="16.5"/>
    <row r="494" s="15" customFormat="1" ht="16.5"/>
    <row r="495" s="15" customFormat="1" ht="16.5"/>
    <row r="496" s="15" customFormat="1" ht="16.5"/>
    <row r="497" s="15" customFormat="1" ht="16.5"/>
    <row r="498" s="15" customFormat="1" ht="16.5"/>
    <row r="499" s="15" customFormat="1" ht="16.5"/>
    <row r="500" s="15" customFormat="1" ht="16.5"/>
    <row r="501" s="15" customFormat="1" ht="16.5"/>
    <row r="502" s="15" customFormat="1" ht="16.5"/>
    <row r="503" s="15" customFormat="1" ht="16.5"/>
    <row r="504" s="15" customFormat="1" ht="16.5"/>
    <row r="505" s="15" customFormat="1" ht="16.5"/>
    <row r="506" s="15" customFormat="1" ht="16.5"/>
    <row r="507" s="15" customFormat="1" ht="16.5"/>
    <row r="508" s="15" customFormat="1" ht="16.5"/>
    <row r="509" s="15" customFormat="1" ht="16.5"/>
    <row r="510" s="15" customFormat="1" ht="16.5"/>
    <row r="511" s="15" customFormat="1" ht="16.5"/>
    <row r="512" s="15" customFormat="1" ht="16.5"/>
    <row r="513" s="15" customFormat="1" ht="16.5"/>
    <row r="514" s="15" customFormat="1" ht="16.5"/>
    <row r="515" s="15" customFormat="1" ht="16.5"/>
    <row r="516" s="15" customFormat="1" ht="16.5"/>
    <row r="517" s="15" customFormat="1" ht="16.5"/>
    <row r="518" s="15" customFormat="1" ht="16.5"/>
    <row r="519" s="15" customFormat="1" ht="16.5"/>
    <row r="520" s="15" customFormat="1" ht="16.5"/>
    <row r="521" s="15" customFormat="1" ht="16.5"/>
    <row r="522" s="15" customFormat="1" ht="16.5"/>
    <row r="523" s="15" customFormat="1" ht="16.5"/>
    <row r="524" s="15" customFormat="1" ht="16.5"/>
    <row r="525" s="15" customFormat="1" ht="16.5"/>
    <row r="526" s="15" customFormat="1" ht="16.5"/>
    <row r="527" s="15" customFormat="1" ht="16.5"/>
    <row r="528" s="15" customFormat="1" ht="16.5"/>
    <row r="529" s="15" customFormat="1" ht="16.5"/>
    <row r="530" s="15" customFormat="1" ht="16.5"/>
    <row r="531" s="15" customFormat="1" ht="16.5"/>
    <row r="532" s="15" customFormat="1" ht="16.5"/>
    <row r="533" s="15" customFormat="1" ht="16.5"/>
    <row r="534" s="15" customFormat="1" ht="16.5"/>
    <row r="535" s="15" customFormat="1" ht="16.5"/>
    <row r="536" s="15" customFormat="1" ht="16.5"/>
    <row r="537" s="15" customFormat="1" ht="16.5"/>
    <row r="538" s="15" customFormat="1" ht="16.5"/>
    <row r="539" s="15" customFormat="1" ht="16.5"/>
    <row r="540" s="15" customFormat="1" ht="16.5"/>
    <row r="541" s="15" customFormat="1" ht="16.5"/>
    <row r="542" s="15" customFormat="1" ht="16.5"/>
    <row r="543" s="15" customFormat="1" ht="16.5"/>
    <row r="544" s="15" customFormat="1" ht="16.5"/>
    <row r="545" s="15" customFormat="1" ht="16.5"/>
    <row r="546" s="15" customFormat="1" ht="16.5"/>
    <row r="547" s="15" customFormat="1" ht="16.5"/>
    <row r="548" s="15" customFormat="1" ht="16.5"/>
    <row r="549" s="15" customFormat="1" ht="16.5"/>
    <row r="550" s="15" customFormat="1" ht="16.5"/>
    <row r="551" s="15" customFormat="1" ht="16.5"/>
    <row r="552" s="15" customFormat="1" ht="16.5"/>
    <row r="553" s="15" customFormat="1" ht="16.5"/>
    <row r="554" s="15" customFormat="1" ht="16.5"/>
    <row r="555" s="15" customFormat="1" ht="16.5"/>
    <row r="556" s="15" customFormat="1" ht="16.5"/>
    <row r="557" s="15" customFormat="1" ht="16.5"/>
    <row r="558" s="15" customFormat="1" ht="16.5"/>
    <row r="559" s="15" customFormat="1" ht="16.5"/>
    <row r="560" s="15" customFormat="1" ht="16.5"/>
    <row r="561" s="15" customFormat="1" ht="16.5"/>
    <row r="562" s="15" customFormat="1" ht="16.5"/>
    <row r="563" s="15" customFormat="1" ht="16.5"/>
    <row r="564" s="15" customFormat="1" ht="16.5"/>
    <row r="565" s="15" customFormat="1" ht="16.5"/>
    <row r="566" s="15" customFormat="1" ht="16.5"/>
    <row r="567" s="15" customFormat="1" ht="16.5"/>
    <row r="568" s="15" customFormat="1" ht="16.5"/>
    <row r="569" s="15" customFormat="1" ht="16.5"/>
    <row r="570" s="15" customFormat="1" ht="16.5"/>
    <row r="571" s="15" customFormat="1" ht="16.5"/>
    <row r="572" s="15" customFormat="1" ht="16.5"/>
    <row r="573" s="15" customFormat="1" ht="16.5"/>
    <row r="574" s="15" customFormat="1" ht="16.5"/>
    <row r="575" s="15" customFormat="1" ht="16.5"/>
    <row r="576" s="15" customFormat="1" ht="16.5"/>
    <row r="577" s="15" customFormat="1" ht="16.5"/>
    <row r="578" s="15" customFormat="1" ht="16.5"/>
    <row r="579" s="15" customFormat="1" ht="16.5"/>
    <row r="580" s="15" customFormat="1" ht="16.5"/>
    <row r="581" s="15" customFormat="1" ht="16.5"/>
    <row r="582" s="15" customFormat="1" ht="16.5"/>
    <row r="583" s="15" customFormat="1" ht="16.5"/>
    <row r="584" s="15" customFormat="1" ht="16.5"/>
    <row r="585" s="15" customFormat="1" ht="16.5"/>
    <row r="586" s="15" customFormat="1" ht="16.5"/>
    <row r="587" s="15" customFormat="1" ht="16.5"/>
    <row r="588" s="15" customFormat="1" ht="16.5"/>
    <row r="589" s="15" customFormat="1" ht="16.5"/>
    <row r="590" s="15" customFormat="1" ht="16.5"/>
    <row r="591" s="15" customFormat="1" ht="16.5"/>
    <row r="592" s="15" customFormat="1" ht="16.5"/>
    <row r="593" s="15" customFormat="1" ht="16.5"/>
    <row r="594" s="15" customFormat="1" ht="16.5"/>
    <row r="595" s="15" customFormat="1" ht="16.5"/>
    <row r="596" s="15" customFormat="1" ht="16.5"/>
    <row r="597" s="15" customFormat="1" ht="16.5"/>
    <row r="598" s="15" customFormat="1" ht="16.5"/>
    <row r="599" s="15" customFormat="1" ht="16.5"/>
    <row r="600" s="15" customFormat="1" ht="16.5"/>
    <row r="601" s="15" customFormat="1" ht="16.5"/>
    <row r="602" s="15" customFormat="1" ht="16.5"/>
    <row r="603" s="15" customFormat="1" ht="16.5"/>
    <row r="604" s="15" customFormat="1" ht="16.5"/>
    <row r="605" s="15" customFormat="1" ht="16.5"/>
    <row r="606" s="15" customFormat="1" ht="16.5"/>
    <row r="607" s="15" customFormat="1" ht="16.5"/>
    <row r="608" s="15" customFormat="1" ht="16.5"/>
    <row r="609" s="15" customFormat="1" ht="16.5"/>
    <row r="610" s="15" customFormat="1" ht="16.5"/>
    <row r="611" s="15" customFormat="1" ht="16.5"/>
    <row r="612" s="15" customFormat="1" ht="16.5"/>
    <row r="613" s="15" customFormat="1" ht="16.5"/>
    <row r="614" s="15" customFormat="1" ht="16.5"/>
    <row r="615" s="15" customFormat="1" ht="16.5"/>
    <row r="616" s="15" customFormat="1" ht="16.5"/>
    <row r="617" s="15" customFormat="1" ht="16.5"/>
    <row r="618" s="15" customFormat="1" ht="16.5"/>
    <row r="619" s="15" customFormat="1" ht="16.5"/>
    <row r="620" s="15" customFormat="1" ht="16.5"/>
    <row r="621" s="15" customFormat="1" ht="16.5"/>
    <row r="622" s="15" customFormat="1" ht="16.5"/>
    <row r="623" s="15" customFormat="1" ht="16.5"/>
    <row r="624" s="15" customFormat="1" ht="16.5"/>
    <row r="625" s="15" customFormat="1" ht="16.5"/>
    <row r="626" s="15" customFormat="1" ht="16.5"/>
    <row r="627" s="15" customFormat="1" ht="16.5"/>
    <row r="628" s="15" customFormat="1" ht="16.5"/>
    <row r="629" s="15" customFormat="1" ht="16.5"/>
    <row r="630" s="15" customFormat="1" ht="16.5"/>
    <row r="631" s="15" customFormat="1" ht="16.5"/>
    <row r="632" s="15" customFormat="1" ht="16.5"/>
    <row r="633" s="15" customFormat="1" ht="16.5"/>
    <row r="634" s="15" customFormat="1" ht="16.5"/>
    <row r="635" s="15" customFormat="1" ht="16.5"/>
    <row r="636" s="15" customFormat="1" ht="16.5"/>
    <row r="637" s="15" customFormat="1" ht="16.5"/>
    <row r="638" s="15" customFormat="1" ht="16.5"/>
    <row r="639" s="15" customFormat="1" ht="16.5"/>
    <row r="640" s="15" customFormat="1" ht="16.5"/>
    <row r="641" s="15" customFormat="1" ht="16.5"/>
    <row r="642" s="15" customFormat="1" ht="16.5"/>
    <row r="643" s="15" customFormat="1" ht="16.5"/>
    <row r="644" s="15" customFormat="1" ht="16.5"/>
    <row r="645" s="15" customFormat="1" ht="16.5"/>
    <row r="646" s="15" customFormat="1" ht="16.5"/>
    <row r="647" s="15" customFormat="1" ht="16.5"/>
    <row r="648" s="15" customFormat="1" ht="16.5"/>
    <row r="649" s="15" customFormat="1" ht="16.5"/>
    <row r="650" s="15" customFormat="1" ht="16.5"/>
    <row r="651" s="15" customFormat="1" ht="16.5"/>
    <row r="652" s="15" customFormat="1" ht="16.5"/>
    <row r="653" s="15" customFormat="1" ht="16.5"/>
    <row r="654" s="15" customFormat="1" ht="16.5"/>
    <row r="655" s="15" customFormat="1" ht="16.5"/>
    <row r="656" s="15" customFormat="1" ht="16.5"/>
    <row r="657" s="15" customFormat="1" ht="16.5"/>
    <row r="658" s="15" customFormat="1" ht="16.5"/>
    <row r="659" s="15" customFormat="1" ht="16.5"/>
    <row r="660" s="15" customFormat="1" ht="16.5"/>
    <row r="661" s="15" customFormat="1" ht="16.5"/>
    <row r="662" s="15" customFormat="1" ht="16.5"/>
    <row r="663" s="15" customFormat="1" ht="16.5"/>
    <row r="664" s="15" customFormat="1" ht="16.5"/>
    <row r="665" s="15" customFormat="1" ht="16.5"/>
    <row r="666" s="15" customFormat="1" ht="16.5"/>
    <row r="667" s="15" customFormat="1" ht="16.5"/>
    <row r="668" s="15" customFormat="1" ht="16.5"/>
    <row r="669" s="15" customFormat="1" ht="16.5"/>
    <row r="670" s="15" customFormat="1" ht="16.5"/>
    <row r="671" s="15" customFormat="1" ht="16.5"/>
    <row r="672" s="15" customFormat="1" ht="16.5"/>
    <row r="673" s="15" customFormat="1" ht="16.5"/>
    <row r="674" s="15" customFormat="1" ht="16.5"/>
    <row r="675" s="15" customFormat="1" ht="16.5"/>
    <row r="676" s="15" customFormat="1" ht="16.5"/>
    <row r="677" s="15" customFormat="1" ht="16.5"/>
    <row r="678" s="15" customFormat="1" ht="16.5"/>
    <row r="679" s="15" customFormat="1" ht="16.5"/>
    <row r="680" s="15" customFormat="1" ht="16.5"/>
    <row r="681" s="15" customFormat="1" ht="16.5"/>
    <row r="682" s="15" customFormat="1" ht="16.5"/>
    <row r="683" s="15" customFormat="1" ht="16.5"/>
    <row r="684" s="15" customFormat="1" ht="16.5"/>
    <row r="685" s="15" customFormat="1" ht="16.5"/>
    <row r="686" s="15" customFormat="1" ht="16.5"/>
    <row r="687" s="15" customFormat="1" ht="16.5"/>
    <row r="688" s="15" customFormat="1" ht="16.5"/>
    <row r="689" s="15" customFormat="1" ht="16.5"/>
    <row r="690" s="15" customFormat="1" ht="16.5"/>
    <row r="691" s="15" customFormat="1" ht="16.5"/>
    <row r="692" s="15" customFormat="1" ht="16.5"/>
    <row r="693" s="15" customFormat="1" ht="16.5"/>
    <row r="694" s="15" customFormat="1" ht="16.5"/>
    <row r="695" s="15" customFormat="1" ht="16.5"/>
    <row r="696" s="15" customFormat="1" ht="16.5"/>
    <row r="697" s="15" customFormat="1" ht="16.5"/>
    <row r="698" s="15" customFormat="1" ht="16.5"/>
    <row r="699" s="15" customFormat="1" ht="16.5"/>
    <row r="700" s="15" customFormat="1" ht="16.5"/>
    <row r="701" s="15" customFormat="1" ht="16.5"/>
    <row r="702" s="15" customFormat="1" ht="16.5"/>
    <row r="703" s="15" customFormat="1" ht="16.5"/>
    <row r="704" s="15" customFormat="1" ht="16.5"/>
    <row r="705" s="15" customFormat="1" ht="16.5"/>
    <row r="706" s="15" customFormat="1" ht="16.5"/>
    <row r="707" s="15" customFormat="1" ht="16.5"/>
    <row r="708" s="15" customFormat="1" ht="16.5"/>
    <row r="709" s="15" customFormat="1" ht="16.5"/>
    <row r="710" s="15" customFormat="1" ht="16.5"/>
    <row r="711" s="15" customFormat="1" ht="16.5"/>
    <row r="712" s="15" customFormat="1" ht="16.5"/>
    <row r="713" s="15" customFormat="1" ht="16.5"/>
    <row r="714" s="15" customFormat="1" ht="16.5"/>
    <row r="715" s="15" customFormat="1" ht="16.5"/>
    <row r="716" s="15" customFormat="1" ht="16.5"/>
    <row r="717" s="15" customFormat="1" ht="16.5"/>
    <row r="718" s="15" customFormat="1" ht="16.5"/>
    <row r="719" s="15" customFormat="1" ht="16.5"/>
    <row r="720" s="15" customFormat="1" ht="16.5"/>
    <row r="721" s="15" customFormat="1" ht="16.5"/>
    <row r="722" s="15" customFormat="1" ht="16.5"/>
    <row r="723" s="15" customFormat="1" ht="16.5"/>
    <row r="724" s="15" customFormat="1" ht="16.5"/>
    <row r="725" s="15" customFormat="1" ht="16.5"/>
    <row r="726" s="15" customFormat="1" ht="16.5"/>
    <row r="727" s="15" customFormat="1" ht="16.5"/>
    <row r="728" s="15" customFormat="1" ht="16.5"/>
    <row r="729" s="15" customFormat="1" ht="16.5"/>
    <row r="730" s="15" customFormat="1" ht="16.5"/>
    <row r="731" s="15" customFormat="1" ht="16.5"/>
    <row r="732" s="15" customFormat="1" ht="16.5"/>
    <row r="733" s="15" customFormat="1" ht="16.5"/>
    <row r="734" s="15" customFormat="1" ht="16.5"/>
    <row r="735" s="15" customFormat="1" ht="16.5"/>
    <row r="736" s="15" customFormat="1" ht="16.5"/>
    <row r="737" s="15" customFormat="1" ht="16.5"/>
    <row r="738" s="15" customFormat="1" ht="16.5"/>
    <row r="739" s="15" customFormat="1" ht="16.5"/>
    <row r="740" s="15" customFormat="1" ht="16.5"/>
    <row r="741" s="15" customFormat="1" ht="16.5"/>
    <row r="742" s="15" customFormat="1" ht="16.5"/>
    <row r="743" s="15" customFormat="1" ht="16.5"/>
    <row r="744" s="15" customFormat="1" ht="16.5"/>
    <row r="745" s="15" customFormat="1" ht="16.5"/>
    <row r="746" s="15" customFormat="1" ht="16.5"/>
    <row r="747" s="15" customFormat="1" ht="16.5"/>
    <row r="748" s="15" customFormat="1" ht="16.5"/>
    <row r="749" s="15" customFormat="1" ht="16.5"/>
    <row r="750" s="15" customFormat="1" ht="16.5"/>
    <row r="751" s="15" customFormat="1" ht="16.5"/>
    <row r="752" s="15" customFormat="1" ht="16.5"/>
    <row r="753" s="15" customFormat="1" ht="16.5"/>
    <row r="754" s="15" customFormat="1" ht="16.5"/>
    <row r="755" s="15" customFormat="1" ht="16.5"/>
    <row r="756" s="15" customFormat="1" ht="16.5"/>
    <row r="757" s="15" customFormat="1" ht="16.5"/>
    <row r="758" s="15" customFormat="1" ht="16.5"/>
    <row r="759" s="15" customFormat="1" ht="16.5"/>
    <row r="760" s="15" customFormat="1" ht="16.5"/>
    <row r="761" s="15" customFormat="1" ht="16.5"/>
    <row r="762" s="15" customFormat="1" ht="16.5"/>
    <row r="763" s="15" customFormat="1" ht="16.5"/>
    <row r="764" s="15" customFormat="1" ht="16.5"/>
    <row r="765" s="15" customFormat="1" ht="16.5"/>
    <row r="766" s="15" customFormat="1" ht="16.5"/>
    <row r="767" s="15" customFormat="1" ht="16.5"/>
    <row r="768" s="15" customFormat="1" ht="16.5"/>
    <row r="769" s="15" customFormat="1" ht="16.5"/>
    <row r="770" s="15" customFormat="1" ht="16.5"/>
    <row r="771" s="15" customFormat="1" ht="16.5"/>
    <row r="772" s="15" customFormat="1" ht="16.5"/>
    <row r="773" s="15" customFormat="1" ht="16.5"/>
    <row r="774" s="15" customFormat="1" ht="16.5"/>
    <row r="775" s="15" customFormat="1" ht="16.5"/>
    <row r="776" s="15" customFormat="1" ht="16.5"/>
    <row r="777" s="15" customFormat="1" ht="16.5"/>
    <row r="778" s="15" customFormat="1" ht="16.5"/>
    <row r="779" s="15" customFormat="1" ht="16.5"/>
    <row r="780" s="15" customFormat="1" ht="16.5"/>
    <row r="781" s="15" customFormat="1" ht="16.5"/>
    <row r="782" s="15" customFormat="1" ht="16.5"/>
    <row r="783" s="15" customFormat="1" ht="16.5"/>
    <row r="784" s="15" customFormat="1" ht="16.5"/>
    <row r="785" s="15" customFormat="1" ht="16.5"/>
    <row r="786" s="15" customFormat="1" ht="16.5"/>
    <row r="787" s="15" customFormat="1" ht="16.5"/>
    <row r="788" s="15" customFormat="1" ht="16.5"/>
    <row r="789" s="15" customFormat="1" ht="16.5"/>
    <row r="790" s="15" customFormat="1" ht="16.5"/>
    <row r="791" s="15" customFormat="1" ht="16.5"/>
    <row r="792" s="15" customFormat="1" ht="16.5"/>
    <row r="793" s="15" customFormat="1" ht="16.5"/>
    <row r="794" s="15" customFormat="1" ht="16.5"/>
    <row r="795" s="15" customFormat="1" ht="16.5"/>
    <row r="796" s="15" customFormat="1" ht="16.5"/>
    <row r="797" s="15" customFormat="1" ht="16.5"/>
    <row r="798" s="15" customFormat="1" ht="16.5"/>
    <row r="799" s="15" customFormat="1" ht="16.5"/>
    <row r="800" s="15" customFormat="1" ht="16.5"/>
    <row r="801" s="15" customFormat="1" ht="16.5"/>
    <row r="802" s="15" customFormat="1" ht="16.5"/>
    <row r="803" s="15" customFormat="1" ht="16.5"/>
    <row r="804" s="15" customFormat="1" ht="16.5"/>
    <row r="805" s="15" customFormat="1" ht="16.5"/>
    <row r="806" s="15" customFormat="1" ht="16.5"/>
    <row r="807" s="15" customFormat="1" ht="16.5"/>
    <row r="808" s="15" customFormat="1" ht="16.5"/>
    <row r="809" s="15" customFormat="1" ht="16.5"/>
    <row r="810" s="15" customFormat="1" ht="16.5"/>
    <row r="811" s="15" customFormat="1" ht="16.5"/>
    <row r="812" s="15" customFormat="1" ht="16.5"/>
    <row r="813" s="15" customFormat="1" ht="16.5"/>
    <row r="814" s="15" customFormat="1" ht="16.5"/>
    <row r="815" s="15" customFormat="1" ht="16.5"/>
    <row r="816" s="15" customFormat="1" ht="16.5"/>
    <row r="817" s="15" customFormat="1" ht="16.5"/>
    <row r="818" s="15" customFormat="1" ht="16.5"/>
    <row r="819" s="15" customFormat="1" ht="16.5"/>
    <row r="820" s="15" customFormat="1" ht="16.5"/>
    <row r="821" s="15" customFormat="1" ht="16.5"/>
    <row r="822" s="15" customFormat="1" ht="16.5"/>
    <row r="823" s="15" customFormat="1" ht="16.5"/>
    <row r="824" s="15" customFormat="1" ht="16.5"/>
    <row r="825" s="15" customFormat="1" ht="16.5"/>
    <row r="826" s="15" customFormat="1" ht="16.5"/>
    <row r="827" s="15" customFormat="1" ht="16.5"/>
    <row r="828" s="15" customFormat="1" ht="16.5"/>
    <row r="829" s="15" customFormat="1" ht="16.5"/>
    <row r="830" s="15" customFormat="1" ht="16.5"/>
    <row r="831" s="15" customFormat="1" ht="16.5"/>
    <row r="832" s="15" customFormat="1" ht="16.5"/>
    <row r="833" s="15" customFormat="1" ht="16.5"/>
    <row r="834" s="15" customFormat="1" ht="16.5"/>
    <row r="835" s="15" customFormat="1" ht="16.5"/>
    <row r="836" s="15" customFormat="1" ht="16.5"/>
    <row r="837" s="15" customFormat="1" ht="16.5"/>
    <row r="838" s="15" customFormat="1" ht="16.5"/>
    <row r="839" s="15" customFormat="1" ht="16.5"/>
    <row r="840" s="15" customFormat="1" ht="16.5"/>
    <row r="841" s="15" customFormat="1" ht="16.5"/>
    <row r="842" s="15" customFormat="1" ht="16.5"/>
    <row r="843" s="15" customFormat="1" ht="16.5"/>
    <row r="844" s="15" customFormat="1" ht="16.5"/>
    <row r="845" s="15" customFormat="1" ht="16.5"/>
    <row r="846" s="15" customFormat="1" ht="16.5"/>
    <row r="847" s="15" customFormat="1" ht="16.5"/>
    <row r="848" s="15" customFormat="1" ht="16.5"/>
    <row r="849" s="15" customFormat="1" ht="16.5"/>
    <row r="850" s="15" customFormat="1" ht="16.5"/>
    <row r="851" s="15" customFormat="1" ht="16.5"/>
    <row r="852" s="15" customFormat="1" ht="16.5"/>
    <row r="853" s="15" customFormat="1" ht="16.5"/>
    <row r="854" s="15" customFormat="1" ht="16.5"/>
    <row r="855" s="15" customFormat="1" ht="16.5"/>
    <row r="856" s="15" customFormat="1" ht="16.5"/>
    <row r="857" s="15" customFormat="1" ht="16.5"/>
    <row r="858" s="15" customFormat="1" ht="16.5"/>
    <row r="859" s="15" customFormat="1" ht="16.5"/>
    <row r="860" s="15" customFormat="1" ht="16.5"/>
    <row r="861" s="15" customFormat="1" ht="16.5"/>
    <row r="862" s="15" customFormat="1" ht="16.5"/>
    <row r="863" s="15" customFormat="1" ht="16.5"/>
    <row r="864" s="15" customFormat="1" ht="16.5"/>
    <row r="865" s="15" customFormat="1" ht="16.5"/>
    <row r="866" s="15" customFormat="1" ht="16.5"/>
    <row r="867" s="15" customFormat="1" ht="16.5"/>
    <row r="868" s="15" customFormat="1" ht="16.5"/>
    <row r="869" s="15" customFormat="1" ht="16.5"/>
    <row r="870" s="15" customFormat="1" ht="16.5"/>
    <row r="871" s="15" customFormat="1" ht="16.5"/>
    <row r="872" s="15" customFormat="1" ht="16.5"/>
    <row r="873" s="15" customFormat="1" ht="16.5"/>
    <row r="874" s="15" customFormat="1" ht="16.5"/>
    <row r="875" s="15" customFormat="1" ht="16.5"/>
    <row r="876" s="15" customFormat="1" ht="16.5"/>
    <row r="877" s="15" customFormat="1" ht="16.5"/>
    <row r="878" s="15" customFormat="1" ht="16.5"/>
    <row r="879" s="15" customFormat="1" ht="16.5"/>
    <row r="880" s="15" customFormat="1" ht="16.5"/>
    <row r="881" s="15" customFormat="1" ht="16.5"/>
    <row r="882" s="15" customFormat="1" ht="16.5"/>
    <row r="883" s="15" customFormat="1" ht="16.5"/>
    <row r="884" s="15" customFormat="1" ht="16.5"/>
    <row r="885" s="15" customFormat="1" ht="16.5"/>
    <row r="886" s="15" customFormat="1" ht="16.5"/>
    <row r="887" s="15" customFormat="1" ht="16.5"/>
    <row r="888" s="15" customFormat="1" ht="16.5"/>
    <row r="889" s="15" customFormat="1" ht="16.5"/>
    <row r="890" s="15" customFormat="1" ht="16.5"/>
    <row r="891" s="15" customFormat="1" ht="16.5"/>
    <row r="892" s="15" customFormat="1" ht="16.5"/>
    <row r="893" s="15" customFormat="1" ht="16.5"/>
    <row r="894" s="15" customFormat="1" ht="16.5"/>
    <row r="895" s="15" customFormat="1" ht="16.5"/>
    <row r="896" s="15" customFormat="1" ht="16.5"/>
    <row r="897" s="15" customFormat="1" ht="16.5"/>
    <row r="898" s="15" customFormat="1" ht="16.5"/>
    <row r="899" s="15" customFormat="1" ht="16.5"/>
    <row r="900" s="15" customFormat="1" ht="16.5"/>
    <row r="901" s="15" customFormat="1" ht="16.5"/>
    <row r="902" s="15" customFormat="1" ht="16.5"/>
    <row r="903" s="15" customFormat="1" ht="16.5"/>
    <row r="904" s="15" customFormat="1" ht="16.5"/>
    <row r="905" s="15" customFormat="1" ht="16.5"/>
    <row r="906" s="15" customFormat="1" ht="16.5"/>
    <row r="907" s="15" customFormat="1" ht="16.5"/>
    <row r="908" s="15" customFormat="1" ht="16.5"/>
    <row r="909" s="15" customFormat="1" ht="16.5"/>
    <row r="910" s="15" customFormat="1" ht="16.5"/>
    <row r="911" s="15" customFormat="1" ht="16.5"/>
    <row r="912" s="15" customFormat="1" ht="16.5"/>
    <row r="913" s="15" customFormat="1" ht="16.5"/>
    <row r="914" s="15" customFormat="1" ht="16.5"/>
    <row r="915" s="15" customFormat="1" ht="16.5"/>
    <row r="916" s="15" customFormat="1" ht="16.5"/>
    <row r="917" s="15" customFormat="1" ht="16.5"/>
    <row r="918" s="15" customFormat="1" ht="16.5"/>
    <row r="919" s="15" customFormat="1" ht="16.5"/>
    <row r="920" s="15" customFormat="1" ht="16.5"/>
    <row r="921" s="15" customFormat="1" ht="16.5"/>
    <row r="922" s="15" customFormat="1" ht="16.5"/>
    <row r="923" s="15" customFormat="1" ht="16.5"/>
    <row r="924" s="15" customFormat="1" ht="16.5"/>
    <row r="925" s="15" customFormat="1" ht="16.5"/>
    <row r="926" s="15" customFormat="1" ht="16.5"/>
    <row r="927" s="15" customFormat="1" ht="16.5"/>
    <row r="928" s="15" customFormat="1" ht="16.5"/>
    <row r="929" s="15" customFormat="1" ht="16.5"/>
    <row r="930" s="15" customFormat="1" ht="16.5"/>
    <row r="931" s="15" customFormat="1" ht="16.5"/>
    <row r="932" s="15" customFormat="1" ht="16.5"/>
    <row r="933" s="15" customFormat="1" ht="16.5"/>
    <row r="934" s="15" customFormat="1" ht="16.5"/>
    <row r="935" s="15" customFormat="1" ht="16.5"/>
    <row r="936" s="15" customFormat="1" ht="16.5"/>
    <row r="937" s="15" customFormat="1" ht="16.5"/>
    <row r="938" s="15" customFormat="1" ht="16.5"/>
    <row r="939" s="15" customFormat="1" ht="16.5"/>
    <row r="940" s="15" customFormat="1" ht="16.5"/>
    <row r="941" s="15" customFormat="1" ht="16.5"/>
    <row r="942" s="15" customFormat="1" ht="16.5"/>
    <row r="943" s="15" customFormat="1" ht="16.5"/>
    <row r="944" s="15" customFormat="1" ht="16.5"/>
    <row r="945" s="15" customFormat="1" ht="16.5"/>
    <row r="946" s="15" customFormat="1" ht="16.5"/>
    <row r="947" s="15" customFormat="1" ht="16.5"/>
    <row r="948" s="15" customFormat="1" ht="16.5"/>
    <row r="949" s="15" customFormat="1" ht="16.5"/>
    <row r="950" s="15" customFormat="1" ht="16.5"/>
    <row r="951" s="15" customFormat="1" ht="16.5"/>
    <row r="952" s="15" customFormat="1" ht="16.5"/>
    <row r="953" s="15" customFormat="1" ht="16.5"/>
    <row r="954" s="15" customFormat="1" ht="16.5"/>
    <row r="955" s="15" customFormat="1" ht="16.5"/>
    <row r="956" s="15" customFormat="1" ht="16.5"/>
    <row r="957" s="15" customFormat="1" ht="16.5"/>
    <row r="958" s="15" customFormat="1" ht="16.5"/>
    <row r="959" s="15" customFormat="1" ht="16.5"/>
    <row r="960" s="15" customFormat="1" ht="16.5"/>
    <row r="961" s="15" customFormat="1" ht="16.5"/>
    <row r="962" s="15" customFormat="1" ht="16.5"/>
    <row r="963" s="15" customFormat="1" ht="16.5"/>
    <row r="964" s="15" customFormat="1" ht="16.5"/>
    <row r="965" s="15" customFormat="1" ht="16.5"/>
    <row r="966" s="15" customFormat="1" ht="16.5"/>
    <row r="967" s="15" customFormat="1" ht="16.5"/>
    <row r="968" s="15" customFormat="1" ht="16.5"/>
    <row r="969" s="15" customFormat="1" ht="16.5"/>
    <row r="970" s="15" customFormat="1" ht="16.5"/>
    <row r="971" s="15" customFormat="1" ht="16.5"/>
    <row r="972" s="15" customFormat="1" ht="16.5"/>
    <row r="973" s="15" customFormat="1" ht="16.5"/>
    <row r="974" s="15" customFormat="1" ht="16.5"/>
    <row r="975" s="15" customFormat="1" ht="16.5"/>
    <row r="976" s="15" customFormat="1" ht="16.5"/>
    <row r="977" s="15" customFormat="1" ht="16.5"/>
    <row r="978" s="15" customFormat="1" ht="16.5"/>
    <row r="979" s="15" customFormat="1" ht="16.5"/>
    <row r="980" s="15" customFormat="1" ht="16.5"/>
    <row r="981" s="15" customFormat="1" ht="16.5"/>
    <row r="982" s="15" customFormat="1" ht="16.5"/>
    <row r="983" s="15" customFormat="1" ht="16.5"/>
    <row r="984" s="15" customFormat="1" ht="16.5"/>
    <row r="985" s="15" customFormat="1" ht="16.5"/>
    <row r="986" s="15" customFormat="1" ht="16.5"/>
    <row r="987" s="15" customFormat="1" ht="16.5"/>
    <row r="988" s="15" customFormat="1" ht="16.5"/>
    <row r="989" s="15" customFormat="1" ht="16.5"/>
    <row r="990" s="15" customFormat="1" ht="16.5"/>
    <row r="991" s="15" customFormat="1" ht="16.5"/>
    <row r="992" s="15" customFormat="1" ht="16.5"/>
    <row r="993" s="15" customFormat="1" ht="16.5"/>
    <row r="994" s="15" customFormat="1" ht="16.5"/>
    <row r="995" s="15" customFormat="1" ht="16.5"/>
    <row r="996" s="15" customFormat="1" ht="16.5"/>
    <row r="997" s="15" customFormat="1" ht="16.5"/>
    <row r="998" s="15" customFormat="1" ht="16.5"/>
    <row r="999" s="15" customFormat="1" ht="16.5"/>
    <row r="1000" s="15" customFormat="1" ht="16.5"/>
    <row r="1001" s="15" customFormat="1" ht="16.5"/>
    <row r="1002" s="15" customFormat="1" ht="16.5"/>
    <row r="1003" s="15" customFormat="1" ht="16.5"/>
    <row r="1004" s="15" customFormat="1" ht="16.5"/>
    <row r="1005" s="15" customFormat="1" ht="16.5"/>
    <row r="1006" s="15" customFormat="1" ht="16.5"/>
    <row r="1007" s="15" customFormat="1" ht="16.5"/>
    <row r="1008" s="15" customFormat="1" ht="16.5"/>
    <row r="1009" s="15" customFormat="1" ht="16.5"/>
    <row r="1010" s="15" customFormat="1" ht="16.5"/>
    <row r="1011" s="15" customFormat="1" ht="16.5"/>
    <row r="1012" s="15" customFormat="1" ht="16.5"/>
    <row r="1013" s="15" customFormat="1" ht="16.5"/>
    <row r="1014" s="15" customFormat="1" ht="16.5"/>
    <row r="1015" s="15" customFormat="1" ht="16.5"/>
    <row r="1016" s="15" customFormat="1" ht="16.5"/>
    <row r="1017" s="15" customFormat="1" ht="16.5"/>
    <row r="1018" s="15" customFormat="1" ht="16.5"/>
    <row r="1019" s="15" customFormat="1" ht="16.5"/>
    <row r="1020" s="15" customFormat="1" ht="16.5"/>
    <row r="1021" s="15" customFormat="1" ht="16.5"/>
    <row r="1022" s="15" customFormat="1" ht="16.5"/>
    <row r="1023" s="15" customFormat="1" ht="16.5"/>
    <row r="1024" s="15" customFormat="1" ht="16.5"/>
    <row r="1025" s="15" customFormat="1" ht="16.5"/>
    <row r="1026" s="15" customFormat="1" ht="16.5"/>
    <row r="1027" s="15" customFormat="1" ht="16.5"/>
    <row r="1028" s="15" customFormat="1" ht="16.5"/>
    <row r="1029" s="15" customFormat="1" ht="16.5"/>
    <row r="1030" s="15" customFormat="1" ht="16.5"/>
    <row r="1031" s="15" customFormat="1" ht="16.5"/>
    <row r="1032" s="15" customFormat="1" ht="16.5"/>
    <row r="1033" s="15" customFormat="1" ht="16.5"/>
    <row r="1034" s="15" customFormat="1" ht="16.5"/>
    <row r="1035" s="15" customFormat="1" ht="16.5"/>
    <row r="1036" s="15" customFormat="1" ht="16.5"/>
    <row r="1037" s="15" customFormat="1" ht="16.5"/>
    <row r="1038" s="15" customFormat="1" ht="16.5"/>
    <row r="1039" s="15" customFormat="1" ht="16.5"/>
    <row r="1040" s="15" customFormat="1" ht="16.5"/>
    <row r="1041" s="15" customFormat="1" ht="16.5"/>
    <row r="1042" s="15" customFormat="1" ht="16.5"/>
    <row r="1043" s="15" customFormat="1" ht="16.5"/>
    <row r="1044" s="15" customFormat="1" ht="16.5"/>
    <row r="1045" s="15" customFormat="1" ht="16.5"/>
    <row r="1046" s="15" customFormat="1" ht="16.5"/>
    <row r="1047" s="15" customFormat="1" ht="16.5"/>
    <row r="1048" s="15" customFormat="1" ht="16.5"/>
    <row r="1049" s="15" customFormat="1" ht="16.5"/>
    <row r="1050" s="15" customFormat="1" ht="16.5"/>
    <row r="1051" s="15" customFormat="1" ht="16.5"/>
    <row r="1052" s="15" customFormat="1" ht="16.5"/>
    <row r="1053" s="15" customFormat="1" ht="16.5"/>
    <row r="1054" s="15" customFormat="1" ht="16.5"/>
    <row r="1055" s="15" customFormat="1" ht="16.5"/>
    <row r="1056" s="15" customFormat="1" ht="16.5"/>
    <row r="1057" s="15" customFormat="1" ht="16.5"/>
    <row r="1058" s="15" customFormat="1" ht="16.5"/>
    <row r="1059" s="15" customFormat="1" ht="16.5"/>
    <row r="1060" s="15" customFormat="1" ht="16.5"/>
    <row r="1061" s="15" customFormat="1" ht="16.5"/>
    <row r="1062" s="15" customFormat="1" ht="16.5"/>
    <row r="1063" s="15" customFormat="1" ht="16.5"/>
    <row r="1064" s="15" customFormat="1" ht="16.5"/>
    <row r="1065" s="15" customFormat="1" ht="16.5"/>
    <row r="1066" s="15" customFormat="1" ht="16.5"/>
    <row r="1067" s="15" customFormat="1" ht="16.5"/>
    <row r="1068" s="15" customFormat="1" ht="16.5"/>
    <row r="1069" s="15" customFormat="1" ht="16.5"/>
    <row r="1070" s="15" customFormat="1" ht="16.5"/>
    <row r="1071" s="15" customFormat="1" ht="16.5"/>
    <row r="1072" s="15" customFormat="1" ht="16.5"/>
    <row r="1073" s="15" customFormat="1" ht="16.5"/>
    <row r="1074" s="15" customFormat="1" ht="16.5"/>
    <row r="1075" s="15" customFormat="1" ht="16.5"/>
    <row r="1076" s="15" customFormat="1" ht="16.5"/>
    <row r="1077" s="15" customFormat="1" ht="16.5"/>
    <row r="1078" s="15" customFormat="1" ht="16.5"/>
    <row r="1079" s="15" customFormat="1" ht="16.5"/>
    <row r="1080" s="15" customFormat="1" ht="16.5"/>
    <row r="1081" s="15" customFormat="1" ht="16.5"/>
    <row r="1082" s="15" customFormat="1" ht="16.5"/>
    <row r="1083" s="15" customFormat="1" ht="16.5"/>
    <row r="1084" s="15" customFormat="1" ht="16.5"/>
    <row r="1085" s="15" customFormat="1" ht="16.5"/>
    <row r="1086" s="15" customFormat="1" ht="16.5"/>
    <row r="1087" s="15" customFormat="1" ht="16.5"/>
    <row r="1088" s="15" customFormat="1" ht="16.5"/>
    <row r="1089" s="15" customFormat="1" ht="16.5"/>
    <row r="1090" s="15" customFormat="1" ht="16.5"/>
    <row r="1091" s="15" customFormat="1" ht="16.5"/>
    <row r="1092" s="15" customFormat="1" ht="16.5"/>
    <row r="1093" s="15" customFormat="1" ht="16.5"/>
    <row r="1094" s="15" customFormat="1" ht="16.5"/>
    <row r="1095" s="15" customFormat="1" ht="16.5"/>
    <row r="1096" s="15" customFormat="1" ht="16.5"/>
    <row r="1097" s="15" customFormat="1" ht="16.5"/>
    <row r="1098" s="15" customFormat="1" ht="16.5"/>
    <row r="1099" s="15" customFormat="1" ht="16.5"/>
    <row r="1100" s="15" customFormat="1" ht="16.5"/>
    <row r="1101" s="15" customFormat="1" ht="16.5"/>
    <row r="1102" s="15" customFormat="1" ht="16.5"/>
    <row r="1103" s="15" customFormat="1" ht="16.5"/>
    <row r="1104" s="15" customFormat="1" ht="16.5"/>
    <row r="1105" s="15" customFormat="1" ht="16.5"/>
    <row r="1106" s="15" customFormat="1" ht="16.5"/>
    <row r="1107" s="15" customFormat="1" ht="16.5"/>
    <row r="1108" s="15" customFormat="1" ht="16.5"/>
    <row r="1109" s="15" customFormat="1" ht="16.5"/>
    <row r="1110" s="15" customFormat="1" ht="16.5"/>
    <row r="1111" s="15" customFormat="1" ht="16.5"/>
    <row r="1112" s="15" customFormat="1" ht="16.5"/>
    <row r="1113" s="15" customFormat="1" ht="16.5"/>
    <row r="1114" s="15" customFormat="1" ht="16.5"/>
    <row r="1115" s="15" customFormat="1" ht="16.5"/>
    <row r="1116" s="15" customFormat="1" ht="16.5"/>
    <row r="1117" s="15" customFormat="1" ht="16.5"/>
    <row r="1118" s="15" customFormat="1" ht="16.5"/>
    <row r="1119" s="15" customFormat="1" ht="16.5"/>
    <row r="1120" s="15" customFormat="1" ht="16.5"/>
    <row r="1121" s="15" customFormat="1" ht="16.5"/>
    <row r="1122" s="15" customFormat="1" ht="16.5"/>
    <row r="1123" s="15" customFormat="1" ht="16.5"/>
    <row r="1124" s="15" customFormat="1" ht="16.5"/>
    <row r="1125" s="15" customFormat="1" ht="16.5"/>
    <row r="1126" s="15" customFormat="1" ht="16.5"/>
    <row r="1127" s="15" customFormat="1" ht="16.5"/>
    <row r="1128" s="15" customFormat="1" ht="16.5"/>
    <row r="1129" s="15" customFormat="1" ht="16.5"/>
    <row r="1130" s="15" customFormat="1" ht="16.5"/>
    <row r="1131" s="15" customFormat="1" ht="16.5"/>
    <row r="1132" s="15" customFormat="1" ht="16.5"/>
    <row r="1133" s="15" customFormat="1" ht="16.5"/>
    <row r="1134" s="15" customFormat="1" ht="16.5"/>
    <row r="1135" s="15" customFormat="1" ht="16.5"/>
    <row r="1136" s="15" customFormat="1" ht="16.5"/>
    <row r="1137" s="15" customFormat="1" ht="16.5"/>
    <row r="1138" s="15" customFormat="1" ht="16.5"/>
    <row r="1139" s="15" customFormat="1" ht="16.5"/>
    <row r="1140" s="15" customFormat="1" ht="16.5"/>
    <row r="1141" s="15" customFormat="1" ht="16.5"/>
    <row r="1142" s="15" customFormat="1" ht="16.5"/>
    <row r="1143" s="15" customFormat="1" ht="16.5"/>
    <row r="1144" s="15" customFormat="1" ht="16.5"/>
    <row r="1145" s="15" customFormat="1" ht="16.5"/>
    <row r="1146" s="15" customFormat="1" ht="16.5"/>
    <row r="1147" s="15" customFormat="1" ht="16.5"/>
    <row r="1148" s="15" customFormat="1" ht="16.5"/>
    <row r="1149" s="15" customFormat="1" ht="16.5"/>
    <row r="1150" s="15" customFormat="1" ht="16.5"/>
    <row r="1151" s="15" customFormat="1" ht="16.5"/>
    <row r="1152" s="15" customFormat="1" ht="16.5"/>
    <row r="1153" s="15" customFormat="1" ht="16.5"/>
    <row r="1154" s="15" customFormat="1" ht="16.5"/>
    <row r="1155" s="15" customFormat="1" ht="16.5"/>
    <row r="1156" s="15" customFormat="1" ht="16.5"/>
    <row r="1157" s="15" customFormat="1" ht="16.5"/>
    <row r="1158" s="15" customFormat="1" ht="16.5"/>
    <row r="1159" s="15" customFormat="1" ht="16.5"/>
    <row r="1160" s="15" customFormat="1" ht="16.5"/>
    <row r="1161" s="15" customFormat="1" ht="16.5"/>
    <row r="1162" s="15" customFormat="1" ht="16.5"/>
    <row r="1163" s="15" customFormat="1" ht="16.5"/>
    <row r="1164" s="15" customFormat="1" ht="16.5"/>
    <row r="1165" s="15" customFormat="1" ht="16.5"/>
    <row r="1166" s="15" customFormat="1" ht="16.5"/>
    <row r="1167" s="15" customFormat="1" ht="16.5"/>
    <row r="1168" s="15" customFormat="1" ht="16.5"/>
    <row r="1169" s="15" customFormat="1" ht="16.5"/>
    <row r="1170" s="15" customFormat="1" ht="16.5"/>
    <row r="1171" s="15" customFormat="1" ht="16.5"/>
    <row r="1172" s="15" customFormat="1" ht="16.5"/>
    <row r="1173" s="15" customFormat="1" ht="16.5"/>
    <row r="1174" s="15" customFormat="1" ht="16.5"/>
    <row r="1175" s="15" customFormat="1" ht="16.5"/>
    <row r="1176" s="15" customFormat="1" ht="16.5"/>
    <row r="1177" s="15" customFormat="1" ht="16.5"/>
  </sheetData>
  <mergeCells count="51">
    <mergeCell ref="A29:A30"/>
    <mergeCell ref="B29:B30"/>
    <mergeCell ref="D32:D33"/>
    <mergeCell ref="E29:E30"/>
    <mergeCell ref="G29:G30"/>
    <mergeCell ref="A32:C33"/>
    <mergeCell ref="E32:G33"/>
    <mergeCell ref="C29:D29"/>
    <mergeCell ref="C30:D30"/>
    <mergeCell ref="K32:M32"/>
    <mergeCell ref="K33:M33"/>
    <mergeCell ref="C34:D34"/>
    <mergeCell ref="K34:M34"/>
    <mergeCell ref="H29:H30"/>
    <mergeCell ref="H32:H33"/>
    <mergeCell ref="K26:M26"/>
    <mergeCell ref="A27:G27"/>
    <mergeCell ref="H27:I27"/>
    <mergeCell ref="K27:M27"/>
    <mergeCell ref="K28:M28"/>
    <mergeCell ref="B25:C25"/>
    <mergeCell ref="D25:E25"/>
    <mergeCell ref="F25:G25"/>
    <mergeCell ref="H25:I25"/>
    <mergeCell ref="B26:C26"/>
    <mergeCell ref="D26:E26"/>
    <mergeCell ref="F26:G26"/>
    <mergeCell ref="H26:I26"/>
    <mergeCell ref="B23:C23"/>
    <mergeCell ref="D23:E23"/>
    <mergeCell ref="F23:G23"/>
    <mergeCell ref="H23:I23"/>
    <mergeCell ref="B24:C24"/>
    <mergeCell ref="D24:E24"/>
    <mergeCell ref="F24:G24"/>
    <mergeCell ref="H24:I24"/>
    <mergeCell ref="A20:M20"/>
    <mergeCell ref="B22:C22"/>
    <mergeCell ref="D22:E22"/>
    <mergeCell ref="F22:G22"/>
    <mergeCell ref="H22:I22"/>
    <mergeCell ref="B15:C15"/>
    <mergeCell ref="B16:C16"/>
    <mergeCell ref="B17:C17"/>
    <mergeCell ref="B18:C18"/>
    <mergeCell ref="B19:C19"/>
    <mergeCell ref="B10:C10"/>
    <mergeCell ref="B11:C11"/>
    <mergeCell ref="B12:C12"/>
    <mergeCell ref="B13:C13"/>
    <mergeCell ref="B14:C14"/>
  </mergeCells>
  <pageMargins left="4.3E-3" right="0.23619999999999999" top="0.70909999999999995" bottom="0.39369999999999999" header="0.31540000000000001" footer="0"/>
  <pageSetup paperSize="9" scale="83"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tabColor rgb="FFDDD9C3"/>
  </sheetPr>
  <dimension ref="A1:U1177"/>
  <sheetViews>
    <sheetView view="pageBreakPreview" zoomScale="60" zoomScaleNormal="100" workbookViewId="0">
      <selection activeCell="H10" sqref="H10"/>
    </sheetView>
  </sheetViews>
  <sheetFormatPr defaultColWidth="9" defaultRowHeight="14.25"/>
  <cols>
    <col min="1" max="1" width="29.25" customWidth="1"/>
    <col min="2" max="2" width="2.125" customWidth="1"/>
    <col min="3" max="3" width="15.875" customWidth="1"/>
    <col min="4" max="7" width="9.5" customWidth="1"/>
    <col min="8" max="9" width="10.75" customWidth="1"/>
    <col min="10" max="10" width="9.5" customWidth="1"/>
    <col min="11" max="11" width="8.375" customWidth="1"/>
    <col min="12" max="12" width="9.5" customWidth="1"/>
    <col min="13" max="13" width="11.875" customWidth="1"/>
    <col min="14" max="14" width="9.5" customWidth="1"/>
    <col min="15" max="15" width="26.875" customWidth="1"/>
    <col min="16" max="16" width="15" customWidth="1"/>
    <col min="17" max="17" width="17.625" customWidth="1"/>
    <col min="18" max="18" width="13" customWidth="1"/>
    <col min="19" max="19" width="25.5" customWidth="1"/>
    <col min="20" max="20" width="20.375" customWidth="1"/>
    <col min="21" max="21" width="17.625" customWidth="1"/>
    <col min="22" max="1024" width="4.5" customWidth="1"/>
    <col min="1025" max="1025" width="9" customWidth="1"/>
  </cols>
  <sheetData>
    <row r="1" spans="1:21" s="15" customFormat="1" ht="16.5">
      <c r="A1" s="17" t="s">
        <v>1123</v>
      </c>
      <c r="B1" s="17" t="s">
        <v>49</v>
      </c>
      <c r="C1" s="15" t="str">
        <f>+BACKUP!B1</f>
        <v>CONSTRUCTION OF ROAD</v>
      </c>
    </row>
    <row r="2" spans="1:21" s="15" customFormat="1" ht="16.5">
      <c r="A2" s="17" t="s">
        <v>1124</v>
      </c>
      <c r="B2" s="17" t="s">
        <v>49</v>
      </c>
      <c r="C2" s="15" t="str">
        <f>+BACKUP!B2</f>
        <v>BRGY. L. PIMENTEL, SAN LUIS, AURORA</v>
      </c>
    </row>
    <row r="3" spans="1:21" s="15" customFormat="1" ht="16.5">
      <c r="A3" s="17" t="s">
        <v>1125</v>
      </c>
      <c r="B3" s="17" t="s">
        <v>49</v>
      </c>
      <c r="C3" s="15" t="str">
        <f>+PRICE_LIST!B42</f>
        <v>Reinforcing Steel Bars Deformed Grade 40</v>
      </c>
    </row>
    <row r="4" spans="1:21" s="15" customFormat="1" ht="16.5">
      <c r="A4" s="17" t="s">
        <v>1126</v>
      </c>
      <c r="B4" s="17" t="s">
        <v>49</v>
      </c>
      <c r="C4" s="15" t="s">
        <v>1147</v>
      </c>
    </row>
    <row r="5" spans="1:21" s="15" customFormat="1" ht="16.5">
      <c r="A5" s="17" t="s">
        <v>1128</v>
      </c>
      <c r="B5" s="17" t="s">
        <v>49</v>
      </c>
      <c r="C5" s="18">
        <f>+PRICE_LIST!D42</f>
        <v>41</v>
      </c>
    </row>
    <row r="6" spans="1:21" s="15" customFormat="1" ht="16.5">
      <c r="A6" s="17" t="s">
        <v>1130</v>
      </c>
      <c r="B6" s="17" t="s">
        <v>49</v>
      </c>
      <c r="C6" s="19">
        <f>+C8+C7</f>
        <v>250.4</v>
      </c>
      <c r="D6" s="19" t="s">
        <v>194</v>
      </c>
    </row>
    <row r="7" spans="1:21" s="15" customFormat="1" ht="16.5">
      <c r="A7" s="17" t="s">
        <v>525</v>
      </c>
      <c r="B7" s="17" t="s">
        <v>49</v>
      </c>
      <c r="C7" s="19">
        <v>5</v>
      </c>
      <c r="D7" s="19" t="s">
        <v>194</v>
      </c>
    </row>
    <row r="8" spans="1:21" s="15" customFormat="1" ht="16.5">
      <c r="A8" s="17" t="s">
        <v>526</v>
      </c>
      <c r="B8" s="17" t="s">
        <v>49</v>
      </c>
      <c r="C8" s="19">
        <f>+SUM(B11:C19)</f>
        <v>245.4</v>
      </c>
      <c r="D8" s="19" t="s">
        <v>194</v>
      </c>
    </row>
    <row r="9" spans="1:21" s="15" customFormat="1" ht="16.5">
      <c r="A9" s="17"/>
    </row>
    <row r="10" spans="1:21" s="15" customFormat="1" ht="66" customHeight="1">
      <c r="A10" s="20" t="s">
        <v>527</v>
      </c>
      <c r="B10" s="1724" t="s">
        <v>528</v>
      </c>
      <c r="C10" s="1724"/>
      <c r="D10" s="21" t="s">
        <v>529</v>
      </c>
      <c r="E10" s="21" t="s">
        <v>530</v>
      </c>
      <c r="F10" s="21" t="s">
        <v>531</v>
      </c>
      <c r="G10" s="21" t="s">
        <v>532</v>
      </c>
      <c r="H10" s="21" t="s">
        <v>533</v>
      </c>
      <c r="I10" s="21" t="s">
        <v>534</v>
      </c>
      <c r="J10" s="21" t="s">
        <v>529</v>
      </c>
      <c r="K10" s="21" t="s">
        <v>535</v>
      </c>
      <c r="L10" s="21" t="s">
        <v>536</v>
      </c>
      <c r="M10" s="21" t="s">
        <v>537</v>
      </c>
      <c r="N10" s="21" t="s">
        <v>538</v>
      </c>
      <c r="O10" s="46" t="s">
        <v>1148</v>
      </c>
      <c r="P10" s="46" t="s">
        <v>1149</v>
      </c>
      <c r="Q10" s="51" t="s">
        <v>1150</v>
      </c>
      <c r="S10" s="51" t="s">
        <v>1151</v>
      </c>
      <c r="T10" s="52"/>
      <c r="U10" s="52"/>
    </row>
    <row r="11" spans="1:21" s="15" customFormat="1" ht="16.5">
      <c r="A11" s="22" t="s">
        <v>539</v>
      </c>
      <c r="B11" s="1518"/>
      <c r="C11" s="1518"/>
      <c r="D11" s="24"/>
      <c r="E11" s="24"/>
      <c r="F11" s="24"/>
      <c r="G11" s="24"/>
      <c r="H11" s="24"/>
      <c r="I11" s="24"/>
      <c r="J11" s="24"/>
      <c r="K11" s="24"/>
      <c r="L11" s="24"/>
      <c r="M11" s="24"/>
      <c r="N11" s="24"/>
      <c r="O11" s="24"/>
      <c r="P11" s="24"/>
      <c r="Q11" s="53"/>
      <c r="S11" s="53"/>
    </row>
    <row r="12" spans="1:21" s="15" customFormat="1" ht="16.5">
      <c r="A12" s="25" t="s">
        <v>540</v>
      </c>
      <c r="B12" s="1728">
        <f>+O12+Q12-C7</f>
        <v>183.4</v>
      </c>
      <c r="C12" s="1728"/>
      <c r="D12" s="24">
        <v>35</v>
      </c>
      <c r="E12" s="24">
        <v>3</v>
      </c>
      <c r="F12" s="26">
        <f>E12/60</f>
        <v>0.05</v>
      </c>
      <c r="G12" s="26">
        <f>(B12/D12)+F12</f>
        <v>5.29</v>
      </c>
      <c r="H12" s="24">
        <v>2</v>
      </c>
      <c r="I12" s="26">
        <f>H12/60</f>
        <v>3.3333333333333333E-2</v>
      </c>
      <c r="J12" s="24">
        <v>55</v>
      </c>
      <c r="K12" s="26">
        <f>(B12/J12)+I12</f>
        <v>3.3678787878787877</v>
      </c>
      <c r="L12" s="26">
        <f>K12+G12</f>
        <v>8.6578787878787882</v>
      </c>
      <c r="M12" s="47">
        <f>L12*0.1</f>
        <v>0.86578787878787888</v>
      </c>
      <c r="N12" s="47">
        <f>M12+L12</f>
        <v>9.5236666666666672</v>
      </c>
      <c r="O12" s="26">
        <v>151</v>
      </c>
      <c r="P12" s="26">
        <v>156</v>
      </c>
      <c r="Q12" s="54">
        <f>+'HAULING_COST_(cement)'!B12+S12</f>
        <v>37.4</v>
      </c>
      <c r="S12" s="54">
        <v>19.2</v>
      </c>
      <c r="T12" s="27"/>
      <c r="U12" s="27"/>
    </row>
    <row r="13" spans="1:21" s="15" customFormat="1" ht="16.5">
      <c r="A13" s="25" t="s">
        <v>541</v>
      </c>
      <c r="B13" s="1518"/>
      <c r="C13" s="1518"/>
      <c r="D13" s="24">
        <v>30</v>
      </c>
      <c r="E13" s="24"/>
      <c r="F13" s="24">
        <f>E13/60</f>
        <v>0</v>
      </c>
      <c r="G13" s="26">
        <f>(B13/D13)+F13</f>
        <v>0</v>
      </c>
      <c r="H13" s="24"/>
      <c r="I13" s="26">
        <f>H13/60</f>
        <v>0</v>
      </c>
      <c r="J13" s="24">
        <v>45</v>
      </c>
      <c r="K13" s="26">
        <f>(B13/J13)+I13</f>
        <v>0</v>
      </c>
      <c r="L13" s="26">
        <f>K13+G13</f>
        <v>0</v>
      </c>
      <c r="M13" s="47">
        <f>L13*0.1</f>
        <v>0</v>
      </c>
      <c r="N13" s="47">
        <f>M13+L13</f>
        <v>0</v>
      </c>
      <c r="O13" s="26"/>
      <c r="P13" s="26"/>
      <c r="Q13" s="55"/>
      <c r="S13" s="55"/>
      <c r="T13" s="27"/>
      <c r="U13" s="27"/>
    </row>
    <row r="14" spans="1:21" s="15" customFormat="1" ht="16.5">
      <c r="A14" s="22" t="s">
        <v>542</v>
      </c>
      <c r="B14" s="1518"/>
      <c r="C14" s="1518"/>
      <c r="D14" s="27"/>
      <c r="E14" s="24"/>
      <c r="F14" s="24"/>
      <c r="G14" s="24"/>
      <c r="H14" s="24"/>
      <c r="I14" s="24"/>
      <c r="J14" s="24"/>
      <c r="K14" s="24"/>
      <c r="L14" s="24"/>
      <c r="M14" s="24"/>
      <c r="N14" s="24"/>
      <c r="O14" s="26"/>
      <c r="P14" s="26"/>
      <c r="Q14" s="55"/>
      <c r="S14" s="55"/>
      <c r="T14" s="27"/>
      <c r="U14" s="27"/>
    </row>
    <row r="15" spans="1:21" s="15" customFormat="1" ht="16.5">
      <c r="A15" s="25" t="s">
        <v>540</v>
      </c>
      <c r="B15" s="1728">
        <f>+O15+Q15</f>
        <v>14</v>
      </c>
      <c r="C15" s="1728"/>
      <c r="D15" s="24">
        <v>30</v>
      </c>
      <c r="E15" s="24"/>
      <c r="F15" s="24">
        <f>E15/60</f>
        <v>0</v>
      </c>
      <c r="G15" s="26">
        <f>(B15/D15)+F15</f>
        <v>0.46666666666666667</v>
      </c>
      <c r="H15" s="24"/>
      <c r="I15" s="26">
        <f>H15/60</f>
        <v>0</v>
      </c>
      <c r="J15" s="24">
        <v>40</v>
      </c>
      <c r="K15" s="26">
        <f>(B15/J15)+I15</f>
        <v>0.35</v>
      </c>
      <c r="L15" s="26">
        <f>K15+G15</f>
        <v>0.81666666666666665</v>
      </c>
      <c r="M15" s="47">
        <f>L15*0.1</f>
        <v>8.1666666666666665E-2</v>
      </c>
      <c r="N15" s="47">
        <f>M15+L15</f>
        <v>0.89833333333333332</v>
      </c>
      <c r="O15" s="26">
        <v>6</v>
      </c>
      <c r="P15" s="26">
        <v>13</v>
      </c>
      <c r="Q15" s="54">
        <f>+'HAULING_COST_(cement)'!B15+S15</f>
        <v>8</v>
      </c>
      <c r="S15" s="54">
        <v>8</v>
      </c>
      <c r="T15" s="27"/>
      <c r="U15" s="27"/>
    </row>
    <row r="16" spans="1:21" s="15" customFormat="1" ht="16.5">
      <c r="A16" s="25" t="s">
        <v>541</v>
      </c>
      <c r="B16" s="1518"/>
      <c r="C16" s="1518"/>
      <c r="D16" s="24">
        <v>25</v>
      </c>
      <c r="E16" s="24"/>
      <c r="F16" s="24">
        <f>E16/60</f>
        <v>0</v>
      </c>
      <c r="G16" s="26">
        <f>(B16/D16)+F16</f>
        <v>0</v>
      </c>
      <c r="H16" s="24"/>
      <c r="I16" s="26">
        <f>H16/60</f>
        <v>0</v>
      </c>
      <c r="J16" s="24">
        <v>35</v>
      </c>
      <c r="K16" s="26">
        <f>(B16/J16)+I16</f>
        <v>0</v>
      </c>
      <c r="L16" s="26">
        <f>K16+G16</f>
        <v>0</v>
      </c>
      <c r="M16" s="47">
        <f>L16*0.1</f>
        <v>0</v>
      </c>
      <c r="N16" s="47">
        <f>M16+L16</f>
        <v>0</v>
      </c>
      <c r="O16" s="26"/>
      <c r="P16" s="26"/>
      <c r="Q16" s="55"/>
      <c r="S16" s="55"/>
      <c r="T16" s="27"/>
      <c r="U16" s="27"/>
    </row>
    <row r="17" spans="1:21" s="15" customFormat="1" ht="16.5">
      <c r="A17" s="22" t="s">
        <v>543</v>
      </c>
      <c r="B17" s="1518"/>
      <c r="C17" s="1518"/>
      <c r="D17" s="27"/>
      <c r="E17" s="24"/>
      <c r="F17" s="24"/>
      <c r="G17" s="24"/>
      <c r="H17" s="24"/>
      <c r="I17" s="24"/>
      <c r="J17" s="24"/>
      <c r="K17" s="24"/>
      <c r="L17" s="24"/>
      <c r="M17" s="24"/>
      <c r="N17" s="24"/>
      <c r="O17" s="26"/>
      <c r="P17" s="26"/>
      <c r="Q17" s="55"/>
      <c r="S17" s="55"/>
      <c r="T17" s="27"/>
      <c r="U17" s="27"/>
    </row>
    <row r="18" spans="1:21" s="15" customFormat="1" ht="16.5">
      <c r="A18" s="25" t="s">
        <v>540</v>
      </c>
      <c r="B18" s="1728">
        <f>+O18+Q18</f>
        <v>48</v>
      </c>
      <c r="C18" s="1728"/>
      <c r="D18" s="24">
        <v>20</v>
      </c>
      <c r="E18" s="24"/>
      <c r="F18" s="24">
        <f>E18/60</f>
        <v>0</v>
      </c>
      <c r="G18" s="26">
        <f>(B18/D18)+F18</f>
        <v>2.4</v>
      </c>
      <c r="H18" s="24"/>
      <c r="I18" s="26">
        <f>H18/60</f>
        <v>0</v>
      </c>
      <c r="J18" s="24">
        <v>30</v>
      </c>
      <c r="K18" s="26">
        <f>(B18/J18)+I18</f>
        <v>1.6</v>
      </c>
      <c r="L18" s="26">
        <f>K18+G18</f>
        <v>4</v>
      </c>
      <c r="M18" s="47">
        <f>L18*0.1</f>
        <v>0.4</v>
      </c>
      <c r="N18" s="47">
        <f>M18+L18</f>
        <v>4.4000000000000004</v>
      </c>
      <c r="O18" s="26">
        <v>10</v>
      </c>
      <c r="P18" s="26">
        <v>20</v>
      </c>
      <c r="Q18" s="54">
        <f>+'HAULING_COST_(cement)'!B18+S18</f>
        <v>38</v>
      </c>
      <c r="S18" s="54">
        <v>38</v>
      </c>
      <c r="T18" s="27"/>
      <c r="U18" s="27"/>
    </row>
    <row r="19" spans="1:21" s="15" customFormat="1" ht="16.5">
      <c r="A19" s="28" t="s">
        <v>541</v>
      </c>
      <c r="B19" s="1518"/>
      <c r="C19" s="1518"/>
      <c r="D19" s="29">
        <v>15</v>
      </c>
      <c r="E19" s="29"/>
      <c r="F19" s="29">
        <f>E19/60</f>
        <v>0</v>
      </c>
      <c r="G19" s="30">
        <f>(B19/D19)+F19</f>
        <v>0</v>
      </c>
      <c r="H19" s="29"/>
      <c r="I19" s="30">
        <f>H19/60</f>
        <v>0</v>
      </c>
      <c r="J19" s="29">
        <v>25</v>
      </c>
      <c r="K19" s="30">
        <f>(B19/J19)+I19</f>
        <v>0</v>
      </c>
      <c r="L19" s="30">
        <f>K19+G19</f>
        <v>0</v>
      </c>
      <c r="M19" s="48">
        <f>L19*0.1</f>
        <v>0</v>
      </c>
      <c r="N19" s="48">
        <f>M19+L19</f>
        <v>0</v>
      </c>
      <c r="O19" s="48"/>
      <c r="P19" s="48"/>
      <c r="Q19" s="55"/>
      <c r="S19" s="55"/>
      <c r="T19" s="27"/>
      <c r="U19" s="27"/>
    </row>
    <row r="20" spans="1:21" s="15" customFormat="1" ht="16.5">
      <c r="A20" s="1744" t="s">
        <v>1152</v>
      </c>
      <c r="B20" s="1744"/>
      <c r="C20" s="1744"/>
      <c r="D20" s="1744"/>
      <c r="E20" s="1744"/>
      <c r="F20" s="1744"/>
      <c r="G20" s="1744"/>
      <c r="H20" s="1744"/>
      <c r="I20" s="1744"/>
      <c r="J20" s="1744"/>
      <c r="K20" s="1744"/>
      <c r="L20" s="1744"/>
      <c r="M20" s="1744"/>
      <c r="N20" s="49">
        <f>+SUM(N11:N19)</f>
        <v>14.822000000000001</v>
      </c>
      <c r="O20" s="49">
        <f>+SUM(O11:O19)</f>
        <v>167</v>
      </c>
      <c r="P20" s="49">
        <f>+SUM(P11:P19)</f>
        <v>189</v>
      </c>
      <c r="Q20" s="49">
        <f>+SUM(Q11:Q19)</f>
        <v>83.4</v>
      </c>
      <c r="S20" s="49">
        <f>+SUM(S11:S19)</f>
        <v>65.2</v>
      </c>
      <c r="T20" s="56"/>
      <c r="U20" s="56"/>
    </row>
    <row r="21" spans="1:21" s="15" customFormat="1" ht="16.5">
      <c r="A21" s="17"/>
    </row>
    <row r="22" spans="1:21" s="15" customFormat="1" ht="16.5">
      <c r="A22" s="31" t="s">
        <v>165</v>
      </c>
      <c r="B22" s="1727" t="s">
        <v>1133</v>
      </c>
      <c r="C22" s="1727"/>
      <c r="D22" s="1727" t="s">
        <v>1134</v>
      </c>
      <c r="E22" s="1727"/>
      <c r="F22" s="1727" t="s">
        <v>1135</v>
      </c>
      <c r="G22" s="1727"/>
      <c r="H22" s="1727" t="s">
        <v>269</v>
      </c>
      <c r="I22" s="1727"/>
      <c r="O22" s="15">
        <f>+N20/2</f>
        <v>7.4110000000000005</v>
      </c>
    </row>
    <row r="23" spans="1:21" s="15" customFormat="1" ht="16.5">
      <c r="A23" s="32" t="s">
        <v>1136</v>
      </c>
      <c r="B23" s="1725">
        <v>2</v>
      </c>
      <c r="C23" s="1725"/>
      <c r="D23" s="1728">
        <f>N20</f>
        <v>14.822000000000001</v>
      </c>
      <c r="E23" s="1728"/>
      <c r="F23" s="1729">
        <f>+PRICE_LIST!K5</f>
        <v>61.75</v>
      </c>
      <c r="G23" s="1729"/>
      <c r="H23" s="1730">
        <f>+B23*D23*F23</f>
        <v>1830.5170000000001</v>
      </c>
      <c r="I23" s="1730"/>
      <c r="K23" s="17" t="s">
        <v>20</v>
      </c>
    </row>
    <row r="24" spans="1:21" s="15" customFormat="1" ht="16.5">
      <c r="A24" s="32" t="s">
        <v>1137</v>
      </c>
      <c r="B24" s="1725">
        <v>1</v>
      </c>
      <c r="C24" s="1725"/>
      <c r="D24" s="1728">
        <f>N20</f>
        <v>14.822000000000001</v>
      </c>
      <c r="E24" s="1728"/>
      <c r="F24" s="1729">
        <f>+PRICE_LIST!K4</f>
        <v>80.05</v>
      </c>
      <c r="G24" s="1729"/>
      <c r="H24" s="1730">
        <f>+B24*D24*F24</f>
        <v>1186.5011</v>
      </c>
      <c r="I24" s="1730"/>
    </row>
    <row r="25" spans="1:21" s="15" customFormat="1" ht="16.5">
      <c r="A25" s="31" t="s">
        <v>167</v>
      </c>
      <c r="B25" s="1727" t="s">
        <v>1138</v>
      </c>
      <c r="C25" s="1727"/>
      <c r="D25" s="1727" t="s">
        <v>1134</v>
      </c>
      <c r="E25" s="1727"/>
      <c r="F25" s="1724" t="s">
        <v>1135</v>
      </c>
      <c r="G25" s="1724"/>
      <c r="H25" s="1727" t="s">
        <v>269</v>
      </c>
      <c r="I25" s="1727"/>
    </row>
    <row r="26" spans="1:21" s="15" customFormat="1" ht="16.5">
      <c r="A26" s="33" t="s">
        <v>146</v>
      </c>
      <c r="B26" s="1725">
        <v>1</v>
      </c>
      <c r="C26" s="1725"/>
      <c r="D26" s="1728">
        <f>N20</f>
        <v>14.822000000000001</v>
      </c>
      <c r="E26" s="1728"/>
      <c r="F26" s="1729">
        <f>+VLOOKUP(A26,equipment,3,0)</f>
        <v>2544.4699999999998</v>
      </c>
      <c r="G26" s="1729"/>
      <c r="H26" s="1730">
        <f>+B26*D26*F26</f>
        <v>37714.134339999997</v>
      </c>
      <c r="I26" s="1730"/>
      <c r="K26" s="1732" t="str">
        <f>+'POW-2015-01-00_'!A48</f>
        <v xml:space="preserve">WINLOVE A. ESTEVES
</v>
      </c>
      <c r="L26" s="1732"/>
      <c r="M26" s="1732"/>
    </row>
    <row r="27" spans="1:21" s="15" customFormat="1" ht="16.5">
      <c r="A27" s="1733" t="s">
        <v>10</v>
      </c>
      <c r="B27" s="1733"/>
      <c r="C27" s="1733"/>
      <c r="D27" s="1733"/>
      <c r="E27" s="1733"/>
      <c r="F27" s="1733"/>
      <c r="G27" s="1733"/>
      <c r="H27" s="1734">
        <f>+H23+H24+H26</f>
        <v>40731.152439999998</v>
      </c>
      <c r="I27" s="1734"/>
      <c r="K27" s="1735" t="str">
        <f>+'POW-2015-01-00_'!A49</f>
        <v>Engineer II</v>
      </c>
      <c r="L27" s="1735"/>
      <c r="M27" s="1735"/>
    </row>
    <row r="28" spans="1:21" s="16" customFormat="1" ht="16.5">
      <c r="A28" s="34"/>
      <c r="B28" s="34"/>
      <c r="C28" s="34"/>
      <c r="D28" s="34"/>
      <c r="E28" s="34"/>
      <c r="F28" s="34"/>
      <c r="G28" s="34"/>
      <c r="H28" s="35"/>
      <c r="K28" s="1736" t="str">
        <f>+'POW-2015-01-00_'!A50</f>
        <v>Planning and Design Section</v>
      </c>
      <c r="L28" s="1736"/>
      <c r="M28" s="1736"/>
    </row>
    <row r="29" spans="1:21" s="15" customFormat="1" ht="16.5">
      <c r="A29" s="1741" t="s">
        <v>1153</v>
      </c>
      <c r="B29" s="1742" t="s">
        <v>1141</v>
      </c>
      <c r="C29" s="1742" t="s">
        <v>1142</v>
      </c>
      <c r="D29" s="1742"/>
      <c r="E29" s="1742" t="s">
        <v>1141</v>
      </c>
      <c r="F29" s="36">
        <f>H27</f>
        <v>40731.152439999998</v>
      </c>
      <c r="G29" s="1742" t="s">
        <v>1141</v>
      </c>
      <c r="H29" s="1739">
        <f>+ROUND(F29/F30,1)</f>
        <v>4.0999999999999996</v>
      </c>
      <c r="K29" s="17" t="s">
        <v>422</v>
      </c>
    </row>
    <row r="30" spans="1:21" s="15" customFormat="1" ht="16.5">
      <c r="A30" s="1741"/>
      <c r="B30" s="1742"/>
      <c r="C30" s="1742" t="s">
        <v>1143</v>
      </c>
      <c r="D30" s="1742"/>
      <c r="E30" s="1742"/>
      <c r="F30" s="37">
        <v>10000</v>
      </c>
      <c r="G30" s="1742"/>
      <c r="H30" s="1739"/>
    </row>
    <row r="31" spans="1:21" s="15" customFormat="1" ht="18" customHeight="1">
      <c r="G31" s="38"/>
      <c r="H31" s="39"/>
    </row>
    <row r="32" spans="1:21" s="15" customFormat="1" ht="16.5" customHeight="1">
      <c r="A32" s="40"/>
      <c r="B32" s="40"/>
      <c r="C32" s="40"/>
      <c r="D32" s="41"/>
      <c r="E32" s="42"/>
      <c r="F32" s="42"/>
      <c r="K32" s="1732" t="str">
        <f>+'POW-2015-01-00_'!H48</f>
        <v>MARK ANGELO E. SURIL</v>
      </c>
      <c r="L32" s="1732"/>
      <c r="M32" s="1732"/>
    </row>
    <row r="33" spans="1:13" s="15" customFormat="1" ht="17.25" customHeight="1">
      <c r="A33" s="40"/>
      <c r="B33" s="40"/>
      <c r="C33" s="40"/>
      <c r="D33" s="43"/>
      <c r="E33" s="43"/>
      <c r="F33" s="43"/>
      <c r="K33" s="1735" t="str">
        <f>+'POW-2015-01-00_'!H49</f>
        <v>Engineer II</v>
      </c>
      <c r="L33" s="1735"/>
      <c r="M33" s="1735"/>
    </row>
    <row r="34" spans="1:13" s="15" customFormat="1" ht="16.5">
      <c r="A34" s="44"/>
      <c r="B34" s="16"/>
      <c r="C34" s="45"/>
      <c r="D34" s="45"/>
      <c r="K34" s="1738" t="str">
        <f>+'POW-2015-01-00_'!H50</f>
        <v>Planning and Design Section</v>
      </c>
      <c r="L34" s="1738"/>
      <c r="M34" s="1738"/>
    </row>
    <row r="35" spans="1:13" s="15" customFormat="1" ht="16.5"/>
    <row r="36" spans="1:13" s="15" customFormat="1" ht="16.5"/>
    <row r="37" spans="1:13" s="15" customFormat="1" ht="16.5"/>
    <row r="38" spans="1:13" s="15" customFormat="1" ht="16.5"/>
    <row r="39" spans="1:13" s="15" customFormat="1" ht="16.5"/>
    <row r="40" spans="1:13" s="15" customFormat="1" ht="16.5"/>
    <row r="41" spans="1:13" s="15" customFormat="1" ht="16.5"/>
    <row r="42" spans="1:13" s="15" customFormat="1" ht="16.5"/>
    <row r="43" spans="1:13" s="15" customFormat="1" ht="16.5"/>
    <row r="44" spans="1:13" s="15" customFormat="1" ht="16.5"/>
    <row r="45" spans="1:13" s="15" customFormat="1" ht="16.5"/>
    <row r="46" spans="1:13" s="15" customFormat="1" ht="16.5"/>
    <row r="47" spans="1:13" s="15" customFormat="1" ht="16.5"/>
    <row r="48" spans="1:13" s="15" customFormat="1" ht="16.5"/>
    <row r="49" s="15" customFormat="1" ht="16.5"/>
    <row r="50" s="15" customFormat="1" ht="16.5"/>
    <row r="51" s="15" customFormat="1" ht="16.5"/>
    <row r="52" s="15" customFormat="1" ht="16.5"/>
    <row r="53" s="15" customFormat="1" ht="16.5"/>
    <row r="54" s="15" customFormat="1" ht="16.5"/>
    <row r="55" s="15" customFormat="1" ht="16.5"/>
    <row r="56" s="15" customFormat="1" ht="16.5"/>
    <row r="57" s="15" customFormat="1" ht="16.5"/>
    <row r="58" s="15" customFormat="1" ht="16.5"/>
    <row r="59" s="15" customFormat="1" ht="16.5"/>
    <row r="60" s="15" customFormat="1" ht="16.5"/>
    <row r="61" s="15" customFormat="1" ht="16.5"/>
    <row r="62" s="15" customFormat="1" ht="16.5"/>
    <row r="63" s="15" customFormat="1" ht="16.5"/>
    <row r="64" s="15" customFormat="1" ht="16.5"/>
    <row r="65" s="15" customFormat="1" ht="16.5"/>
    <row r="66" s="15" customFormat="1" ht="16.5" customHeight="1"/>
    <row r="67" s="15" customFormat="1" ht="17.25" customHeight="1"/>
    <row r="68" s="15" customFormat="1" ht="16.5"/>
    <row r="69" s="15" customFormat="1" ht="16.5"/>
    <row r="70" s="15" customFormat="1" ht="16.5"/>
    <row r="71" s="15" customFormat="1" ht="16.5"/>
    <row r="72" s="15" customFormat="1" ht="16.5"/>
    <row r="73" s="15" customFormat="1" ht="16.5"/>
    <row r="74" s="15" customFormat="1" ht="16.5"/>
    <row r="75" s="15" customFormat="1" ht="16.5"/>
    <row r="76" s="15" customFormat="1" ht="16.5"/>
    <row r="77" s="15" customFormat="1" ht="16.5"/>
    <row r="78" s="15" customFormat="1" ht="16.5"/>
    <row r="79" s="15" customFormat="1" ht="16.5"/>
    <row r="80" s="15" customFormat="1" ht="16.5"/>
    <row r="81" s="15" customFormat="1" ht="16.5"/>
    <row r="82" s="15" customFormat="1" ht="16.5"/>
    <row r="83" s="15" customFormat="1" ht="16.5"/>
    <row r="84" s="15" customFormat="1" ht="16.5"/>
    <row r="85" s="15" customFormat="1" ht="16.5"/>
    <row r="86" s="15" customFormat="1" ht="16.5"/>
    <row r="87" s="15" customFormat="1" ht="16.5"/>
    <row r="88" s="15" customFormat="1" ht="16.5"/>
    <row r="89" s="15" customFormat="1" ht="16.5"/>
    <row r="90" s="15" customFormat="1" ht="16.5"/>
    <row r="91" s="15" customFormat="1" ht="16.5"/>
    <row r="92" s="15" customFormat="1" ht="16.5"/>
    <row r="93" s="15" customFormat="1" ht="16.5"/>
    <row r="94" s="15" customFormat="1" ht="16.5"/>
    <row r="95" s="15" customFormat="1" ht="16.5"/>
    <row r="96" s="15" customFormat="1" ht="16.5"/>
    <row r="97" s="15" customFormat="1" ht="16.5"/>
    <row r="98" s="15" customFormat="1" ht="16.5"/>
    <row r="99" s="15" customFormat="1" ht="16.5"/>
    <row r="100" s="15" customFormat="1" ht="16.5"/>
    <row r="101" s="15" customFormat="1" ht="16.5"/>
    <row r="102" s="15" customFormat="1" ht="16.5"/>
    <row r="103" s="15" customFormat="1" ht="16.5"/>
    <row r="104" s="15" customFormat="1" ht="16.5"/>
    <row r="105" s="15" customFormat="1" ht="16.5"/>
    <row r="106" s="15" customFormat="1" ht="16.5"/>
    <row r="107" s="15" customFormat="1" ht="16.5"/>
    <row r="108" s="15" customFormat="1" ht="16.5"/>
    <row r="109" s="15" customFormat="1" ht="16.5"/>
    <row r="110" s="15" customFormat="1" ht="16.5"/>
    <row r="111" s="15" customFormat="1" ht="16.5"/>
    <row r="112" s="15" customFormat="1" ht="16.5"/>
    <row r="113" s="15" customFormat="1" ht="16.5"/>
    <row r="114" s="15" customFormat="1" ht="16.5"/>
    <row r="115" s="15" customFormat="1" ht="16.5"/>
    <row r="116" s="15" customFormat="1" ht="16.5"/>
    <row r="117" s="15" customFormat="1" ht="16.5"/>
    <row r="118" s="15" customFormat="1" ht="16.5"/>
    <row r="119" s="15" customFormat="1" ht="16.5"/>
    <row r="120" s="15" customFormat="1" ht="16.5"/>
    <row r="121" s="15" customFormat="1" ht="16.5"/>
    <row r="122" s="15" customFormat="1" ht="16.5"/>
    <row r="123" s="15" customFormat="1" ht="16.5"/>
    <row r="124" s="15" customFormat="1" ht="16.5"/>
    <row r="125" s="15" customFormat="1" ht="16.5"/>
    <row r="126" s="15" customFormat="1" ht="16.5"/>
    <row r="127" s="15" customFormat="1" ht="16.5"/>
    <row r="128" s="15" customFormat="1" ht="16.5"/>
    <row r="129" s="15" customFormat="1" ht="16.5"/>
    <row r="130" s="15" customFormat="1" ht="16.5"/>
    <row r="131" s="15" customFormat="1" ht="16.5"/>
    <row r="132" s="15" customFormat="1" ht="16.5"/>
    <row r="133" s="15" customFormat="1" ht="16.5"/>
    <row r="134" s="15" customFormat="1" ht="16.5"/>
    <row r="135" s="15" customFormat="1" ht="16.5"/>
    <row r="136" s="15" customFormat="1" ht="16.5"/>
    <row r="137" s="15" customFormat="1" ht="16.5"/>
    <row r="138" s="15" customFormat="1" ht="16.5"/>
    <row r="139" s="15" customFormat="1" ht="16.5"/>
    <row r="140" s="15" customFormat="1" ht="16.5"/>
    <row r="141" s="15" customFormat="1" ht="16.5"/>
    <row r="142" s="15" customFormat="1" ht="16.5"/>
    <row r="143" s="15" customFormat="1" ht="16.5"/>
    <row r="144" s="15" customFormat="1" ht="16.5"/>
    <row r="145" s="15" customFormat="1" ht="16.5"/>
    <row r="146" s="15" customFormat="1" ht="16.5"/>
    <row r="147" s="15" customFormat="1" ht="16.5"/>
    <row r="148" s="15" customFormat="1" ht="16.5"/>
    <row r="149" s="15" customFormat="1" ht="16.5"/>
    <row r="150" s="15" customFormat="1" ht="16.5"/>
    <row r="151" s="15" customFormat="1" ht="16.5"/>
    <row r="152" s="15" customFormat="1" ht="16.5"/>
    <row r="153" s="15" customFormat="1" ht="16.5"/>
    <row r="154" s="15" customFormat="1" ht="16.5"/>
    <row r="155" s="15" customFormat="1" ht="16.5"/>
    <row r="156" s="15" customFormat="1" ht="16.5"/>
    <row r="157" s="15" customFormat="1" ht="16.5"/>
    <row r="158" s="15" customFormat="1" ht="16.5"/>
    <row r="159" s="15" customFormat="1" ht="16.5"/>
    <row r="160" s="15" customFormat="1" ht="16.5"/>
    <row r="161" s="15" customFormat="1" ht="16.5"/>
    <row r="162" s="15" customFormat="1" ht="16.5"/>
    <row r="163" s="15" customFormat="1" ht="16.5"/>
    <row r="164" s="15" customFormat="1" ht="16.5"/>
    <row r="165" s="15" customFormat="1" ht="16.5"/>
    <row r="166" s="15" customFormat="1" ht="16.5"/>
    <row r="167" s="15" customFormat="1" ht="16.5"/>
    <row r="168" s="15" customFormat="1" ht="16.5"/>
    <row r="169" s="15" customFormat="1" ht="16.5"/>
    <row r="170" s="15" customFormat="1" ht="16.5"/>
    <row r="171" s="15" customFormat="1" ht="16.5"/>
    <row r="172" s="15" customFormat="1" ht="16.5"/>
    <row r="173" s="15" customFormat="1" ht="16.5"/>
    <row r="174" s="15" customFormat="1" ht="16.5"/>
    <row r="175" s="15" customFormat="1" ht="16.5"/>
    <row r="176" s="15" customFormat="1" ht="16.5"/>
    <row r="177" s="15" customFormat="1" ht="16.5"/>
    <row r="178" s="15" customFormat="1" ht="16.5"/>
    <row r="179" s="15" customFormat="1" ht="16.5"/>
    <row r="180" s="15" customFormat="1" ht="16.5"/>
    <row r="181" s="15" customFormat="1" ht="16.5"/>
    <row r="182" s="15" customFormat="1" ht="16.5"/>
    <row r="183" s="15" customFormat="1" ht="16.5"/>
    <row r="184" s="15" customFormat="1" ht="16.5"/>
    <row r="185" s="15" customFormat="1" ht="16.5"/>
    <row r="186" s="15" customFormat="1" ht="16.5"/>
    <row r="187" s="15" customFormat="1" ht="16.5"/>
    <row r="188" s="15" customFormat="1" ht="16.5"/>
    <row r="189" s="15" customFormat="1" ht="16.5"/>
    <row r="190" s="15" customFormat="1" ht="16.5"/>
    <row r="191" s="15" customFormat="1" ht="16.5"/>
    <row r="192" s="15" customFormat="1" ht="16.5"/>
    <row r="193" s="15" customFormat="1" ht="16.5"/>
    <row r="194" s="15" customFormat="1" ht="16.5"/>
    <row r="195" s="15" customFormat="1" ht="16.5"/>
    <row r="196" s="15" customFormat="1" ht="16.5"/>
    <row r="197" s="15" customFormat="1" ht="16.5"/>
    <row r="198" s="15" customFormat="1" ht="16.5"/>
    <row r="199" s="15" customFormat="1" ht="16.5"/>
    <row r="200" s="15" customFormat="1" ht="16.5"/>
    <row r="201" s="15" customFormat="1" ht="16.5"/>
    <row r="202" s="15" customFormat="1" ht="16.5"/>
    <row r="203" s="15" customFormat="1" ht="16.5"/>
    <row r="204" s="15" customFormat="1" ht="16.5"/>
    <row r="205" s="15" customFormat="1" ht="16.5"/>
    <row r="206" s="15" customFormat="1" ht="16.5"/>
    <row r="207" s="15" customFormat="1" ht="16.5"/>
    <row r="208" s="15" customFormat="1" ht="16.5"/>
    <row r="209" s="15" customFormat="1" ht="16.5"/>
    <row r="210" s="15" customFormat="1" ht="16.5"/>
    <row r="211" s="15" customFormat="1" ht="16.5"/>
    <row r="212" s="15" customFormat="1" ht="16.5"/>
    <row r="213" s="15" customFormat="1" ht="16.5"/>
    <row r="214" s="15" customFormat="1" ht="16.5"/>
    <row r="215" s="15" customFormat="1" ht="16.5"/>
    <row r="216" s="15" customFormat="1" ht="16.5"/>
    <row r="217" s="15" customFormat="1" ht="16.5"/>
    <row r="218" s="15" customFormat="1" ht="16.5"/>
    <row r="219" s="15" customFormat="1" ht="16.5"/>
    <row r="220" s="15" customFormat="1" ht="16.5"/>
    <row r="221" s="15" customFormat="1" ht="16.5"/>
    <row r="222" s="15" customFormat="1" ht="16.5"/>
    <row r="223" s="15" customFormat="1" ht="16.5"/>
    <row r="224" s="15" customFormat="1" ht="16.5"/>
    <row r="225" s="15" customFormat="1" ht="16.5"/>
    <row r="226" s="15" customFormat="1" ht="16.5"/>
    <row r="227" s="15" customFormat="1" ht="16.5"/>
    <row r="228" s="15" customFormat="1" ht="16.5"/>
    <row r="229" s="15" customFormat="1" ht="16.5"/>
    <row r="230" s="15" customFormat="1" ht="16.5"/>
    <row r="231" s="15" customFormat="1" ht="16.5"/>
    <row r="232" s="15" customFormat="1" ht="16.5"/>
    <row r="233" s="15" customFormat="1" ht="16.5"/>
    <row r="234" s="15" customFormat="1" ht="16.5"/>
    <row r="235" s="15" customFormat="1" ht="16.5"/>
    <row r="236" s="15" customFormat="1" ht="16.5"/>
    <row r="237" s="15" customFormat="1" ht="16.5"/>
    <row r="238" s="15" customFormat="1" ht="16.5"/>
    <row r="239" s="15" customFormat="1" ht="16.5"/>
    <row r="240" s="15" customFormat="1" ht="16.5"/>
    <row r="241" s="15" customFormat="1" ht="16.5"/>
    <row r="242" s="15" customFormat="1" ht="16.5"/>
    <row r="243" s="15" customFormat="1" ht="16.5"/>
    <row r="244" s="15" customFormat="1" ht="16.5"/>
    <row r="245" s="15" customFormat="1" ht="16.5"/>
    <row r="246" s="15" customFormat="1" ht="16.5"/>
    <row r="247" s="15" customFormat="1" ht="16.5"/>
    <row r="248" s="15" customFormat="1" ht="16.5"/>
    <row r="249" s="15" customFormat="1" ht="16.5"/>
    <row r="250" s="15" customFormat="1" ht="16.5"/>
    <row r="251" s="15" customFormat="1" ht="16.5"/>
    <row r="252" s="15" customFormat="1" ht="16.5"/>
    <row r="253" s="15" customFormat="1" ht="16.5"/>
    <row r="254" s="15" customFormat="1" ht="16.5"/>
    <row r="255" s="15" customFormat="1" ht="16.5"/>
    <row r="256" s="15" customFormat="1" ht="16.5"/>
    <row r="257" s="15" customFormat="1" ht="16.5"/>
    <row r="258" s="15" customFormat="1" ht="16.5"/>
    <row r="259" s="15" customFormat="1" ht="16.5"/>
    <row r="260" s="15" customFormat="1" ht="16.5"/>
    <row r="261" s="15" customFormat="1" ht="16.5"/>
    <row r="262" s="15" customFormat="1" ht="16.5"/>
    <row r="263" s="15" customFormat="1" ht="16.5"/>
    <row r="264" s="15" customFormat="1" ht="16.5"/>
    <row r="265" s="15" customFormat="1" ht="16.5"/>
    <row r="266" s="15" customFormat="1" ht="16.5"/>
    <row r="267" s="15" customFormat="1" ht="16.5"/>
    <row r="268" s="15" customFormat="1" ht="16.5"/>
    <row r="269" s="15" customFormat="1" ht="16.5"/>
    <row r="270" s="15" customFormat="1" ht="16.5"/>
    <row r="271" s="15" customFormat="1" ht="16.5"/>
    <row r="272" s="15" customFormat="1" ht="16.5"/>
    <row r="273" s="15" customFormat="1" ht="16.5"/>
    <row r="274" s="15" customFormat="1" ht="16.5"/>
    <row r="275" s="15" customFormat="1" ht="16.5"/>
    <row r="276" s="15" customFormat="1" ht="16.5"/>
    <row r="277" s="15" customFormat="1" ht="16.5"/>
    <row r="278" s="15" customFormat="1" ht="16.5"/>
    <row r="279" s="15" customFormat="1" ht="16.5"/>
    <row r="280" s="15" customFormat="1" ht="16.5"/>
    <row r="281" s="15" customFormat="1" ht="16.5"/>
    <row r="282" s="15" customFormat="1" ht="16.5"/>
    <row r="283" s="15" customFormat="1" ht="16.5"/>
    <row r="284" s="15" customFormat="1" ht="16.5"/>
    <row r="285" s="15" customFormat="1" ht="16.5"/>
    <row r="286" s="15" customFormat="1" ht="16.5"/>
    <row r="287" s="15" customFormat="1" ht="16.5"/>
    <row r="288" s="15" customFormat="1" ht="16.5"/>
    <row r="289" s="15" customFormat="1" ht="16.5"/>
    <row r="290" s="15" customFormat="1" ht="16.5"/>
    <row r="291" s="15" customFormat="1" ht="16.5"/>
    <row r="292" s="15" customFormat="1" ht="16.5"/>
    <row r="293" s="15" customFormat="1" ht="16.5"/>
    <row r="294" s="15" customFormat="1" ht="16.5"/>
    <row r="295" s="15" customFormat="1" ht="16.5"/>
    <row r="296" s="15" customFormat="1" ht="16.5"/>
    <row r="297" s="15" customFormat="1" ht="16.5"/>
    <row r="298" s="15" customFormat="1" ht="16.5"/>
    <row r="299" s="15" customFormat="1" ht="16.5"/>
    <row r="300" s="15" customFormat="1" ht="16.5"/>
    <row r="301" s="15" customFormat="1" ht="16.5"/>
    <row r="302" s="15" customFormat="1" ht="16.5"/>
    <row r="303" s="15" customFormat="1" ht="16.5"/>
    <row r="304" s="15" customFormat="1" ht="16.5"/>
    <row r="305" s="15" customFormat="1" ht="16.5"/>
    <row r="306" s="15" customFormat="1" ht="16.5"/>
    <row r="307" s="15" customFormat="1" ht="16.5"/>
    <row r="308" s="15" customFormat="1" ht="16.5"/>
    <row r="309" s="15" customFormat="1" ht="16.5"/>
    <row r="310" s="15" customFormat="1" ht="16.5"/>
    <row r="311" s="15" customFormat="1" ht="16.5"/>
    <row r="312" s="15" customFormat="1" ht="16.5"/>
    <row r="313" s="15" customFormat="1" ht="16.5"/>
    <row r="314" s="15" customFormat="1" ht="16.5"/>
    <row r="315" s="15" customFormat="1" ht="16.5"/>
    <row r="316" s="15" customFormat="1" ht="16.5"/>
    <row r="317" s="15" customFormat="1" ht="16.5"/>
    <row r="318" s="15" customFormat="1" ht="16.5"/>
    <row r="319" s="15" customFormat="1" ht="16.5"/>
    <row r="320" s="15" customFormat="1" ht="16.5"/>
    <row r="321" s="15" customFormat="1" ht="16.5"/>
    <row r="322" s="15" customFormat="1" ht="16.5"/>
    <row r="323" s="15" customFormat="1" ht="16.5"/>
    <row r="324" s="15" customFormat="1" ht="16.5"/>
    <row r="325" s="15" customFormat="1" ht="16.5"/>
    <row r="326" s="15" customFormat="1" ht="16.5"/>
    <row r="327" s="15" customFormat="1" ht="16.5"/>
    <row r="328" s="15" customFormat="1" ht="16.5"/>
    <row r="329" s="15" customFormat="1" ht="16.5"/>
    <row r="330" s="15" customFormat="1" ht="16.5"/>
    <row r="331" s="15" customFormat="1" ht="16.5"/>
    <row r="332" s="15" customFormat="1" ht="16.5"/>
    <row r="333" s="15" customFormat="1" ht="16.5"/>
    <row r="334" s="15" customFormat="1" ht="16.5"/>
    <row r="335" s="15" customFormat="1" ht="16.5"/>
    <row r="336" s="15" customFormat="1" ht="16.5"/>
    <row r="337" s="15" customFormat="1" ht="16.5"/>
    <row r="338" s="15" customFormat="1" ht="16.5"/>
    <row r="339" s="15" customFormat="1" ht="16.5"/>
    <row r="340" s="15" customFormat="1" ht="16.5"/>
    <row r="341" s="15" customFormat="1" ht="16.5"/>
    <row r="342" s="15" customFormat="1" ht="16.5"/>
    <row r="343" s="15" customFormat="1" ht="16.5"/>
    <row r="344" s="15" customFormat="1" ht="16.5"/>
    <row r="345" s="15" customFormat="1" ht="16.5"/>
    <row r="346" s="15" customFormat="1" ht="16.5"/>
    <row r="347" s="15" customFormat="1" ht="16.5"/>
    <row r="348" s="15" customFormat="1" ht="16.5"/>
    <row r="349" s="15" customFormat="1" ht="16.5"/>
    <row r="350" s="15" customFormat="1" ht="16.5"/>
    <row r="351" s="15" customFormat="1" ht="16.5"/>
    <row r="352" s="15" customFormat="1" ht="16.5"/>
    <row r="353" s="15" customFormat="1" ht="16.5"/>
    <row r="354" s="15" customFormat="1" ht="16.5"/>
    <row r="355" s="15" customFormat="1" ht="16.5"/>
    <row r="356" s="15" customFormat="1" ht="16.5"/>
    <row r="357" s="15" customFormat="1" ht="16.5"/>
    <row r="358" s="15" customFormat="1" ht="16.5"/>
    <row r="359" s="15" customFormat="1" ht="16.5"/>
    <row r="360" s="15" customFormat="1" ht="16.5"/>
    <row r="361" s="15" customFormat="1" ht="16.5"/>
    <row r="362" s="15" customFormat="1" ht="16.5"/>
    <row r="363" s="15" customFormat="1" ht="16.5"/>
    <row r="364" s="15" customFormat="1" ht="16.5"/>
    <row r="365" s="15" customFormat="1" ht="16.5"/>
    <row r="366" s="15" customFormat="1" ht="16.5"/>
    <row r="367" s="15" customFormat="1" ht="16.5"/>
    <row r="368" s="15" customFormat="1" ht="16.5"/>
    <row r="369" s="15" customFormat="1" ht="16.5"/>
    <row r="370" s="15" customFormat="1" ht="16.5"/>
    <row r="371" s="15" customFormat="1" ht="16.5"/>
    <row r="372" s="15" customFormat="1" ht="16.5"/>
    <row r="373" s="15" customFormat="1" ht="16.5"/>
    <row r="374" s="15" customFormat="1" ht="16.5"/>
    <row r="375" s="15" customFormat="1" ht="16.5"/>
    <row r="376" s="15" customFormat="1" ht="16.5"/>
    <row r="377" s="15" customFormat="1" ht="16.5"/>
    <row r="378" s="15" customFormat="1" ht="16.5"/>
    <row r="379" s="15" customFormat="1" ht="16.5"/>
    <row r="380" s="15" customFormat="1" ht="16.5"/>
    <row r="381" s="15" customFormat="1" ht="16.5"/>
    <row r="382" s="15" customFormat="1" ht="16.5"/>
    <row r="383" s="15" customFormat="1" ht="16.5"/>
    <row r="384" s="15" customFormat="1" ht="16.5"/>
    <row r="385" s="15" customFormat="1" ht="16.5"/>
    <row r="386" s="15" customFormat="1" ht="16.5"/>
    <row r="387" s="15" customFormat="1" ht="16.5"/>
    <row r="388" s="15" customFormat="1" ht="16.5"/>
    <row r="389" s="15" customFormat="1" ht="16.5"/>
    <row r="390" s="15" customFormat="1" ht="16.5"/>
    <row r="391" s="15" customFormat="1" ht="16.5"/>
    <row r="392" s="15" customFormat="1" ht="16.5"/>
    <row r="393" s="15" customFormat="1" ht="16.5"/>
    <row r="394" s="15" customFormat="1" ht="16.5"/>
    <row r="395" s="15" customFormat="1" ht="16.5"/>
    <row r="396" s="15" customFormat="1" ht="16.5"/>
    <row r="397" s="15" customFormat="1" ht="16.5"/>
    <row r="398" s="15" customFormat="1" ht="16.5"/>
    <row r="399" s="15" customFormat="1" ht="16.5"/>
    <row r="400" s="15" customFormat="1" ht="16.5"/>
    <row r="401" s="15" customFormat="1" ht="16.5"/>
    <row r="402" s="15" customFormat="1" ht="16.5"/>
    <row r="403" s="15" customFormat="1" ht="16.5"/>
    <row r="404" s="15" customFormat="1" ht="16.5"/>
    <row r="405" s="15" customFormat="1" ht="16.5"/>
    <row r="406" s="15" customFormat="1" ht="16.5"/>
    <row r="407" s="15" customFormat="1" ht="16.5"/>
    <row r="408" s="15" customFormat="1" ht="16.5"/>
    <row r="409" s="15" customFormat="1" ht="16.5"/>
    <row r="410" s="15" customFormat="1" ht="16.5"/>
    <row r="411" s="15" customFormat="1" ht="16.5"/>
    <row r="412" s="15" customFormat="1" ht="16.5"/>
    <row r="413" s="15" customFormat="1" ht="16.5"/>
    <row r="414" s="15" customFormat="1" ht="16.5"/>
    <row r="415" s="15" customFormat="1" ht="16.5"/>
    <row r="416" s="15" customFormat="1" ht="16.5"/>
    <row r="417" s="15" customFormat="1" ht="16.5"/>
    <row r="418" s="15" customFormat="1" ht="16.5"/>
    <row r="419" s="15" customFormat="1" ht="16.5"/>
    <row r="420" s="15" customFormat="1" ht="16.5"/>
    <row r="421" s="15" customFormat="1" ht="16.5"/>
    <row r="422" s="15" customFormat="1" ht="16.5"/>
    <row r="423" s="15" customFormat="1" ht="16.5"/>
    <row r="424" s="15" customFormat="1" ht="16.5"/>
    <row r="425" s="15" customFormat="1" ht="16.5"/>
    <row r="426" s="15" customFormat="1" ht="16.5"/>
    <row r="427" s="15" customFormat="1" ht="16.5"/>
    <row r="428" s="15" customFormat="1" ht="16.5"/>
    <row r="429" s="15" customFormat="1" ht="16.5"/>
    <row r="430" s="15" customFormat="1" ht="16.5"/>
    <row r="431" s="15" customFormat="1" ht="16.5"/>
    <row r="432" s="15" customFormat="1" ht="16.5"/>
    <row r="433" s="15" customFormat="1" ht="16.5"/>
    <row r="434" s="15" customFormat="1" ht="16.5"/>
    <row r="435" s="15" customFormat="1" ht="16.5"/>
    <row r="436" s="15" customFormat="1" ht="16.5"/>
    <row r="437" s="15" customFormat="1" ht="16.5"/>
    <row r="438" s="15" customFormat="1" ht="16.5"/>
    <row r="439" s="15" customFormat="1" ht="16.5"/>
    <row r="440" s="15" customFormat="1" ht="16.5"/>
    <row r="441" s="15" customFormat="1" ht="16.5"/>
    <row r="442" s="15" customFormat="1" ht="16.5"/>
    <row r="443" s="15" customFormat="1" ht="16.5"/>
    <row r="444" s="15" customFormat="1" ht="16.5"/>
    <row r="445" s="15" customFormat="1" ht="16.5"/>
    <row r="446" s="15" customFormat="1" ht="16.5"/>
    <row r="447" s="15" customFormat="1" ht="16.5"/>
    <row r="448" s="15" customFormat="1" ht="16.5"/>
    <row r="449" s="15" customFormat="1" ht="16.5"/>
    <row r="450" s="15" customFormat="1" ht="16.5"/>
    <row r="451" s="15" customFormat="1" ht="16.5"/>
    <row r="452" s="15" customFormat="1" ht="16.5"/>
    <row r="453" s="15" customFormat="1" ht="16.5"/>
    <row r="454" s="15" customFormat="1" ht="16.5"/>
    <row r="455" s="15" customFormat="1" ht="16.5"/>
    <row r="456" s="15" customFormat="1" ht="16.5"/>
    <row r="457" s="15" customFormat="1" ht="16.5"/>
    <row r="458" s="15" customFormat="1" ht="16.5"/>
    <row r="459" s="15" customFormat="1" ht="16.5"/>
    <row r="460" s="15" customFormat="1" ht="16.5"/>
    <row r="461" s="15" customFormat="1" ht="16.5"/>
    <row r="462" s="15" customFormat="1" ht="16.5"/>
    <row r="463" s="15" customFormat="1" ht="16.5"/>
    <row r="464" s="15" customFormat="1" ht="16.5"/>
    <row r="465" s="15" customFormat="1" ht="16.5"/>
    <row r="466" s="15" customFormat="1" ht="16.5"/>
    <row r="467" s="15" customFormat="1" ht="16.5"/>
    <row r="468" s="15" customFormat="1" ht="16.5"/>
    <row r="469" s="15" customFormat="1" ht="16.5"/>
    <row r="470" s="15" customFormat="1" ht="16.5"/>
    <row r="471" s="15" customFormat="1" ht="16.5"/>
    <row r="472" s="15" customFormat="1" ht="16.5"/>
    <row r="473" s="15" customFormat="1" ht="16.5"/>
    <row r="474" s="15" customFormat="1" ht="16.5"/>
    <row r="475" s="15" customFormat="1" ht="16.5"/>
    <row r="476" s="15" customFormat="1" ht="16.5"/>
    <row r="477" s="15" customFormat="1" ht="16.5"/>
    <row r="478" s="15" customFormat="1" ht="16.5"/>
    <row r="479" s="15" customFormat="1" ht="16.5"/>
    <row r="480" s="15" customFormat="1" ht="16.5"/>
    <row r="481" s="15" customFormat="1" ht="16.5"/>
    <row r="482" s="15" customFormat="1" ht="16.5"/>
    <row r="483" s="15" customFormat="1" ht="16.5"/>
    <row r="484" s="15" customFormat="1" ht="16.5"/>
    <row r="485" s="15" customFormat="1" ht="16.5"/>
    <row r="486" s="15" customFormat="1" ht="16.5"/>
    <row r="487" s="15" customFormat="1" ht="16.5"/>
    <row r="488" s="15" customFormat="1" ht="16.5"/>
    <row r="489" s="15" customFormat="1" ht="16.5"/>
    <row r="490" s="15" customFormat="1" ht="16.5"/>
    <row r="491" s="15" customFormat="1" ht="16.5"/>
    <row r="492" s="15" customFormat="1" ht="16.5"/>
    <row r="493" s="15" customFormat="1" ht="16.5"/>
    <row r="494" s="15" customFormat="1" ht="16.5"/>
    <row r="495" s="15" customFormat="1" ht="16.5"/>
    <row r="496" s="15" customFormat="1" ht="16.5"/>
    <row r="497" s="15" customFormat="1" ht="16.5"/>
    <row r="498" s="15" customFormat="1" ht="16.5"/>
    <row r="499" s="15" customFormat="1" ht="16.5"/>
    <row r="500" s="15" customFormat="1" ht="16.5"/>
    <row r="501" s="15" customFormat="1" ht="16.5"/>
    <row r="502" s="15" customFormat="1" ht="16.5"/>
    <row r="503" s="15" customFormat="1" ht="16.5"/>
    <row r="504" s="15" customFormat="1" ht="16.5"/>
    <row r="505" s="15" customFormat="1" ht="16.5"/>
    <row r="506" s="15" customFormat="1" ht="16.5"/>
    <row r="507" s="15" customFormat="1" ht="16.5"/>
    <row r="508" s="15" customFormat="1" ht="16.5"/>
    <row r="509" s="15" customFormat="1" ht="16.5"/>
    <row r="510" s="15" customFormat="1" ht="16.5"/>
    <row r="511" s="15" customFormat="1" ht="16.5"/>
    <row r="512" s="15" customFormat="1" ht="16.5"/>
    <row r="513" s="15" customFormat="1" ht="16.5"/>
    <row r="514" s="15" customFormat="1" ht="16.5"/>
    <row r="515" s="15" customFormat="1" ht="16.5"/>
    <row r="516" s="15" customFormat="1" ht="16.5"/>
    <row r="517" s="15" customFormat="1" ht="16.5"/>
    <row r="518" s="15" customFormat="1" ht="16.5"/>
    <row r="519" s="15" customFormat="1" ht="16.5"/>
    <row r="520" s="15" customFormat="1" ht="16.5"/>
    <row r="521" s="15" customFormat="1" ht="16.5"/>
    <row r="522" s="15" customFormat="1" ht="16.5"/>
    <row r="523" s="15" customFormat="1" ht="16.5"/>
    <row r="524" s="15" customFormat="1" ht="16.5"/>
    <row r="525" s="15" customFormat="1" ht="16.5"/>
    <row r="526" s="15" customFormat="1" ht="16.5"/>
    <row r="527" s="15" customFormat="1" ht="16.5"/>
    <row r="528" s="15" customFormat="1" ht="16.5"/>
    <row r="529" s="15" customFormat="1" ht="16.5"/>
    <row r="530" s="15" customFormat="1" ht="16.5"/>
    <row r="531" s="15" customFormat="1" ht="16.5"/>
    <row r="532" s="15" customFormat="1" ht="16.5"/>
    <row r="533" s="15" customFormat="1" ht="16.5"/>
    <row r="534" s="15" customFormat="1" ht="16.5"/>
    <row r="535" s="15" customFormat="1" ht="16.5"/>
    <row r="536" s="15" customFormat="1" ht="16.5"/>
    <row r="537" s="15" customFormat="1" ht="16.5"/>
    <row r="538" s="15" customFormat="1" ht="16.5"/>
    <row r="539" s="15" customFormat="1" ht="16.5"/>
    <row r="540" s="15" customFormat="1" ht="16.5"/>
    <row r="541" s="15" customFormat="1" ht="16.5"/>
    <row r="542" s="15" customFormat="1" ht="16.5"/>
    <row r="543" s="15" customFormat="1" ht="16.5"/>
    <row r="544" s="15" customFormat="1" ht="16.5"/>
    <row r="545" s="15" customFormat="1" ht="16.5"/>
    <row r="546" s="15" customFormat="1" ht="16.5"/>
    <row r="547" s="15" customFormat="1" ht="16.5"/>
    <row r="548" s="15" customFormat="1" ht="16.5"/>
    <row r="549" s="15" customFormat="1" ht="16.5"/>
    <row r="550" s="15" customFormat="1" ht="16.5"/>
    <row r="551" s="15" customFormat="1" ht="16.5"/>
    <row r="552" s="15" customFormat="1" ht="16.5"/>
    <row r="553" s="15" customFormat="1" ht="16.5"/>
    <row r="554" s="15" customFormat="1" ht="16.5"/>
    <row r="555" s="15" customFormat="1" ht="16.5"/>
    <row r="556" s="15" customFormat="1" ht="16.5"/>
    <row r="557" s="15" customFormat="1" ht="16.5"/>
    <row r="558" s="15" customFormat="1" ht="16.5"/>
    <row r="559" s="15" customFormat="1" ht="16.5"/>
    <row r="560" s="15" customFormat="1" ht="16.5"/>
    <row r="561" s="15" customFormat="1" ht="16.5"/>
    <row r="562" s="15" customFormat="1" ht="16.5"/>
    <row r="563" s="15" customFormat="1" ht="16.5"/>
    <row r="564" s="15" customFormat="1" ht="16.5"/>
    <row r="565" s="15" customFormat="1" ht="16.5"/>
    <row r="566" s="15" customFormat="1" ht="16.5"/>
    <row r="567" s="15" customFormat="1" ht="16.5"/>
    <row r="568" s="15" customFormat="1" ht="16.5"/>
    <row r="569" s="15" customFormat="1" ht="16.5"/>
    <row r="570" s="15" customFormat="1" ht="16.5"/>
    <row r="571" s="15" customFormat="1" ht="16.5"/>
    <row r="572" s="15" customFormat="1" ht="16.5"/>
    <row r="573" s="15" customFormat="1" ht="16.5"/>
    <row r="574" s="15" customFormat="1" ht="16.5"/>
    <row r="575" s="15" customFormat="1" ht="16.5"/>
    <row r="576" s="15" customFormat="1" ht="16.5"/>
    <row r="577" s="15" customFormat="1" ht="16.5"/>
    <row r="578" s="15" customFormat="1" ht="16.5"/>
    <row r="579" s="15" customFormat="1" ht="16.5"/>
    <row r="580" s="15" customFormat="1" ht="16.5"/>
    <row r="581" s="15" customFormat="1" ht="16.5"/>
    <row r="582" s="15" customFormat="1" ht="16.5"/>
    <row r="583" s="15" customFormat="1" ht="16.5"/>
    <row r="584" s="15" customFormat="1" ht="16.5"/>
    <row r="585" s="15" customFormat="1" ht="16.5"/>
    <row r="586" s="15" customFormat="1" ht="16.5"/>
    <row r="587" s="15" customFormat="1" ht="16.5"/>
    <row r="588" s="15" customFormat="1" ht="16.5"/>
    <row r="589" s="15" customFormat="1" ht="16.5"/>
    <row r="590" s="15" customFormat="1" ht="16.5"/>
    <row r="591" s="15" customFormat="1" ht="16.5"/>
    <row r="592" s="15" customFormat="1" ht="16.5"/>
    <row r="593" s="15" customFormat="1" ht="16.5"/>
    <row r="594" s="15" customFormat="1" ht="16.5"/>
    <row r="595" s="15" customFormat="1" ht="16.5"/>
    <row r="596" s="15" customFormat="1" ht="16.5"/>
    <row r="597" s="15" customFormat="1" ht="16.5"/>
    <row r="598" s="15" customFormat="1" ht="16.5"/>
    <row r="599" s="15" customFormat="1" ht="16.5"/>
    <row r="600" s="15" customFormat="1" ht="16.5"/>
    <row r="601" s="15" customFormat="1" ht="16.5"/>
    <row r="602" s="15" customFormat="1" ht="16.5"/>
    <row r="603" s="15" customFormat="1" ht="16.5"/>
    <row r="604" s="15" customFormat="1" ht="16.5"/>
    <row r="605" s="15" customFormat="1" ht="16.5"/>
    <row r="606" s="15" customFormat="1" ht="16.5"/>
    <row r="607" s="15" customFormat="1" ht="16.5"/>
    <row r="608" s="15" customFormat="1" ht="16.5"/>
    <row r="609" s="15" customFormat="1" ht="16.5"/>
    <row r="610" s="15" customFormat="1" ht="16.5"/>
    <row r="611" s="15" customFormat="1" ht="16.5"/>
    <row r="612" s="15" customFormat="1" ht="16.5"/>
    <row r="613" s="15" customFormat="1" ht="16.5"/>
    <row r="614" s="15" customFormat="1" ht="16.5"/>
    <row r="615" s="15" customFormat="1" ht="16.5"/>
    <row r="616" s="15" customFormat="1" ht="16.5"/>
    <row r="617" s="15" customFormat="1" ht="16.5"/>
    <row r="618" s="15" customFormat="1" ht="16.5"/>
    <row r="619" s="15" customFormat="1" ht="16.5"/>
    <row r="620" s="15" customFormat="1" ht="16.5"/>
    <row r="621" s="15" customFormat="1" ht="16.5"/>
    <row r="622" s="15" customFormat="1" ht="16.5"/>
    <row r="623" s="15" customFormat="1" ht="16.5"/>
    <row r="624" s="15" customFormat="1" ht="16.5"/>
    <row r="625" s="15" customFormat="1" ht="16.5"/>
    <row r="626" s="15" customFormat="1" ht="16.5"/>
    <row r="627" s="15" customFormat="1" ht="16.5"/>
    <row r="628" s="15" customFormat="1" ht="16.5"/>
    <row r="629" s="15" customFormat="1" ht="16.5"/>
    <row r="630" s="15" customFormat="1" ht="16.5"/>
    <row r="631" s="15" customFormat="1" ht="16.5"/>
    <row r="632" s="15" customFormat="1" ht="16.5"/>
    <row r="633" s="15" customFormat="1" ht="16.5"/>
    <row r="634" s="15" customFormat="1" ht="16.5"/>
    <row r="635" s="15" customFormat="1" ht="16.5"/>
    <row r="636" s="15" customFormat="1" ht="16.5"/>
    <row r="637" s="15" customFormat="1" ht="16.5"/>
    <row r="638" s="15" customFormat="1" ht="16.5"/>
    <row r="639" s="15" customFormat="1" ht="16.5"/>
    <row r="640" s="15" customFormat="1" ht="16.5"/>
    <row r="641" s="15" customFormat="1" ht="16.5"/>
    <row r="642" s="15" customFormat="1" ht="16.5"/>
    <row r="643" s="15" customFormat="1" ht="16.5"/>
    <row r="644" s="15" customFormat="1" ht="16.5"/>
    <row r="645" s="15" customFormat="1" ht="16.5"/>
    <row r="646" s="15" customFormat="1" ht="16.5"/>
    <row r="647" s="15" customFormat="1" ht="16.5"/>
    <row r="648" s="15" customFormat="1" ht="16.5"/>
    <row r="649" s="15" customFormat="1" ht="16.5"/>
    <row r="650" s="15" customFormat="1" ht="16.5"/>
    <row r="651" s="15" customFormat="1" ht="16.5"/>
    <row r="652" s="15" customFormat="1" ht="16.5"/>
    <row r="653" s="15" customFormat="1" ht="16.5"/>
    <row r="654" s="15" customFormat="1" ht="16.5"/>
    <row r="655" s="15" customFormat="1" ht="16.5"/>
    <row r="656" s="15" customFormat="1" ht="16.5"/>
    <row r="657" s="15" customFormat="1" ht="16.5"/>
    <row r="658" s="15" customFormat="1" ht="16.5"/>
    <row r="659" s="15" customFormat="1" ht="16.5"/>
    <row r="660" s="15" customFormat="1" ht="16.5"/>
    <row r="661" s="15" customFormat="1" ht="16.5"/>
    <row r="662" s="15" customFormat="1" ht="16.5"/>
    <row r="663" s="15" customFormat="1" ht="16.5"/>
    <row r="664" s="15" customFormat="1" ht="16.5"/>
    <row r="665" s="15" customFormat="1" ht="16.5"/>
    <row r="666" s="15" customFormat="1" ht="16.5"/>
    <row r="667" s="15" customFormat="1" ht="16.5"/>
    <row r="668" s="15" customFormat="1" ht="16.5"/>
    <row r="669" s="15" customFormat="1" ht="16.5"/>
    <row r="670" s="15" customFormat="1" ht="16.5"/>
    <row r="671" s="15" customFormat="1" ht="16.5"/>
    <row r="672" s="15" customFormat="1" ht="16.5"/>
    <row r="673" s="15" customFormat="1" ht="16.5"/>
    <row r="674" s="15" customFormat="1" ht="16.5"/>
    <row r="675" s="15" customFormat="1" ht="16.5"/>
    <row r="676" s="15" customFormat="1" ht="16.5"/>
    <row r="677" s="15" customFormat="1" ht="16.5"/>
    <row r="678" s="15" customFormat="1" ht="16.5"/>
    <row r="679" s="15" customFormat="1" ht="16.5"/>
    <row r="680" s="15" customFormat="1" ht="16.5"/>
    <row r="681" s="15" customFormat="1" ht="16.5"/>
    <row r="682" s="15" customFormat="1" ht="16.5"/>
    <row r="683" s="15" customFormat="1" ht="16.5"/>
    <row r="684" s="15" customFormat="1" ht="16.5"/>
    <row r="685" s="15" customFormat="1" ht="16.5"/>
    <row r="686" s="15" customFormat="1" ht="16.5"/>
    <row r="687" s="15" customFormat="1" ht="16.5"/>
    <row r="688" s="15" customFormat="1" ht="16.5"/>
    <row r="689" s="15" customFormat="1" ht="16.5"/>
    <row r="690" s="15" customFormat="1" ht="16.5"/>
    <row r="691" s="15" customFormat="1" ht="16.5"/>
    <row r="692" s="15" customFormat="1" ht="16.5"/>
    <row r="693" s="15" customFormat="1" ht="16.5"/>
    <row r="694" s="15" customFormat="1" ht="16.5"/>
    <row r="695" s="15" customFormat="1" ht="16.5"/>
    <row r="696" s="15" customFormat="1" ht="16.5"/>
    <row r="697" s="15" customFormat="1" ht="16.5"/>
    <row r="698" s="15" customFormat="1" ht="16.5"/>
    <row r="699" s="15" customFormat="1" ht="16.5"/>
    <row r="700" s="15" customFormat="1" ht="16.5"/>
    <row r="701" s="15" customFormat="1" ht="16.5"/>
    <row r="702" s="15" customFormat="1" ht="16.5"/>
    <row r="703" s="15" customFormat="1" ht="16.5"/>
    <row r="704" s="15" customFormat="1" ht="16.5"/>
    <row r="705" s="15" customFormat="1" ht="16.5"/>
    <row r="706" s="15" customFormat="1" ht="16.5"/>
    <row r="707" s="15" customFormat="1" ht="16.5"/>
    <row r="708" s="15" customFormat="1" ht="16.5"/>
    <row r="709" s="15" customFormat="1" ht="16.5"/>
    <row r="710" s="15" customFormat="1" ht="16.5"/>
    <row r="711" s="15" customFormat="1" ht="16.5"/>
    <row r="712" s="15" customFormat="1" ht="16.5"/>
    <row r="713" s="15" customFormat="1" ht="16.5"/>
    <row r="714" s="15" customFormat="1" ht="16.5"/>
    <row r="715" s="15" customFormat="1" ht="16.5"/>
    <row r="716" s="15" customFormat="1" ht="16.5"/>
    <row r="717" s="15" customFormat="1" ht="16.5"/>
    <row r="718" s="15" customFormat="1" ht="16.5"/>
    <row r="719" s="15" customFormat="1" ht="16.5"/>
    <row r="720" s="15" customFormat="1" ht="16.5"/>
    <row r="721" s="15" customFormat="1" ht="16.5"/>
    <row r="722" s="15" customFormat="1" ht="16.5"/>
    <row r="723" s="15" customFormat="1" ht="16.5"/>
    <row r="724" s="15" customFormat="1" ht="16.5"/>
    <row r="725" s="15" customFormat="1" ht="16.5"/>
    <row r="726" s="15" customFormat="1" ht="16.5"/>
    <row r="727" s="15" customFormat="1" ht="16.5"/>
    <row r="728" s="15" customFormat="1" ht="16.5"/>
    <row r="729" s="15" customFormat="1" ht="16.5"/>
    <row r="730" s="15" customFormat="1" ht="16.5"/>
    <row r="731" s="15" customFormat="1" ht="16.5"/>
    <row r="732" s="15" customFormat="1" ht="16.5"/>
    <row r="733" s="15" customFormat="1" ht="16.5"/>
    <row r="734" s="15" customFormat="1" ht="16.5"/>
    <row r="735" s="15" customFormat="1" ht="16.5"/>
    <row r="736" s="15" customFormat="1" ht="16.5"/>
    <row r="737" s="15" customFormat="1" ht="16.5"/>
    <row r="738" s="15" customFormat="1" ht="16.5"/>
    <row r="739" s="15" customFormat="1" ht="16.5"/>
    <row r="740" s="15" customFormat="1" ht="16.5"/>
    <row r="741" s="15" customFormat="1" ht="16.5"/>
    <row r="742" s="15" customFormat="1" ht="16.5"/>
    <row r="743" s="15" customFormat="1" ht="16.5"/>
    <row r="744" s="15" customFormat="1" ht="16.5"/>
    <row r="745" s="15" customFormat="1" ht="16.5"/>
    <row r="746" s="15" customFormat="1" ht="16.5"/>
    <row r="747" s="15" customFormat="1" ht="16.5"/>
    <row r="748" s="15" customFormat="1" ht="16.5"/>
    <row r="749" s="15" customFormat="1" ht="16.5"/>
    <row r="750" s="15" customFormat="1" ht="16.5"/>
    <row r="751" s="15" customFormat="1" ht="16.5"/>
    <row r="752" s="15" customFormat="1" ht="16.5"/>
    <row r="753" s="15" customFormat="1" ht="16.5"/>
    <row r="754" s="15" customFormat="1" ht="16.5"/>
    <row r="755" s="15" customFormat="1" ht="16.5"/>
    <row r="756" s="15" customFormat="1" ht="16.5"/>
    <row r="757" s="15" customFormat="1" ht="16.5"/>
    <row r="758" s="15" customFormat="1" ht="16.5"/>
    <row r="759" s="15" customFormat="1" ht="16.5"/>
    <row r="760" s="15" customFormat="1" ht="16.5"/>
    <row r="761" s="15" customFormat="1" ht="16.5"/>
    <row r="762" s="15" customFormat="1" ht="16.5"/>
    <row r="763" s="15" customFormat="1" ht="16.5"/>
    <row r="764" s="15" customFormat="1" ht="16.5"/>
    <row r="765" s="15" customFormat="1" ht="16.5"/>
    <row r="766" s="15" customFormat="1" ht="16.5"/>
    <row r="767" s="15" customFormat="1" ht="16.5"/>
    <row r="768" s="15" customFormat="1" ht="16.5"/>
    <row r="769" s="15" customFormat="1" ht="16.5"/>
    <row r="770" s="15" customFormat="1" ht="16.5"/>
    <row r="771" s="15" customFormat="1" ht="16.5"/>
    <row r="772" s="15" customFormat="1" ht="16.5"/>
    <row r="773" s="15" customFormat="1" ht="16.5"/>
    <row r="774" s="15" customFormat="1" ht="16.5"/>
    <row r="775" s="15" customFormat="1" ht="16.5"/>
    <row r="776" s="15" customFormat="1" ht="16.5"/>
    <row r="777" s="15" customFormat="1" ht="16.5"/>
    <row r="778" s="15" customFormat="1" ht="16.5"/>
    <row r="779" s="15" customFormat="1" ht="16.5"/>
    <row r="780" s="15" customFormat="1" ht="16.5"/>
    <row r="781" s="15" customFormat="1" ht="16.5"/>
    <row r="782" s="15" customFormat="1" ht="16.5"/>
    <row r="783" s="15" customFormat="1" ht="16.5"/>
    <row r="784" s="15" customFormat="1" ht="16.5"/>
    <row r="785" s="15" customFormat="1" ht="16.5"/>
    <row r="786" s="15" customFormat="1" ht="16.5"/>
    <row r="787" s="15" customFormat="1" ht="16.5"/>
    <row r="788" s="15" customFormat="1" ht="16.5"/>
    <row r="789" s="15" customFormat="1" ht="16.5"/>
    <row r="790" s="15" customFormat="1" ht="16.5"/>
    <row r="791" s="15" customFormat="1" ht="16.5"/>
    <row r="792" s="15" customFormat="1" ht="16.5"/>
    <row r="793" s="15" customFormat="1" ht="16.5"/>
    <row r="794" s="15" customFormat="1" ht="16.5"/>
    <row r="795" s="15" customFormat="1" ht="16.5"/>
    <row r="796" s="15" customFormat="1" ht="16.5"/>
    <row r="797" s="15" customFormat="1" ht="16.5"/>
    <row r="798" s="15" customFormat="1" ht="16.5"/>
    <row r="799" s="15" customFormat="1" ht="16.5"/>
    <row r="800" s="15" customFormat="1" ht="16.5"/>
    <row r="801" s="15" customFormat="1" ht="16.5"/>
    <row r="802" s="15" customFormat="1" ht="16.5"/>
    <row r="803" s="15" customFormat="1" ht="16.5"/>
    <row r="804" s="15" customFormat="1" ht="16.5"/>
    <row r="805" s="15" customFormat="1" ht="16.5"/>
    <row r="806" s="15" customFormat="1" ht="16.5"/>
    <row r="807" s="15" customFormat="1" ht="16.5"/>
    <row r="808" s="15" customFormat="1" ht="16.5"/>
    <row r="809" s="15" customFormat="1" ht="16.5"/>
    <row r="810" s="15" customFormat="1" ht="16.5"/>
    <row r="811" s="15" customFormat="1" ht="16.5"/>
    <row r="812" s="15" customFormat="1" ht="16.5"/>
    <row r="813" s="15" customFormat="1" ht="16.5"/>
    <row r="814" s="15" customFormat="1" ht="16.5"/>
    <row r="815" s="15" customFormat="1" ht="16.5"/>
    <row r="816" s="15" customFormat="1" ht="16.5"/>
    <row r="817" s="15" customFormat="1" ht="16.5"/>
    <row r="818" s="15" customFormat="1" ht="16.5"/>
    <row r="819" s="15" customFormat="1" ht="16.5"/>
    <row r="820" s="15" customFormat="1" ht="16.5"/>
    <row r="821" s="15" customFormat="1" ht="16.5"/>
    <row r="822" s="15" customFormat="1" ht="16.5"/>
    <row r="823" s="15" customFormat="1" ht="16.5"/>
    <row r="824" s="15" customFormat="1" ht="16.5"/>
    <row r="825" s="15" customFormat="1" ht="16.5"/>
    <row r="826" s="15" customFormat="1" ht="16.5"/>
    <row r="827" s="15" customFormat="1" ht="16.5"/>
    <row r="828" s="15" customFormat="1" ht="16.5"/>
    <row r="829" s="15" customFormat="1" ht="16.5"/>
    <row r="830" s="15" customFormat="1" ht="16.5"/>
    <row r="831" s="15" customFormat="1" ht="16.5"/>
    <row r="832" s="15" customFormat="1" ht="16.5"/>
    <row r="833" s="15" customFormat="1" ht="16.5"/>
    <row r="834" s="15" customFormat="1" ht="16.5"/>
    <row r="835" s="15" customFormat="1" ht="16.5"/>
    <row r="836" s="15" customFormat="1" ht="16.5"/>
    <row r="837" s="15" customFormat="1" ht="16.5"/>
    <row r="838" s="15" customFormat="1" ht="16.5"/>
    <row r="839" s="15" customFormat="1" ht="16.5"/>
    <row r="840" s="15" customFormat="1" ht="16.5"/>
    <row r="841" s="15" customFormat="1" ht="16.5"/>
    <row r="842" s="15" customFormat="1" ht="16.5"/>
    <row r="843" s="15" customFormat="1" ht="16.5"/>
    <row r="844" s="15" customFormat="1" ht="16.5"/>
    <row r="845" s="15" customFormat="1" ht="16.5"/>
    <row r="846" s="15" customFormat="1" ht="16.5"/>
    <row r="847" s="15" customFormat="1" ht="16.5"/>
    <row r="848" s="15" customFormat="1" ht="16.5"/>
    <row r="849" s="15" customFormat="1" ht="16.5"/>
    <row r="850" s="15" customFormat="1" ht="16.5"/>
    <row r="851" s="15" customFormat="1" ht="16.5"/>
    <row r="852" s="15" customFormat="1" ht="16.5"/>
    <row r="853" s="15" customFormat="1" ht="16.5"/>
    <row r="854" s="15" customFormat="1" ht="16.5"/>
    <row r="855" s="15" customFormat="1" ht="16.5"/>
    <row r="856" s="15" customFormat="1" ht="16.5"/>
    <row r="857" s="15" customFormat="1" ht="16.5"/>
    <row r="858" s="15" customFormat="1" ht="16.5"/>
    <row r="859" s="15" customFormat="1" ht="16.5"/>
    <row r="860" s="15" customFormat="1" ht="16.5"/>
    <row r="861" s="15" customFormat="1" ht="16.5"/>
    <row r="862" s="15" customFormat="1" ht="16.5"/>
    <row r="863" s="15" customFormat="1" ht="16.5"/>
    <row r="864" s="15" customFormat="1" ht="16.5"/>
    <row r="865" s="15" customFormat="1" ht="16.5"/>
    <row r="866" s="15" customFormat="1" ht="16.5"/>
    <row r="867" s="15" customFormat="1" ht="16.5"/>
    <row r="868" s="15" customFormat="1" ht="16.5"/>
    <row r="869" s="15" customFormat="1" ht="16.5"/>
    <row r="870" s="15" customFormat="1" ht="16.5"/>
    <row r="871" s="15" customFormat="1" ht="16.5"/>
    <row r="872" s="15" customFormat="1" ht="16.5"/>
    <row r="873" s="15" customFormat="1" ht="16.5"/>
    <row r="874" s="15" customFormat="1" ht="16.5"/>
    <row r="875" s="15" customFormat="1" ht="16.5"/>
    <row r="876" s="15" customFormat="1" ht="16.5"/>
    <row r="877" s="15" customFormat="1" ht="16.5"/>
    <row r="878" s="15" customFormat="1" ht="16.5"/>
    <row r="879" s="15" customFormat="1" ht="16.5"/>
    <row r="880" s="15" customFormat="1" ht="16.5"/>
    <row r="881" s="15" customFormat="1" ht="16.5"/>
    <row r="882" s="15" customFormat="1" ht="16.5"/>
    <row r="883" s="15" customFormat="1" ht="16.5"/>
    <row r="884" s="15" customFormat="1" ht="16.5"/>
    <row r="885" s="15" customFormat="1" ht="16.5"/>
    <row r="886" s="15" customFormat="1" ht="16.5"/>
    <row r="887" s="15" customFormat="1" ht="16.5"/>
    <row r="888" s="15" customFormat="1" ht="16.5"/>
    <row r="889" s="15" customFormat="1" ht="16.5"/>
    <row r="890" s="15" customFormat="1" ht="16.5"/>
    <row r="891" s="15" customFormat="1" ht="16.5"/>
    <row r="892" s="15" customFormat="1" ht="16.5"/>
    <row r="893" s="15" customFormat="1" ht="16.5"/>
    <row r="894" s="15" customFormat="1" ht="16.5"/>
    <row r="895" s="15" customFormat="1" ht="16.5"/>
    <row r="896" s="15" customFormat="1" ht="16.5"/>
    <row r="897" s="15" customFormat="1" ht="16.5"/>
    <row r="898" s="15" customFormat="1" ht="16.5"/>
    <row r="899" s="15" customFormat="1" ht="16.5"/>
    <row r="900" s="15" customFormat="1" ht="16.5"/>
    <row r="901" s="15" customFormat="1" ht="16.5"/>
    <row r="902" s="15" customFormat="1" ht="16.5"/>
    <row r="903" s="15" customFormat="1" ht="16.5"/>
    <row r="904" s="15" customFormat="1" ht="16.5"/>
    <row r="905" s="15" customFormat="1" ht="16.5"/>
    <row r="906" s="15" customFormat="1" ht="16.5"/>
    <row r="907" s="15" customFormat="1" ht="16.5"/>
    <row r="908" s="15" customFormat="1" ht="16.5"/>
    <row r="909" s="15" customFormat="1" ht="16.5"/>
    <row r="910" s="15" customFormat="1" ht="16.5"/>
    <row r="911" s="15" customFormat="1" ht="16.5"/>
    <row r="912" s="15" customFormat="1" ht="16.5"/>
    <row r="913" s="15" customFormat="1" ht="16.5"/>
    <row r="914" s="15" customFormat="1" ht="16.5"/>
    <row r="915" s="15" customFormat="1" ht="16.5"/>
    <row r="916" s="15" customFormat="1" ht="16.5"/>
    <row r="917" s="15" customFormat="1" ht="16.5"/>
    <row r="918" s="15" customFormat="1" ht="16.5"/>
    <row r="919" s="15" customFormat="1" ht="16.5"/>
    <row r="920" s="15" customFormat="1" ht="16.5"/>
    <row r="921" s="15" customFormat="1" ht="16.5"/>
    <row r="922" s="15" customFormat="1" ht="16.5"/>
    <row r="923" s="15" customFormat="1" ht="16.5"/>
    <row r="924" s="15" customFormat="1" ht="16.5"/>
    <row r="925" s="15" customFormat="1" ht="16.5"/>
    <row r="926" s="15" customFormat="1" ht="16.5"/>
    <row r="927" s="15" customFormat="1" ht="16.5"/>
    <row r="928" s="15" customFormat="1" ht="16.5"/>
    <row r="929" s="15" customFormat="1" ht="16.5"/>
    <row r="930" s="15" customFormat="1" ht="16.5"/>
    <row r="931" s="15" customFormat="1" ht="16.5"/>
    <row r="932" s="15" customFormat="1" ht="16.5"/>
    <row r="933" s="15" customFormat="1" ht="16.5"/>
    <row r="934" s="15" customFormat="1" ht="16.5"/>
    <row r="935" s="15" customFormat="1" ht="16.5"/>
    <row r="936" s="15" customFormat="1" ht="16.5"/>
    <row r="937" s="15" customFormat="1" ht="16.5"/>
    <row r="938" s="15" customFormat="1" ht="16.5"/>
    <row r="939" s="15" customFormat="1" ht="16.5"/>
    <row r="940" s="15" customFormat="1" ht="16.5"/>
    <row r="941" s="15" customFormat="1" ht="16.5"/>
    <row r="942" s="15" customFormat="1" ht="16.5"/>
    <row r="943" s="15" customFormat="1" ht="16.5"/>
    <row r="944" s="15" customFormat="1" ht="16.5"/>
    <row r="945" s="15" customFormat="1" ht="16.5"/>
    <row r="946" s="15" customFormat="1" ht="16.5"/>
    <row r="947" s="15" customFormat="1" ht="16.5"/>
    <row r="948" s="15" customFormat="1" ht="16.5"/>
    <row r="949" s="15" customFormat="1" ht="16.5"/>
    <row r="950" s="15" customFormat="1" ht="16.5"/>
    <row r="951" s="15" customFormat="1" ht="16.5"/>
    <row r="952" s="15" customFormat="1" ht="16.5"/>
    <row r="953" s="15" customFormat="1" ht="16.5"/>
    <row r="954" s="15" customFormat="1" ht="16.5"/>
    <row r="955" s="15" customFormat="1" ht="16.5"/>
    <row r="956" s="15" customFormat="1" ht="16.5"/>
    <row r="957" s="15" customFormat="1" ht="16.5"/>
    <row r="958" s="15" customFormat="1" ht="16.5"/>
    <row r="959" s="15" customFormat="1" ht="16.5"/>
    <row r="960" s="15" customFormat="1" ht="16.5"/>
    <row r="961" s="15" customFormat="1" ht="16.5"/>
    <row r="962" s="15" customFormat="1" ht="16.5"/>
    <row r="963" s="15" customFormat="1" ht="16.5"/>
    <row r="964" s="15" customFormat="1" ht="16.5"/>
    <row r="965" s="15" customFormat="1" ht="16.5"/>
    <row r="966" s="15" customFormat="1" ht="16.5"/>
    <row r="967" s="15" customFormat="1" ht="16.5"/>
    <row r="968" s="15" customFormat="1" ht="16.5"/>
    <row r="969" s="15" customFormat="1" ht="16.5"/>
    <row r="970" s="15" customFormat="1" ht="16.5"/>
    <row r="971" s="15" customFormat="1" ht="16.5"/>
    <row r="972" s="15" customFormat="1" ht="16.5"/>
    <row r="973" s="15" customFormat="1" ht="16.5"/>
    <row r="974" s="15" customFormat="1" ht="16.5"/>
    <row r="975" s="15" customFormat="1" ht="16.5"/>
    <row r="976" s="15" customFormat="1" ht="16.5"/>
    <row r="977" s="15" customFormat="1" ht="16.5"/>
    <row r="978" s="15" customFormat="1" ht="16.5"/>
    <row r="979" s="15" customFormat="1" ht="16.5"/>
    <row r="980" s="15" customFormat="1" ht="16.5"/>
    <row r="981" s="15" customFormat="1" ht="16.5"/>
    <row r="982" s="15" customFormat="1" ht="16.5"/>
    <row r="983" s="15" customFormat="1" ht="16.5"/>
    <row r="984" s="15" customFormat="1" ht="16.5"/>
    <row r="985" s="15" customFormat="1" ht="16.5"/>
    <row r="986" s="15" customFormat="1" ht="16.5"/>
    <row r="987" s="15" customFormat="1" ht="16.5"/>
    <row r="988" s="15" customFormat="1" ht="16.5"/>
    <row r="989" s="15" customFormat="1" ht="16.5"/>
    <row r="990" s="15" customFormat="1" ht="16.5"/>
    <row r="991" s="15" customFormat="1" ht="16.5"/>
    <row r="992" s="15" customFormat="1" ht="16.5"/>
    <row r="993" s="15" customFormat="1" ht="16.5"/>
    <row r="994" s="15" customFormat="1" ht="16.5"/>
    <row r="995" s="15" customFormat="1" ht="16.5"/>
    <row r="996" s="15" customFormat="1" ht="16.5"/>
    <row r="997" s="15" customFormat="1" ht="16.5"/>
    <row r="998" s="15" customFormat="1" ht="16.5"/>
    <row r="999" s="15" customFormat="1" ht="16.5"/>
    <row r="1000" s="15" customFormat="1" ht="16.5"/>
    <row r="1001" s="15" customFormat="1" ht="16.5"/>
    <row r="1002" s="15" customFormat="1" ht="16.5"/>
    <row r="1003" s="15" customFormat="1" ht="16.5"/>
    <row r="1004" s="15" customFormat="1" ht="16.5"/>
    <row r="1005" s="15" customFormat="1" ht="16.5"/>
    <row r="1006" s="15" customFormat="1" ht="16.5"/>
    <row r="1007" s="15" customFormat="1" ht="16.5"/>
    <row r="1008" s="15" customFormat="1" ht="16.5"/>
    <row r="1009" s="15" customFormat="1" ht="16.5"/>
    <row r="1010" s="15" customFormat="1" ht="16.5"/>
    <row r="1011" s="15" customFormat="1" ht="16.5"/>
    <row r="1012" s="15" customFormat="1" ht="16.5"/>
    <row r="1013" s="15" customFormat="1" ht="16.5"/>
    <row r="1014" s="15" customFormat="1" ht="16.5"/>
    <row r="1015" s="15" customFormat="1" ht="16.5"/>
    <row r="1016" s="15" customFormat="1" ht="16.5"/>
    <row r="1017" s="15" customFormat="1" ht="16.5"/>
    <row r="1018" s="15" customFormat="1" ht="16.5"/>
    <row r="1019" s="15" customFormat="1" ht="16.5"/>
    <row r="1020" s="15" customFormat="1" ht="16.5"/>
    <row r="1021" s="15" customFormat="1" ht="16.5"/>
    <row r="1022" s="15" customFormat="1" ht="16.5"/>
    <row r="1023" s="15" customFormat="1" ht="16.5"/>
    <row r="1024" s="15" customFormat="1" ht="16.5"/>
    <row r="1025" s="15" customFormat="1" ht="16.5"/>
    <row r="1026" s="15" customFormat="1" ht="16.5"/>
    <row r="1027" s="15" customFormat="1" ht="16.5"/>
    <row r="1028" s="15" customFormat="1" ht="16.5"/>
    <row r="1029" s="15" customFormat="1" ht="16.5"/>
    <row r="1030" s="15" customFormat="1" ht="16.5"/>
    <row r="1031" s="15" customFormat="1" ht="16.5"/>
    <row r="1032" s="15" customFormat="1" ht="16.5"/>
    <row r="1033" s="15" customFormat="1" ht="16.5"/>
    <row r="1034" s="15" customFormat="1" ht="16.5"/>
    <row r="1035" s="15" customFormat="1" ht="16.5"/>
    <row r="1036" s="15" customFormat="1" ht="16.5"/>
    <row r="1037" s="15" customFormat="1" ht="16.5"/>
    <row r="1038" s="15" customFormat="1" ht="16.5"/>
    <row r="1039" s="15" customFormat="1" ht="16.5"/>
    <row r="1040" s="15" customFormat="1" ht="16.5"/>
    <row r="1041" s="15" customFormat="1" ht="16.5"/>
    <row r="1042" s="15" customFormat="1" ht="16.5"/>
    <row r="1043" s="15" customFormat="1" ht="16.5"/>
    <row r="1044" s="15" customFormat="1" ht="16.5"/>
    <row r="1045" s="15" customFormat="1" ht="16.5"/>
    <row r="1046" s="15" customFormat="1" ht="16.5"/>
    <row r="1047" s="15" customFormat="1" ht="16.5"/>
    <row r="1048" s="15" customFormat="1" ht="16.5"/>
    <row r="1049" s="15" customFormat="1" ht="16.5"/>
    <row r="1050" s="15" customFormat="1" ht="16.5"/>
    <row r="1051" s="15" customFormat="1" ht="16.5"/>
    <row r="1052" s="15" customFormat="1" ht="16.5"/>
    <row r="1053" s="15" customFormat="1" ht="16.5"/>
    <row r="1054" s="15" customFormat="1" ht="16.5"/>
    <row r="1055" s="15" customFormat="1" ht="16.5"/>
    <row r="1056" s="15" customFormat="1" ht="16.5"/>
    <row r="1057" s="15" customFormat="1" ht="16.5"/>
    <row r="1058" s="15" customFormat="1" ht="16.5"/>
    <row r="1059" s="15" customFormat="1" ht="16.5"/>
    <row r="1060" s="15" customFormat="1" ht="16.5"/>
    <row r="1061" s="15" customFormat="1" ht="16.5"/>
    <row r="1062" s="15" customFormat="1" ht="16.5"/>
    <row r="1063" s="15" customFormat="1" ht="16.5"/>
    <row r="1064" s="15" customFormat="1" ht="16.5"/>
    <row r="1065" s="15" customFormat="1" ht="16.5"/>
    <row r="1066" s="15" customFormat="1" ht="16.5"/>
    <row r="1067" s="15" customFormat="1" ht="16.5"/>
    <row r="1068" s="15" customFormat="1" ht="16.5"/>
    <row r="1069" s="15" customFormat="1" ht="16.5"/>
    <row r="1070" s="15" customFormat="1" ht="16.5"/>
    <row r="1071" s="15" customFormat="1" ht="16.5"/>
    <row r="1072" s="15" customFormat="1" ht="16.5"/>
    <row r="1073" s="15" customFormat="1" ht="16.5"/>
    <row r="1074" s="15" customFormat="1" ht="16.5"/>
    <row r="1075" s="15" customFormat="1" ht="16.5"/>
    <row r="1076" s="15" customFormat="1" ht="16.5"/>
    <row r="1077" s="15" customFormat="1" ht="16.5"/>
    <row r="1078" s="15" customFormat="1" ht="16.5"/>
    <row r="1079" s="15" customFormat="1" ht="16.5"/>
    <row r="1080" s="15" customFormat="1" ht="16.5"/>
    <row r="1081" s="15" customFormat="1" ht="16.5"/>
    <row r="1082" s="15" customFormat="1" ht="16.5"/>
    <row r="1083" s="15" customFormat="1" ht="16.5"/>
    <row r="1084" s="15" customFormat="1" ht="16.5"/>
    <row r="1085" s="15" customFormat="1" ht="16.5"/>
    <row r="1086" s="15" customFormat="1" ht="16.5"/>
    <row r="1087" s="15" customFormat="1" ht="16.5"/>
    <row r="1088" s="15" customFormat="1" ht="16.5"/>
    <row r="1089" s="15" customFormat="1" ht="16.5"/>
    <row r="1090" s="15" customFormat="1" ht="16.5"/>
    <row r="1091" s="15" customFormat="1" ht="16.5"/>
    <row r="1092" s="15" customFormat="1" ht="16.5"/>
    <row r="1093" s="15" customFormat="1" ht="16.5"/>
    <row r="1094" s="15" customFormat="1" ht="16.5"/>
    <row r="1095" s="15" customFormat="1" ht="16.5"/>
    <row r="1096" s="15" customFormat="1" ht="16.5"/>
    <row r="1097" s="15" customFormat="1" ht="16.5"/>
    <row r="1098" s="15" customFormat="1" ht="16.5"/>
    <row r="1099" s="15" customFormat="1" ht="16.5"/>
    <row r="1100" s="15" customFormat="1" ht="16.5"/>
    <row r="1101" s="15" customFormat="1" ht="16.5"/>
    <row r="1102" s="15" customFormat="1" ht="16.5"/>
    <row r="1103" s="15" customFormat="1" ht="16.5"/>
    <row r="1104" s="15" customFormat="1" ht="16.5"/>
    <row r="1105" s="15" customFormat="1" ht="16.5"/>
    <row r="1106" s="15" customFormat="1" ht="16.5"/>
    <row r="1107" s="15" customFormat="1" ht="16.5"/>
    <row r="1108" s="15" customFormat="1" ht="16.5"/>
    <row r="1109" s="15" customFormat="1" ht="16.5"/>
    <row r="1110" s="15" customFormat="1" ht="16.5"/>
    <row r="1111" s="15" customFormat="1" ht="16.5"/>
    <row r="1112" s="15" customFormat="1" ht="16.5"/>
    <row r="1113" s="15" customFormat="1" ht="16.5"/>
    <row r="1114" s="15" customFormat="1" ht="16.5"/>
    <row r="1115" s="15" customFormat="1" ht="16.5"/>
    <row r="1116" s="15" customFormat="1" ht="16.5"/>
    <row r="1117" s="15" customFormat="1" ht="16.5"/>
    <row r="1118" s="15" customFormat="1" ht="16.5"/>
    <row r="1119" s="15" customFormat="1" ht="16.5"/>
    <row r="1120" s="15" customFormat="1" ht="16.5"/>
    <row r="1121" s="15" customFormat="1" ht="16.5"/>
    <row r="1122" s="15" customFormat="1" ht="16.5"/>
    <row r="1123" s="15" customFormat="1" ht="16.5"/>
    <row r="1124" s="15" customFormat="1" ht="16.5"/>
    <row r="1125" s="15" customFormat="1" ht="16.5"/>
    <row r="1126" s="15" customFormat="1" ht="16.5"/>
    <row r="1127" s="15" customFormat="1" ht="16.5"/>
    <row r="1128" s="15" customFormat="1" ht="16.5"/>
    <row r="1129" s="15" customFormat="1" ht="16.5"/>
    <row r="1130" s="15" customFormat="1" ht="16.5"/>
    <row r="1131" s="15" customFormat="1" ht="16.5"/>
    <row r="1132" s="15" customFormat="1" ht="16.5"/>
    <row r="1133" s="15" customFormat="1" ht="16.5"/>
    <row r="1134" s="15" customFormat="1" ht="16.5"/>
    <row r="1135" s="15" customFormat="1" ht="16.5"/>
    <row r="1136" s="15" customFormat="1" ht="16.5"/>
    <row r="1137" s="15" customFormat="1" ht="16.5"/>
    <row r="1138" s="15" customFormat="1" ht="16.5"/>
    <row r="1139" s="15" customFormat="1" ht="16.5"/>
    <row r="1140" s="15" customFormat="1" ht="16.5"/>
    <row r="1141" s="15" customFormat="1" ht="16.5"/>
    <row r="1142" s="15" customFormat="1" ht="16.5"/>
    <row r="1143" s="15" customFormat="1" ht="16.5"/>
    <row r="1144" s="15" customFormat="1" ht="16.5"/>
    <row r="1145" s="15" customFormat="1" ht="16.5"/>
    <row r="1146" s="15" customFormat="1" ht="16.5"/>
    <row r="1147" s="15" customFormat="1" ht="16.5"/>
    <row r="1148" s="15" customFormat="1" ht="16.5"/>
    <row r="1149" s="15" customFormat="1" ht="16.5"/>
    <row r="1150" s="15" customFormat="1" ht="16.5"/>
    <row r="1151" s="15" customFormat="1" ht="16.5"/>
    <row r="1152" s="15" customFormat="1" ht="16.5"/>
    <row r="1153" s="15" customFormat="1" ht="16.5"/>
    <row r="1154" s="15" customFormat="1" ht="16.5"/>
    <row r="1155" s="15" customFormat="1" ht="16.5"/>
    <row r="1156" s="15" customFormat="1" ht="16.5"/>
    <row r="1157" s="15" customFormat="1" ht="16.5"/>
    <row r="1158" s="15" customFormat="1" ht="16.5"/>
    <row r="1159" s="15" customFormat="1" ht="16.5"/>
    <row r="1160" s="15" customFormat="1" ht="16.5"/>
    <row r="1161" s="15" customFormat="1" ht="16.5"/>
    <row r="1162" s="15" customFormat="1" ht="16.5"/>
    <row r="1163" s="15" customFormat="1" ht="16.5"/>
    <row r="1164" s="15" customFormat="1" ht="16.5"/>
    <row r="1165" s="15" customFormat="1" ht="16.5"/>
    <row r="1166" s="15" customFormat="1" ht="16.5"/>
    <row r="1167" s="15" customFormat="1" ht="16.5"/>
    <row r="1168" s="15" customFormat="1" ht="16.5"/>
    <row r="1169" s="15" customFormat="1" ht="16.5"/>
    <row r="1170" s="15" customFormat="1" ht="16.5"/>
    <row r="1171" s="15" customFormat="1" ht="16.5"/>
    <row r="1172" s="15" customFormat="1" ht="16.5"/>
    <row r="1173" s="15" customFormat="1" ht="16.5"/>
    <row r="1174" s="15" customFormat="1" ht="16.5"/>
    <row r="1175" s="15" customFormat="1" ht="16.5"/>
    <row r="1176" s="15" customFormat="1" ht="16.5"/>
    <row r="1177" s="15" customFormat="1" ht="16.5"/>
  </sheetData>
  <mergeCells count="46">
    <mergeCell ref="K32:M32"/>
    <mergeCell ref="K33:M33"/>
    <mergeCell ref="K34:M34"/>
    <mergeCell ref="K26:M26"/>
    <mergeCell ref="A27:G27"/>
    <mergeCell ref="H27:I27"/>
    <mergeCell ref="K27:M27"/>
    <mergeCell ref="K28:M28"/>
    <mergeCell ref="A29:A30"/>
    <mergeCell ref="B29:B30"/>
    <mergeCell ref="E29:E30"/>
    <mergeCell ref="G29:G30"/>
    <mergeCell ref="H29:H30"/>
    <mergeCell ref="C29:D29"/>
    <mergeCell ref="C30:D30"/>
    <mergeCell ref="B25:C25"/>
    <mergeCell ref="D25:E25"/>
    <mergeCell ref="F25:G25"/>
    <mergeCell ref="H25:I25"/>
    <mergeCell ref="B26:C26"/>
    <mergeCell ref="D26:E26"/>
    <mergeCell ref="F26:G26"/>
    <mergeCell ref="H26:I26"/>
    <mergeCell ref="B23:C23"/>
    <mergeCell ref="D23:E23"/>
    <mergeCell ref="F23:G23"/>
    <mergeCell ref="H23:I23"/>
    <mergeCell ref="B24:C24"/>
    <mergeCell ref="D24:E24"/>
    <mergeCell ref="F24:G24"/>
    <mergeCell ref="H24:I24"/>
    <mergeCell ref="A20:M20"/>
    <mergeCell ref="B22:C22"/>
    <mergeCell ref="D22:E22"/>
    <mergeCell ref="F22:G22"/>
    <mergeCell ref="H22:I22"/>
    <mergeCell ref="B15:C15"/>
    <mergeCell ref="B16:C16"/>
    <mergeCell ref="B17:C17"/>
    <mergeCell ref="B18:C18"/>
    <mergeCell ref="B19:C19"/>
    <mergeCell ref="B10:C10"/>
    <mergeCell ref="B11:C11"/>
    <mergeCell ref="B12:C12"/>
    <mergeCell ref="B13:C13"/>
    <mergeCell ref="B14:C14"/>
  </mergeCells>
  <pageMargins left="0.23619999999999999" right="0.23619999999999999" top="1.1416999999999999" bottom="0.39369999999999999" header="0.748" footer="0"/>
  <pageSetup paperSize="9" scale="61" fitToWidth="0" fitToHeight="0" orientation="landscape" r:id="rId1"/>
  <headerFooter alignWithMargins="0"/>
  <colBreaks count="1" manualBreakCount="1">
    <brk id="17" max="1048575"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N42"/>
  <sheetViews>
    <sheetView topLeftCell="A7" workbookViewId="0">
      <selection activeCell="A14" sqref="A14"/>
    </sheetView>
  </sheetViews>
  <sheetFormatPr defaultColWidth="9" defaultRowHeight="14.25"/>
  <cols>
    <col min="1" max="1" width="20.875" customWidth="1"/>
    <col min="2" max="2" width="14.625" customWidth="1"/>
    <col min="3" max="3" width="8.75" customWidth="1"/>
    <col min="4" max="4" width="9" customWidth="1"/>
    <col min="5" max="5" width="8.5" customWidth="1"/>
    <col min="6" max="6" width="31.375" customWidth="1"/>
    <col min="7" max="1024" width="8.5" customWidth="1"/>
    <col min="1025" max="1025" width="9" customWidth="1"/>
  </cols>
  <sheetData>
    <row r="1" spans="1:14" ht="15">
      <c r="A1" t="str">
        <f>+'POW-2015-01-00_'!A10:C10</f>
        <v xml:space="preserve">Project                        </v>
      </c>
      <c r="B1" s="5" t="str">
        <f>+'POW-2015-01-00_'!E10</f>
        <v>CONSTRUCTION OF ROAD</v>
      </c>
    </row>
    <row r="2" spans="1:14" ht="15">
      <c r="A2" t="str">
        <f>+'POW-2015-01-00_'!A14:C14</f>
        <v xml:space="preserve">Location                       </v>
      </c>
      <c r="B2" s="5" t="str">
        <f>+'POW-2015-01-00_'!E14</f>
        <v>BRGY. L. PIMENTEL, SAN LUIS, AURORA</v>
      </c>
    </row>
    <row r="3" spans="1:14" ht="15">
      <c r="A3" t="str">
        <f>+'POW-2015-01-00_'!A15:C15</f>
        <v>Station Limits</v>
      </c>
      <c r="B3" s="6" t="str">
        <f>+SOQ!B3</f>
        <v>LOCATION 1</v>
      </c>
      <c r="C3" s="6">
        <f>+SOQ!C3</f>
        <v>0</v>
      </c>
      <c r="D3" s="6" t="str">
        <f>+SOQ!D3</f>
        <v>TO</v>
      </c>
    </row>
    <row r="4" spans="1:14" ht="15">
      <c r="A4" t="str">
        <f>+'POW-2015-01-00_'!A17</f>
        <v>Appropriation</v>
      </c>
      <c r="B4" s="7">
        <f>+'POW-2015-01-00_'!E17</f>
        <v>10000000</v>
      </c>
      <c r="C4" s="5"/>
    </row>
    <row r="5" spans="1:14" ht="15">
      <c r="A5" t="str">
        <f>+'POW-2015-01-00_'!V10</f>
        <v>Net Length</v>
      </c>
      <c r="B5" s="5">
        <f>+'POW-2015-01-00_'!AA10</f>
        <v>1.9259999999999999</v>
      </c>
      <c r="C5" s="5" t="str">
        <f>+'POW-2015-01-00_'!AC10</f>
        <v>Lane km</v>
      </c>
    </row>
    <row r="6" spans="1:14" ht="15">
      <c r="A6" t="str">
        <f>+'POW-2015-01-00_'!V15</f>
        <v>Total Project Duration</v>
      </c>
      <c r="B6" s="8">
        <f>+'POW-2015-01-00_'!AC15</f>
        <v>65</v>
      </c>
      <c r="C6" s="8" t="str">
        <f>+'POW-2015-01-00_'!AD15</f>
        <v>CD</v>
      </c>
    </row>
    <row r="8" spans="1:14" ht="15">
      <c r="A8" s="5" t="str">
        <f>+'POW-2015-01-00_'!A20</f>
        <v>DESCRIPTION OF WORKS TO BE DONE</v>
      </c>
    </row>
    <row r="9" spans="1:14">
      <c r="L9" t="s">
        <v>1154</v>
      </c>
      <c r="M9" t="s">
        <v>246</v>
      </c>
      <c r="N9" t="s">
        <v>1155</v>
      </c>
    </row>
    <row r="10" spans="1:14" s="5" customFormat="1" ht="15">
      <c r="A10" s="5" t="str">
        <f>+SOQ!A12</f>
        <v>PART A</v>
      </c>
      <c r="B10" s="5" t="str">
        <f>+SOQ!B12</f>
        <v>FACILITIES FOR THE ENGINEER</v>
      </c>
      <c r="G10" s="9" t="str">
        <f>+'POW-2015-01C-00_'!E9</f>
        <v>%</v>
      </c>
      <c r="L10" s="10">
        <v>1</v>
      </c>
      <c r="M10" s="5">
        <v>55</v>
      </c>
      <c r="N10" s="5">
        <v>6</v>
      </c>
    </row>
    <row r="11" spans="1:14">
      <c r="A11" s="10" t="str">
        <f>+SOQ!A13</f>
        <v>A.1.1 (3)</v>
      </c>
      <c r="B11" t="str">
        <f>+SOQ!B13</f>
        <v>Construction of Field Office for the Engineer</v>
      </c>
      <c r="G11" s="11">
        <f>+'POW-2015-01C-00_'!E13</f>
        <v>0.62745635373864028</v>
      </c>
      <c r="L11" s="10">
        <v>2</v>
      </c>
      <c r="M11">
        <v>52</v>
      </c>
      <c r="N11">
        <v>6</v>
      </c>
    </row>
    <row r="12" spans="1:14" ht="15">
      <c r="A12" s="10"/>
      <c r="F12" s="12" t="s">
        <v>1156</v>
      </c>
      <c r="G12" s="13">
        <f>+G11</f>
        <v>0.62745635373864028</v>
      </c>
      <c r="L12" s="10">
        <v>3</v>
      </c>
      <c r="M12">
        <v>40</v>
      </c>
      <c r="N12">
        <v>6</v>
      </c>
    </row>
    <row r="13" spans="1:14" s="5" customFormat="1" ht="15">
      <c r="A13" s="5" t="str">
        <f>+SOQ!A14</f>
        <v>PART B</v>
      </c>
      <c r="B13" s="5" t="str">
        <f>+SOQ!B14</f>
        <v>OTHER GENERAL REQUIREMENTS</v>
      </c>
      <c r="G13" s="13"/>
      <c r="L13" s="10">
        <v>4</v>
      </c>
      <c r="M13" s="5">
        <v>31</v>
      </c>
      <c r="N13" s="5">
        <v>7</v>
      </c>
    </row>
    <row r="14" spans="1:14">
      <c r="A14" s="10" t="e">
        <v>#NAME?</v>
      </c>
      <c r="B14" t="e">
        <v>#NAME?</v>
      </c>
      <c r="G14" s="11" t="s">
        <v>1157</v>
      </c>
      <c r="L14" s="10">
        <v>5</v>
      </c>
      <c r="M14">
        <v>39</v>
      </c>
      <c r="N14">
        <v>7</v>
      </c>
    </row>
    <row r="15" spans="1:14">
      <c r="A15" s="10" t="str">
        <f>+SOQ!A15</f>
        <v>B.5</v>
      </c>
      <c r="B15" t="str">
        <f>+SOQ!B15</f>
        <v>Project Billboard/ Signboard (DPWH)</v>
      </c>
      <c r="G15" s="11">
        <f>+'POW-2015-01C-00_'!E18</f>
        <v>8.7578670762637631E-2</v>
      </c>
      <c r="L15" s="10">
        <v>6</v>
      </c>
      <c r="M15">
        <v>14</v>
      </c>
      <c r="N15">
        <v>6</v>
      </c>
    </row>
    <row r="16" spans="1:14">
      <c r="A16" s="10" t="str">
        <f>+SOQ!A16</f>
        <v>B.5</v>
      </c>
      <c r="B16" t="str">
        <f>+SOQ!B16</f>
        <v>Project Billboard/ Signboard (COA)</v>
      </c>
      <c r="G16" s="11">
        <f>+'POW-2015-01C-00_'!E20</f>
        <v>8.7578670762637631E-2</v>
      </c>
      <c r="L16" s="10">
        <v>7</v>
      </c>
      <c r="M16">
        <v>26</v>
      </c>
      <c r="N16">
        <v>7</v>
      </c>
    </row>
    <row r="17" spans="1:14">
      <c r="A17" s="10" t="str">
        <f>+SOQ!A17</f>
        <v>B.7 (2)</v>
      </c>
      <c r="B17" t="str">
        <f>+SOQ!B17</f>
        <v>Occupational Safety and Health Program</v>
      </c>
      <c r="G17" s="11">
        <f>+'POW-2015-01C-00_'!E22</f>
        <v>1.4012825752018945</v>
      </c>
      <c r="L17" s="10">
        <v>8</v>
      </c>
      <c r="M17">
        <v>36</v>
      </c>
      <c r="N17">
        <v>7</v>
      </c>
    </row>
    <row r="18" spans="1:14">
      <c r="A18" s="10" t="e">
        <v>#NAME?</v>
      </c>
      <c r="B18" t="e">
        <v>#NAME?</v>
      </c>
      <c r="G18" s="11" t="s">
        <v>1157</v>
      </c>
      <c r="L18" s="10">
        <v>9</v>
      </c>
      <c r="M18">
        <v>10</v>
      </c>
      <c r="N18">
        <v>3</v>
      </c>
    </row>
    <row r="19" spans="1:14">
      <c r="A19" s="10" t="str">
        <f>+SOQ!A19</f>
        <v>B.9</v>
      </c>
      <c r="B19" t="str">
        <f>+SOQ!B19</f>
        <v>Mobilization/ Demobilization</v>
      </c>
      <c r="G19" s="11">
        <f>+'POW-2015-01C-00_'!E26</f>
        <v>0.85886074160817572</v>
      </c>
      <c r="L19" s="10">
        <v>10</v>
      </c>
      <c r="M19">
        <v>84</v>
      </c>
      <c r="N19">
        <v>5</v>
      </c>
    </row>
    <row r="20" spans="1:14" ht="15">
      <c r="A20" s="10"/>
      <c r="F20" s="12" t="s">
        <v>1156</v>
      </c>
      <c r="G20" s="13">
        <f>+SUM(G14:G19)</f>
        <v>2.4353006583353451</v>
      </c>
      <c r="L20" s="10">
        <v>11</v>
      </c>
      <c r="M20">
        <v>80</v>
      </c>
      <c r="N20">
        <v>5</v>
      </c>
    </row>
    <row r="21" spans="1:14" s="5" customFormat="1" ht="15">
      <c r="A21" s="5" t="e">
        <v>#NAME?</v>
      </c>
      <c r="B21" s="5" t="e">
        <v>#NAME?</v>
      </c>
      <c r="G21" s="13"/>
      <c r="L21" s="10">
        <v>12</v>
      </c>
      <c r="M21" s="5">
        <v>28</v>
      </c>
      <c r="N21" s="5">
        <v>7</v>
      </c>
    </row>
    <row r="22" spans="1:14">
      <c r="A22" s="10" t="e">
        <v>#NAME?</v>
      </c>
      <c r="B22" t="e">
        <v>#NAME?</v>
      </c>
      <c r="G22" s="11" t="s">
        <v>1157</v>
      </c>
      <c r="L22" s="10"/>
    </row>
    <row r="23" spans="1:14">
      <c r="A23" s="10" t="e">
        <v>#NAME?</v>
      </c>
      <c r="B23" t="e">
        <v>#NAME?</v>
      </c>
      <c r="G23" s="11" t="s">
        <v>1157</v>
      </c>
    </row>
    <row r="24" spans="1:14">
      <c r="A24" s="10" t="e">
        <v>#NAME?</v>
      </c>
      <c r="B24" t="e">
        <v>#NAME?</v>
      </c>
      <c r="G24" s="11" t="s">
        <v>1157</v>
      </c>
    </row>
    <row r="25" spans="1:14">
      <c r="A25" s="10" t="e">
        <v>#NAME?</v>
      </c>
      <c r="B25" t="e">
        <v>#NAME?</v>
      </c>
      <c r="G25" s="11" t="s">
        <v>1157</v>
      </c>
    </row>
    <row r="26" spans="1:14">
      <c r="A26" s="10" t="e">
        <v>#NAME?</v>
      </c>
      <c r="B26" t="e">
        <v>#NAME?</v>
      </c>
      <c r="G26" s="11" t="s">
        <v>1157</v>
      </c>
    </row>
    <row r="27" spans="1:14">
      <c r="A27" s="10" t="e">
        <v>#NAME?</v>
      </c>
      <c r="B27" t="e">
        <v>#NAME?</v>
      </c>
      <c r="G27" s="11" t="s">
        <v>1157</v>
      </c>
    </row>
    <row r="28" spans="1:14" ht="15">
      <c r="A28" s="10"/>
      <c r="F28" s="12" t="s">
        <v>1156</v>
      </c>
      <c r="G28" s="13">
        <f>+SUM(G22:G27)</f>
        <v>0</v>
      </c>
    </row>
    <row r="29" spans="1:14" s="5" customFormat="1" ht="15">
      <c r="A29" s="5" t="e">
        <v>#NAME?</v>
      </c>
      <c r="B29" s="5" t="e">
        <v>#NAME?</v>
      </c>
      <c r="G29" s="13"/>
    </row>
    <row r="30" spans="1:14">
      <c r="A30" s="10" t="e">
        <v>#NAME?</v>
      </c>
      <c r="B30" t="e">
        <v>#NAME?</v>
      </c>
      <c r="G30" s="11" t="s">
        <v>1157</v>
      </c>
    </row>
    <row r="31" spans="1:14" ht="15">
      <c r="A31" s="10"/>
      <c r="F31" s="12" t="s">
        <v>1156</v>
      </c>
      <c r="G31" s="13" t="str">
        <f>+G30</f>
        <v>Err:509</v>
      </c>
    </row>
    <row r="32" spans="1:14" s="5" customFormat="1" ht="15">
      <c r="A32" s="5" t="e">
        <v>#NAME?</v>
      </c>
      <c r="B32" s="5" t="e">
        <v>#NAME?</v>
      </c>
      <c r="G32" s="13"/>
    </row>
    <row r="33" spans="1:7">
      <c r="A33" s="10" t="e">
        <v>#NAME?</v>
      </c>
      <c r="B33" t="e">
        <v>#NAME?</v>
      </c>
      <c r="G33" s="11" t="s">
        <v>1157</v>
      </c>
    </row>
    <row r="34" spans="1:7" ht="15">
      <c r="A34" s="10"/>
      <c r="F34" s="12" t="s">
        <v>1156</v>
      </c>
      <c r="G34" s="13" t="str">
        <f>+G33</f>
        <v>Err:509</v>
      </c>
    </row>
    <row r="35" spans="1:7" s="5" customFormat="1" ht="15">
      <c r="A35" s="5" t="e">
        <f>+SOQ!#REF!</f>
        <v>#REF!</v>
      </c>
      <c r="B35" s="5" t="e">
        <f>+SOQ!#REF!</f>
        <v>#REF!</v>
      </c>
      <c r="G35" s="13"/>
    </row>
    <row r="36" spans="1:7">
      <c r="A36" s="10" t="e">
        <v>#NAME?</v>
      </c>
      <c r="B36" t="e">
        <v>#NAME?</v>
      </c>
      <c r="G36" s="11" t="s">
        <v>1157</v>
      </c>
    </row>
    <row r="37" spans="1:7">
      <c r="A37" s="10" t="e">
        <v>#NAME?</v>
      </c>
      <c r="B37" t="e">
        <v>#NAME?</v>
      </c>
      <c r="G37" s="11" t="s">
        <v>1157</v>
      </c>
    </row>
    <row r="38" spans="1:7" ht="15">
      <c r="A38" s="10"/>
      <c r="F38" s="12" t="s">
        <v>1156</v>
      </c>
      <c r="G38" s="13" t="e">
        <f>+G36+G37</f>
        <v>#VALUE!</v>
      </c>
    </row>
    <row r="39" spans="1:7" s="5" customFormat="1" ht="15">
      <c r="A39" s="5" t="e">
        <v>#NAME?</v>
      </c>
      <c r="B39" s="5" t="e">
        <v>#NAME?</v>
      </c>
      <c r="G39" s="13"/>
    </row>
    <row r="40" spans="1:7">
      <c r="A40" s="10" t="e">
        <v>#NAME?</v>
      </c>
      <c r="B40" t="e">
        <v>#NAME?</v>
      </c>
      <c r="G40" s="11" t="s">
        <v>1157</v>
      </c>
    </row>
    <row r="41" spans="1:7" ht="15">
      <c r="F41" s="12" t="s">
        <v>1156</v>
      </c>
      <c r="G41" s="14" t="str">
        <f>+G40</f>
        <v>Err:509</v>
      </c>
    </row>
    <row r="42" spans="1:7" ht="15">
      <c r="F42" s="12" t="s">
        <v>15</v>
      </c>
      <c r="G42" s="14" t="e">
        <f>+G12+G20+G28+G31+G34+G38+G41</f>
        <v>#VALUE!</v>
      </c>
    </row>
  </sheetData>
  <pageMargins left="0.7" right="0.7" top="1.1436999999999999" bottom="1.1436999999999999" header="0.75" footer="0.75"/>
  <pageSetup paperSize="9" scale="80" fitToWidth="0" fitToHeight="0" orientation="portrait"/>
  <headerFooter alignWithMargins="0"/>
  <colBreaks count="1" manualBreakCount="1">
    <brk id="9"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5"/>
  <dimension ref="A1:AMJ17"/>
  <sheetViews>
    <sheetView workbookViewId="0"/>
  </sheetViews>
  <sheetFormatPr defaultColWidth="9" defaultRowHeight="15"/>
  <cols>
    <col min="1" max="1" width="15.75" style="1" customWidth="1"/>
    <col min="2" max="2" width="100.625" style="2" customWidth="1"/>
    <col min="3" max="1024" width="8.5" style="2" customWidth="1"/>
    <col min="1025" max="1025" width="9" customWidth="1"/>
  </cols>
  <sheetData>
    <row r="1" spans="1:2" ht="15.75">
      <c r="A1" s="3" t="s">
        <v>1158</v>
      </c>
    </row>
    <row r="2" spans="1:2">
      <c r="A2" s="1" t="s">
        <v>1159</v>
      </c>
      <c r="B2" s="1" t="s">
        <v>1160</v>
      </c>
    </row>
    <row r="3" spans="1:2">
      <c r="A3" s="1">
        <v>1</v>
      </c>
      <c r="B3" s="2" t="s">
        <v>1161</v>
      </c>
    </row>
    <row r="4" spans="1:2">
      <c r="A4" s="1">
        <v>2</v>
      </c>
      <c r="B4" s="2" t="s">
        <v>1162</v>
      </c>
    </row>
    <row r="5" spans="1:2">
      <c r="A5" s="1">
        <v>3</v>
      </c>
      <c r="B5" s="2" t="s">
        <v>1163</v>
      </c>
    </row>
    <row r="6" spans="1:2" ht="45">
      <c r="A6" s="1">
        <v>4</v>
      </c>
      <c r="B6" s="4" t="s">
        <v>1164</v>
      </c>
    </row>
    <row r="7" spans="1:2">
      <c r="A7" s="1">
        <v>5</v>
      </c>
      <c r="B7" s="4" t="s">
        <v>1165</v>
      </c>
    </row>
    <row r="8" spans="1:2">
      <c r="A8" s="1">
        <v>6</v>
      </c>
      <c r="B8" s="2" t="s">
        <v>1166</v>
      </c>
    </row>
    <row r="9" spans="1:2">
      <c r="A9" s="1">
        <v>7</v>
      </c>
      <c r="B9" s="2" t="s">
        <v>1167</v>
      </c>
    </row>
    <row r="10" spans="1:2">
      <c r="A10" s="1">
        <v>8</v>
      </c>
      <c r="B10" s="2" t="s">
        <v>1168</v>
      </c>
    </row>
    <row r="11" spans="1:2">
      <c r="A11" s="1">
        <v>9</v>
      </c>
      <c r="B11" s="2" t="s">
        <v>1169</v>
      </c>
    </row>
    <row r="12" spans="1:2">
      <c r="A12" s="1">
        <v>10</v>
      </c>
      <c r="B12" s="2" t="s">
        <v>1170</v>
      </c>
    </row>
    <row r="13" spans="1:2">
      <c r="A13" s="1">
        <v>11</v>
      </c>
      <c r="B13" s="2" t="s">
        <v>1171</v>
      </c>
    </row>
    <row r="14" spans="1:2">
      <c r="A14" s="1">
        <v>12</v>
      </c>
      <c r="B14" s="2" t="s">
        <v>1172</v>
      </c>
    </row>
    <row r="15" spans="1:2">
      <c r="A15" s="1">
        <v>13</v>
      </c>
    </row>
    <row r="16" spans="1:2">
      <c r="A16" s="1">
        <v>14</v>
      </c>
    </row>
    <row r="17" spans="1:1">
      <c r="A17" s="1">
        <v>15</v>
      </c>
    </row>
  </sheetData>
  <pageMargins left="0.7" right="0.7" top="1.1436999999999999" bottom="1.1436999999999999" header="0.75" footer="0.7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38</vt:i4>
      </vt:variant>
    </vt:vector>
  </HeadingPairs>
  <TitlesOfParts>
    <vt:vector size="73" baseType="lpstr">
      <vt:lpstr>ABC-2015-02-00_</vt:lpstr>
      <vt:lpstr>ABC-2015-02A-00</vt:lpstr>
      <vt:lpstr>ABC-2015-02A-00__(1)</vt:lpstr>
      <vt:lpstr>POW-2015-01-00_</vt:lpstr>
      <vt:lpstr>POW-2015-01A-00_</vt:lpstr>
      <vt:lpstr>POW-2015-01B-00_</vt:lpstr>
      <vt:lpstr>POW-2015-01C-00_</vt:lpstr>
      <vt:lpstr>BACKUP</vt:lpstr>
      <vt:lpstr>SOQ</vt:lpstr>
      <vt:lpstr>cd</vt:lpstr>
      <vt:lpstr>FO</vt:lpstr>
      <vt:lpstr>A_1_1_(3)</vt:lpstr>
      <vt:lpstr>B_5(dp)</vt:lpstr>
      <vt:lpstr>B_5_(coa)</vt:lpstr>
      <vt:lpstr>Man-days</vt:lpstr>
      <vt:lpstr>B_7(2)</vt:lpstr>
      <vt:lpstr>B_8(2)</vt:lpstr>
      <vt:lpstr>B_9</vt:lpstr>
      <vt:lpstr>100(3)a1</vt:lpstr>
      <vt:lpstr>102(2)</vt:lpstr>
      <vt:lpstr>104(1)a</vt:lpstr>
      <vt:lpstr>104(2)a</vt:lpstr>
      <vt:lpstr>105(1)a</vt:lpstr>
      <vt:lpstr>200(1)</vt:lpstr>
      <vt:lpstr>311(1)b1</vt:lpstr>
      <vt:lpstr>404(1)a</vt:lpstr>
      <vt:lpstr>405(1)a3</vt:lpstr>
      <vt:lpstr>506(1)</vt:lpstr>
      <vt:lpstr>611(1)</vt:lpstr>
      <vt:lpstr>PRICE_LIST</vt:lpstr>
      <vt:lpstr>Equipments</vt:lpstr>
      <vt:lpstr>HAULING_COST_(cement)</vt:lpstr>
      <vt:lpstr>HAULING_COST_(RSB)</vt:lpstr>
      <vt:lpstr>Sheet1</vt:lpstr>
      <vt:lpstr>INDEX</vt:lpstr>
      <vt:lpstr>Backup</vt:lpstr>
      <vt:lpstr>equipment</vt:lpstr>
      <vt:lpstr>LABOR</vt:lpstr>
      <vt:lpstr>material</vt:lpstr>
      <vt:lpstr>N</vt:lpstr>
      <vt:lpstr>'100(3)a1'!Print_Area</vt:lpstr>
      <vt:lpstr>'102(2)'!Print_Area</vt:lpstr>
      <vt:lpstr>'104(1)a'!Print_Area</vt:lpstr>
      <vt:lpstr>'104(2)a'!Print_Area</vt:lpstr>
      <vt:lpstr>'105(1)a'!Print_Area</vt:lpstr>
      <vt:lpstr>'200(1)'!Print_Area</vt:lpstr>
      <vt:lpstr>'311(1)b1'!Print_Area</vt:lpstr>
      <vt:lpstr>'404(1)a'!Print_Area</vt:lpstr>
      <vt:lpstr>'405(1)a3'!Print_Area</vt:lpstr>
      <vt:lpstr>'506(1)'!Print_Area</vt:lpstr>
      <vt:lpstr>'611(1)'!Print_Area</vt:lpstr>
      <vt:lpstr>'A_1_1_(3)'!Print_Area</vt:lpstr>
      <vt:lpstr>'ABC-2015-02-00_'!Print_Area</vt:lpstr>
      <vt:lpstr>'ABC-2015-02A-00'!Print_Area</vt:lpstr>
      <vt:lpstr>'ABC-2015-02A-00__(1)'!Print_Area</vt:lpstr>
      <vt:lpstr>'B_5(dp)'!Print_Area</vt:lpstr>
      <vt:lpstr>'B_5_(coa)'!Print_Area</vt:lpstr>
      <vt:lpstr>'B_7(2)'!Print_Area</vt:lpstr>
      <vt:lpstr>'B_8(2)'!Print_Area</vt:lpstr>
      <vt:lpstr>B_9!Print_Area</vt:lpstr>
      <vt:lpstr>BACKUP!Print_Area</vt:lpstr>
      <vt:lpstr>cd!Print_Area</vt:lpstr>
      <vt:lpstr>Equipments!Print_Area</vt:lpstr>
      <vt:lpstr>'HAULING_COST_(cement)'!Print_Area</vt:lpstr>
      <vt:lpstr>'HAULING_COST_(RSB)'!Print_Area</vt:lpstr>
      <vt:lpstr>'Man-days'!Print_Area</vt:lpstr>
      <vt:lpstr>'POW-2015-01-00_'!Print_Area</vt:lpstr>
      <vt:lpstr>'POW-2015-01A-00_'!Print_Area</vt:lpstr>
      <vt:lpstr>'POW-2015-01B-00_'!Print_Area</vt:lpstr>
      <vt:lpstr>'POW-2015-01C-00_'!Print_Area</vt:lpstr>
      <vt:lpstr>Sheet1!Print_Area</vt:lpstr>
      <vt:lpstr>SOQ!Print_Area</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John Harris Curitana</cp:lastModifiedBy>
  <cp:lastPrinted>2023-01-12T03:15:31Z</cp:lastPrinted>
  <dcterms:created xsi:type="dcterms:W3CDTF">2022-12-02T06:59:00Z</dcterms:created>
  <dcterms:modified xsi:type="dcterms:W3CDTF">2024-08-01T00:18:26Z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1033-11.2.0.8668</vt:lpwstr>
  </property>
</Properties>
</file>