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QAWI19\CBLHJB03\"/>
    </mc:Choice>
  </mc:AlternateContent>
  <xr:revisionPtr revIDLastSave="0" documentId="13_ncr:1_{AF75C7F6-D9A1-4F27-A5BD-CAAC8D8D85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DATFILE" sheetId="3" r:id="rId2"/>
  </sheets>
  <definedNames>
    <definedName name="_xlnm._FilterDatabase" localSheetId="0" hidden="1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6" i="2" l="1"/>
  <c r="R36" i="2"/>
  <c r="Q36" i="2"/>
  <c r="P29" i="2"/>
  <c r="M29" i="2"/>
  <c r="K29" i="2"/>
  <c r="L29" i="2" s="1"/>
  <c r="J29" i="2"/>
  <c r="M24" i="2"/>
  <c r="L24" i="2"/>
  <c r="K24" i="2"/>
  <c r="J24" i="2"/>
  <c r="P23" i="2"/>
  <c r="P24" i="2" s="1"/>
  <c r="S27" i="2" s="1"/>
  <c r="M23" i="2"/>
  <c r="L23" i="2"/>
  <c r="K23" i="2"/>
  <c r="J23" i="2"/>
  <c r="P22" i="2"/>
  <c r="M22" i="2"/>
  <c r="K22" i="2"/>
  <c r="L22" i="2" s="1"/>
  <c r="J22" i="2"/>
  <c r="P17" i="2"/>
  <c r="M17" i="2"/>
  <c r="K17" i="2"/>
  <c r="L17" i="2" s="1"/>
  <c r="J17" i="2"/>
  <c r="T15" i="2"/>
  <c r="T7" i="2"/>
  <c r="S32" i="2"/>
  <c r="R32" i="2"/>
  <c r="R27" i="2"/>
  <c r="R20" i="2"/>
  <c r="R15" i="2"/>
  <c r="S20" i="2"/>
  <c r="S15" i="2"/>
  <c r="S7" i="2"/>
  <c r="Q32" i="2"/>
  <c r="Q27" i="2"/>
  <c r="Q20" i="2"/>
  <c r="Q15" i="2"/>
  <c r="Q7" i="2"/>
  <c r="V29" i="2"/>
  <c r="U29" i="2"/>
  <c r="T29" i="2"/>
  <c r="S29" i="2"/>
  <c r="R29" i="2"/>
  <c r="Q29" i="2"/>
  <c r="V24" i="2"/>
  <c r="U24" i="2"/>
  <c r="T24" i="2"/>
  <c r="S24" i="2"/>
  <c r="R24" i="2"/>
  <c r="Q24" i="2"/>
  <c r="V23" i="2"/>
  <c r="U23" i="2"/>
  <c r="T23" i="2"/>
  <c r="S23" i="2"/>
  <c r="R23" i="2"/>
  <c r="Q23" i="2"/>
  <c r="V22" i="2"/>
  <c r="U22" i="2"/>
  <c r="T22" i="2"/>
  <c r="S22" i="2"/>
  <c r="R22" i="2"/>
  <c r="Q22" i="2"/>
  <c r="V17" i="2"/>
  <c r="U17" i="2"/>
  <c r="T17" i="2"/>
  <c r="S17" i="2"/>
  <c r="R17" i="2"/>
  <c r="Q17" i="2"/>
  <c r="M10" i="2"/>
  <c r="M11" i="2"/>
  <c r="M12" i="2"/>
  <c r="M9" i="2"/>
  <c r="N9" i="2" s="1"/>
  <c r="M3" i="2"/>
  <c r="N4" i="2"/>
  <c r="N3" i="2"/>
  <c r="K12" i="2"/>
  <c r="L12" i="2" s="1"/>
  <c r="J12" i="2"/>
  <c r="V12" i="2"/>
  <c r="U12" i="2"/>
  <c r="T12" i="2"/>
  <c r="S12" i="2"/>
  <c r="R12" i="2"/>
  <c r="Q12" i="2"/>
  <c r="R7" i="2"/>
  <c r="P4" i="2"/>
  <c r="M4" i="2"/>
  <c r="K3" i="2"/>
  <c r="L3" i="2" s="1"/>
  <c r="K4" i="2"/>
  <c r="L4" i="2" s="1"/>
  <c r="J3" i="2"/>
  <c r="J4" i="2"/>
  <c r="Q3" i="2"/>
  <c r="R3" i="2"/>
  <c r="S3" i="2"/>
  <c r="Q4" i="2"/>
  <c r="R4" i="2"/>
  <c r="S4" i="2"/>
  <c r="V4" i="2"/>
  <c r="U4" i="2"/>
  <c r="T4" i="2"/>
  <c r="V3" i="2"/>
  <c r="U3" i="2"/>
  <c r="T3" i="2"/>
  <c r="U9" i="2"/>
  <c r="N29" i="2" l="1"/>
  <c r="O29" i="2" s="1"/>
  <c r="W29" i="2" s="1"/>
  <c r="T32" i="2" s="1"/>
  <c r="N22" i="2"/>
  <c r="O22" i="2" s="1"/>
  <c r="W22" i="2" s="1"/>
  <c r="O23" i="2"/>
  <c r="W23" i="2" s="1"/>
  <c r="N24" i="2"/>
  <c r="O24" i="2" s="1"/>
  <c r="W24" i="2" s="1"/>
  <c r="N23" i="2"/>
  <c r="N17" i="2"/>
  <c r="O17" i="2" s="1"/>
  <c r="W17" i="2" s="1"/>
  <c r="T20" i="2" s="1"/>
  <c r="N12" i="2"/>
  <c r="O12" i="2" s="1"/>
  <c r="W12" i="2" s="1"/>
  <c r="O4" i="2"/>
  <c r="W4" i="2" s="1"/>
  <c r="O3" i="2"/>
  <c r="W3" i="2" s="1"/>
  <c r="J39" i="2"/>
  <c r="J38" i="2"/>
  <c r="J11" i="2"/>
  <c r="J10" i="2"/>
  <c r="J9" i="2"/>
  <c r="T27" i="2" l="1"/>
  <c r="K39" i="2"/>
  <c r="L39" i="2" s="1"/>
  <c r="K38" i="2"/>
  <c r="L38" i="2" s="1"/>
  <c r="K11" i="2"/>
  <c r="L11" i="2" s="1"/>
  <c r="N11" i="2" s="1"/>
  <c r="O11" i="2" s="1"/>
  <c r="K10" i="2"/>
  <c r="L10" i="2" s="1"/>
  <c r="N10" i="2" s="1"/>
  <c r="O10" i="2" s="1"/>
  <c r="K9" i="2"/>
  <c r="L9" i="2" s="1"/>
  <c r="O9" i="2" s="1"/>
  <c r="Q45" i="2"/>
  <c r="R42" i="2"/>
  <c r="S42" i="2"/>
  <c r="P9" i="2"/>
  <c r="W11" i="2" l="1"/>
  <c r="W10" i="2"/>
  <c r="N38" i="2"/>
  <c r="O38" i="2" s="1"/>
  <c r="W38" i="2" s="1"/>
  <c r="N39" i="2"/>
  <c r="O39" i="2" s="1"/>
  <c r="W39" i="2" s="1"/>
  <c r="W9" i="2"/>
  <c r="U39" i="2"/>
  <c r="U38" i="2"/>
  <c r="U11" i="2"/>
  <c r="U10" i="2"/>
  <c r="V11" i="2"/>
  <c r="T11" i="2"/>
  <c r="S11" i="2"/>
  <c r="R11" i="2"/>
  <c r="Q11" i="2"/>
  <c r="P39" i="2"/>
  <c r="V39" i="2"/>
  <c r="T39" i="2"/>
  <c r="S39" i="2"/>
  <c r="R39" i="2"/>
  <c r="Q39" i="2"/>
  <c r="V38" i="2"/>
  <c r="T38" i="2"/>
  <c r="S38" i="2"/>
  <c r="R38" i="2"/>
  <c r="Q38" i="2"/>
  <c r="V10" i="2"/>
  <c r="T10" i="2"/>
  <c r="S10" i="2"/>
  <c r="R10" i="2"/>
  <c r="Q10" i="2"/>
  <c r="V9" i="2"/>
  <c r="S9" i="2"/>
  <c r="T9" i="2"/>
  <c r="R45" i="2" l="1"/>
  <c r="P10" i="2"/>
  <c r="P11" i="2" s="1"/>
  <c r="Q9" i="2"/>
  <c r="R9" i="2"/>
  <c r="P12" i="2" l="1"/>
  <c r="T42" i="2"/>
  <c r="S45" i="2" s="1"/>
  <c r="Q48" i="2"/>
  <c r="R48" i="2" l="1"/>
</calcChain>
</file>

<file path=xl/sharedStrings.xml><?xml version="1.0" encoding="utf-8"?>
<sst xmlns="http://schemas.openxmlformats.org/spreadsheetml/2006/main" count="163" uniqueCount="81">
  <si>
    <t>I-LAST-NAME</t>
  </si>
  <si>
    <t>I-STATE</t>
  </si>
  <si>
    <t>I-BOAT-COST</t>
  </si>
  <si>
    <t>I-ACCESSORY-PACKAGE</t>
  </si>
  <si>
    <t>I-PREP-DELIVERY-COST</t>
  </si>
  <si>
    <t>INPUT</t>
  </si>
  <si>
    <t>D-LAST-NAME</t>
  </si>
  <si>
    <t>D-STATE</t>
  </si>
  <si>
    <t>D-BOAT-COST</t>
  </si>
  <si>
    <t>D-PURCHASE-DATE</t>
  </si>
  <si>
    <t>D-ACC-PACK</t>
  </si>
  <si>
    <t>D-PREP-COST</t>
  </si>
  <si>
    <t>D-TOTAL-COST</t>
  </si>
  <si>
    <t>OUTPUT</t>
  </si>
  <si>
    <t>IA</t>
  </si>
  <si>
    <t>B</t>
  </si>
  <si>
    <t>I-YR</t>
  </si>
  <si>
    <t>I-MO</t>
  </si>
  <si>
    <t>I-DAY</t>
  </si>
  <si>
    <t>WORKING STORAGE</t>
  </si>
  <si>
    <t>P</t>
  </si>
  <si>
    <t>MO</t>
  </si>
  <si>
    <t>S</t>
  </si>
  <si>
    <t>999999.99</t>
  </si>
  <si>
    <t>000001.99</t>
  </si>
  <si>
    <t>000100.99</t>
  </si>
  <si>
    <t>01</t>
  </si>
  <si>
    <t>00010.10</t>
  </si>
  <si>
    <t>00050.00</t>
  </si>
  <si>
    <t>99999.99</t>
  </si>
  <si>
    <t xml:space="preserve">Wilson         </t>
  </si>
  <si>
    <t xml:space="preserve">Van Velsor     </t>
  </si>
  <si>
    <t xml:space="preserve">Van Antwerp    </t>
  </si>
  <si>
    <t>C-SALES-CTR</t>
  </si>
  <si>
    <t>000000.00</t>
  </si>
  <si>
    <t>00000.00</t>
  </si>
  <si>
    <t>I-BOAT-TYPE</t>
  </si>
  <si>
    <t>MIN-STATE</t>
  </si>
  <si>
    <t>MIN-BOAT-TYPE</t>
  </si>
  <si>
    <t>MIN-SALES-CTR</t>
  </si>
  <si>
    <t>MIN-TOTAL-COST</t>
  </si>
  <si>
    <t>MAJ-BOAT-TYPE</t>
  </si>
  <si>
    <t>MAJ-SALES-CTR</t>
  </si>
  <si>
    <t>MAJ-TOTAL-COST</t>
  </si>
  <si>
    <t>GRA-SALES-CTR</t>
  </si>
  <si>
    <t>GRA-TOTAL-COST</t>
  </si>
  <si>
    <t>123456.99</t>
  </si>
  <si>
    <t>C-MARKUP-AMNT</t>
  </si>
  <si>
    <t>C-SALES-TAX-AMNT</t>
  </si>
  <si>
    <t>C-SALES-TAX</t>
  </si>
  <si>
    <t>C-TOTAL-COST</t>
  </si>
  <si>
    <t>C-MARKUP-PERCENT</t>
  </si>
  <si>
    <t xml:space="preserve">BOB - DYLAN    </t>
  </si>
  <si>
    <t xml:space="preserve">DAVIS          </t>
  </si>
  <si>
    <t xml:space="preserve">QUERVO         </t>
  </si>
  <si>
    <t xml:space="preserve">FROAH          </t>
  </si>
  <si>
    <t xml:space="preserve">BIRKNER        </t>
  </si>
  <si>
    <t xml:space="preserve">METZGER        </t>
  </si>
  <si>
    <t>C-ACC-PACK-COST</t>
  </si>
  <si>
    <t xml:space="preserve">LESTER         </t>
  </si>
  <si>
    <t xml:space="preserve">HERNANDEZ      </t>
  </si>
  <si>
    <t xml:space="preserve">MUHAMED        </t>
  </si>
  <si>
    <t xml:space="preserve">FREEMAN        </t>
  </si>
  <si>
    <t>XXXXXXXXXXXXXXX</t>
  </si>
  <si>
    <t>CA</t>
  </si>
  <si>
    <t>WI</t>
  </si>
  <si>
    <t>ZZ</t>
  </si>
  <si>
    <t>000000.01</t>
  </si>
  <si>
    <t>010000.00</t>
  </si>
  <si>
    <t>050000.00</t>
  </si>
  <si>
    <t>09</t>
  </si>
  <si>
    <t>00000.01</t>
  </si>
  <si>
    <t>99</t>
  </si>
  <si>
    <t>08</t>
  </si>
  <si>
    <t>06</t>
  </si>
  <si>
    <t>03</t>
  </si>
  <si>
    <t>23</t>
  </si>
  <si>
    <t>15</t>
  </si>
  <si>
    <t>11</t>
  </si>
  <si>
    <t>00500.00</t>
  </si>
  <si>
    <t>02500.00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</si>
</sst>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;[Red]#,##0.00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quotePrefix="1" applyBorder="1"/>
    <xf numFmtId="2" fontId="0" fillId="0" borderId="5" xfId="0" quotePrefix="1" applyNumberFormat="1" applyBorder="1"/>
    <xf numFmtId="0" fontId="0" fillId="0" borderId="0" xfId="0" quotePrefix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2" fontId="0" fillId="0" borderId="4" xfId="0" applyNumberFormat="1" applyBorder="1"/>
    <xf numFmtId="49" fontId="0" fillId="0" borderId="0" xfId="0" applyNumberFormat="1" applyBorder="1" applyAlignment="1">
      <alignment horizontal="right"/>
    </xf>
    <xf numFmtId="49" fontId="0" fillId="0" borderId="0" xfId="0" quotePrefix="1" applyNumberFormat="1" applyBorder="1" applyAlignment="1">
      <alignment horizontal="right"/>
    </xf>
    <xf numFmtId="49" fontId="0" fillId="0" borderId="0" xfId="0" quotePrefix="1" applyNumberForma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5" xfId="0" applyNumberFormat="1" applyBorder="1"/>
    <xf numFmtId="164" fontId="0" fillId="0" borderId="5" xfId="0" applyNumberFormat="1" applyBorder="1"/>
    <xf numFmtId="0" fontId="1" fillId="2" borderId="4" xfId="1" applyBorder="1"/>
    <xf numFmtId="0" fontId="1" fillId="2" borderId="0" xfId="1" applyBorder="1"/>
    <xf numFmtId="165" fontId="1" fillId="2" borderId="0" xfId="1" applyNumberFormat="1" applyBorder="1" applyAlignment="1">
      <alignment horizontal="right"/>
    </xf>
    <xf numFmtId="165" fontId="1" fillId="2" borderId="5" xfId="1" applyNumberFormat="1" applyBorder="1"/>
    <xf numFmtId="0" fontId="1" fillId="3" borderId="0" xfId="2" applyBorder="1"/>
    <xf numFmtId="0" fontId="1" fillId="3" borderId="0" xfId="2"/>
    <xf numFmtId="166" fontId="1" fillId="3" borderId="0" xfId="2" applyNumberFormat="1" applyBorder="1" applyAlignment="1">
      <alignment horizontal="right"/>
    </xf>
    <xf numFmtId="164" fontId="1" fillId="3" borderId="0" xfId="2" applyNumberFormat="1" applyBorder="1"/>
    <xf numFmtId="0" fontId="1" fillId="4" borderId="0" xfId="3" applyBorder="1"/>
    <xf numFmtId="164" fontId="1" fillId="4" borderId="5" xfId="3" applyNumberFormat="1" applyBorder="1"/>
    <xf numFmtId="2" fontId="0" fillId="0" borderId="0" xfId="0" applyNumberFormat="1" applyBorder="1"/>
    <xf numFmtId="2" fontId="0" fillId="0" borderId="0" xfId="0" quotePrefix="1" applyNumberFormat="1" applyBorder="1"/>
    <xf numFmtId="2" fontId="0" fillId="0" borderId="7" xfId="0" applyNumberFormat="1" applyBorder="1"/>
    <xf numFmtId="2" fontId="0" fillId="0" borderId="4" xfId="0" quotePrefix="1" applyNumberFormat="1" applyBorder="1"/>
    <xf numFmtId="2" fontId="0" fillId="0" borderId="6" xfId="0" applyNumberFormat="1" applyBorder="1"/>
    <xf numFmtId="0" fontId="1" fillId="5" borderId="0" xfId="4" applyBorder="1"/>
    <xf numFmtId="164" fontId="1" fillId="5" borderId="0" xfId="4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1" fillId="5" borderId="0" xfId="4" applyNumberFormat="1" applyBorder="1"/>
  </cellXfs>
  <cellStyles count="5">
    <cellStyle name="20% - Accent1" xfId="1" builtinId="30"/>
    <cellStyle name="20% - Accent2" xfId="2" builtinId="34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zoomScaleNormal="100" workbookViewId="0">
      <selection activeCell="S37" sqref="S37"/>
    </sheetView>
  </sheetViews>
  <sheetFormatPr defaultRowHeight="15" x14ac:dyDescent="0.25"/>
  <cols>
    <col min="1" max="1" width="18.42578125" bestFit="1" customWidth="1"/>
    <col min="2" max="2" width="7.5703125" bestFit="1" customWidth="1"/>
    <col min="3" max="3" width="12.42578125" bestFit="1" customWidth="1"/>
    <col min="4" max="4" width="5" bestFit="1" customWidth="1"/>
    <col min="5" max="5" width="5.42578125" bestFit="1" customWidth="1"/>
    <col min="6" max="6" width="5.85546875" bestFit="1" customWidth="1"/>
    <col min="7" max="7" width="12" bestFit="1" customWidth="1"/>
    <col min="8" max="8" width="21.85546875" bestFit="1" customWidth="1"/>
    <col min="9" max="9" width="21.140625" bestFit="1" customWidth="1"/>
    <col min="10" max="10" width="21.140625" customWidth="1"/>
    <col min="11" max="11" width="19.42578125" bestFit="1" customWidth="1"/>
    <col min="12" max="12" width="16.85546875" bestFit="1" customWidth="1"/>
    <col min="13" max="13" width="17.42578125" bestFit="1" customWidth="1"/>
    <col min="14" max="14" width="18.5703125" bestFit="1" customWidth="1"/>
    <col min="15" max="15" width="18.5703125" customWidth="1"/>
    <col min="16" max="16" width="12" bestFit="1" customWidth="1"/>
    <col min="17" max="17" width="18.42578125" bestFit="1" customWidth="1"/>
    <col min="18" max="18" width="15.28515625" bestFit="1" customWidth="1"/>
    <col min="19" max="19" width="14.7109375" bestFit="1" customWidth="1"/>
    <col min="20" max="20" width="17.85546875" bestFit="1" customWidth="1"/>
    <col min="21" max="21" width="15" bestFit="1" customWidth="1"/>
    <col min="22" max="22" width="12.7109375" bestFit="1" customWidth="1"/>
    <col min="23" max="23" width="14" bestFit="1" customWidth="1"/>
  </cols>
  <sheetData>
    <row r="1" spans="1:23" ht="15.75" thickTop="1" x14ac:dyDescent="0.25">
      <c r="A1" s="37" t="s">
        <v>5</v>
      </c>
      <c r="B1" s="38"/>
      <c r="C1" s="38"/>
      <c r="D1" s="38"/>
      <c r="E1" s="38"/>
      <c r="F1" s="38"/>
      <c r="G1" s="38"/>
      <c r="H1" s="38"/>
      <c r="I1" s="38"/>
      <c r="J1" s="11"/>
      <c r="K1" s="38" t="s">
        <v>19</v>
      </c>
      <c r="L1" s="38"/>
      <c r="M1" s="38"/>
      <c r="N1" s="38"/>
      <c r="O1" s="38"/>
      <c r="P1" s="39"/>
      <c r="Q1" s="37" t="s">
        <v>13</v>
      </c>
      <c r="R1" s="38"/>
      <c r="S1" s="38"/>
      <c r="T1" s="38"/>
      <c r="U1" s="38"/>
      <c r="V1" s="38"/>
      <c r="W1" s="39"/>
    </row>
    <row r="2" spans="1:23" x14ac:dyDescent="0.25">
      <c r="A2" s="1" t="s">
        <v>0</v>
      </c>
      <c r="B2" s="2" t="s">
        <v>1</v>
      </c>
      <c r="C2" s="2" t="s">
        <v>2</v>
      </c>
      <c r="D2" s="2" t="s">
        <v>16</v>
      </c>
      <c r="E2" s="2" t="s">
        <v>17</v>
      </c>
      <c r="F2" s="2" t="s">
        <v>18</v>
      </c>
      <c r="G2" s="2" t="s">
        <v>36</v>
      </c>
      <c r="H2" s="2" t="s">
        <v>3</v>
      </c>
      <c r="I2" s="2" t="s">
        <v>4</v>
      </c>
      <c r="J2" s="1" t="s">
        <v>49</v>
      </c>
      <c r="K2" s="2" t="s">
        <v>51</v>
      </c>
      <c r="L2" s="7" t="s">
        <v>47</v>
      </c>
      <c r="M2" s="7" t="s">
        <v>58</v>
      </c>
      <c r="N2" s="7" t="s">
        <v>48</v>
      </c>
      <c r="O2" s="7" t="s">
        <v>50</v>
      </c>
      <c r="P2" s="3" t="s">
        <v>33</v>
      </c>
      <c r="Q2" s="1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3" t="s">
        <v>12</v>
      </c>
    </row>
    <row r="3" spans="1:23" x14ac:dyDescent="0.25">
      <c r="A3" s="1" t="s">
        <v>52</v>
      </c>
      <c r="B3" s="2" t="s">
        <v>64</v>
      </c>
      <c r="C3" s="8" t="s">
        <v>34</v>
      </c>
      <c r="D3" s="2">
        <v>2019</v>
      </c>
      <c r="E3" s="2">
        <v>12</v>
      </c>
      <c r="F3" s="2">
        <v>11</v>
      </c>
      <c r="G3" s="2" t="s">
        <v>15</v>
      </c>
      <c r="H3" s="7">
        <v>2</v>
      </c>
      <c r="I3" s="8" t="s">
        <v>35</v>
      </c>
      <c r="J3" s="33">
        <f t="shared" ref="J3:J4" si="0">0.06</f>
        <v>0.06</v>
      </c>
      <c r="K3">
        <f t="shared" ref="K3:K4" si="1">IF((G3="B"),0.33,IF((G3="P"),0.25,IF((G3="S"),0.425,IF((G3="J"),0.33,IF((G3="C"),0.2,IF((G3="R"),0.3,"ERROR!"))))))</f>
        <v>0.33</v>
      </c>
      <c r="L3" s="30">
        <f t="shared" ref="L3:L4" si="2">ROUND(C3*K3,2)</f>
        <v>0</v>
      </c>
      <c r="M3" s="7" t="str">
        <f>IF((H3=1),"5,415.30",IF((H3=2),"3,980.00",IF((H3=3),"345.45","Error!")))</f>
        <v>3,980.00</v>
      </c>
      <c r="N3" s="30">
        <f>ROUND((C3+I3+L3+M3)*J3,2)</f>
        <v>238.8</v>
      </c>
      <c r="O3" s="30">
        <f>SUM(C3+I3+L3+N3+M3)</f>
        <v>4218.8</v>
      </c>
      <c r="P3" s="3">
        <v>1</v>
      </c>
      <c r="Q3" s="20" t="str">
        <f t="shared" ref="Q3:Q4" si="3">A3</f>
        <v xml:space="preserve">BOB - DYLAN    </v>
      </c>
      <c r="R3" s="21" t="str">
        <f t="shared" ref="R3:R4" si="4">B3</f>
        <v>CA</v>
      </c>
      <c r="S3" s="22">
        <f>VALUE(C3)</f>
        <v>0</v>
      </c>
      <c r="T3" s="21" t="str">
        <f>CONCATENATE(E3,"/",F3,"/",RIGHT(D3,2))</f>
        <v>12/11/19</v>
      </c>
      <c r="U3" s="21" t="str">
        <f>IF((H3=1),"Electronics",IF((H3=2),"Ski Package",IF((H3=3),"Fishing Package","Error!")))</f>
        <v>Ski Package</v>
      </c>
      <c r="V3" s="22">
        <f>VALUE(I3)</f>
        <v>0</v>
      </c>
      <c r="W3" s="23">
        <f>O3</f>
        <v>4218.8</v>
      </c>
    </row>
    <row r="4" spans="1:23" x14ac:dyDescent="0.25">
      <c r="A4" s="1" t="s">
        <v>53</v>
      </c>
      <c r="B4" s="2" t="s">
        <v>64</v>
      </c>
      <c r="C4" s="8" t="s">
        <v>67</v>
      </c>
      <c r="D4" s="2">
        <v>2015</v>
      </c>
      <c r="E4" s="14" t="s">
        <v>70</v>
      </c>
      <c r="F4" s="15" t="s">
        <v>70</v>
      </c>
      <c r="G4" s="2" t="s">
        <v>15</v>
      </c>
      <c r="H4" s="2">
        <v>1</v>
      </c>
      <c r="I4" s="31" t="s">
        <v>71</v>
      </c>
      <c r="J4" s="33">
        <f t="shared" si="0"/>
        <v>0.06</v>
      </c>
      <c r="K4">
        <f t="shared" si="1"/>
        <v>0.33</v>
      </c>
      <c r="L4" s="30">
        <f t="shared" si="2"/>
        <v>0</v>
      </c>
      <c r="M4" s="7" t="str">
        <f t="shared" ref="M4:M12" si="5">IF((H4=1),"5,415.30",IF((H4=2),"3,90.00",IF((H4=3),"345.45","Error!")))</f>
        <v>5,415.30</v>
      </c>
      <c r="N4" s="30">
        <f>ROUND((C4+I4+L4+M4)*J4,2)</f>
        <v>324.92</v>
      </c>
      <c r="O4" s="30">
        <f t="shared" ref="O4" si="6">SUM(C4+I4+L4+N4+M4)</f>
        <v>5740.24</v>
      </c>
      <c r="P4" s="3">
        <f>P3+1</f>
        <v>2</v>
      </c>
      <c r="Q4" s="20" t="str">
        <f t="shared" si="3"/>
        <v xml:space="preserve">DAVIS          </v>
      </c>
      <c r="R4" s="21" t="str">
        <f t="shared" si="4"/>
        <v>CA</v>
      </c>
      <c r="S4" s="22">
        <f>VALUE(C4)</f>
        <v>0.01</v>
      </c>
      <c r="T4" s="21" t="str">
        <f>CONCATENATE(E4,"/",F4,"/",RIGHT(D4,2))</f>
        <v>09/09/15</v>
      </c>
      <c r="U4" s="21" t="str">
        <f>IF((H4=1),"Electronics",IF((H4=2),"Ski Package",IF((H4=3),"Fishing Package","Error!")))</f>
        <v>Electronics</v>
      </c>
      <c r="V4" s="22">
        <f>VALUE(I4)</f>
        <v>0.01</v>
      </c>
      <c r="W4" s="23">
        <f>O4</f>
        <v>5740.24</v>
      </c>
    </row>
    <row r="5" spans="1:23" x14ac:dyDescent="0.25">
      <c r="A5" s="1"/>
      <c r="B5" s="2"/>
      <c r="C5" s="8"/>
      <c r="D5" s="2"/>
      <c r="E5" s="14"/>
      <c r="F5" s="15"/>
      <c r="G5" s="2"/>
      <c r="H5" s="2"/>
      <c r="I5" s="31"/>
      <c r="J5" s="33"/>
      <c r="L5" s="30"/>
      <c r="M5" s="7"/>
      <c r="N5" s="30"/>
      <c r="O5" s="30"/>
      <c r="P5" s="3"/>
      <c r="Q5" s="1"/>
      <c r="R5" s="2"/>
      <c r="S5" s="17"/>
      <c r="T5" s="2"/>
      <c r="U5" s="2"/>
      <c r="V5" s="17"/>
      <c r="W5" s="18"/>
    </row>
    <row r="6" spans="1:23" x14ac:dyDescent="0.25">
      <c r="A6" s="1"/>
      <c r="B6" s="2"/>
      <c r="C6" s="8"/>
      <c r="D6" s="2"/>
      <c r="E6" s="14"/>
      <c r="F6" s="15"/>
      <c r="G6" s="2"/>
      <c r="H6" s="2"/>
      <c r="I6" s="31"/>
      <c r="J6" s="33"/>
      <c r="L6" s="30"/>
      <c r="M6" s="7"/>
      <c r="N6" s="30"/>
      <c r="O6" s="30"/>
      <c r="P6" s="3"/>
      <c r="Q6" s="1" t="s">
        <v>37</v>
      </c>
      <c r="R6" s="2" t="s">
        <v>38</v>
      </c>
      <c r="S6" s="17" t="s">
        <v>39</v>
      </c>
      <c r="T6" s="2" t="s">
        <v>40</v>
      </c>
      <c r="U6" s="2"/>
      <c r="V6" s="17"/>
      <c r="W6" s="18"/>
    </row>
    <row r="7" spans="1:23" x14ac:dyDescent="0.25">
      <c r="A7" s="1"/>
      <c r="B7" s="2"/>
      <c r="C7" s="8"/>
      <c r="D7" s="2"/>
      <c r="E7" s="14"/>
      <c r="F7" s="15"/>
      <c r="G7" s="2"/>
      <c r="H7" s="2"/>
      <c r="I7" s="31"/>
      <c r="J7" s="33"/>
      <c r="L7" s="30"/>
      <c r="M7" s="7"/>
      <c r="N7" s="30"/>
      <c r="O7" s="30"/>
      <c r="P7" s="3"/>
      <c r="Q7" s="25" t="str">
        <f>R3</f>
        <v>CA</v>
      </c>
      <c r="R7" s="24" t="str">
        <f>IF((G3="B"),"Bass Boat",IF((G3="P"),"Pontoon",IF((G3="S"),"Ski Boat",IF((G3="J"),"John Boat",IF((G3="C"),"Canoe",IF((G3="R"),"Cabin Cruiser","ERROR!"))))))</f>
        <v>Bass Boat</v>
      </c>
      <c r="S7" s="26">
        <f>P4</f>
        <v>2</v>
      </c>
      <c r="T7" s="27">
        <f>SUM(W3:W4)</f>
        <v>9959.0400000000009</v>
      </c>
      <c r="U7" s="2"/>
      <c r="V7" s="17"/>
      <c r="W7" s="18"/>
    </row>
    <row r="8" spans="1:23" x14ac:dyDescent="0.25">
      <c r="A8" s="1"/>
      <c r="B8" s="2"/>
      <c r="C8" s="8"/>
      <c r="D8" s="2"/>
      <c r="E8" s="14"/>
      <c r="F8" s="15"/>
      <c r="G8" s="2"/>
      <c r="H8" s="2"/>
      <c r="I8" s="31"/>
      <c r="J8" s="33"/>
      <c r="L8" s="30"/>
      <c r="M8" s="7"/>
      <c r="N8" s="30"/>
      <c r="O8" s="30"/>
      <c r="P8" s="3"/>
      <c r="Q8" s="1"/>
      <c r="R8" s="2"/>
      <c r="S8" s="17"/>
      <c r="T8" s="2"/>
      <c r="U8" s="2"/>
      <c r="V8" s="17"/>
      <c r="W8" s="18"/>
    </row>
    <row r="9" spans="1:23" x14ac:dyDescent="0.25">
      <c r="A9" s="1" t="s">
        <v>54</v>
      </c>
      <c r="B9" s="7" t="s">
        <v>14</v>
      </c>
      <c r="C9" s="8" t="s">
        <v>23</v>
      </c>
      <c r="D9" s="2">
        <v>9999</v>
      </c>
      <c r="E9" s="15" t="s">
        <v>72</v>
      </c>
      <c r="F9" s="16" t="s">
        <v>72</v>
      </c>
      <c r="G9" s="7" t="s">
        <v>15</v>
      </c>
      <c r="H9" s="7">
        <v>2</v>
      </c>
      <c r="I9" s="31" t="s">
        <v>71</v>
      </c>
      <c r="J9" s="33">
        <f>0.06</f>
        <v>0.06</v>
      </c>
      <c r="K9">
        <f>IF((G9="B"),0.33,IF((G9="P"),0.25,IF((G9="S"),0.425,IF((G9="J"),0.33,IF((G9="C"),0.2,IF((G9="R"),0.3,"ERROR!"))))))</f>
        <v>0.33</v>
      </c>
      <c r="L9" s="30">
        <f>ROUND(C9*K9,2)</f>
        <v>330000</v>
      </c>
      <c r="M9" s="7" t="str">
        <f>IF((H9=1),"5,415.30",IF((H9=2),"3,980.00",IF((H9=3),"345.45","Error!")))</f>
        <v>3,980.00</v>
      </c>
      <c r="N9" s="30">
        <f>ROUND((C9+I9+L9+M9)*J9,2)</f>
        <v>80038.8</v>
      </c>
      <c r="O9" s="30">
        <f>SUM(C9+I9+L9+N9+M9)</f>
        <v>1414018.8</v>
      </c>
      <c r="P9" s="3">
        <f>1</f>
        <v>1</v>
      </c>
      <c r="Q9" s="20" t="str">
        <f t="shared" ref="Q9:R11" si="7">A9</f>
        <v xml:space="preserve">QUERVO         </v>
      </c>
      <c r="R9" s="21" t="str">
        <f t="shared" si="7"/>
        <v>IA</v>
      </c>
      <c r="S9" s="22">
        <f>VALUE(C9)</f>
        <v>999999.99</v>
      </c>
      <c r="T9" s="21" t="str">
        <f>CONCATENATE(E9,"/",F9,"/",RIGHT(D9,2))</f>
        <v>99/99/99</v>
      </c>
      <c r="U9" s="21" t="str">
        <f>IF((H9=1),"Electronics",IF((H9=2),"Ski Package",IF((H9=3),"Fishing Package","Error!")))</f>
        <v>Ski Package</v>
      </c>
      <c r="V9" s="22">
        <f>VALUE(I9)</f>
        <v>0.01</v>
      </c>
      <c r="W9" s="23">
        <f>O9</f>
        <v>1414018.8</v>
      </c>
    </row>
    <row r="10" spans="1:23" x14ac:dyDescent="0.25">
      <c r="A10" s="1" t="s">
        <v>55</v>
      </c>
      <c r="B10" s="7" t="s">
        <v>14</v>
      </c>
      <c r="C10" s="8" t="s">
        <v>68</v>
      </c>
      <c r="D10" s="2">
        <v>2019</v>
      </c>
      <c r="E10" s="15" t="s">
        <v>73</v>
      </c>
      <c r="F10" s="16" t="s">
        <v>26</v>
      </c>
      <c r="G10" s="7" t="s">
        <v>15</v>
      </c>
      <c r="H10" s="7">
        <v>3</v>
      </c>
      <c r="I10" s="31" t="s">
        <v>79</v>
      </c>
      <c r="J10" s="33">
        <f>0.06</f>
        <v>0.06</v>
      </c>
      <c r="K10">
        <f>IF((G10="B"),0.33,IF((G10="P"),0.25,IF((G10="S"),0.425,IF((G10="J"),0.33,IF((G10="C"),0.2,IF((G10="R"),0.3,"ERROR!"))))))</f>
        <v>0.33</v>
      </c>
      <c r="L10" s="30">
        <f>ROUND(C10*K10,2)</f>
        <v>3300</v>
      </c>
      <c r="M10" s="7" t="str">
        <f t="shared" ref="M10:M12" si="8">IF((H10=1),"5,415.30",IF((H10=2),"3,980.00",IF((H10=3),"345.45","Error!")))</f>
        <v>345.45</v>
      </c>
      <c r="N10" s="30">
        <f t="shared" ref="N4:N12" si="9">ROUND((C10+I10+L10+M10)*J10,2)</f>
        <v>848.73</v>
      </c>
      <c r="O10" s="30">
        <f t="shared" ref="O10:O12" si="10">SUM(C10+I10+L10+N10+M10)</f>
        <v>14994.18</v>
      </c>
      <c r="P10" s="3">
        <f>P9 +1</f>
        <v>2</v>
      </c>
      <c r="Q10" s="20" t="str">
        <f t="shared" si="7"/>
        <v xml:space="preserve">FROAH          </v>
      </c>
      <c r="R10" s="21" t="str">
        <f t="shared" si="7"/>
        <v>IA</v>
      </c>
      <c r="S10" s="22">
        <f>VALUE(C10)</f>
        <v>10000</v>
      </c>
      <c r="T10" s="21" t="str">
        <f>CONCATENATE(E10,"/",F10,"/",RIGHT(D10,2))</f>
        <v>08/01/19</v>
      </c>
      <c r="U10" s="21" t="str">
        <f>IF((H10=1),"Electronics",IF((H10=2),"Ski Package",IF((H10=3),"Fishing Package","Error!")))</f>
        <v>Fishing Package</v>
      </c>
      <c r="V10" s="22">
        <f>VALUE(I10)</f>
        <v>500</v>
      </c>
      <c r="W10" s="23">
        <f>O10</f>
        <v>14994.18</v>
      </c>
    </row>
    <row r="11" spans="1:23" x14ac:dyDescent="0.25">
      <c r="A11" s="1" t="s">
        <v>56</v>
      </c>
      <c r="B11" s="7" t="s">
        <v>14</v>
      </c>
      <c r="C11" s="8" t="s">
        <v>67</v>
      </c>
      <c r="D11" s="2">
        <v>2019</v>
      </c>
      <c r="E11" s="15" t="s">
        <v>74</v>
      </c>
      <c r="F11" s="16" t="s">
        <v>26</v>
      </c>
      <c r="G11" s="7" t="s">
        <v>15</v>
      </c>
      <c r="H11" s="7">
        <v>3</v>
      </c>
      <c r="I11" s="31" t="s">
        <v>29</v>
      </c>
      <c r="J11" s="33">
        <f>0.06</f>
        <v>0.06</v>
      </c>
      <c r="K11">
        <f>IF((G11="B"),0.33,IF((G11="P"),0.25,IF((G11="S"),0.425,IF((G11="J"),0.33,IF((G11="C"),0.2,IF((G11="R"),0.3,"ERROR!"))))))</f>
        <v>0.33</v>
      </c>
      <c r="L11" s="30">
        <f>ROUND(C11*K11,2)</f>
        <v>0</v>
      </c>
      <c r="M11" s="7" t="str">
        <f t="shared" si="8"/>
        <v>345.45</v>
      </c>
      <c r="N11" s="30">
        <f t="shared" si="9"/>
        <v>6020.73</v>
      </c>
      <c r="O11" s="30">
        <f t="shared" si="10"/>
        <v>106366.18</v>
      </c>
      <c r="P11" s="3">
        <f>P10 +1</f>
        <v>3</v>
      </c>
      <c r="Q11" s="20" t="str">
        <f t="shared" si="7"/>
        <v xml:space="preserve">BIRKNER        </v>
      </c>
      <c r="R11" s="21" t="str">
        <f t="shared" si="7"/>
        <v>IA</v>
      </c>
      <c r="S11" s="22">
        <f>VALUE(C11)</f>
        <v>0.01</v>
      </c>
      <c r="T11" s="21" t="str">
        <f>CONCATENATE(E11,"/",F11,"/",RIGHT(D11,2))</f>
        <v>06/01/19</v>
      </c>
      <c r="U11" s="21" t="str">
        <f>IF((H11=1),"Electronics",IF((H11=2),"Ski Package",IF((H11=3),"Fishing Package","Error!")))</f>
        <v>Fishing Package</v>
      </c>
      <c r="V11" s="22">
        <f>VALUE(I11)</f>
        <v>99999.99</v>
      </c>
      <c r="W11" s="23">
        <f>O11</f>
        <v>106366.18</v>
      </c>
    </row>
    <row r="12" spans="1:23" x14ac:dyDescent="0.25">
      <c r="A12" s="1" t="s">
        <v>57</v>
      </c>
      <c r="B12" s="7" t="s">
        <v>14</v>
      </c>
      <c r="C12" s="8" t="s">
        <v>69</v>
      </c>
      <c r="D12" s="7">
        <v>1980</v>
      </c>
      <c r="E12" s="14" t="s">
        <v>75</v>
      </c>
      <c r="F12" s="15" t="s">
        <v>76</v>
      </c>
      <c r="G12" s="7" t="s">
        <v>15</v>
      </c>
      <c r="H12" s="7">
        <v>2</v>
      </c>
      <c r="I12" s="31" t="s">
        <v>80</v>
      </c>
      <c r="J12" s="33">
        <f>0.06</f>
        <v>0.06</v>
      </c>
      <c r="K12">
        <f>IF((G12="B"),0.33,IF((G12="P"),0.25,IF((G12="S"),0.425,IF((G12="J"),0.33,IF((G12="C"),0.2,IF((G12="R"),0.3,"ERROR!"))))))</f>
        <v>0.33</v>
      </c>
      <c r="L12" s="30">
        <f>ROUND(C12*K12,2)</f>
        <v>16500</v>
      </c>
      <c r="M12" s="7" t="str">
        <f t="shared" si="8"/>
        <v>3,980.00</v>
      </c>
      <c r="N12" s="30">
        <f t="shared" si="9"/>
        <v>4378.8</v>
      </c>
      <c r="O12" s="30">
        <f t="shared" si="10"/>
        <v>77358.8</v>
      </c>
      <c r="P12" s="3">
        <f>P11 +1</f>
        <v>4</v>
      </c>
      <c r="Q12" s="20" t="str">
        <f t="shared" ref="Q12" si="11">A12</f>
        <v xml:space="preserve">METZGER        </v>
      </c>
      <c r="R12" s="21" t="str">
        <f t="shared" ref="R12" si="12">B12</f>
        <v>IA</v>
      </c>
      <c r="S12" s="22">
        <f>VALUE(C12)</f>
        <v>50000</v>
      </c>
      <c r="T12" s="21" t="str">
        <f>CONCATENATE(E12,"/",F12,"/",RIGHT(D12,2))</f>
        <v>03/23/80</v>
      </c>
      <c r="U12" s="21" t="str">
        <f>IF((H12=1),"Electronics",IF((H12=2),"Ski Package",IF((H12=3),"Fishing Package","Error!")))</f>
        <v>Ski Package</v>
      </c>
      <c r="V12" s="22">
        <f>VALUE(I12)</f>
        <v>2500</v>
      </c>
      <c r="W12" s="23">
        <f>O12</f>
        <v>77358.8</v>
      </c>
    </row>
    <row r="13" spans="1:23" x14ac:dyDescent="0.25">
      <c r="A13" s="1"/>
      <c r="B13" s="2"/>
      <c r="C13" s="8"/>
      <c r="D13" s="2"/>
      <c r="E13" s="14"/>
      <c r="F13" s="15"/>
      <c r="G13" s="2"/>
      <c r="H13" s="2"/>
      <c r="I13" s="31"/>
      <c r="J13" s="33"/>
      <c r="L13" s="30"/>
      <c r="M13" s="30"/>
      <c r="N13" s="30"/>
      <c r="O13" s="30"/>
      <c r="P13" s="3"/>
      <c r="Q13" s="1"/>
      <c r="R13" s="2"/>
      <c r="S13" s="17"/>
      <c r="T13" s="2"/>
      <c r="U13" s="2"/>
      <c r="V13" s="17"/>
      <c r="W13" s="18"/>
    </row>
    <row r="14" spans="1:23" x14ac:dyDescent="0.25">
      <c r="A14" s="1"/>
      <c r="B14" s="2"/>
      <c r="C14" s="8"/>
      <c r="D14" s="2"/>
      <c r="E14" s="14"/>
      <c r="F14" s="15"/>
      <c r="G14" s="2"/>
      <c r="H14" s="2"/>
      <c r="I14" s="31"/>
      <c r="J14" s="33"/>
      <c r="L14" s="30"/>
      <c r="M14" s="30"/>
      <c r="N14" s="30"/>
      <c r="O14" s="30"/>
      <c r="P14" s="3"/>
      <c r="Q14" s="1" t="s">
        <v>37</v>
      </c>
      <c r="R14" s="2" t="s">
        <v>38</v>
      </c>
      <c r="S14" s="17" t="s">
        <v>39</v>
      </c>
      <c r="T14" s="2" t="s">
        <v>40</v>
      </c>
      <c r="U14" s="2"/>
      <c r="V14" s="17"/>
      <c r="W14" s="18"/>
    </row>
    <row r="15" spans="1:23" x14ac:dyDescent="0.25">
      <c r="A15" s="1"/>
      <c r="B15" s="2"/>
      <c r="C15" s="8"/>
      <c r="D15" s="2"/>
      <c r="E15" s="14"/>
      <c r="F15" s="15"/>
      <c r="G15" s="2"/>
      <c r="H15" s="2"/>
      <c r="I15" s="31"/>
      <c r="J15" s="33"/>
      <c r="L15" s="30"/>
      <c r="M15" s="30"/>
      <c r="N15" s="30"/>
      <c r="O15" s="30"/>
      <c r="P15" s="3"/>
      <c r="Q15" s="25" t="str">
        <f>R9</f>
        <v>IA</v>
      </c>
      <c r="R15" s="24" t="str">
        <f>IF((G9="B"),"Bass Boat",IF((G9="P"),"Pontoon",IF((G9="S"),"Ski Boat",IF((G9="J"),"John Boat",IF((G9="C"),"Canoe",IF((G9="R"),"Cabin Cruiser","ERROR!"))))))</f>
        <v>Bass Boat</v>
      </c>
      <c r="S15" s="26">
        <f>P12</f>
        <v>4</v>
      </c>
      <c r="T15" s="27">
        <f>SUM(W9:W12)</f>
        <v>1612737.96</v>
      </c>
      <c r="U15" s="2"/>
      <c r="V15" s="17"/>
      <c r="W15" s="18"/>
    </row>
    <row r="16" spans="1:23" x14ac:dyDescent="0.25">
      <c r="A16" s="1"/>
      <c r="B16" s="2"/>
      <c r="C16" s="8"/>
      <c r="D16" s="2"/>
      <c r="E16" s="14"/>
      <c r="F16" s="15"/>
      <c r="G16" s="2"/>
      <c r="H16" s="2"/>
      <c r="I16" s="31"/>
      <c r="J16" s="33"/>
      <c r="L16" s="30"/>
      <c r="M16" s="30"/>
      <c r="N16" s="30"/>
      <c r="O16" s="30"/>
      <c r="P16" s="3"/>
      <c r="U16" s="2"/>
      <c r="V16" s="17"/>
      <c r="W16" s="18"/>
    </row>
    <row r="17" spans="1:23" x14ac:dyDescent="0.25">
      <c r="A17" s="1" t="s">
        <v>59</v>
      </c>
      <c r="B17" s="2" t="s">
        <v>21</v>
      </c>
      <c r="C17" s="8" t="s">
        <v>23</v>
      </c>
      <c r="D17" s="2">
        <v>9999</v>
      </c>
      <c r="E17" s="14" t="s">
        <v>72</v>
      </c>
      <c r="F17" s="15" t="s">
        <v>72</v>
      </c>
      <c r="G17" s="2" t="s">
        <v>15</v>
      </c>
      <c r="H17" s="2">
        <v>3</v>
      </c>
      <c r="I17" s="31" t="s">
        <v>35</v>
      </c>
      <c r="J17" s="33">
        <f>0.06</f>
        <v>0.06</v>
      </c>
      <c r="K17">
        <f>IF((G17="B"),0.33,IF((G17="P"),0.25,IF((G17="S"),0.425,IF((G17="J"),0.33,IF((G17="C"),0.2,IF((G17="R"),0.3,"ERROR!"))))))</f>
        <v>0.33</v>
      </c>
      <c r="L17" s="30">
        <f>ROUND(C17*K17,2)</f>
        <v>330000</v>
      </c>
      <c r="M17" s="7" t="str">
        <f t="shared" ref="M17" si="13">IF((H17=1),"5,415.30",IF((H17=2),"3,980.00",IF((H17=3),"345.45","Error!")))</f>
        <v>345.45</v>
      </c>
      <c r="N17" s="30">
        <f t="shared" ref="N17" si="14">ROUND((C17+I17+L17+M17)*J17,2)</f>
        <v>79820.73</v>
      </c>
      <c r="O17" s="30">
        <f t="shared" ref="O17" si="15">SUM(C17+I17+L17+N17+M17)</f>
        <v>1410166.17</v>
      </c>
      <c r="P17" s="3">
        <f>P16 +1</f>
        <v>1</v>
      </c>
      <c r="Q17" s="20" t="str">
        <f t="shared" ref="Q17" si="16">A17</f>
        <v xml:space="preserve">LESTER         </v>
      </c>
      <c r="R17" s="21" t="str">
        <f t="shared" ref="R17" si="17">B17</f>
        <v>MO</v>
      </c>
      <c r="S17" s="22">
        <f>VALUE(C17)</f>
        <v>999999.99</v>
      </c>
      <c r="T17" s="21" t="str">
        <f>CONCATENATE(E17,"/",F17,"/",RIGHT(D17,2))</f>
        <v>99/99/99</v>
      </c>
      <c r="U17" s="21" t="str">
        <f>IF((H17=1),"Electronics",IF((H17=2),"Ski Package",IF((H17=3),"Fishing Package","Error!")))</f>
        <v>Fishing Package</v>
      </c>
      <c r="V17" s="22">
        <f>VALUE(I17)</f>
        <v>0</v>
      </c>
      <c r="W17" s="23">
        <f>O17</f>
        <v>1410166.17</v>
      </c>
    </row>
    <row r="18" spans="1:23" x14ac:dyDescent="0.25">
      <c r="A18" s="1"/>
      <c r="B18" s="2"/>
      <c r="C18" s="8"/>
      <c r="D18" s="2"/>
      <c r="E18" s="14"/>
      <c r="F18" s="15"/>
      <c r="G18" s="2"/>
      <c r="H18" s="2"/>
      <c r="I18" s="31"/>
      <c r="J18" s="33"/>
      <c r="L18" s="30"/>
      <c r="M18" s="30"/>
      <c r="N18" s="30"/>
      <c r="O18" s="30"/>
      <c r="P18" s="3"/>
      <c r="Q18" s="1"/>
      <c r="R18" s="2"/>
      <c r="S18" s="17"/>
      <c r="T18" s="2"/>
      <c r="U18" s="2"/>
      <c r="V18" s="17"/>
      <c r="W18" s="18"/>
    </row>
    <row r="19" spans="1:23" x14ac:dyDescent="0.25">
      <c r="A19" s="1"/>
      <c r="B19" s="2"/>
      <c r="C19" s="8"/>
      <c r="D19" s="2"/>
      <c r="E19" s="14"/>
      <c r="F19" s="15"/>
      <c r="G19" s="2"/>
      <c r="H19" s="2"/>
      <c r="I19" s="31"/>
      <c r="J19" s="33"/>
      <c r="L19" s="30"/>
      <c r="M19" s="30"/>
      <c r="N19" s="30"/>
      <c r="O19" s="30"/>
      <c r="P19" s="3"/>
      <c r="Q19" s="1" t="s">
        <v>37</v>
      </c>
      <c r="R19" s="2" t="s">
        <v>38</v>
      </c>
      <c r="S19" s="17" t="s">
        <v>39</v>
      </c>
      <c r="T19" s="2" t="s">
        <v>40</v>
      </c>
      <c r="U19" s="2"/>
      <c r="V19" s="17"/>
      <c r="W19" s="18"/>
    </row>
    <row r="20" spans="1:23" x14ac:dyDescent="0.25">
      <c r="A20" s="1"/>
      <c r="B20" s="2"/>
      <c r="C20" s="8"/>
      <c r="D20" s="2"/>
      <c r="E20" s="14"/>
      <c r="F20" s="15"/>
      <c r="G20" s="2"/>
      <c r="H20" s="2"/>
      <c r="I20" s="31"/>
      <c r="J20" s="33"/>
      <c r="L20" s="30"/>
      <c r="M20" s="30"/>
      <c r="N20" s="30"/>
      <c r="O20" s="30"/>
      <c r="P20" s="3"/>
      <c r="Q20" s="25" t="str">
        <f>R17</f>
        <v>MO</v>
      </c>
      <c r="R20" s="24" t="str">
        <f>IF((G17="B"),"Bass Boat",IF((G17="P"),"Pontoon",IF((G17="S"),"Ski Boat",IF((G17="J"),"John Boat",IF((G17="C"),"Canoe",IF((G17="R"),"Cabin Cruiser","ERROR!"))))))</f>
        <v>Bass Boat</v>
      </c>
      <c r="S20" s="26">
        <f>P17</f>
        <v>1</v>
      </c>
      <c r="T20" s="27">
        <f>SUM(W17)</f>
        <v>1410166.17</v>
      </c>
      <c r="U20" s="2"/>
      <c r="V20" s="17"/>
      <c r="W20" s="18"/>
    </row>
    <row r="21" spans="1:23" x14ac:dyDescent="0.25">
      <c r="A21" s="1"/>
      <c r="B21" s="2"/>
      <c r="C21" s="8"/>
      <c r="D21" s="2"/>
      <c r="E21" s="14"/>
      <c r="F21" s="15"/>
      <c r="G21" s="2"/>
      <c r="H21" s="2"/>
      <c r="I21" s="31"/>
      <c r="J21" s="33"/>
      <c r="L21" s="30"/>
      <c r="M21" s="30"/>
      <c r="N21" s="30"/>
      <c r="O21" s="30"/>
      <c r="P21" s="3"/>
      <c r="Q21" s="1"/>
      <c r="R21" s="2"/>
      <c r="S21" s="17"/>
      <c r="T21" s="2"/>
      <c r="U21" s="2"/>
      <c r="V21" s="17"/>
      <c r="W21" s="18"/>
    </row>
    <row r="22" spans="1:23" x14ac:dyDescent="0.25">
      <c r="A22" s="1" t="s">
        <v>60</v>
      </c>
      <c r="B22" s="2" t="s">
        <v>65</v>
      </c>
      <c r="C22" s="8" t="s">
        <v>34</v>
      </c>
      <c r="D22" s="2">
        <v>1998</v>
      </c>
      <c r="E22" s="14" t="s">
        <v>73</v>
      </c>
      <c r="F22" s="15" t="s">
        <v>77</v>
      </c>
      <c r="G22" s="2" t="s">
        <v>15</v>
      </c>
      <c r="H22" s="2">
        <v>3</v>
      </c>
      <c r="I22" s="31" t="s">
        <v>29</v>
      </c>
      <c r="J22" s="33">
        <f t="shared" ref="J22:J24" si="18">0.06</f>
        <v>0.06</v>
      </c>
      <c r="K22">
        <f t="shared" ref="K22:K24" si="19">IF((G22="B"),0.33,IF((G22="P"),0.25,IF((G22="S"),0.425,IF((G22="J"),0.33,IF((G22="C"),0.2,IF((G22="R"),0.3,"ERROR!"))))))</f>
        <v>0.33</v>
      </c>
      <c r="L22" s="30">
        <f t="shared" ref="L22:L24" si="20">ROUND(C22*K22,2)</f>
        <v>0</v>
      </c>
      <c r="M22" s="7" t="str">
        <f t="shared" ref="M22:M24" si="21">IF((H22=1),"5,415.30",IF((H22=2),"3,980.00",IF((H22=3),"345.45","Error!")))</f>
        <v>345.45</v>
      </c>
      <c r="N22" s="30">
        <f t="shared" ref="N22:N24" si="22">ROUND((C22+I22+L22+M22)*J22,2)</f>
        <v>6020.73</v>
      </c>
      <c r="O22" s="30">
        <f t="shared" ref="O22:O24" si="23">SUM(C22+I22+L22+N22+M22)</f>
        <v>106366.17</v>
      </c>
      <c r="P22" s="3">
        <f t="shared" ref="P22:P24" si="24">P21 +1</f>
        <v>1</v>
      </c>
      <c r="Q22" s="20" t="str">
        <f t="shared" ref="Q22:Q24" si="25">A22</f>
        <v xml:space="preserve">HERNANDEZ      </v>
      </c>
      <c r="R22" s="21" t="str">
        <f t="shared" ref="R22:R24" si="26">B22</f>
        <v>WI</v>
      </c>
      <c r="S22" s="22">
        <f t="shared" ref="S22:S24" si="27">VALUE(C22)</f>
        <v>0</v>
      </c>
      <c r="T22" s="21" t="str">
        <f t="shared" ref="T22:T24" si="28">CONCATENATE(E22,"/",F22,"/",RIGHT(D22,2))</f>
        <v>08/15/98</v>
      </c>
      <c r="U22" s="21" t="str">
        <f t="shared" ref="U22:U24" si="29">IF((H22=1),"Electronics",IF((H22=2),"Ski Package",IF((H22=3),"Fishing Package","Error!")))</f>
        <v>Fishing Package</v>
      </c>
      <c r="V22" s="22">
        <f t="shared" ref="V22:V24" si="30">VALUE(I22)</f>
        <v>99999.99</v>
      </c>
      <c r="W22" s="23">
        <f t="shared" ref="W22:W24" si="31">O22</f>
        <v>106366.17</v>
      </c>
    </row>
    <row r="23" spans="1:23" x14ac:dyDescent="0.25">
      <c r="A23" s="1" t="s">
        <v>61</v>
      </c>
      <c r="B23" s="2" t="s">
        <v>65</v>
      </c>
      <c r="C23" s="8" t="s">
        <v>67</v>
      </c>
      <c r="D23" s="2">
        <v>2001</v>
      </c>
      <c r="E23" s="14" t="s">
        <v>70</v>
      </c>
      <c r="F23" s="15" t="s">
        <v>78</v>
      </c>
      <c r="G23" s="2" t="s">
        <v>15</v>
      </c>
      <c r="H23" s="2">
        <v>1</v>
      </c>
      <c r="I23" s="31" t="s">
        <v>35</v>
      </c>
      <c r="J23" s="33">
        <f t="shared" si="18"/>
        <v>0.06</v>
      </c>
      <c r="K23">
        <f t="shared" si="19"/>
        <v>0.33</v>
      </c>
      <c r="L23" s="30">
        <f t="shared" si="20"/>
        <v>0</v>
      </c>
      <c r="M23" s="7" t="str">
        <f t="shared" si="21"/>
        <v>5,415.30</v>
      </c>
      <c r="N23" s="30">
        <f t="shared" si="22"/>
        <v>324.92</v>
      </c>
      <c r="O23" s="30">
        <f t="shared" si="23"/>
        <v>5740.2300000000005</v>
      </c>
      <c r="P23" s="3">
        <f t="shared" si="24"/>
        <v>2</v>
      </c>
      <c r="Q23" s="20" t="str">
        <f t="shared" si="25"/>
        <v xml:space="preserve">MUHAMED        </v>
      </c>
      <c r="R23" s="21" t="str">
        <f t="shared" si="26"/>
        <v>WI</v>
      </c>
      <c r="S23" s="22">
        <f t="shared" si="27"/>
        <v>0.01</v>
      </c>
      <c r="T23" s="21" t="str">
        <f t="shared" si="28"/>
        <v>09/11/01</v>
      </c>
      <c r="U23" s="21" t="str">
        <f t="shared" si="29"/>
        <v>Electronics</v>
      </c>
      <c r="V23" s="22">
        <f t="shared" si="30"/>
        <v>0</v>
      </c>
      <c r="W23" s="23">
        <f t="shared" si="31"/>
        <v>5740.2300000000005</v>
      </c>
    </row>
    <row r="24" spans="1:23" x14ac:dyDescent="0.25">
      <c r="A24" s="1" t="s">
        <v>62</v>
      </c>
      <c r="B24" s="2" t="s">
        <v>65</v>
      </c>
      <c r="C24" s="8" t="s">
        <v>34</v>
      </c>
      <c r="D24" s="2">
        <v>9999</v>
      </c>
      <c r="E24" s="14" t="s">
        <v>72</v>
      </c>
      <c r="F24" s="15" t="s">
        <v>72</v>
      </c>
      <c r="G24" s="2" t="s">
        <v>15</v>
      </c>
      <c r="H24" s="2">
        <v>1</v>
      </c>
      <c r="I24" s="31" t="s">
        <v>71</v>
      </c>
      <c r="J24" s="33">
        <f t="shared" si="18"/>
        <v>0.06</v>
      </c>
      <c r="K24">
        <f t="shared" si="19"/>
        <v>0.33</v>
      </c>
      <c r="L24" s="30">
        <f t="shared" si="20"/>
        <v>0</v>
      </c>
      <c r="M24" s="7" t="str">
        <f t="shared" si="21"/>
        <v>5,415.30</v>
      </c>
      <c r="N24" s="30">
        <f t="shared" si="22"/>
        <v>324.92</v>
      </c>
      <c r="O24" s="30">
        <f t="shared" si="23"/>
        <v>5740.2300000000005</v>
      </c>
      <c r="P24" s="3">
        <f t="shared" si="24"/>
        <v>3</v>
      </c>
      <c r="Q24" s="20" t="str">
        <f t="shared" si="25"/>
        <v xml:space="preserve">FREEMAN        </v>
      </c>
      <c r="R24" s="21" t="str">
        <f t="shared" si="26"/>
        <v>WI</v>
      </c>
      <c r="S24" s="22">
        <f t="shared" si="27"/>
        <v>0</v>
      </c>
      <c r="T24" s="21" t="str">
        <f t="shared" si="28"/>
        <v>99/99/99</v>
      </c>
      <c r="U24" s="21" t="str">
        <f t="shared" si="29"/>
        <v>Electronics</v>
      </c>
      <c r="V24" s="22">
        <f t="shared" si="30"/>
        <v>0.01</v>
      </c>
      <c r="W24" s="23">
        <f t="shared" si="31"/>
        <v>5740.2300000000005</v>
      </c>
    </row>
    <row r="25" spans="1:23" x14ac:dyDescent="0.25">
      <c r="A25" s="1"/>
      <c r="B25" s="2"/>
      <c r="C25" s="8"/>
      <c r="D25" s="2"/>
      <c r="E25" s="14"/>
      <c r="F25" s="15"/>
      <c r="G25" s="2"/>
      <c r="H25" s="2"/>
      <c r="I25" s="31"/>
      <c r="J25" s="33"/>
      <c r="L25" s="30"/>
      <c r="M25" s="30"/>
      <c r="N25" s="30"/>
      <c r="O25" s="30"/>
      <c r="P25" s="3"/>
      <c r="Q25" s="1"/>
      <c r="R25" s="2"/>
      <c r="S25" s="17"/>
      <c r="T25" s="2"/>
      <c r="U25" s="2"/>
      <c r="V25" s="17"/>
      <c r="W25" s="18"/>
    </row>
    <row r="26" spans="1:23" x14ac:dyDescent="0.25">
      <c r="A26" s="1"/>
      <c r="B26" s="2"/>
      <c r="C26" s="8"/>
      <c r="D26" s="2"/>
      <c r="E26" s="14"/>
      <c r="F26" s="15"/>
      <c r="G26" s="2"/>
      <c r="H26" s="2"/>
      <c r="I26" s="31"/>
      <c r="J26" s="33"/>
      <c r="L26" s="30"/>
      <c r="M26" s="30"/>
      <c r="N26" s="30"/>
      <c r="O26" s="30"/>
      <c r="P26" s="3"/>
      <c r="Q26" s="1" t="s">
        <v>37</v>
      </c>
      <c r="R26" s="2" t="s">
        <v>38</v>
      </c>
      <c r="S26" s="17" t="s">
        <v>39</v>
      </c>
      <c r="T26" s="2" t="s">
        <v>40</v>
      </c>
      <c r="U26" s="2"/>
      <c r="V26" s="17"/>
      <c r="W26" s="18"/>
    </row>
    <row r="27" spans="1:23" x14ac:dyDescent="0.25">
      <c r="A27" s="1"/>
      <c r="B27" s="2"/>
      <c r="C27" s="8"/>
      <c r="D27" s="2"/>
      <c r="E27" s="14"/>
      <c r="F27" s="15"/>
      <c r="G27" s="2"/>
      <c r="H27" s="2"/>
      <c r="I27" s="31"/>
      <c r="J27" s="33"/>
      <c r="L27" s="30"/>
      <c r="M27" s="30"/>
      <c r="N27" s="30"/>
      <c r="O27" s="30"/>
      <c r="P27" s="3"/>
      <c r="Q27" s="25" t="str">
        <f>R22</f>
        <v>WI</v>
      </c>
      <c r="R27" s="24" t="str">
        <f>IF((G22="B"),"Bass Boat",IF((G22="P"),"Pontoon",IF((G22="S"),"Ski Boat",IF((G22="J"),"John Boat",IF((G22="C"),"Canoe",IF((G22="R"),"Cabin Cruiser","ERROR!"))))))</f>
        <v>Bass Boat</v>
      </c>
      <c r="S27" s="26">
        <f>P24</f>
        <v>3</v>
      </c>
      <c r="T27" s="27">
        <f>SUM(W22:W24)</f>
        <v>117846.62999999999</v>
      </c>
      <c r="U27" s="2"/>
      <c r="V27" s="17"/>
      <c r="W27" s="18"/>
    </row>
    <row r="28" spans="1:23" x14ac:dyDescent="0.25">
      <c r="A28" s="1"/>
      <c r="B28" s="2"/>
      <c r="C28" s="8"/>
      <c r="D28" s="2"/>
      <c r="E28" s="14"/>
      <c r="F28" s="15"/>
      <c r="G28" s="2"/>
      <c r="H28" s="2"/>
      <c r="I28" s="31"/>
      <c r="J28" s="33"/>
      <c r="L28" s="30"/>
      <c r="M28" s="30"/>
      <c r="N28" s="30"/>
      <c r="O28" s="30"/>
      <c r="P28" s="3"/>
      <c r="Q28" s="1"/>
      <c r="R28" s="2"/>
      <c r="S28" s="17"/>
      <c r="T28" s="2"/>
      <c r="U28" s="2"/>
      <c r="V28" s="17"/>
      <c r="W28" s="18"/>
    </row>
    <row r="29" spans="1:23" x14ac:dyDescent="0.25">
      <c r="A29" s="1" t="s">
        <v>63</v>
      </c>
      <c r="B29" s="2" t="s">
        <v>66</v>
      </c>
      <c r="C29" s="8" t="s">
        <v>23</v>
      </c>
      <c r="D29" s="2">
        <v>9999</v>
      </c>
      <c r="E29" s="14" t="s">
        <v>72</v>
      </c>
      <c r="F29" s="15" t="s">
        <v>72</v>
      </c>
      <c r="G29" s="2" t="s">
        <v>15</v>
      </c>
      <c r="H29" s="2">
        <v>1</v>
      </c>
      <c r="I29" s="31" t="s">
        <v>29</v>
      </c>
      <c r="J29" s="33">
        <f>0.06</f>
        <v>0.06</v>
      </c>
      <c r="K29">
        <f>IF((G29="B"),0.33,IF((G29="P"),0.25,IF((G29="S"),0.425,IF((G29="J"),0.33,IF((G29="C"),0.2,IF((G29="R"),0.3,"ERROR!"))))))</f>
        <v>0.33</v>
      </c>
      <c r="L29" s="30">
        <f>ROUND(C29*K29,2)</f>
        <v>330000</v>
      </c>
      <c r="M29" s="7" t="str">
        <f t="shared" ref="M29" si="32">IF((H29=1),"5,415.30",IF((H29=2),"3,980.00",IF((H29=3),"345.45","Error!")))</f>
        <v>5,415.30</v>
      </c>
      <c r="N29" s="30">
        <f t="shared" ref="N29" si="33">ROUND((C29+I29+L29+M29)*J29,2)</f>
        <v>86124.92</v>
      </c>
      <c r="O29" s="30">
        <f t="shared" ref="O29" si="34">SUM(C29+I29+L29+N29+M29)</f>
        <v>1521540.2</v>
      </c>
      <c r="P29" s="3">
        <f>P28 +1</f>
        <v>1</v>
      </c>
      <c r="Q29" s="20" t="str">
        <f t="shared" ref="Q29" si="35">A29</f>
        <v>XXXXXXXXXXXXXXX</v>
      </c>
      <c r="R29" s="21" t="str">
        <f t="shared" ref="R29" si="36">B29</f>
        <v>ZZ</v>
      </c>
      <c r="S29" s="22">
        <f>VALUE(C29)</f>
        <v>999999.99</v>
      </c>
      <c r="T29" s="21" t="str">
        <f>CONCATENATE(E29,"/",F29,"/",RIGHT(D29,2))</f>
        <v>99/99/99</v>
      </c>
      <c r="U29" s="21" t="str">
        <f>IF((H29=1),"Electronics",IF((H29=2),"Ski Package",IF((H29=3),"Fishing Package","Error!")))</f>
        <v>Electronics</v>
      </c>
      <c r="V29" s="22">
        <f>VALUE(I29)</f>
        <v>99999.99</v>
      </c>
      <c r="W29" s="23">
        <f>O29</f>
        <v>1521540.2</v>
      </c>
    </row>
    <row r="30" spans="1:23" x14ac:dyDescent="0.25">
      <c r="A30" s="1"/>
      <c r="B30" s="2"/>
      <c r="C30" s="8"/>
      <c r="D30" s="2"/>
      <c r="E30" s="14"/>
      <c r="F30" s="15"/>
      <c r="G30" s="2"/>
      <c r="H30" s="2"/>
      <c r="I30" s="31"/>
      <c r="J30" s="33"/>
      <c r="L30" s="30"/>
      <c r="M30" s="30"/>
      <c r="N30" s="30"/>
      <c r="O30" s="30"/>
      <c r="P30" s="3"/>
      <c r="Q30" s="1"/>
      <c r="R30" s="2"/>
      <c r="S30" s="17"/>
      <c r="T30" s="2"/>
      <c r="U30" s="2"/>
      <c r="V30" s="17"/>
      <c r="W30" s="18"/>
    </row>
    <row r="31" spans="1:23" x14ac:dyDescent="0.25">
      <c r="A31" s="1"/>
      <c r="B31" s="2"/>
      <c r="C31" s="8"/>
      <c r="D31" s="2"/>
      <c r="E31" s="14"/>
      <c r="F31" s="15"/>
      <c r="G31" s="2"/>
      <c r="H31" s="2"/>
      <c r="I31" s="31"/>
      <c r="J31" s="33"/>
      <c r="L31" s="30"/>
      <c r="M31" s="30"/>
      <c r="N31" s="30"/>
      <c r="O31" s="30"/>
      <c r="P31" s="3"/>
      <c r="Q31" s="1" t="s">
        <v>37</v>
      </c>
      <c r="R31" s="2" t="s">
        <v>38</v>
      </c>
      <c r="S31" s="17" t="s">
        <v>39</v>
      </c>
      <c r="T31" s="2" t="s">
        <v>40</v>
      </c>
      <c r="U31" s="2"/>
      <c r="V31" s="17"/>
      <c r="W31" s="18"/>
    </row>
    <row r="32" spans="1:23" x14ac:dyDescent="0.25">
      <c r="A32" s="1"/>
      <c r="B32" s="2"/>
      <c r="C32" s="8"/>
      <c r="D32" s="2"/>
      <c r="E32" s="14"/>
      <c r="F32" s="15"/>
      <c r="G32" s="2"/>
      <c r="H32" s="2"/>
      <c r="I32" s="31"/>
      <c r="J32" s="33"/>
      <c r="L32" s="30"/>
      <c r="M32" s="30"/>
      <c r="N32" s="30"/>
      <c r="O32" s="30"/>
      <c r="P32" s="3"/>
      <c r="Q32" s="25" t="str">
        <f>R29</f>
        <v>ZZ</v>
      </c>
      <c r="R32" s="24" t="str">
        <f>IF((G29="B"),"Bass Boat",IF((G29="P"),"Pontoon",IF((G29="S"),"Ski Boat",IF((G29="J"),"John Boat",IF((G29="C"),"Canoe",IF((G29="R"),"Cabin Cruiser","ERROR!"))))))</f>
        <v>Bass Boat</v>
      </c>
      <c r="S32" s="26">
        <f>P29</f>
        <v>1</v>
      </c>
      <c r="T32" s="27">
        <f>SUM(W29)</f>
        <v>1521540.2</v>
      </c>
      <c r="U32" s="2"/>
      <c r="V32" s="17"/>
      <c r="W32" s="18"/>
    </row>
    <row r="33" spans="1:24" x14ac:dyDescent="0.25">
      <c r="A33" s="1"/>
      <c r="B33" s="2"/>
      <c r="C33" s="8"/>
      <c r="D33" s="2"/>
      <c r="E33" s="14"/>
      <c r="F33" s="15"/>
      <c r="G33" s="2"/>
      <c r="H33" s="2"/>
      <c r="I33" s="31"/>
      <c r="J33" s="33"/>
      <c r="L33" s="30"/>
      <c r="M33" s="30"/>
      <c r="N33" s="30"/>
      <c r="O33" s="30"/>
      <c r="P33" s="3"/>
      <c r="Q33" s="1"/>
      <c r="R33" s="2"/>
      <c r="S33" s="17"/>
      <c r="T33" s="2"/>
      <c r="U33" s="2"/>
      <c r="V33" s="17"/>
      <c r="W33" s="18"/>
    </row>
    <row r="34" spans="1:24" x14ac:dyDescent="0.25">
      <c r="A34" s="1"/>
      <c r="B34" s="2"/>
      <c r="C34" s="8"/>
      <c r="D34" s="2"/>
      <c r="E34" s="14"/>
      <c r="F34" s="15"/>
      <c r="G34" s="2"/>
      <c r="H34" s="2"/>
      <c r="I34" s="31"/>
      <c r="J34" s="33"/>
      <c r="L34" s="30"/>
      <c r="M34" s="30"/>
      <c r="N34" s="30"/>
      <c r="O34" s="30"/>
      <c r="P34" s="3"/>
      <c r="Q34" s="1"/>
      <c r="R34" s="2"/>
      <c r="S34" s="17"/>
      <c r="T34" s="2"/>
      <c r="U34" s="2"/>
      <c r="V34" s="17"/>
      <c r="W34" s="18"/>
    </row>
    <row r="35" spans="1:24" x14ac:dyDescent="0.25">
      <c r="A35" s="1"/>
      <c r="B35" s="2"/>
      <c r="C35" s="8"/>
      <c r="D35" s="2"/>
      <c r="E35" s="14"/>
      <c r="F35" s="14"/>
      <c r="G35" s="2"/>
      <c r="H35" s="2"/>
      <c r="I35" s="31"/>
      <c r="J35" s="33"/>
      <c r="L35" s="30"/>
      <c r="M35" s="30"/>
      <c r="N35" s="30"/>
      <c r="O35" s="30"/>
      <c r="P35" s="3"/>
      <c r="Q35" s="1" t="s">
        <v>41</v>
      </c>
      <c r="R35" s="2" t="s">
        <v>42</v>
      </c>
      <c r="S35" s="2" t="s">
        <v>43</v>
      </c>
      <c r="T35" s="2"/>
      <c r="U35" s="2"/>
      <c r="V35" s="2"/>
      <c r="X35" s="1"/>
    </row>
    <row r="36" spans="1:24" x14ac:dyDescent="0.25">
      <c r="A36" s="1"/>
      <c r="B36" s="2"/>
      <c r="C36" s="2"/>
      <c r="D36" s="2"/>
      <c r="E36" s="14"/>
      <c r="F36" s="14"/>
      <c r="G36" s="2"/>
      <c r="H36" s="2"/>
      <c r="I36" s="30"/>
      <c r="J36" s="13"/>
      <c r="L36" s="30"/>
      <c r="M36" s="30"/>
      <c r="N36" s="30"/>
      <c r="O36" s="30"/>
      <c r="P36" s="3"/>
      <c r="Q36" s="35" t="str">
        <f>R32</f>
        <v>Bass Boat</v>
      </c>
      <c r="R36" s="40">
        <f>SUM(S7,S15,S20,S27,S32)</f>
        <v>11</v>
      </c>
      <c r="S36" s="36">
        <f>SUM(T7+T15+T20+T27+T32)</f>
        <v>4672250</v>
      </c>
      <c r="T36" s="2"/>
      <c r="U36" s="2"/>
      <c r="V36" s="2"/>
      <c r="X36" s="1"/>
    </row>
    <row r="37" spans="1:24" x14ac:dyDescent="0.25">
      <c r="A37" s="1"/>
      <c r="B37" s="2"/>
      <c r="C37" s="2"/>
      <c r="D37" s="2"/>
      <c r="E37" s="14"/>
      <c r="F37" s="14"/>
      <c r="G37" s="2"/>
      <c r="H37" s="2"/>
      <c r="I37" s="30"/>
      <c r="J37" s="13"/>
      <c r="L37" s="30"/>
      <c r="M37" s="30"/>
      <c r="N37" s="30"/>
      <c r="O37" s="30"/>
      <c r="P37" s="3"/>
      <c r="Q37" s="1"/>
      <c r="R37" s="2"/>
      <c r="S37" s="2"/>
      <c r="T37" s="2"/>
      <c r="U37" s="2"/>
      <c r="V37" s="2"/>
      <c r="W37" s="3"/>
    </row>
    <row r="38" spans="1:24" x14ac:dyDescent="0.25">
      <c r="A38" s="1" t="s">
        <v>30</v>
      </c>
      <c r="B38" s="2" t="s">
        <v>14</v>
      </c>
      <c r="C38" s="8" t="s">
        <v>46</v>
      </c>
      <c r="D38" s="2">
        <v>2019</v>
      </c>
      <c r="E38" s="14">
        <v>11</v>
      </c>
      <c r="F38" s="15" t="s">
        <v>26</v>
      </c>
      <c r="G38" s="2" t="s">
        <v>20</v>
      </c>
      <c r="H38" s="2">
        <v>1</v>
      </c>
      <c r="I38" s="31" t="s">
        <v>29</v>
      </c>
      <c r="J38" s="33">
        <f>0.06</f>
        <v>0.06</v>
      </c>
      <c r="K38">
        <f>IF((G38="B"),0.33,IF((G38="P"),0.25,IF((G38="S"),0.425,IF((G38="J"),0.33,IF((G38="C"),0.2,IF((G38="R"),0.3,"ERROR!"))))))</f>
        <v>0.25</v>
      </c>
      <c r="L38" s="30">
        <f>ROUND(C38*K38,2)</f>
        <v>30864.25</v>
      </c>
      <c r="M38" s="30"/>
      <c r="N38" s="30">
        <f>ROUND((C38+I38+L38)*J38,2)</f>
        <v>15259.27</v>
      </c>
      <c r="O38" s="30">
        <f>SUM(C38+I38+L38+N38)</f>
        <v>269580.5</v>
      </c>
      <c r="P38" s="3">
        <v>1</v>
      </c>
      <c r="Q38" s="20" t="str">
        <f>A38</f>
        <v xml:space="preserve">Wilson         </v>
      </c>
      <c r="R38" s="21" t="str">
        <f>B38</f>
        <v>IA</v>
      </c>
      <c r="S38" s="22">
        <f>VALUE(C38)</f>
        <v>123456.99</v>
      </c>
      <c r="T38" s="21" t="str">
        <f>CONCATENATE(E38,"/",F38,"/",RIGHT(D38,2))</f>
        <v>11/01/19</v>
      </c>
      <c r="U38" s="21" t="str">
        <f>IF((H38=1),"Electronics",IF((H38=2),"Ski Package",IF((H38=3),"Fishing Package","Error!")))</f>
        <v>Electronics</v>
      </c>
      <c r="V38" s="22">
        <f>VALUE(I38)</f>
        <v>99999.99</v>
      </c>
      <c r="W38" s="23">
        <f>O38</f>
        <v>269580.5</v>
      </c>
    </row>
    <row r="39" spans="1:24" x14ac:dyDescent="0.25">
      <c r="A39" s="1" t="s">
        <v>30</v>
      </c>
      <c r="B39" s="2" t="s">
        <v>14</v>
      </c>
      <c r="C39" s="8" t="s">
        <v>23</v>
      </c>
      <c r="D39" s="2">
        <v>2019</v>
      </c>
      <c r="E39" s="14">
        <v>12</v>
      </c>
      <c r="F39" s="14">
        <v>16</v>
      </c>
      <c r="G39" s="2" t="s">
        <v>20</v>
      </c>
      <c r="H39" s="2">
        <v>3</v>
      </c>
      <c r="I39" s="31" t="s">
        <v>29</v>
      </c>
      <c r="J39" s="33">
        <f>0.06</f>
        <v>0.06</v>
      </c>
      <c r="K39">
        <f>IF((G39="B"),0.33,IF((G39="P"),0.25,IF((G39="S"),0.425,IF((G39="J"),0.33,IF((G39="C"),0.2,IF((G39="R"),0.3,"ERROR!"))))))</f>
        <v>0.25</v>
      </c>
      <c r="L39" s="30">
        <f>ROUND(C39*K39,2)</f>
        <v>250000</v>
      </c>
      <c r="M39" s="30"/>
      <c r="N39" s="30">
        <f>ROUND((C39+I39+L39)*J39,2)</f>
        <v>81000</v>
      </c>
      <c r="O39" s="30">
        <f>SUM(C39+I39+L39+N39)</f>
        <v>1430999.98</v>
      </c>
      <c r="P39" s="3">
        <f>P38 + 1</f>
        <v>2</v>
      </c>
      <c r="Q39" s="20" t="str">
        <f>A39</f>
        <v xml:space="preserve">Wilson         </v>
      </c>
      <c r="R39" s="21" t="str">
        <f>B39</f>
        <v>IA</v>
      </c>
      <c r="S39" s="22">
        <f>VALUE(C39)</f>
        <v>999999.99</v>
      </c>
      <c r="T39" s="21" t="str">
        <f>CONCATENATE(E39,"/",F39,"/",RIGHT(D39,2))</f>
        <v>12/16/19</v>
      </c>
      <c r="U39" s="21" t="str">
        <f>IF((H39=1),"Electronics",IF((H39=2),"Ski Package",IF((H39=3),"Fishing Package","Error!")))</f>
        <v>Fishing Package</v>
      </c>
      <c r="V39" s="22">
        <f>VALUE(I39)</f>
        <v>99999.99</v>
      </c>
      <c r="W39" s="23">
        <f>O39</f>
        <v>1430999.98</v>
      </c>
    </row>
    <row r="40" spans="1:24" x14ac:dyDescent="0.25">
      <c r="A40" s="1"/>
      <c r="B40" s="2"/>
      <c r="C40" s="8"/>
      <c r="D40" s="2"/>
      <c r="E40" s="14"/>
      <c r="F40" s="14"/>
      <c r="G40" s="2"/>
      <c r="H40" s="2"/>
      <c r="I40" s="31"/>
      <c r="J40" s="33"/>
      <c r="K40" s="30"/>
      <c r="L40" s="30"/>
      <c r="M40" s="30"/>
      <c r="N40" s="30"/>
      <c r="O40" s="30"/>
      <c r="P40" s="3"/>
      <c r="Q40" s="1"/>
      <c r="R40" s="2"/>
      <c r="S40" s="17"/>
      <c r="T40" s="2"/>
      <c r="U40" s="2"/>
      <c r="V40" s="17"/>
      <c r="W40" s="18"/>
    </row>
    <row r="41" spans="1:24" x14ac:dyDescent="0.25">
      <c r="A41" s="1"/>
      <c r="B41" s="2"/>
      <c r="C41" s="8"/>
      <c r="D41" s="2"/>
      <c r="E41" s="14"/>
      <c r="F41" s="15"/>
      <c r="G41" s="2"/>
      <c r="H41" s="2"/>
      <c r="I41" s="31"/>
      <c r="J41" s="33"/>
      <c r="K41" s="30"/>
      <c r="L41" s="30"/>
      <c r="M41" s="30"/>
      <c r="N41" s="30"/>
      <c r="O41" s="30"/>
      <c r="P41" s="3"/>
      <c r="Q41" s="1" t="s">
        <v>37</v>
      </c>
      <c r="R41" s="2" t="s">
        <v>38</v>
      </c>
      <c r="S41" s="17" t="s">
        <v>39</v>
      </c>
      <c r="T41" s="2" t="s">
        <v>40</v>
      </c>
      <c r="U41" s="2"/>
      <c r="V41" s="17"/>
      <c r="W41" s="18"/>
    </row>
    <row r="42" spans="1:24" x14ac:dyDescent="0.25">
      <c r="A42" s="1"/>
      <c r="B42" s="2"/>
      <c r="C42" s="8"/>
      <c r="D42" s="2"/>
      <c r="E42" s="14"/>
      <c r="F42" s="15"/>
      <c r="G42" s="2"/>
      <c r="H42" s="2"/>
      <c r="I42" s="31"/>
      <c r="J42" s="33"/>
      <c r="K42" s="30"/>
      <c r="L42" s="30"/>
      <c r="M42" s="30"/>
      <c r="N42" s="30"/>
      <c r="O42" s="30"/>
      <c r="P42" s="3"/>
      <c r="Q42" s="25" t="s">
        <v>14</v>
      </c>
      <c r="R42" s="24" t="str">
        <f>IF((G38="B"),"Bass Boat",IF((G38="P"),"Pontoon",IF((G38="S"),"Ski Boat",IF((G38="J"),"John Boat",IF((G38="C"),"Canoe",IF((G38="R"),"Cabin Cruiser","ERROR!"))))))</f>
        <v>Pontoon</v>
      </c>
      <c r="S42" s="26">
        <f>VALUE(P38)</f>
        <v>1</v>
      </c>
      <c r="T42" s="27">
        <f>SUM(W38:W39)</f>
        <v>1700580.48</v>
      </c>
      <c r="U42" s="2"/>
      <c r="V42" s="17"/>
      <c r="W42" s="18"/>
    </row>
    <row r="43" spans="1:24" x14ac:dyDescent="0.25">
      <c r="A43" s="1"/>
      <c r="B43" s="2"/>
      <c r="C43" s="8"/>
      <c r="D43" s="2"/>
      <c r="E43" s="14"/>
      <c r="F43" s="15"/>
      <c r="G43" s="2"/>
      <c r="H43" s="2"/>
      <c r="I43" s="31"/>
      <c r="J43" s="33"/>
      <c r="K43" s="30"/>
      <c r="L43" s="30"/>
      <c r="M43" s="30"/>
      <c r="N43" s="30"/>
      <c r="O43" s="30"/>
      <c r="P43" s="3"/>
      <c r="Q43" s="1"/>
      <c r="R43" s="2"/>
      <c r="S43" s="17"/>
      <c r="T43" s="2"/>
      <c r="U43" s="2"/>
      <c r="V43" s="17"/>
      <c r="W43" s="18"/>
    </row>
    <row r="44" spans="1:24" x14ac:dyDescent="0.25">
      <c r="A44" s="1"/>
      <c r="B44" s="2"/>
      <c r="C44" s="8"/>
      <c r="D44" s="2"/>
      <c r="E44" s="14"/>
      <c r="F44" s="14"/>
      <c r="G44" s="2"/>
      <c r="H44" s="2"/>
      <c r="I44" s="31"/>
      <c r="J44" s="33"/>
      <c r="K44" s="30"/>
      <c r="L44" s="30"/>
      <c r="M44" s="30"/>
      <c r="N44" s="30"/>
      <c r="O44" s="30"/>
      <c r="P44" s="3"/>
      <c r="Q44" s="1" t="s">
        <v>41</v>
      </c>
      <c r="R44" s="2" t="s">
        <v>42</v>
      </c>
      <c r="S44" s="2" t="s">
        <v>43</v>
      </c>
      <c r="T44" s="2"/>
      <c r="U44" s="2"/>
      <c r="V44" s="2"/>
      <c r="X44" s="1"/>
    </row>
    <row r="45" spans="1:24" x14ac:dyDescent="0.25">
      <c r="A45" s="1"/>
      <c r="B45" s="2"/>
      <c r="C45" s="2"/>
      <c r="D45" s="2"/>
      <c r="E45" s="14"/>
      <c r="F45" s="14"/>
      <c r="G45" s="2"/>
      <c r="H45" s="2"/>
      <c r="I45" s="30"/>
      <c r="J45" s="13"/>
      <c r="K45" s="30"/>
      <c r="L45" s="30"/>
      <c r="M45" s="30"/>
      <c r="N45" s="30"/>
      <c r="O45" s="30"/>
      <c r="P45" s="3"/>
      <c r="Q45" s="35" t="str">
        <f>IF((G38="B"),"Bass Boat",IF((G38="P"),"Pontoon",IF((G38="S"),"Ski Boat",IF((G38="J"),"John Boat",IF((G38="C"),"Canoe",IF((G38="R"),"Cabin Cruiser","ERROR!"))))))</f>
        <v>Pontoon</v>
      </c>
      <c r="R45" s="35">
        <f xml:space="preserve"> P39</f>
        <v>2</v>
      </c>
      <c r="S45" s="36">
        <f>SUM(T42)</f>
        <v>1700580.48</v>
      </c>
      <c r="T45" s="2"/>
      <c r="U45" s="2"/>
      <c r="V45" s="2"/>
      <c r="X45" s="1"/>
    </row>
    <row r="46" spans="1:24" x14ac:dyDescent="0.25">
      <c r="A46" s="1"/>
      <c r="B46" s="7"/>
      <c r="C46" s="8"/>
      <c r="D46" s="2"/>
      <c r="E46" s="15"/>
      <c r="F46" s="16"/>
      <c r="G46" s="7"/>
      <c r="H46" s="7"/>
      <c r="I46" s="31"/>
      <c r="J46" s="33"/>
      <c r="K46" s="30"/>
      <c r="L46" s="30"/>
      <c r="M46" s="30"/>
      <c r="N46" s="30"/>
      <c r="O46" s="30"/>
      <c r="P46" s="3"/>
      <c r="Q46" s="1"/>
      <c r="R46" s="2"/>
      <c r="S46" s="2"/>
      <c r="T46" s="2"/>
      <c r="U46" s="2"/>
      <c r="V46" s="2"/>
      <c r="W46" s="3"/>
    </row>
    <row r="47" spans="1:24" x14ac:dyDescent="0.25">
      <c r="A47" s="1"/>
      <c r="B47" s="2"/>
      <c r="C47" s="8"/>
      <c r="D47" s="2"/>
      <c r="E47" s="14"/>
      <c r="F47" s="14"/>
      <c r="G47" s="2"/>
      <c r="H47" s="2"/>
      <c r="I47" s="31"/>
      <c r="J47" s="33"/>
      <c r="K47" s="30"/>
      <c r="L47" s="30"/>
      <c r="M47" s="30"/>
      <c r="N47" s="30"/>
      <c r="O47" s="30"/>
      <c r="P47" s="3"/>
      <c r="Q47" s="2" t="s">
        <v>44</v>
      </c>
      <c r="R47" s="3" t="s">
        <v>45</v>
      </c>
      <c r="T47" s="2"/>
      <c r="U47" s="2"/>
      <c r="V47" s="2"/>
      <c r="W47" s="3"/>
    </row>
    <row r="48" spans="1:24" x14ac:dyDescent="0.25">
      <c r="A48" s="1"/>
      <c r="B48" s="2"/>
      <c r="C48" s="2"/>
      <c r="D48" s="2"/>
      <c r="E48" s="14"/>
      <c r="F48" s="14"/>
      <c r="G48" s="2"/>
      <c r="H48" s="2"/>
      <c r="I48" s="30"/>
      <c r="J48" s="13"/>
      <c r="K48" s="30"/>
      <c r="L48" s="30"/>
      <c r="M48" s="30"/>
      <c r="N48" s="30"/>
      <c r="O48" s="30"/>
      <c r="P48" s="3"/>
      <c r="Q48" s="28">
        <f>R36+R45</f>
        <v>13</v>
      </c>
      <c r="R48" s="29">
        <f>SUM(S36+S45)</f>
        <v>6372830.4800000004</v>
      </c>
      <c r="T48" s="2"/>
      <c r="U48" s="2"/>
      <c r="V48" s="2"/>
      <c r="W48" s="19"/>
    </row>
    <row r="49" spans="1:23" x14ac:dyDescent="0.25">
      <c r="A49" s="1"/>
      <c r="B49" s="2"/>
      <c r="C49" s="2"/>
      <c r="D49" s="2"/>
      <c r="E49" s="14"/>
      <c r="F49" s="14"/>
      <c r="G49" s="2"/>
      <c r="H49" s="2"/>
      <c r="I49" s="30"/>
      <c r="J49" s="13"/>
      <c r="K49" s="30"/>
      <c r="L49" s="30"/>
      <c r="M49" s="30"/>
      <c r="N49" s="30"/>
      <c r="O49" s="30"/>
      <c r="P49" s="3"/>
      <c r="Q49" s="2"/>
      <c r="R49" s="2"/>
      <c r="T49" s="2"/>
      <c r="U49" s="2"/>
      <c r="V49" s="2"/>
      <c r="W49" s="19"/>
    </row>
    <row r="50" spans="1:23" x14ac:dyDescent="0.25">
      <c r="A50" s="1"/>
      <c r="B50" s="2"/>
      <c r="C50" s="2"/>
      <c r="D50" s="2"/>
      <c r="E50" s="2"/>
      <c r="F50" s="2"/>
      <c r="G50" s="2"/>
      <c r="H50" s="2"/>
      <c r="I50" s="30"/>
      <c r="J50" s="13"/>
      <c r="K50" s="30"/>
      <c r="L50" s="30"/>
      <c r="M50" s="30"/>
      <c r="N50" s="30"/>
      <c r="O50" s="30"/>
      <c r="P50" s="3"/>
      <c r="Q50" s="1"/>
      <c r="R50" s="2"/>
      <c r="S50" s="2"/>
      <c r="T50" s="2"/>
      <c r="U50" s="2"/>
      <c r="V50" s="2"/>
      <c r="W50" s="3"/>
    </row>
    <row r="51" spans="1:23" x14ac:dyDescent="0.25">
      <c r="A51" s="1"/>
      <c r="B51" s="2"/>
      <c r="C51" s="2"/>
      <c r="D51" s="2"/>
      <c r="E51" s="2"/>
      <c r="F51" s="2"/>
      <c r="G51" s="2"/>
      <c r="H51" s="2"/>
      <c r="I51" s="30"/>
      <c r="J51" s="13"/>
      <c r="K51" s="30"/>
      <c r="L51" s="30"/>
      <c r="M51" s="30"/>
      <c r="N51" s="30"/>
      <c r="O51" s="30"/>
      <c r="P51" s="3"/>
      <c r="Q51" s="1"/>
      <c r="R51" s="2"/>
      <c r="S51" s="2"/>
      <c r="T51" s="2"/>
      <c r="U51" s="2"/>
      <c r="V51" s="2"/>
      <c r="W51" s="3"/>
    </row>
    <row r="52" spans="1:23" x14ac:dyDescent="0.25">
      <c r="A52" s="1"/>
      <c r="B52" s="2"/>
      <c r="C52" s="2"/>
      <c r="D52" s="2"/>
      <c r="E52" s="2"/>
      <c r="F52" s="2"/>
      <c r="G52" s="2"/>
      <c r="H52" s="2"/>
      <c r="I52" s="30"/>
      <c r="J52" s="13"/>
      <c r="K52" s="30"/>
      <c r="L52" s="30"/>
      <c r="M52" s="30"/>
      <c r="N52" s="30"/>
      <c r="O52" s="30"/>
      <c r="P52" s="3"/>
      <c r="Q52" s="1"/>
      <c r="R52" s="2"/>
      <c r="S52" s="2"/>
      <c r="T52" s="2"/>
      <c r="U52" s="2"/>
      <c r="V52" s="2"/>
      <c r="W52" s="19"/>
    </row>
    <row r="53" spans="1:23" x14ac:dyDescent="0.25">
      <c r="A53" s="1"/>
      <c r="B53" s="2"/>
      <c r="C53" s="2"/>
      <c r="D53" s="2"/>
      <c r="E53" s="2"/>
      <c r="F53" s="2"/>
      <c r="G53" s="2"/>
      <c r="H53" s="2"/>
      <c r="I53" s="30"/>
      <c r="J53" s="13"/>
      <c r="K53" s="30"/>
      <c r="L53" s="30"/>
      <c r="M53" s="30"/>
      <c r="N53" s="30"/>
      <c r="O53" s="30"/>
      <c r="P53" s="3"/>
      <c r="Q53" s="1"/>
      <c r="R53" s="2"/>
      <c r="S53" s="2"/>
      <c r="T53" s="2"/>
      <c r="U53" s="2"/>
      <c r="V53" s="2"/>
      <c r="W53" s="3"/>
    </row>
    <row r="54" spans="1:23" ht="15.75" thickBot="1" x14ac:dyDescent="0.3">
      <c r="A54" s="4"/>
      <c r="B54" s="5"/>
      <c r="C54" s="5"/>
      <c r="D54" s="5"/>
      <c r="E54" s="5"/>
      <c r="F54" s="5"/>
      <c r="G54" s="5"/>
      <c r="H54" s="5"/>
      <c r="I54" s="32"/>
      <c r="J54" s="34"/>
      <c r="K54" s="32"/>
      <c r="L54" s="32"/>
      <c r="M54" s="32"/>
      <c r="N54" s="32"/>
      <c r="O54" s="32"/>
      <c r="P54" s="6"/>
      <c r="Q54" s="1"/>
      <c r="R54" s="5"/>
      <c r="S54" s="5"/>
      <c r="T54" s="2"/>
      <c r="U54" s="2"/>
      <c r="V54" s="2"/>
      <c r="W54" s="6"/>
    </row>
    <row r="55" spans="1:23" ht="15.75" thickTop="1" x14ac:dyDescent="0.25">
      <c r="K55" s="2"/>
      <c r="L55" s="2"/>
      <c r="M55" s="2"/>
      <c r="N55" s="2"/>
      <c r="O55" s="2"/>
      <c r="Q55" s="12"/>
      <c r="T55" s="12"/>
      <c r="U55" s="12"/>
      <c r="V55" s="12"/>
    </row>
  </sheetData>
  <mergeCells count="3">
    <mergeCell ref="A1:I1"/>
    <mergeCell ref="Q1:W1"/>
    <mergeCell ref="K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1" t="s">
        <v>30</v>
      </c>
      <c r="B1" s="2" t="s">
        <v>14</v>
      </c>
      <c r="C1" s="8" t="s">
        <v>23</v>
      </c>
      <c r="D1" s="2">
        <v>2019</v>
      </c>
      <c r="E1" s="2">
        <v>12</v>
      </c>
      <c r="F1" s="2">
        <v>16</v>
      </c>
      <c r="G1" s="2" t="s">
        <v>15</v>
      </c>
      <c r="H1" s="2">
        <v>1</v>
      </c>
      <c r="I1" s="9" t="s">
        <v>29</v>
      </c>
    </row>
    <row r="2" spans="1:9" x14ac:dyDescent="0.25">
      <c r="A2" s="1" t="s">
        <v>31</v>
      </c>
      <c r="B2" s="2" t="s">
        <v>14</v>
      </c>
      <c r="C2" s="8" t="s">
        <v>24</v>
      </c>
      <c r="D2" s="2">
        <v>2019</v>
      </c>
      <c r="E2" s="2">
        <v>11</v>
      </c>
      <c r="F2" s="8" t="s">
        <v>26</v>
      </c>
      <c r="G2" s="2" t="s">
        <v>20</v>
      </c>
      <c r="H2" s="2">
        <v>2</v>
      </c>
      <c r="I2" s="9" t="s">
        <v>28</v>
      </c>
    </row>
    <row r="3" spans="1:9" x14ac:dyDescent="0.25">
      <c r="A3" s="1" t="s">
        <v>32</v>
      </c>
      <c r="B3" s="7" t="s">
        <v>21</v>
      </c>
      <c r="C3" s="8" t="s">
        <v>25</v>
      </c>
      <c r="D3" s="2">
        <v>2018</v>
      </c>
      <c r="E3" s="8" t="s">
        <v>26</v>
      </c>
      <c r="F3" s="10" t="s">
        <v>26</v>
      </c>
      <c r="G3" s="7" t="s">
        <v>22</v>
      </c>
      <c r="H3" s="7">
        <v>3</v>
      </c>
      <c r="I3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Angela Birkner</cp:lastModifiedBy>
  <dcterms:created xsi:type="dcterms:W3CDTF">2019-12-16T13:37:40Z</dcterms:created>
  <dcterms:modified xsi:type="dcterms:W3CDTF">2020-01-06T17:47:05Z</dcterms:modified>
</cp:coreProperties>
</file>