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QAWI19\CBLHJB03\"/>
    </mc:Choice>
  </mc:AlternateContent>
  <xr:revisionPtr revIDLastSave="0" documentId="13_ncr:1_{48495990-29D7-4558-87A4-DC22BA7C515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2" sheetId="2" r:id="rId1"/>
    <sheet name="DATFILE" sheetId="3" r:id="rId2"/>
  </sheets>
  <definedNames>
    <definedName name="_xlnm._FilterDatabase" localSheetId="0" hidden="1">Sheet2!$A$2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" i="2" l="1"/>
  <c r="L3" i="2"/>
  <c r="S210" i="2"/>
  <c r="R210" i="2"/>
  <c r="R207" i="2"/>
  <c r="V204" i="2"/>
  <c r="U204" i="2"/>
  <c r="T204" i="2"/>
  <c r="S204" i="2"/>
  <c r="R204" i="2"/>
  <c r="Q207" i="2" s="1"/>
  <c r="Q204" i="2"/>
  <c r="P204" i="2"/>
  <c r="S207" i="2" s="1"/>
  <c r="M204" i="2"/>
  <c r="L204" i="2"/>
  <c r="K204" i="2"/>
  <c r="J204" i="2"/>
  <c r="R182" i="2"/>
  <c r="V179" i="2"/>
  <c r="U179" i="2"/>
  <c r="T179" i="2"/>
  <c r="S179" i="2"/>
  <c r="R179" i="2"/>
  <c r="Q182" i="2" s="1"/>
  <c r="Q179" i="2"/>
  <c r="P179" i="2"/>
  <c r="S182" i="2" s="1"/>
  <c r="M179" i="2"/>
  <c r="K179" i="2"/>
  <c r="L179" i="2" s="1"/>
  <c r="J179" i="2"/>
  <c r="R191" i="2"/>
  <c r="Q194" i="2" s="1"/>
  <c r="R190" i="2"/>
  <c r="M73" i="2"/>
  <c r="P191" i="2"/>
  <c r="J199" i="2"/>
  <c r="K199" i="2"/>
  <c r="L199" i="2" s="1"/>
  <c r="M199" i="2"/>
  <c r="Q199" i="2"/>
  <c r="R199" i="2"/>
  <c r="S199" i="2"/>
  <c r="T199" i="2"/>
  <c r="U199" i="2"/>
  <c r="V199" i="2"/>
  <c r="J190" i="2"/>
  <c r="K190" i="2"/>
  <c r="L190" i="2" s="1"/>
  <c r="M190" i="2"/>
  <c r="Q190" i="2"/>
  <c r="S190" i="2"/>
  <c r="T190" i="2"/>
  <c r="U190" i="2"/>
  <c r="V190" i="2"/>
  <c r="J160" i="2"/>
  <c r="K160" i="2"/>
  <c r="L160" i="2" s="1"/>
  <c r="M160" i="2"/>
  <c r="Q160" i="2"/>
  <c r="R160" i="2"/>
  <c r="S160" i="2"/>
  <c r="T160" i="2"/>
  <c r="U160" i="2"/>
  <c r="V160" i="2"/>
  <c r="J141" i="2"/>
  <c r="K141" i="2"/>
  <c r="L141" i="2" s="1"/>
  <c r="M141" i="2"/>
  <c r="Q141" i="2"/>
  <c r="R141" i="2"/>
  <c r="S141" i="2"/>
  <c r="T141" i="2"/>
  <c r="U141" i="2"/>
  <c r="V141" i="2"/>
  <c r="J126" i="2"/>
  <c r="K126" i="2"/>
  <c r="L126" i="2" s="1"/>
  <c r="M126" i="2"/>
  <c r="Q126" i="2"/>
  <c r="R126" i="2"/>
  <c r="S126" i="2"/>
  <c r="T126" i="2"/>
  <c r="U126" i="2"/>
  <c r="V126" i="2"/>
  <c r="J113" i="2"/>
  <c r="K113" i="2"/>
  <c r="L113" i="2" s="1"/>
  <c r="M113" i="2"/>
  <c r="Q113" i="2"/>
  <c r="R113" i="2"/>
  <c r="S113" i="2"/>
  <c r="T113" i="2"/>
  <c r="U113" i="2"/>
  <c r="V113" i="2"/>
  <c r="R118" i="2"/>
  <c r="Q121" i="2" s="1"/>
  <c r="S49" i="2"/>
  <c r="R49" i="2"/>
  <c r="J92" i="2"/>
  <c r="K92" i="2"/>
  <c r="L92" i="2" s="1"/>
  <c r="M92" i="2"/>
  <c r="Q92" i="2"/>
  <c r="R92" i="2"/>
  <c r="S92" i="2"/>
  <c r="T92" i="2"/>
  <c r="U92" i="2"/>
  <c r="V92" i="2"/>
  <c r="J73" i="2"/>
  <c r="K73" i="2"/>
  <c r="L73" i="2" s="1"/>
  <c r="Q73" i="2"/>
  <c r="R73" i="2"/>
  <c r="S73" i="2"/>
  <c r="T73" i="2"/>
  <c r="U73" i="2"/>
  <c r="V73" i="2"/>
  <c r="V58" i="2"/>
  <c r="U58" i="2"/>
  <c r="T58" i="2"/>
  <c r="S58" i="2"/>
  <c r="R58" i="2"/>
  <c r="Q58" i="2"/>
  <c r="M58" i="2"/>
  <c r="K58" i="2"/>
  <c r="L58" i="2" s="1"/>
  <c r="J58" i="2"/>
  <c r="J49" i="2"/>
  <c r="K49" i="2"/>
  <c r="L49" i="2" s="1"/>
  <c r="M49" i="2"/>
  <c r="P49" i="2"/>
  <c r="P50" i="2" s="1"/>
  <c r="S53" i="2" s="1"/>
  <c r="Q49" i="2"/>
  <c r="T49" i="2"/>
  <c r="U49" i="2"/>
  <c r="V49" i="2"/>
  <c r="Q210" i="2"/>
  <c r="R202" i="2"/>
  <c r="V198" i="2"/>
  <c r="U198" i="2"/>
  <c r="T198" i="2"/>
  <c r="S198" i="2"/>
  <c r="R198" i="2"/>
  <c r="Q198" i="2"/>
  <c r="M198" i="2"/>
  <c r="K198" i="2"/>
  <c r="L198" i="2" s="1"/>
  <c r="J198" i="2"/>
  <c r="V197" i="2"/>
  <c r="U197" i="2"/>
  <c r="T197" i="2"/>
  <c r="S197" i="2"/>
  <c r="R197" i="2"/>
  <c r="Q197" i="2"/>
  <c r="M197" i="2"/>
  <c r="K197" i="2"/>
  <c r="L197" i="2" s="1"/>
  <c r="J197" i="2"/>
  <c r="V196" i="2"/>
  <c r="U196" i="2"/>
  <c r="T196" i="2"/>
  <c r="S196" i="2"/>
  <c r="R196" i="2"/>
  <c r="Q202" i="2" s="1"/>
  <c r="Q196" i="2"/>
  <c r="P196" i="2"/>
  <c r="P197" i="2" s="1"/>
  <c r="P198" i="2" s="1"/>
  <c r="P199" i="2" s="1"/>
  <c r="S202" i="2" s="1"/>
  <c r="M196" i="2"/>
  <c r="K196" i="2"/>
  <c r="L196" i="2" s="1"/>
  <c r="J196" i="2"/>
  <c r="R194" i="2"/>
  <c r="V191" i="2"/>
  <c r="U191" i="2"/>
  <c r="T191" i="2"/>
  <c r="S191" i="2"/>
  <c r="Q191" i="2"/>
  <c r="M191" i="2"/>
  <c r="K191" i="2"/>
  <c r="L191" i="2" s="1"/>
  <c r="J191" i="2"/>
  <c r="R188" i="2"/>
  <c r="V185" i="2"/>
  <c r="U185" i="2"/>
  <c r="T185" i="2"/>
  <c r="S185" i="2"/>
  <c r="R185" i="2"/>
  <c r="Q185" i="2"/>
  <c r="M185" i="2"/>
  <c r="K185" i="2"/>
  <c r="L185" i="2" s="1"/>
  <c r="J185" i="2"/>
  <c r="V184" i="2"/>
  <c r="U184" i="2"/>
  <c r="T184" i="2"/>
  <c r="S184" i="2"/>
  <c r="R184" i="2"/>
  <c r="Q188" i="2" s="1"/>
  <c r="Q184" i="2"/>
  <c r="P184" i="2"/>
  <c r="P185" i="2" s="1"/>
  <c r="S188" i="2" s="1"/>
  <c r="M184" i="2"/>
  <c r="K184" i="2"/>
  <c r="L184" i="2" s="1"/>
  <c r="J184" i="2"/>
  <c r="R177" i="2"/>
  <c r="V174" i="2"/>
  <c r="U174" i="2"/>
  <c r="T174" i="2"/>
  <c r="S174" i="2"/>
  <c r="R174" i="2"/>
  <c r="Q174" i="2"/>
  <c r="P174" i="2"/>
  <c r="S177" i="2" s="1"/>
  <c r="M174" i="2"/>
  <c r="K174" i="2"/>
  <c r="L174" i="2" s="1"/>
  <c r="J174" i="2"/>
  <c r="V173" i="2"/>
  <c r="U173" i="2"/>
  <c r="T173" i="2"/>
  <c r="S173" i="2"/>
  <c r="R173" i="2"/>
  <c r="Q177" i="2" s="1"/>
  <c r="Q173" i="2"/>
  <c r="M173" i="2"/>
  <c r="K173" i="2"/>
  <c r="L173" i="2" s="1"/>
  <c r="J173" i="2"/>
  <c r="R168" i="2"/>
  <c r="Q171" i="2" s="1"/>
  <c r="V165" i="2"/>
  <c r="U165" i="2"/>
  <c r="T165" i="2"/>
  <c r="S165" i="2"/>
  <c r="R165" i="2"/>
  <c r="Q168" i="2" s="1"/>
  <c r="Q165" i="2"/>
  <c r="P165" i="2"/>
  <c r="S168" i="2" s="1"/>
  <c r="M165" i="2"/>
  <c r="K165" i="2"/>
  <c r="L165" i="2" s="1"/>
  <c r="J165" i="2"/>
  <c r="R163" i="2"/>
  <c r="V159" i="2"/>
  <c r="U159" i="2"/>
  <c r="T159" i="2"/>
  <c r="S159" i="2"/>
  <c r="R159" i="2"/>
  <c r="Q159" i="2"/>
  <c r="M159" i="2"/>
  <c r="K159" i="2"/>
  <c r="L159" i="2" s="1"/>
  <c r="J159" i="2"/>
  <c r="V158" i="2"/>
  <c r="U158" i="2"/>
  <c r="T158" i="2"/>
  <c r="S158" i="2"/>
  <c r="R158" i="2"/>
  <c r="Q158" i="2"/>
  <c r="M158" i="2"/>
  <c r="K158" i="2"/>
  <c r="L158" i="2" s="1"/>
  <c r="J158" i="2"/>
  <c r="V157" i="2"/>
  <c r="U157" i="2"/>
  <c r="T157" i="2"/>
  <c r="S157" i="2"/>
  <c r="R157" i="2"/>
  <c r="Q163" i="2" s="1"/>
  <c r="Q157" i="2"/>
  <c r="P157" i="2"/>
  <c r="P158" i="2" s="1"/>
  <c r="P159" i="2" s="1"/>
  <c r="M157" i="2"/>
  <c r="K157" i="2"/>
  <c r="L157" i="2" s="1"/>
  <c r="J157" i="2"/>
  <c r="R155" i="2"/>
  <c r="V152" i="2"/>
  <c r="U152" i="2"/>
  <c r="T152" i="2"/>
  <c r="S152" i="2"/>
  <c r="R152" i="2"/>
  <c r="Q155" i="2" s="1"/>
  <c r="Q152" i="2"/>
  <c r="P152" i="2"/>
  <c r="S155" i="2" s="1"/>
  <c r="M152" i="2"/>
  <c r="K152" i="2"/>
  <c r="L152" i="2" s="1"/>
  <c r="J152" i="2"/>
  <c r="R150" i="2"/>
  <c r="V147" i="2"/>
  <c r="U147" i="2"/>
  <c r="T147" i="2"/>
  <c r="S147" i="2"/>
  <c r="R147" i="2"/>
  <c r="Q147" i="2"/>
  <c r="M147" i="2"/>
  <c r="K147" i="2"/>
  <c r="L147" i="2" s="1"/>
  <c r="J147" i="2"/>
  <c r="V146" i="2"/>
  <c r="U146" i="2"/>
  <c r="T146" i="2"/>
  <c r="S146" i="2"/>
  <c r="R146" i="2"/>
  <c r="Q150" i="2" s="1"/>
  <c r="Q146" i="2"/>
  <c r="P146" i="2"/>
  <c r="P147" i="2" s="1"/>
  <c r="S150" i="2" s="1"/>
  <c r="M146" i="2"/>
  <c r="K146" i="2"/>
  <c r="L146" i="2" s="1"/>
  <c r="J146" i="2"/>
  <c r="R144" i="2"/>
  <c r="V140" i="2"/>
  <c r="U140" i="2"/>
  <c r="T140" i="2"/>
  <c r="S140" i="2"/>
  <c r="R140" i="2"/>
  <c r="Q140" i="2"/>
  <c r="P140" i="2"/>
  <c r="P141" i="2" s="1"/>
  <c r="S144" i="2" s="1"/>
  <c r="M140" i="2"/>
  <c r="K140" i="2"/>
  <c r="L140" i="2" s="1"/>
  <c r="J140" i="2"/>
  <c r="V139" i="2"/>
  <c r="U139" i="2"/>
  <c r="T139" i="2"/>
  <c r="S139" i="2"/>
  <c r="R139" i="2"/>
  <c r="Q144" i="2" s="1"/>
  <c r="Q139" i="2"/>
  <c r="M139" i="2"/>
  <c r="K139" i="2"/>
  <c r="L139" i="2" s="1"/>
  <c r="J139" i="2"/>
  <c r="Q137" i="2"/>
  <c r="R134" i="2"/>
  <c r="V131" i="2"/>
  <c r="U131" i="2"/>
  <c r="T131" i="2"/>
  <c r="S131" i="2"/>
  <c r="R131" i="2"/>
  <c r="Q134" i="2" s="1"/>
  <c r="Q131" i="2"/>
  <c r="P131" i="2"/>
  <c r="S134" i="2" s="1"/>
  <c r="M131" i="2"/>
  <c r="K131" i="2"/>
  <c r="L131" i="2" s="1"/>
  <c r="J131" i="2"/>
  <c r="R129" i="2"/>
  <c r="V125" i="2"/>
  <c r="U125" i="2"/>
  <c r="T125" i="2"/>
  <c r="S125" i="2"/>
  <c r="R125" i="2"/>
  <c r="Q125" i="2"/>
  <c r="M125" i="2"/>
  <c r="K125" i="2"/>
  <c r="L125" i="2" s="1"/>
  <c r="J125" i="2"/>
  <c r="V124" i="2"/>
  <c r="U124" i="2"/>
  <c r="T124" i="2"/>
  <c r="S124" i="2"/>
  <c r="R124" i="2"/>
  <c r="Q124" i="2"/>
  <c r="M124" i="2"/>
  <c r="K124" i="2"/>
  <c r="L124" i="2" s="1"/>
  <c r="J124" i="2"/>
  <c r="V123" i="2"/>
  <c r="U123" i="2"/>
  <c r="T123" i="2"/>
  <c r="S123" i="2"/>
  <c r="R123" i="2"/>
  <c r="Q129" i="2" s="1"/>
  <c r="Q123" i="2"/>
  <c r="P123" i="2"/>
  <c r="P124" i="2" s="1"/>
  <c r="P125" i="2" s="1"/>
  <c r="M123" i="2"/>
  <c r="K123" i="2"/>
  <c r="L123" i="2" s="1"/>
  <c r="J123" i="2"/>
  <c r="R121" i="2"/>
  <c r="V118" i="2"/>
  <c r="U118" i="2"/>
  <c r="T118" i="2"/>
  <c r="S118" i="2"/>
  <c r="Q118" i="2"/>
  <c r="P118" i="2"/>
  <c r="S121" i="2" s="1"/>
  <c r="M118" i="2"/>
  <c r="K118" i="2"/>
  <c r="L118" i="2" s="1"/>
  <c r="J118" i="2"/>
  <c r="R116" i="2"/>
  <c r="V112" i="2"/>
  <c r="U112" i="2"/>
  <c r="T112" i="2"/>
  <c r="S112" i="2"/>
  <c r="R112" i="2"/>
  <c r="Q112" i="2"/>
  <c r="M112" i="2"/>
  <c r="K112" i="2"/>
  <c r="L112" i="2" s="1"/>
  <c r="J112" i="2"/>
  <c r="V111" i="2"/>
  <c r="U111" i="2"/>
  <c r="T111" i="2"/>
  <c r="S111" i="2"/>
  <c r="R111" i="2"/>
  <c r="Q116" i="2" s="1"/>
  <c r="Q111" i="2"/>
  <c r="P111" i="2"/>
  <c r="P112" i="2" s="1"/>
  <c r="P113" i="2" s="1"/>
  <c r="S116" i="2" s="1"/>
  <c r="M111" i="2"/>
  <c r="K111" i="2"/>
  <c r="L111" i="2" s="1"/>
  <c r="J111" i="2"/>
  <c r="R109" i="2"/>
  <c r="V106" i="2"/>
  <c r="U106" i="2"/>
  <c r="T106" i="2"/>
  <c r="S106" i="2"/>
  <c r="R106" i="2"/>
  <c r="Q106" i="2"/>
  <c r="P106" i="2"/>
  <c r="S109" i="2" s="1"/>
  <c r="M106" i="2"/>
  <c r="K106" i="2"/>
  <c r="L106" i="2" s="1"/>
  <c r="J106" i="2"/>
  <c r="V105" i="2"/>
  <c r="U105" i="2"/>
  <c r="T105" i="2"/>
  <c r="S105" i="2"/>
  <c r="R105" i="2"/>
  <c r="Q109" i="2" s="1"/>
  <c r="Q105" i="2"/>
  <c r="M105" i="2"/>
  <c r="K105" i="2"/>
  <c r="L105" i="2" s="1"/>
  <c r="J105" i="2"/>
  <c r="R100" i="2"/>
  <c r="Q103" i="2" s="1"/>
  <c r="V97" i="2"/>
  <c r="U97" i="2"/>
  <c r="T97" i="2"/>
  <c r="S97" i="2"/>
  <c r="R97" i="2"/>
  <c r="Q100" i="2" s="1"/>
  <c r="Q97" i="2"/>
  <c r="P97" i="2"/>
  <c r="S100" i="2" s="1"/>
  <c r="M97" i="2"/>
  <c r="K97" i="2"/>
  <c r="L97" i="2" s="1"/>
  <c r="J97" i="2"/>
  <c r="R95" i="2"/>
  <c r="V91" i="2"/>
  <c r="U91" i="2"/>
  <c r="T91" i="2"/>
  <c r="S91" i="2"/>
  <c r="R91" i="2"/>
  <c r="Q91" i="2"/>
  <c r="M91" i="2"/>
  <c r="K91" i="2"/>
  <c r="L91" i="2" s="1"/>
  <c r="J91" i="2"/>
  <c r="V90" i="2"/>
  <c r="U90" i="2"/>
  <c r="T90" i="2"/>
  <c r="S90" i="2"/>
  <c r="R90" i="2"/>
  <c r="Q90" i="2"/>
  <c r="M90" i="2"/>
  <c r="K90" i="2"/>
  <c r="L90" i="2" s="1"/>
  <c r="J90" i="2"/>
  <c r="V89" i="2"/>
  <c r="U89" i="2"/>
  <c r="T89" i="2"/>
  <c r="S89" i="2"/>
  <c r="R89" i="2"/>
  <c r="Q95" i="2" s="1"/>
  <c r="Q89" i="2"/>
  <c r="P89" i="2"/>
  <c r="P90" i="2" s="1"/>
  <c r="P91" i="2" s="1"/>
  <c r="M89" i="2"/>
  <c r="K89" i="2"/>
  <c r="L89" i="2" s="1"/>
  <c r="J89" i="2"/>
  <c r="R87" i="2"/>
  <c r="V84" i="2"/>
  <c r="U84" i="2"/>
  <c r="T84" i="2"/>
  <c r="S84" i="2"/>
  <c r="R84" i="2"/>
  <c r="Q87" i="2" s="1"/>
  <c r="Q84" i="2"/>
  <c r="P84" i="2"/>
  <c r="S87" i="2" s="1"/>
  <c r="M84" i="2"/>
  <c r="K84" i="2"/>
  <c r="L84" i="2" s="1"/>
  <c r="J84" i="2"/>
  <c r="R82" i="2"/>
  <c r="V79" i="2"/>
  <c r="U79" i="2"/>
  <c r="T79" i="2"/>
  <c r="S79" i="2"/>
  <c r="R79" i="2"/>
  <c r="Q79" i="2"/>
  <c r="M79" i="2"/>
  <c r="K79" i="2"/>
  <c r="L79" i="2" s="1"/>
  <c r="J79" i="2"/>
  <c r="V78" i="2"/>
  <c r="U78" i="2"/>
  <c r="T78" i="2"/>
  <c r="S78" i="2"/>
  <c r="R78" i="2"/>
  <c r="Q82" i="2" s="1"/>
  <c r="Q78" i="2"/>
  <c r="P78" i="2"/>
  <c r="P79" i="2" s="1"/>
  <c r="S82" i="2" s="1"/>
  <c r="M78" i="2"/>
  <c r="K78" i="2"/>
  <c r="L78" i="2" s="1"/>
  <c r="J78" i="2"/>
  <c r="R76" i="2"/>
  <c r="V72" i="2"/>
  <c r="U72" i="2"/>
  <c r="T72" i="2"/>
  <c r="S72" i="2"/>
  <c r="R72" i="2"/>
  <c r="Q72" i="2"/>
  <c r="P72" i="2"/>
  <c r="M72" i="2"/>
  <c r="K72" i="2"/>
  <c r="L72" i="2" s="1"/>
  <c r="J72" i="2"/>
  <c r="V71" i="2"/>
  <c r="U71" i="2"/>
  <c r="T71" i="2"/>
  <c r="S71" i="2"/>
  <c r="R71" i="2"/>
  <c r="Q76" i="2" s="1"/>
  <c r="Q71" i="2"/>
  <c r="M71" i="2"/>
  <c r="K71" i="2"/>
  <c r="L71" i="2" s="1"/>
  <c r="J71" i="2"/>
  <c r="P63" i="2"/>
  <c r="S66" i="2" s="1"/>
  <c r="M63" i="2"/>
  <c r="K63" i="2"/>
  <c r="L63" i="2" s="1"/>
  <c r="J63" i="2"/>
  <c r="M57" i="2"/>
  <c r="K57" i="2"/>
  <c r="L57" i="2" s="1"/>
  <c r="J57" i="2"/>
  <c r="M56" i="2"/>
  <c r="K56" i="2"/>
  <c r="L56" i="2" s="1"/>
  <c r="J56" i="2"/>
  <c r="P55" i="2"/>
  <c r="P56" i="2" s="1"/>
  <c r="P57" i="2" s="1"/>
  <c r="M55" i="2"/>
  <c r="K55" i="2"/>
  <c r="L55" i="2" s="1"/>
  <c r="J55" i="2"/>
  <c r="M50" i="2"/>
  <c r="K50" i="2"/>
  <c r="L50" i="2" s="1"/>
  <c r="J50" i="2"/>
  <c r="R66" i="2"/>
  <c r="V63" i="2"/>
  <c r="U63" i="2"/>
  <c r="T63" i="2"/>
  <c r="S63" i="2"/>
  <c r="R63" i="2"/>
  <c r="Q66" i="2" s="1"/>
  <c r="Q63" i="2"/>
  <c r="R56" i="2"/>
  <c r="R57" i="2"/>
  <c r="R55" i="2"/>
  <c r="Q61" i="2" s="1"/>
  <c r="R61" i="2"/>
  <c r="R53" i="2"/>
  <c r="R47" i="2"/>
  <c r="R44" i="2"/>
  <c r="R43" i="2"/>
  <c r="Q47" i="2" s="1"/>
  <c r="J44" i="2"/>
  <c r="K44" i="2"/>
  <c r="L44" i="2" s="1"/>
  <c r="M44" i="2"/>
  <c r="P43" i="2"/>
  <c r="P44" i="2" s="1"/>
  <c r="S47" i="2" s="1"/>
  <c r="M43" i="2"/>
  <c r="K43" i="2"/>
  <c r="L43" i="2" s="1"/>
  <c r="J43" i="2"/>
  <c r="Q56" i="2"/>
  <c r="S56" i="2"/>
  <c r="T56" i="2"/>
  <c r="U56" i="2"/>
  <c r="V56" i="2"/>
  <c r="Q57" i="2"/>
  <c r="S57" i="2"/>
  <c r="T57" i="2"/>
  <c r="U57" i="2"/>
  <c r="V57" i="2"/>
  <c r="Q55" i="2"/>
  <c r="V55" i="2"/>
  <c r="U55" i="2"/>
  <c r="T55" i="2"/>
  <c r="S55" i="2"/>
  <c r="V50" i="2"/>
  <c r="U50" i="2"/>
  <c r="T50" i="2"/>
  <c r="S50" i="2"/>
  <c r="R50" i="2"/>
  <c r="Q53" i="2" s="1"/>
  <c r="Q50" i="2"/>
  <c r="Q44" i="2"/>
  <c r="S44" i="2"/>
  <c r="T44" i="2"/>
  <c r="U44" i="2"/>
  <c r="V44" i="2"/>
  <c r="V43" i="2"/>
  <c r="U43" i="2"/>
  <c r="T43" i="2"/>
  <c r="T37" i="2"/>
  <c r="S43" i="2"/>
  <c r="Q43" i="2"/>
  <c r="M38" i="2"/>
  <c r="M37" i="2"/>
  <c r="M29" i="2"/>
  <c r="N204" i="2" l="1"/>
  <c r="O204" i="2" s="1"/>
  <c r="W204" i="2" s="1"/>
  <c r="T207" i="2" s="1"/>
  <c r="N179" i="2"/>
  <c r="O179" i="2" s="1"/>
  <c r="W179" i="2" s="1"/>
  <c r="T182" i="2" s="1"/>
  <c r="N160" i="2"/>
  <c r="O160" i="2" s="1"/>
  <c r="W160" i="2" s="1"/>
  <c r="N73" i="2"/>
  <c r="O73" i="2" s="1"/>
  <c r="W73" i="2" s="1"/>
  <c r="N199" i="2"/>
  <c r="N190" i="2"/>
  <c r="O190" i="2" s="1"/>
  <c r="W190" i="2" s="1"/>
  <c r="P160" i="2"/>
  <c r="S163" i="2" s="1"/>
  <c r="P126" i="2"/>
  <c r="S129" i="2" s="1"/>
  <c r="R137" i="2" s="1"/>
  <c r="N141" i="2"/>
  <c r="O141" i="2" s="1"/>
  <c r="W141" i="2" s="1"/>
  <c r="N126" i="2"/>
  <c r="N113" i="2"/>
  <c r="P92" i="2"/>
  <c r="S95" i="2" s="1"/>
  <c r="P73" i="2"/>
  <c r="S76" i="2" s="1"/>
  <c r="N92" i="2"/>
  <c r="O92" i="2" s="1"/>
  <c r="W92" i="2" s="1"/>
  <c r="P58" i="2"/>
  <c r="S61" i="2" s="1"/>
  <c r="N58" i="2"/>
  <c r="O58" i="2" s="1"/>
  <c r="N49" i="2"/>
  <c r="O49" i="2" s="1"/>
  <c r="R171" i="2"/>
  <c r="N159" i="2"/>
  <c r="O159" i="2" s="1"/>
  <c r="W159" i="2" s="1"/>
  <c r="N157" i="2"/>
  <c r="O157" i="2" s="1"/>
  <c r="W157" i="2" s="1"/>
  <c r="N174" i="2"/>
  <c r="N140" i="2"/>
  <c r="O140" i="2" s="1"/>
  <c r="W140" i="2" s="1"/>
  <c r="N196" i="2"/>
  <c r="O196" i="2" s="1"/>
  <c r="N139" i="2"/>
  <c r="O139" i="2" s="1"/>
  <c r="W139" i="2" s="1"/>
  <c r="N197" i="2"/>
  <c r="O197" i="2" s="1"/>
  <c r="N158" i="2"/>
  <c r="O158" i="2" s="1"/>
  <c r="W158" i="2" s="1"/>
  <c r="N184" i="2"/>
  <c r="N185" i="2"/>
  <c r="O185" i="2" s="1"/>
  <c r="N191" i="2"/>
  <c r="N146" i="2"/>
  <c r="O146" i="2" s="1"/>
  <c r="W146" i="2" s="1"/>
  <c r="N147" i="2"/>
  <c r="O147" i="2" s="1"/>
  <c r="W147" i="2" s="1"/>
  <c r="N152" i="2"/>
  <c r="O152" i="2" s="1"/>
  <c r="W152" i="2" s="1"/>
  <c r="T155" i="2" s="1"/>
  <c r="N165" i="2"/>
  <c r="O165" i="2" s="1"/>
  <c r="W165" i="2" s="1"/>
  <c r="T168" i="2" s="1"/>
  <c r="N198" i="2"/>
  <c r="O198" i="2" s="1"/>
  <c r="N173" i="2"/>
  <c r="O173" i="2" s="1"/>
  <c r="N125" i="2"/>
  <c r="O125" i="2" s="1"/>
  <c r="N123" i="2"/>
  <c r="N106" i="2"/>
  <c r="O106" i="2" s="1"/>
  <c r="N91" i="2"/>
  <c r="O91" i="2" s="1"/>
  <c r="W91" i="2" s="1"/>
  <c r="N89" i="2"/>
  <c r="O89" i="2" s="1"/>
  <c r="W89" i="2" s="1"/>
  <c r="N72" i="2"/>
  <c r="O72" i="2" s="1"/>
  <c r="N90" i="2"/>
  <c r="O90" i="2" s="1"/>
  <c r="W90" i="2" s="1"/>
  <c r="N111" i="2"/>
  <c r="O111" i="2" s="1"/>
  <c r="N112" i="2"/>
  <c r="N118" i="2"/>
  <c r="O118" i="2" s="1"/>
  <c r="N131" i="2"/>
  <c r="N78" i="2"/>
  <c r="O78" i="2" s="1"/>
  <c r="W78" i="2" s="1"/>
  <c r="N79" i="2"/>
  <c r="O79" i="2" s="1"/>
  <c r="W79" i="2" s="1"/>
  <c r="N84" i="2"/>
  <c r="O84" i="2" s="1"/>
  <c r="W84" i="2" s="1"/>
  <c r="T87" i="2" s="1"/>
  <c r="N97" i="2"/>
  <c r="O97" i="2" s="1"/>
  <c r="W97" i="2" s="1"/>
  <c r="T100" i="2" s="1"/>
  <c r="N105" i="2"/>
  <c r="O105" i="2" s="1"/>
  <c r="N71" i="2"/>
  <c r="N124" i="2"/>
  <c r="N63" i="2"/>
  <c r="O63" i="2" s="1"/>
  <c r="N55" i="2"/>
  <c r="N57" i="2"/>
  <c r="N56" i="2"/>
  <c r="N50" i="2"/>
  <c r="N44" i="2"/>
  <c r="O44" i="2" s="1"/>
  <c r="N43" i="2"/>
  <c r="O43" i="2" s="1"/>
  <c r="P29" i="2"/>
  <c r="S32" i="2" s="1"/>
  <c r="K29" i="2"/>
  <c r="L29" i="2" s="1"/>
  <c r="J29" i="2"/>
  <c r="M24" i="2"/>
  <c r="K24" i="2"/>
  <c r="L24" i="2" s="1"/>
  <c r="J24" i="2"/>
  <c r="M23" i="2"/>
  <c r="K23" i="2"/>
  <c r="L23" i="2" s="1"/>
  <c r="J23" i="2"/>
  <c r="P22" i="2"/>
  <c r="P23" i="2" s="1"/>
  <c r="P24" i="2" s="1"/>
  <c r="M22" i="2"/>
  <c r="K22" i="2"/>
  <c r="L22" i="2" s="1"/>
  <c r="J22" i="2"/>
  <c r="P17" i="2"/>
  <c r="S20" i="2" s="1"/>
  <c r="M17" i="2"/>
  <c r="K17" i="2"/>
  <c r="L17" i="2" s="1"/>
  <c r="J17" i="2"/>
  <c r="R32" i="2"/>
  <c r="Q35" i="2" s="1"/>
  <c r="R27" i="2"/>
  <c r="R20" i="2"/>
  <c r="R15" i="2"/>
  <c r="V29" i="2"/>
  <c r="U29" i="2"/>
  <c r="T29" i="2"/>
  <c r="S29" i="2"/>
  <c r="R29" i="2"/>
  <c r="Q32" i="2" s="1"/>
  <c r="Q29" i="2"/>
  <c r="V24" i="2"/>
  <c r="U24" i="2"/>
  <c r="T24" i="2"/>
  <c r="S24" i="2"/>
  <c r="R24" i="2"/>
  <c r="Q24" i="2"/>
  <c r="V23" i="2"/>
  <c r="U23" i="2"/>
  <c r="T23" i="2"/>
  <c r="S23" i="2"/>
  <c r="R23" i="2"/>
  <c r="Q23" i="2"/>
  <c r="V22" i="2"/>
  <c r="U22" i="2"/>
  <c r="T22" i="2"/>
  <c r="S22" i="2"/>
  <c r="R22" i="2"/>
  <c r="Q27" i="2" s="1"/>
  <c r="Q22" i="2"/>
  <c r="V17" i="2"/>
  <c r="U17" i="2"/>
  <c r="T17" i="2"/>
  <c r="S17" i="2"/>
  <c r="R17" i="2"/>
  <c r="Q20" i="2" s="1"/>
  <c r="Q17" i="2"/>
  <c r="M10" i="2"/>
  <c r="M11" i="2"/>
  <c r="M12" i="2"/>
  <c r="M9" i="2"/>
  <c r="M3" i="2"/>
  <c r="K12" i="2"/>
  <c r="L12" i="2" s="1"/>
  <c r="J12" i="2"/>
  <c r="V12" i="2"/>
  <c r="U12" i="2"/>
  <c r="T12" i="2"/>
  <c r="S12" i="2"/>
  <c r="R12" i="2"/>
  <c r="Q12" i="2"/>
  <c r="R7" i="2"/>
  <c r="P4" i="2"/>
  <c r="S7" i="2" s="1"/>
  <c r="M4" i="2"/>
  <c r="K3" i="2"/>
  <c r="K4" i="2"/>
  <c r="L4" i="2" s="1"/>
  <c r="J3" i="2"/>
  <c r="J4" i="2"/>
  <c r="Q3" i="2"/>
  <c r="R3" i="2"/>
  <c r="Q7" i="2" s="1"/>
  <c r="S3" i="2"/>
  <c r="Q4" i="2"/>
  <c r="R4" i="2"/>
  <c r="S4" i="2"/>
  <c r="V4" i="2"/>
  <c r="U4" i="2"/>
  <c r="T4" i="2"/>
  <c r="V3" i="2"/>
  <c r="U3" i="2"/>
  <c r="T3" i="2"/>
  <c r="U9" i="2"/>
  <c r="R103" i="2" l="1"/>
  <c r="N3" i="2"/>
  <c r="O3" i="2" s="1"/>
  <c r="W3" i="2" s="1"/>
  <c r="W43" i="2"/>
  <c r="W118" i="2"/>
  <c r="T121" i="2" s="1"/>
  <c r="W72" i="2"/>
  <c r="O123" i="2"/>
  <c r="W123" i="2" s="1"/>
  <c r="W198" i="2"/>
  <c r="O113" i="2"/>
  <c r="W113" i="2" s="1"/>
  <c r="W44" i="2"/>
  <c r="T95" i="2"/>
  <c r="W125" i="2"/>
  <c r="W197" i="2"/>
  <c r="W49" i="2"/>
  <c r="O191" i="2"/>
  <c r="W191" i="2" s="1"/>
  <c r="T194" i="2" s="1"/>
  <c r="O56" i="2"/>
  <c r="W56" i="2" s="1"/>
  <c r="O199" i="2"/>
  <c r="W199" i="2" s="1"/>
  <c r="O112" i="2"/>
  <c r="W112" i="2" s="1"/>
  <c r="O124" i="2"/>
  <c r="W124" i="2" s="1"/>
  <c r="O174" i="2"/>
  <c r="W174" i="2" s="1"/>
  <c r="W106" i="2"/>
  <c r="T109" i="2" s="1"/>
  <c r="W196" i="2"/>
  <c r="W63" i="2"/>
  <c r="T66" i="2" s="1"/>
  <c r="W105" i="2"/>
  <c r="W111" i="2"/>
  <c r="W173" i="2"/>
  <c r="W185" i="2"/>
  <c r="T144" i="2"/>
  <c r="T163" i="2"/>
  <c r="W58" i="2"/>
  <c r="O184" i="2"/>
  <c r="W184" i="2" s="1"/>
  <c r="T188" i="2" s="1"/>
  <c r="O55" i="2"/>
  <c r="W55" i="2" s="1"/>
  <c r="O126" i="2"/>
  <c r="W126" i="2" s="1"/>
  <c r="O57" i="2"/>
  <c r="W57" i="2" s="1"/>
  <c r="O71" i="2"/>
  <c r="W71" i="2" s="1"/>
  <c r="O131" i="2"/>
  <c r="W131" i="2" s="1"/>
  <c r="T134" i="2" s="1"/>
  <c r="O50" i="2"/>
  <c r="W50" i="2" s="1"/>
  <c r="S27" i="2"/>
  <c r="T150" i="2"/>
  <c r="T82" i="2"/>
  <c r="N4" i="2"/>
  <c r="O4" i="2" s="1"/>
  <c r="W4" i="2" s="1"/>
  <c r="N29" i="2"/>
  <c r="O29" i="2" s="1"/>
  <c r="W29" i="2" s="1"/>
  <c r="T32" i="2" s="1"/>
  <c r="N22" i="2"/>
  <c r="O22" i="2" s="1"/>
  <c r="W22" i="2" s="1"/>
  <c r="N24" i="2"/>
  <c r="O24" i="2" s="1"/>
  <c r="W24" i="2" s="1"/>
  <c r="N23" i="2"/>
  <c r="O23" i="2" s="1"/>
  <c r="W23" i="2" s="1"/>
  <c r="N17" i="2"/>
  <c r="O17" i="2" s="1"/>
  <c r="W17" i="2" s="1"/>
  <c r="T20" i="2" s="1"/>
  <c r="N12" i="2"/>
  <c r="O12" i="2" s="1"/>
  <c r="W12" i="2" s="1"/>
  <c r="J38" i="2"/>
  <c r="J37" i="2"/>
  <c r="J11" i="2"/>
  <c r="J10" i="2"/>
  <c r="J9" i="2"/>
  <c r="T47" i="2" l="1"/>
  <c r="T76" i="2"/>
  <c r="S103" i="2" s="1"/>
  <c r="T129" i="2"/>
  <c r="T177" i="2"/>
  <c r="T61" i="2"/>
  <c r="T116" i="2"/>
  <c r="T202" i="2"/>
  <c r="T53" i="2"/>
  <c r="S171" i="2"/>
  <c r="T7" i="2"/>
  <c r="T27" i="2"/>
  <c r="K38" i="2"/>
  <c r="L38" i="2" s="1"/>
  <c r="K37" i="2"/>
  <c r="L37" i="2" s="1"/>
  <c r="K11" i="2"/>
  <c r="L11" i="2" s="1"/>
  <c r="N11" i="2" s="1"/>
  <c r="O11" i="2" s="1"/>
  <c r="K10" i="2"/>
  <c r="L10" i="2" s="1"/>
  <c r="N10" i="2" s="1"/>
  <c r="O10" i="2" s="1"/>
  <c r="K9" i="2"/>
  <c r="L9" i="2" s="1"/>
  <c r="Q69" i="2"/>
  <c r="R41" i="2"/>
  <c r="P9" i="2"/>
  <c r="S137" i="2" l="1"/>
  <c r="N37" i="2"/>
  <c r="O37" i="2"/>
  <c r="W37" i="2" s="1"/>
  <c r="N38" i="2"/>
  <c r="O38" i="2" s="1"/>
  <c r="W38" i="2" s="1"/>
  <c r="O9" i="2"/>
  <c r="W9" i="2" s="1"/>
  <c r="W11" i="2"/>
  <c r="W10" i="2"/>
  <c r="U38" i="2"/>
  <c r="U37" i="2"/>
  <c r="U11" i="2"/>
  <c r="U10" i="2"/>
  <c r="V11" i="2"/>
  <c r="T11" i="2"/>
  <c r="S11" i="2"/>
  <c r="R11" i="2"/>
  <c r="Q11" i="2"/>
  <c r="P38" i="2"/>
  <c r="S41" i="2" s="1"/>
  <c r="R69" i="2" s="1"/>
  <c r="V38" i="2"/>
  <c r="T38" i="2"/>
  <c r="S38" i="2"/>
  <c r="R38" i="2"/>
  <c r="Q38" i="2"/>
  <c r="V37" i="2"/>
  <c r="S37" i="2"/>
  <c r="R37" i="2"/>
  <c r="Q41" i="2" s="1"/>
  <c r="Q37" i="2"/>
  <c r="V10" i="2"/>
  <c r="T10" i="2"/>
  <c r="S10" i="2"/>
  <c r="R10" i="2"/>
  <c r="Q10" i="2"/>
  <c r="V9" i="2"/>
  <c r="S9" i="2"/>
  <c r="T9" i="2"/>
  <c r="T15" i="2" l="1"/>
  <c r="S35" i="2" s="1"/>
  <c r="P10" i="2"/>
  <c r="P11" i="2" s="1"/>
  <c r="Q9" i="2"/>
  <c r="R9" i="2"/>
  <c r="Q15" i="2" s="1"/>
  <c r="P12" i="2" l="1"/>
  <c r="S15" i="2" s="1"/>
  <c r="R35" i="2" s="1"/>
  <c r="T41" i="2"/>
  <c r="S69" i="2" s="1"/>
  <c r="R214" i="2" s="1"/>
  <c r="S194" i="2"/>
  <c r="Q214" i="2" l="1"/>
</calcChain>
</file>

<file path=xl/sharedStrings.xml><?xml version="1.0" encoding="utf-8"?>
<sst xmlns="http://schemas.openxmlformats.org/spreadsheetml/2006/main" count="713" uniqueCount="131">
  <si>
    <t>I-LAST-NAME</t>
  </si>
  <si>
    <t>I-STATE</t>
  </si>
  <si>
    <t>I-BOAT-COST</t>
  </si>
  <si>
    <t>I-ACCESSORY-PACKAGE</t>
  </si>
  <si>
    <t>I-PREP-DELIVERY-COST</t>
  </si>
  <si>
    <t>INPUT</t>
  </si>
  <si>
    <t>D-LAST-NAME</t>
  </si>
  <si>
    <t>D-STATE</t>
  </si>
  <si>
    <t>D-BOAT-COST</t>
  </si>
  <si>
    <t>D-PURCHASE-DATE</t>
  </si>
  <si>
    <t>D-ACC-PACK</t>
  </si>
  <si>
    <t>D-PREP-COST</t>
  </si>
  <si>
    <t>D-TOTAL-COST</t>
  </si>
  <si>
    <t>OUTPUT</t>
  </si>
  <si>
    <t>IA</t>
  </si>
  <si>
    <t>B</t>
  </si>
  <si>
    <t>I-YR</t>
  </si>
  <si>
    <t>I-MO</t>
  </si>
  <si>
    <t>I-DAY</t>
  </si>
  <si>
    <t>WORKING STORAGE</t>
  </si>
  <si>
    <t>P</t>
  </si>
  <si>
    <t>MO</t>
  </si>
  <si>
    <t>S</t>
  </si>
  <si>
    <t>999999.99</t>
  </si>
  <si>
    <t>000001.99</t>
  </si>
  <si>
    <t>000100.99</t>
  </si>
  <si>
    <t>01</t>
  </si>
  <si>
    <t>00010.10</t>
  </si>
  <si>
    <t>00050.00</t>
  </si>
  <si>
    <t>99999.99</t>
  </si>
  <si>
    <t xml:space="preserve">Wilson         </t>
  </si>
  <si>
    <t xml:space="preserve">Van Velsor     </t>
  </si>
  <si>
    <t xml:space="preserve">Van Antwerp    </t>
  </si>
  <si>
    <t>C-SALES-CTR</t>
  </si>
  <si>
    <t>000000.00</t>
  </si>
  <si>
    <t>00000.00</t>
  </si>
  <si>
    <t>I-BOAT-TYPE</t>
  </si>
  <si>
    <t>MIN-STATE</t>
  </si>
  <si>
    <t>MIN-BOAT-TYPE</t>
  </si>
  <si>
    <t>MIN-SALES-CTR</t>
  </si>
  <si>
    <t>MIN-TOTAL-COST</t>
  </si>
  <si>
    <t>MAJ-BOAT-TYPE</t>
  </si>
  <si>
    <t>MAJ-SALES-CTR</t>
  </si>
  <si>
    <t>MAJ-TOTAL-COST</t>
  </si>
  <si>
    <t>GRA-SALES-CTR</t>
  </si>
  <si>
    <t>GRA-TOTAL-COST</t>
  </si>
  <si>
    <t>C-MARKUP-AMNT</t>
  </si>
  <si>
    <t>C-SALES-TAX-AMNT</t>
  </si>
  <si>
    <t>C-SALES-TAX</t>
  </si>
  <si>
    <t>C-TOTAL-COST</t>
  </si>
  <si>
    <t>C-MARKUP-PERCENT</t>
  </si>
  <si>
    <t xml:space="preserve">BOB - DYLAN    </t>
  </si>
  <si>
    <t xml:space="preserve">DAVIS          </t>
  </si>
  <si>
    <t xml:space="preserve">QUERVO         </t>
  </si>
  <si>
    <t xml:space="preserve">FROAH          </t>
  </si>
  <si>
    <t xml:space="preserve">BIRKNER        </t>
  </si>
  <si>
    <t xml:space="preserve">METZGER        </t>
  </si>
  <si>
    <t>C-ACC-PACK-COST</t>
  </si>
  <si>
    <t xml:space="preserve">LESTER         </t>
  </si>
  <si>
    <t xml:space="preserve">HERNANDEZ      </t>
  </si>
  <si>
    <t xml:space="preserve">MUHAMED        </t>
  </si>
  <si>
    <t xml:space="preserve">FREEMAN        </t>
  </si>
  <si>
    <t>XXXXXXXXXXXXXXX</t>
  </si>
  <si>
    <t>CA</t>
  </si>
  <si>
    <t>WI</t>
  </si>
  <si>
    <t>ZZ</t>
  </si>
  <si>
    <t>000000.01</t>
  </si>
  <si>
    <t>010000.00</t>
  </si>
  <si>
    <t>050000.00</t>
  </si>
  <si>
    <t>09</t>
  </si>
  <si>
    <t>00000.01</t>
  </si>
  <si>
    <t>99</t>
  </si>
  <si>
    <t>08</t>
  </si>
  <si>
    <t>06</t>
  </si>
  <si>
    <t>03</t>
  </si>
  <si>
    <t>23</t>
  </si>
  <si>
    <t>15</t>
  </si>
  <si>
    <t>11</t>
  </si>
  <si>
    <t>00500.00</t>
  </si>
  <si>
    <t>02500.00</t>
  </si>
  <si>
    <t>J</t>
  </si>
  <si>
    <t>R</t>
  </si>
  <si>
    <t>C</t>
  </si>
  <si>
    <t>080000.00</t>
  </si>
  <si>
    <t>14</t>
  </si>
  <si>
    <t>BERNARD</t>
  </si>
  <si>
    <t>150000.00</t>
  </si>
  <si>
    <t>20</t>
  </si>
  <si>
    <t>05000.00</t>
  </si>
  <si>
    <t xml:space="preserve">GEORGE                 </t>
  </si>
  <si>
    <t>025000.00</t>
  </si>
  <si>
    <t>04</t>
  </si>
  <si>
    <t xml:space="preserve">SCHWARZENEGGER </t>
  </si>
  <si>
    <t xml:space="preserve">POTTER         </t>
  </si>
  <si>
    <t>WILSON</t>
  </si>
  <si>
    <t>10</t>
  </si>
  <si>
    <t>31</t>
  </si>
  <si>
    <t>0500.00</t>
  </si>
  <si>
    <t>01500.00</t>
  </si>
  <si>
    <t xml:space="preserve">DURSLEY        </t>
  </si>
  <si>
    <t xml:space="preserve">MACGYVER       </t>
  </si>
  <si>
    <t>060000.00</t>
  </si>
  <si>
    <t>29</t>
  </si>
  <si>
    <t>01000.00</t>
  </si>
  <si>
    <t>100000.00</t>
  </si>
  <si>
    <t>15000.00</t>
  </si>
  <si>
    <t xml:space="preserve">BILL           </t>
  </si>
  <si>
    <t xml:space="preserve">HILL           </t>
  </si>
  <si>
    <t>020000.00</t>
  </si>
  <si>
    <t>05</t>
  </si>
  <si>
    <t>00250.00</t>
  </si>
  <si>
    <t xml:space="preserve">VAN VELSOR     </t>
  </si>
  <si>
    <t>070000.00</t>
  </si>
  <si>
    <t>12</t>
  </si>
  <si>
    <t>16</t>
  </si>
  <si>
    <t>500000.00</t>
  </si>
  <si>
    <t>07</t>
  </si>
  <si>
    <t>10000.00</t>
  </si>
  <si>
    <t>NOTES</t>
  </si>
  <si>
    <t>Zeros</t>
  </si>
  <si>
    <t>Min</t>
  </si>
  <si>
    <t>Min/Max</t>
  </si>
  <si>
    <t>Real World Data</t>
  </si>
  <si>
    <t>Zero/Max</t>
  </si>
  <si>
    <t>Zero/Min</t>
  </si>
  <si>
    <t>Max</t>
  </si>
  <si>
    <t>CT</t>
  </si>
  <si>
    <t>000500.00</t>
  </si>
  <si>
    <t>00100.00</t>
  </si>
  <si>
    <t>ZZZZZZZZZZZZZZZ</t>
  </si>
  <si>
    <t xml:space="preserve">SKYWALKER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</si>
</sst>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#,##0.00;[Red]#,##0.00"/>
    <numFmt numFmtId="166" formatCode="#,##0;[Red]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indexed="64"/>
      </right>
      <top/>
      <bottom/>
      <diagonal/>
    </border>
    <border>
      <left style="thick">
        <color auto="1"/>
      </left>
      <right style="thick">
        <color indexed="64"/>
      </right>
      <top style="thick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45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quotePrefix="1" applyBorder="1"/>
    <xf numFmtId="2" fontId="0" fillId="0" borderId="5" xfId="0" quotePrefix="1" applyNumberFormat="1" applyBorder="1"/>
    <xf numFmtId="0" fontId="0" fillId="0" borderId="0" xfId="0" quotePrefix="1" applyFill="1" applyBorder="1"/>
    <xf numFmtId="0" fontId="0" fillId="0" borderId="1" xfId="0" applyBorder="1" applyAlignment="1">
      <alignment horizontal="center"/>
    </xf>
    <xf numFmtId="0" fontId="0" fillId="0" borderId="2" xfId="0" applyBorder="1"/>
    <xf numFmtId="2" fontId="0" fillId="0" borderId="4" xfId="0" applyNumberFormat="1" applyBorder="1"/>
    <xf numFmtId="49" fontId="0" fillId="0" borderId="0" xfId="0" applyNumberFormat="1" applyBorder="1" applyAlignment="1">
      <alignment horizontal="right"/>
    </xf>
    <xf numFmtId="49" fontId="0" fillId="0" borderId="0" xfId="0" quotePrefix="1" applyNumberFormat="1" applyBorder="1" applyAlignment="1">
      <alignment horizontal="right"/>
    </xf>
    <xf numFmtId="49" fontId="0" fillId="0" borderId="0" xfId="0" quotePrefix="1" applyNumberFormat="1" applyFill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5" xfId="0" applyNumberFormat="1" applyBorder="1"/>
    <xf numFmtId="164" fontId="0" fillId="0" borderId="5" xfId="0" applyNumberFormat="1" applyBorder="1"/>
    <xf numFmtId="0" fontId="1" fillId="2" borderId="4" xfId="1" applyBorder="1"/>
    <xf numFmtId="0" fontId="1" fillId="2" borderId="0" xfId="1" applyBorder="1"/>
    <xf numFmtId="165" fontId="1" fillId="2" borderId="0" xfId="1" applyNumberFormat="1" applyBorder="1" applyAlignment="1">
      <alignment horizontal="right"/>
    </xf>
    <xf numFmtId="165" fontId="1" fillId="2" borderId="5" xfId="1" applyNumberFormat="1" applyBorder="1"/>
    <xf numFmtId="0" fontId="1" fillId="3" borderId="0" xfId="2" applyBorder="1"/>
    <xf numFmtId="0" fontId="1" fillId="3" borderId="0" xfId="2"/>
    <xf numFmtId="166" fontId="1" fillId="3" borderId="0" xfId="2" applyNumberFormat="1" applyBorder="1" applyAlignment="1">
      <alignment horizontal="right"/>
    </xf>
    <xf numFmtId="164" fontId="1" fillId="3" borderId="0" xfId="2" applyNumberFormat="1" applyBorder="1"/>
    <xf numFmtId="2" fontId="0" fillId="0" borderId="0" xfId="0" applyNumberFormat="1" applyBorder="1"/>
    <xf numFmtId="2" fontId="0" fillId="0" borderId="0" xfId="0" quotePrefix="1" applyNumberFormat="1" applyBorder="1"/>
    <xf numFmtId="2" fontId="0" fillId="0" borderId="7" xfId="0" applyNumberFormat="1" applyBorder="1"/>
    <xf numFmtId="2" fontId="0" fillId="0" borderId="4" xfId="0" quotePrefix="1" applyNumberFormat="1" applyBorder="1"/>
    <xf numFmtId="2" fontId="0" fillId="0" borderId="6" xfId="0" applyNumberFormat="1" applyBorder="1"/>
    <xf numFmtId="0" fontId="1" fillId="5" borderId="0" xfId="4" applyBorder="1"/>
    <xf numFmtId="164" fontId="1" fillId="5" borderId="0" xfId="4" applyNumberFormat="1" applyBorder="1"/>
    <xf numFmtId="0" fontId="0" fillId="0" borderId="2" xfId="0" applyBorder="1" applyAlignment="1">
      <alignment horizontal="center"/>
    </xf>
    <xf numFmtId="166" fontId="1" fillId="5" borderId="0" xfId="4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1" fillId="4" borderId="0" xfId="3" applyNumberFormat="1" applyBorder="1"/>
    <xf numFmtId="166" fontId="1" fillId="4" borderId="0" xfId="3" applyNumberFormat="1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</cellXfs>
  <cellStyles count="5">
    <cellStyle name="20% - Accent1" xfId="1" builtinId="30"/>
    <cellStyle name="20% - Accent2" xfId="2" builtinId="34"/>
    <cellStyle name="40% - Accent4" xfId="3" builtinId="43"/>
    <cellStyle name="40% - Accent6" xfId="4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6"/>
  <sheetViews>
    <sheetView tabSelected="1" topLeftCell="O201" zoomScaleNormal="100" workbookViewId="0">
      <selection activeCell="R222" sqref="R222"/>
    </sheetView>
  </sheetViews>
  <sheetFormatPr defaultRowHeight="15" x14ac:dyDescent="0.25"/>
  <cols>
    <col min="1" max="1" width="18.42578125" bestFit="1" customWidth="1"/>
    <col min="2" max="2" width="7.5703125" bestFit="1" customWidth="1"/>
    <col min="3" max="3" width="12.42578125" bestFit="1" customWidth="1"/>
    <col min="4" max="4" width="5" bestFit="1" customWidth="1"/>
    <col min="5" max="5" width="5.42578125" bestFit="1" customWidth="1"/>
    <col min="6" max="6" width="5.85546875" bestFit="1" customWidth="1"/>
    <col min="7" max="7" width="12" bestFit="1" customWidth="1"/>
    <col min="8" max="8" width="21.85546875" bestFit="1" customWidth="1"/>
    <col min="9" max="9" width="21.140625" bestFit="1" customWidth="1"/>
    <col min="10" max="10" width="21.140625" customWidth="1"/>
    <col min="11" max="11" width="19.42578125" bestFit="1" customWidth="1"/>
    <col min="12" max="12" width="16.85546875" bestFit="1" customWidth="1"/>
    <col min="13" max="13" width="17.42578125" bestFit="1" customWidth="1"/>
    <col min="14" max="14" width="18.5703125" bestFit="1" customWidth="1"/>
    <col min="15" max="15" width="18.5703125" customWidth="1"/>
    <col min="16" max="16" width="12" bestFit="1" customWidth="1"/>
    <col min="17" max="17" width="18.42578125" bestFit="1" customWidth="1"/>
    <col min="18" max="18" width="15.28515625" bestFit="1" customWidth="1"/>
    <col min="19" max="19" width="14.7109375" bestFit="1" customWidth="1"/>
    <col min="20" max="20" width="17.85546875" bestFit="1" customWidth="1"/>
    <col min="21" max="21" width="15" bestFit="1" customWidth="1"/>
    <col min="22" max="22" width="12.7109375" bestFit="1" customWidth="1"/>
    <col min="23" max="23" width="14" bestFit="1" customWidth="1"/>
    <col min="24" max="24" width="33.85546875" style="43" customWidth="1"/>
  </cols>
  <sheetData>
    <row r="1" spans="1:25" ht="15.75" thickTop="1" x14ac:dyDescent="0.25">
      <c r="A1" s="37" t="s">
        <v>5</v>
      </c>
      <c r="B1" s="38"/>
      <c r="C1" s="38"/>
      <c r="D1" s="38"/>
      <c r="E1" s="38"/>
      <c r="F1" s="38"/>
      <c r="G1" s="38"/>
      <c r="H1" s="38"/>
      <c r="I1" s="38"/>
      <c r="J1" s="11"/>
      <c r="K1" s="38" t="s">
        <v>19</v>
      </c>
      <c r="L1" s="38"/>
      <c r="M1" s="38"/>
      <c r="N1" s="38"/>
      <c r="O1" s="38"/>
      <c r="P1" s="39"/>
      <c r="Q1" s="37" t="s">
        <v>13</v>
      </c>
      <c r="R1" s="38"/>
      <c r="S1" s="38"/>
      <c r="T1" s="38"/>
      <c r="U1" s="38"/>
      <c r="V1" s="38"/>
      <c r="W1" s="39"/>
      <c r="X1" s="42" t="s">
        <v>118</v>
      </c>
    </row>
    <row r="2" spans="1:25" x14ac:dyDescent="0.25">
      <c r="A2" s="1" t="s">
        <v>0</v>
      </c>
      <c r="B2" s="2" t="s">
        <v>1</v>
      </c>
      <c r="C2" s="2" t="s">
        <v>2</v>
      </c>
      <c r="D2" s="2" t="s">
        <v>16</v>
      </c>
      <c r="E2" s="2" t="s">
        <v>17</v>
      </c>
      <c r="F2" s="2" t="s">
        <v>18</v>
      </c>
      <c r="G2" s="2" t="s">
        <v>36</v>
      </c>
      <c r="H2" s="2" t="s">
        <v>3</v>
      </c>
      <c r="I2" s="2" t="s">
        <v>4</v>
      </c>
      <c r="J2" s="1" t="s">
        <v>48</v>
      </c>
      <c r="K2" s="2" t="s">
        <v>50</v>
      </c>
      <c r="L2" s="7" t="s">
        <v>46</v>
      </c>
      <c r="M2" s="7" t="s">
        <v>57</v>
      </c>
      <c r="N2" s="7" t="s">
        <v>47</v>
      </c>
      <c r="O2" s="7" t="s">
        <v>49</v>
      </c>
      <c r="P2" s="3" t="s">
        <v>33</v>
      </c>
      <c r="Q2" s="1" t="s">
        <v>6</v>
      </c>
      <c r="R2" s="2" t="s">
        <v>7</v>
      </c>
      <c r="S2" s="2" t="s">
        <v>8</v>
      </c>
      <c r="T2" s="2" t="s">
        <v>9</v>
      </c>
      <c r="U2" s="2" t="s">
        <v>10</v>
      </c>
      <c r="V2" s="2" t="s">
        <v>11</v>
      </c>
      <c r="W2" s="3" t="s">
        <v>12</v>
      </c>
      <c r="Y2" s="1"/>
    </row>
    <row r="3" spans="1:25" x14ac:dyDescent="0.25">
      <c r="A3" s="1" t="s">
        <v>51</v>
      </c>
      <c r="B3" s="2" t="s">
        <v>63</v>
      </c>
      <c r="C3" s="8" t="s">
        <v>34</v>
      </c>
      <c r="D3" s="2">
        <v>2019</v>
      </c>
      <c r="E3" s="2">
        <v>12</v>
      </c>
      <c r="F3" s="2">
        <v>11</v>
      </c>
      <c r="G3" s="2" t="s">
        <v>15</v>
      </c>
      <c r="H3" s="7">
        <v>2</v>
      </c>
      <c r="I3" s="8" t="s">
        <v>35</v>
      </c>
      <c r="J3" s="31">
        <f t="shared" ref="J3:J4" si="0">0.06</f>
        <v>0.06</v>
      </c>
      <c r="K3">
        <f t="shared" ref="K3:K4" si="1">IF((G3="B"),0.33,IF((G3="P"),0.25,IF((G3="S"),0.425,IF((G3="J"),0.33,IF((G3="C"),0.2,IF((G3="R"),0.3,"ERROR!"))))))</f>
        <v>0.33</v>
      </c>
      <c r="L3" s="28">
        <f>ROUND(C3*K3,2)</f>
        <v>0</v>
      </c>
      <c r="M3" s="7" t="str">
        <f>IF((H3=1),"5,415.30",IF((H3=2),"3,980.00",IF((H3=3),"345.45","Error!")))</f>
        <v>3,980.00</v>
      </c>
      <c r="N3" s="28">
        <f>ROUND((C3+I3+L3+M3)*J3,2)</f>
        <v>238.8</v>
      </c>
      <c r="O3" s="28">
        <f>SUM(C3+I3+L3+N3+M3)</f>
        <v>4218.8</v>
      </c>
      <c r="P3" s="3">
        <v>1</v>
      </c>
      <c r="Q3" s="20" t="str">
        <f t="shared" ref="Q3:Q4" si="2">A3</f>
        <v xml:space="preserve">BOB - DYLAN    </v>
      </c>
      <c r="R3" s="21" t="str">
        <f t="shared" ref="R3:R4" si="3">B3</f>
        <v>CA</v>
      </c>
      <c r="S3" s="22">
        <f>VALUE(C3)</f>
        <v>0</v>
      </c>
      <c r="T3" s="21" t="str">
        <f>CONCATENATE(E3,"/",F3,"/",RIGHT(D3,2))</f>
        <v>12/11/19</v>
      </c>
      <c r="U3" s="21" t="str">
        <f>IF((H3=1),"Electronics",IF((H3=2),"Ski Package",IF((H3=3),"Fishing Package","Error!")))</f>
        <v>Ski Package</v>
      </c>
      <c r="V3" s="22">
        <f>VALUE(I3)</f>
        <v>0</v>
      </c>
      <c r="W3" s="23">
        <f>O3</f>
        <v>4218.8</v>
      </c>
      <c r="X3" s="44" t="s">
        <v>119</v>
      </c>
    </row>
    <row r="4" spans="1:25" x14ac:dyDescent="0.25">
      <c r="A4" s="1" t="s">
        <v>52</v>
      </c>
      <c r="B4" s="2" t="s">
        <v>63</v>
      </c>
      <c r="C4" s="8" t="s">
        <v>66</v>
      </c>
      <c r="D4" s="2">
        <v>2015</v>
      </c>
      <c r="E4" s="14" t="s">
        <v>69</v>
      </c>
      <c r="F4" s="15" t="s">
        <v>69</v>
      </c>
      <c r="G4" s="2" t="s">
        <v>15</v>
      </c>
      <c r="H4" s="2">
        <v>1</v>
      </c>
      <c r="I4" s="29" t="s">
        <v>70</v>
      </c>
      <c r="J4" s="31">
        <f t="shared" si="0"/>
        <v>0.06</v>
      </c>
      <c r="K4">
        <f t="shared" si="1"/>
        <v>0.33</v>
      </c>
      <c r="L4" s="28">
        <f t="shared" ref="L4" si="4">ROUND(C4*K4,2)</f>
        <v>0</v>
      </c>
      <c r="M4" s="7" t="str">
        <f t="shared" ref="M4" si="5">IF((H4=1),"5,415.30",IF((H4=2),"3,90.00",IF((H4=3),"345.45","Error!")))</f>
        <v>5,415.30</v>
      </c>
      <c r="N4" s="28">
        <f>ROUND((C4+I4+L4+M4)*J4,2)</f>
        <v>324.92</v>
      </c>
      <c r="O4" s="28">
        <f t="shared" ref="O4" si="6">SUM(C4+I4+L4+N4+M4)</f>
        <v>5740.24</v>
      </c>
      <c r="P4" s="3">
        <f>P3+1</f>
        <v>2</v>
      </c>
      <c r="Q4" s="20" t="str">
        <f t="shared" si="2"/>
        <v xml:space="preserve">DAVIS          </v>
      </c>
      <c r="R4" s="21" t="str">
        <f t="shared" si="3"/>
        <v>CA</v>
      </c>
      <c r="S4" s="22">
        <f>VALUE(C4)</f>
        <v>0.01</v>
      </c>
      <c r="T4" s="21" t="str">
        <f>CONCATENATE(E4,"/",F4,"/",RIGHT(D4,2))</f>
        <v>09/09/15</v>
      </c>
      <c r="U4" s="21" t="str">
        <f>IF((H4=1),"Electronics",IF((H4=2),"Ski Package",IF((H4=3),"Fishing Package","Error!")))</f>
        <v>Electronics</v>
      </c>
      <c r="V4" s="22">
        <f>VALUE(I4)</f>
        <v>0.01</v>
      </c>
      <c r="W4" s="23">
        <f>O4</f>
        <v>5740.24</v>
      </c>
      <c r="X4" s="44" t="s">
        <v>120</v>
      </c>
    </row>
    <row r="5" spans="1:25" x14ac:dyDescent="0.25">
      <c r="A5" s="1"/>
      <c r="B5" s="2"/>
      <c r="C5" s="8"/>
      <c r="D5" s="2"/>
      <c r="E5" s="14"/>
      <c r="F5" s="15"/>
      <c r="G5" s="2"/>
      <c r="H5" s="2"/>
      <c r="I5" s="29"/>
      <c r="J5" s="31"/>
      <c r="L5" s="28"/>
      <c r="M5" s="7"/>
      <c r="N5" s="28"/>
      <c r="O5" s="28"/>
      <c r="P5" s="3"/>
      <c r="Q5" s="1"/>
      <c r="R5" s="2"/>
      <c r="S5" s="17"/>
      <c r="T5" s="2"/>
      <c r="U5" s="2"/>
      <c r="V5" s="17"/>
      <c r="W5" s="18"/>
      <c r="X5" s="44"/>
    </row>
    <row r="6" spans="1:25" x14ac:dyDescent="0.25">
      <c r="A6" s="1"/>
      <c r="B6" s="2"/>
      <c r="C6" s="8"/>
      <c r="D6" s="2"/>
      <c r="E6" s="14"/>
      <c r="F6" s="15"/>
      <c r="G6" s="2"/>
      <c r="H6" s="2"/>
      <c r="I6" s="29"/>
      <c r="J6" s="31"/>
      <c r="L6" s="28"/>
      <c r="M6" s="7"/>
      <c r="N6" s="28"/>
      <c r="O6" s="28"/>
      <c r="P6" s="3"/>
      <c r="Q6" s="1" t="s">
        <v>37</v>
      </c>
      <c r="R6" s="2" t="s">
        <v>38</v>
      </c>
      <c r="S6" s="17" t="s">
        <v>39</v>
      </c>
      <c r="T6" s="2" t="s">
        <v>40</v>
      </c>
      <c r="U6" s="2"/>
      <c r="V6" s="17"/>
      <c r="W6" s="18"/>
      <c r="X6" s="44"/>
    </row>
    <row r="7" spans="1:25" x14ac:dyDescent="0.25">
      <c r="A7" s="1"/>
      <c r="B7" s="2"/>
      <c r="C7" s="8"/>
      <c r="D7" s="2"/>
      <c r="E7" s="14"/>
      <c r="F7" s="15"/>
      <c r="G7" s="2"/>
      <c r="H7" s="2"/>
      <c r="I7" s="29"/>
      <c r="J7" s="31"/>
      <c r="L7" s="28"/>
      <c r="M7" s="7"/>
      <c r="N7" s="28"/>
      <c r="O7" s="28"/>
      <c r="P7" s="3"/>
      <c r="Q7" s="25" t="str">
        <f>R3</f>
        <v>CA</v>
      </c>
      <c r="R7" s="24" t="str">
        <f>IF((G3="B"),"Bass Boat",IF((G3="P"),"Pontoon",IF((G3="S"),"Ski Boat",IF((G3="J"),"John Boat",IF((G3="C"),"Canoe",IF((G3="R"),"Cabin Cruiser","ERROR!"))))))</f>
        <v>Bass Boat</v>
      </c>
      <c r="S7" s="26">
        <f>P4</f>
        <v>2</v>
      </c>
      <c r="T7" s="27">
        <f>SUM(W3:W4)</f>
        <v>9959.0400000000009</v>
      </c>
      <c r="U7" s="2"/>
      <c r="V7" s="17"/>
      <c r="W7" s="18"/>
      <c r="X7" s="44"/>
    </row>
    <row r="8" spans="1:25" x14ac:dyDescent="0.25">
      <c r="A8" s="1"/>
      <c r="B8" s="2"/>
      <c r="C8" s="8"/>
      <c r="D8" s="2"/>
      <c r="E8" s="14"/>
      <c r="F8" s="15"/>
      <c r="G8" s="2"/>
      <c r="H8" s="2"/>
      <c r="I8" s="29"/>
      <c r="J8" s="31"/>
      <c r="L8" s="28"/>
      <c r="M8" s="7"/>
      <c r="N8" s="28"/>
      <c r="O8" s="28"/>
      <c r="P8" s="3"/>
      <c r="Q8" s="1"/>
      <c r="R8" s="2"/>
      <c r="S8" s="17"/>
      <c r="T8" s="2"/>
      <c r="U8" s="2"/>
      <c r="V8" s="17"/>
      <c r="W8" s="18"/>
      <c r="X8" s="44"/>
    </row>
    <row r="9" spans="1:25" x14ac:dyDescent="0.25">
      <c r="A9" s="1" t="s">
        <v>53</v>
      </c>
      <c r="B9" s="7" t="s">
        <v>14</v>
      </c>
      <c r="C9" s="8" t="s">
        <v>23</v>
      </c>
      <c r="D9" s="2">
        <v>9999</v>
      </c>
      <c r="E9" s="15" t="s">
        <v>71</v>
      </c>
      <c r="F9" s="16" t="s">
        <v>71</v>
      </c>
      <c r="G9" s="7" t="s">
        <v>15</v>
      </c>
      <c r="H9" s="7">
        <v>2</v>
      </c>
      <c r="I9" s="29" t="s">
        <v>70</v>
      </c>
      <c r="J9" s="31">
        <f>0.06</f>
        <v>0.06</v>
      </c>
      <c r="K9">
        <f>IF((G9="B"),0.33,IF((G9="P"),0.25,IF((G9="S"),0.425,IF((G9="J"),0.33,IF((G9="C"),0.2,IF((G9="R"),0.3,"ERROR!"))))))</f>
        <v>0.33</v>
      </c>
      <c r="L9" s="28">
        <f>ROUND(C9*K9,2)</f>
        <v>330000</v>
      </c>
      <c r="M9" s="7" t="str">
        <f>IF((H9=1),"5,415.30",IF((H9=2),"3,980.00",IF((H9=3),"345.45","Error!")))</f>
        <v>3,980.00</v>
      </c>
      <c r="N9" s="28">
        <f>ROUND((C9+I9+L9+M9)*J9,2)</f>
        <v>80038.8</v>
      </c>
      <c r="O9" s="28">
        <f>SUM(C9+I9+L9+N9+M9)</f>
        <v>1414018.8</v>
      </c>
      <c r="P9" s="3">
        <f>1</f>
        <v>1</v>
      </c>
      <c r="Q9" s="20" t="str">
        <f t="shared" ref="Q9:R11" si="7">A9</f>
        <v xml:space="preserve">QUERVO         </v>
      </c>
      <c r="R9" s="21" t="str">
        <f t="shared" si="7"/>
        <v>IA</v>
      </c>
      <c r="S9" s="22">
        <f>VALUE(C9)</f>
        <v>999999.99</v>
      </c>
      <c r="T9" s="21" t="str">
        <f>CONCATENATE(E9,"/",F9,"/",RIGHT(D9,2))</f>
        <v>99/99/99</v>
      </c>
      <c r="U9" s="21" t="str">
        <f>IF((H9=1),"Electronics",IF((H9=2),"Ski Package",IF((H9=3),"Fishing Package","Error!")))</f>
        <v>Ski Package</v>
      </c>
      <c r="V9" s="22">
        <f>VALUE(I9)</f>
        <v>0.01</v>
      </c>
      <c r="W9" s="23">
        <f>O9</f>
        <v>1414018.8</v>
      </c>
      <c r="X9" s="44" t="s">
        <v>121</v>
      </c>
    </row>
    <row r="10" spans="1:25" x14ac:dyDescent="0.25">
      <c r="A10" s="1" t="s">
        <v>54</v>
      </c>
      <c r="B10" s="7" t="s">
        <v>14</v>
      </c>
      <c r="C10" s="8" t="s">
        <v>67</v>
      </c>
      <c r="D10" s="2">
        <v>2019</v>
      </c>
      <c r="E10" s="15" t="s">
        <v>72</v>
      </c>
      <c r="F10" s="16" t="s">
        <v>26</v>
      </c>
      <c r="G10" s="7" t="s">
        <v>15</v>
      </c>
      <c r="H10" s="7">
        <v>3</v>
      </c>
      <c r="I10" s="29" t="s">
        <v>78</v>
      </c>
      <c r="J10" s="31">
        <f>0.06</f>
        <v>0.06</v>
      </c>
      <c r="K10">
        <f>IF((G10="B"),0.33,IF((G10="P"),0.25,IF((G10="S"),0.425,IF((G10="J"),0.33,IF((G10="C"),0.2,IF((G10="R"),0.3,"ERROR!"))))))</f>
        <v>0.33</v>
      </c>
      <c r="L10" s="28">
        <f>ROUND(C10*K10,2)</f>
        <v>3300</v>
      </c>
      <c r="M10" s="7" t="str">
        <f t="shared" ref="M10:M12" si="8">IF((H10=1),"5,415.30",IF((H10=2),"3,980.00",IF((H10=3),"345.45","Error!")))</f>
        <v>345.45</v>
      </c>
      <c r="N10" s="28">
        <f t="shared" ref="N10:N12" si="9">ROUND((C10+I10+L10+M10)*J10,2)</f>
        <v>848.73</v>
      </c>
      <c r="O10" s="28">
        <f t="shared" ref="O10:O12" si="10">SUM(C10+I10+L10+N10+M10)</f>
        <v>14994.18</v>
      </c>
      <c r="P10" s="3">
        <f>P9 +1</f>
        <v>2</v>
      </c>
      <c r="Q10" s="20" t="str">
        <f t="shared" si="7"/>
        <v xml:space="preserve">FROAH          </v>
      </c>
      <c r="R10" s="21" t="str">
        <f t="shared" si="7"/>
        <v>IA</v>
      </c>
      <c r="S10" s="22">
        <f>VALUE(C10)</f>
        <v>10000</v>
      </c>
      <c r="T10" s="21" t="str">
        <f>CONCATENATE(E10,"/",F10,"/",RIGHT(D10,2))</f>
        <v>08/01/19</v>
      </c>
      <c r="U10" s="21" t="str">
        <f>IF((H10=1),"Electronics",IF((H10=2),"Ski Package",IF((H10=3),"Fishing Package","Error!")))</f>
        <v>Fishing Package</v>
      </c>
      <c r="V10" s="22">
        <f>VALUE(I10)</f>
        <v>500</v>
      </c>
      <c r="W10" s="23">
        <f>O10</f>
        <v>14994.18</v>
      </c>
      <c r="X10" s="44" t="s">
        <v>122</v>
      </c>
    </row>
    <row r="11" spans="1:25" x14ac:dyDescent="0.25">
      <c r="A11" s="1" t="s">
        <v>55</v>
      </c>
      <c r="B11" s="7" t="s">
        <v>14</v>
      </c>
      <c r="C11" s="8" t="s">
        <v>66</v>
      </c>
      <c r="D11" s="2">
        <v>2019</v>
      </c>
      <c r="E11" s="15" t="s">
        <v>73</v>
      </c>
      <c r="F11" s="16" t="s">
        <v>26</v>
      </c>
      <c r="G11" s="7" t="s">
        <v>15</v>
      </c>
      <c r="H11" s="7">
        <v>3</v>
      </c>
      <c r="I11" s="29" t="s">
        <v>29</v>
      </c>
      <c r="J11" s="31">
        <f>0.06</f>
        <v>0.06</v>
      </c>
      <c r="K11">
        <f>IF((G11="B"),0.33,IF((G11="P"),0.25,IF((G11="S"),0.425,IF((G11="J"),0.33,IF((G11="C"),0.2,IF((G11="R"),0.3,"ERROR!"))))))</f>
        <v>0.33</v>
      </c>
      <c r="L11" s="28">
        <f>ROUND(C11*K11,2)</f>
        <v>0</v>
      </c>
      <c r="M11" s="7" t="str">
        <f t="shared" si="8"/>
        <v>345.45</v>
      </c>
      <c r="N11" s="28">
        <f t="shared" si="9"/>
        <v>6020.73</v>
      </c>
      <c r="O11" s="28">
        <f t="shared" si="10"/>
        <v>106366.18</v>
      </c>
      <c r="P11" s="3">
        <f>P10 +1</f>
        <v>3</v>
      </c>
      <c r="Q11" s="20" t="str">
        <f t="shared" si="7"/>
        <v xml:space="preserve">BIRKNER        </v>
      </c>
      <c r="R11" s="21" t="str">
        <f t="shared" si="7"/>
        <v>IA</v>
      </c>
      <c r="S11" s="22">
        <f>VALUE(C11)</f>
        <v>0.01</v>
      </c>
      <c r="T11" s="21" t="str">
        <f>CONCATENATE(E11,"/",F11,"/",RIGHT(D11,2))</f>
        <v>06/01/19</v>
      </c>
      <c r="U11" s="21" t="str">
        <f>IF((H11=1),"Electronics",IF((H11=2),"Ski Package",IF((H11=3),"Fishing Package","Error!")))</f>
        <v>Fishing Package</v>
      </c>
      <c r="V11" s="22">
        <f>VALUE(I11)</f>
        <v>99999.99</v>
      </c>
      <c r="W11" s="23">
        <f>O11</f>
        <v>106366.18</v>
      </c>
      <c r="X11" s="44" t="s">
        <v>121</v>
      </c>
    </row>
    <row r="12" spans="1:25" x14ac:dyDescent="0.25">
      <c r="A12" s="1" t="s">
        <v>56</v>
      </c>
      <c r="B12" s="7" t="s">
        <v>14</v>
      </c>
      <c r="C12" s="8" t="s">
        <v>68</v>
      </c>
      <c r="D12" s="7">
        <v>1980</v>
      </c>
      <c r="E12" s="14" t="s">
        <v>74</v>
      </c>
      <c r="F12" s="15" t="s">
        <v>75</v>
      </c>
      <c r="G12" s="7" t="s">
        <v>15</v>
      </c>
      <c r="H12" s="7">
        <v>2</v>
      </c>
      <c r="I12" s="29" t="s">
        <v>79</v>
      </c>
      <c r="J12" s="31">
        <f>0.06</f>
        <v>0.06</v>
      </c>
      <c r="K12">
        <f>IF((G12="B"),0.33,IF((G12="P"),0.25,IF((G12="S"),0.425,IF((G12="J"),0.33,IF((G12="C"),0.2,IF((G12="R"),0.3,"ERROR!"))))))</f>
        <v>0.33</v>
      </c>
      <c r="L12" s="28">
        <f>ROUND(C12*K12,2)</f>
        <v>16500</v>
      </c>
      <c r="M12" s="7" t="str">
        <f t="shared" si="8"/>
        <v>3,980.00</v>
      </c>
      <c r="N12" s="28">
        <f t="shared" si="9"/>
        <v>4378.8</v>
      </c>
      <c r="O12" s="28">
        <f t="shared" si="10"/>
        <v>77358.8</v>
      </c>
      <c r="P12" s="3">
        <f>P11 +1</f>
        <v>4</v>
      </c>
      <c r="Q12" s="20" t="str">
        <f t="shared" ref="Q12" si="11">A12</f>
        <v xml:space="preserve">METZGER        </v>
      </c>
      <c r="R12" s="21" t="str">
        <f t="shared" ref="R12" si="12">B12</f>
        <v>IA</v>
      </c>
      <c r="S12" s="22">
        <f>VALUE(C12)</f>
        <v>50000</v>
      </c>
      <c r="T12" s="21" t="str">
        <f>CONCATENATE(E12,"/",F12,"/",RIGHT(D12,2))</f>
        <v>03/23/80</v>
      </c>
      <c r="U12" s="21" t="str">
        <f>IF((H12=1),"Electronics",IF((H12=2),"Ski Package",IF((H12=3),"Fishing Package","Error!")))</f>
        <v>Ski Package</v>
      </c>
      <c r="V12" s="22">
        <f>VALUE(I12)</f>
        <v>2500</v>
      </c>
      <c r="W12" s="23">
        <f>O12</f>
        <v>77358.8</v>
      </c>
      <c r="X12" s="44" t="s">
        <v>122</v>
      </c>
    </row>
    <row r="13" spans="1:25" x14ac:dyDescent="0.25">
      <c r="A13" s="1"/>
      <c r="B13" s="2"/>
      <c r="C13" s="8"/>
      <c r="D13" s="2"/>
      <c r="E13" s="14"/>
      <c r="F13" s="15"/>
      <c r="G13" s="2"/>
      <c r="H13" s="2"/>
      <c r="I13" s="29"/>
      <c r="J13" s="31"/>
      <c r="L13" s="28"/>
      <c r="M13" s="28"/>
      <c r="N13" s="28"/>
      <c r="O13" s="28"/>
      <c r="P13" s="3"/>
      <c r="Q13" s="1"/>
      <c r="R13" s="2"/>
      <c r="S13" s="17"/>
      <c r="T13" s="2"/>
      <c r="U13" s="2"/>
      <c r="V13" s="17"/>
      <c r="W13" s="18"/>
      <c r="X13" s="44"/>
    </row>
    <row r="14" spans="1:25" x14ac:dyDescent="0.25">
      <c r="A14" s="1"/>
      <c r="B14" s="2"/>
      <c r="C14" s="8"/>
      <c r="D14" s="2"/>
      <c r="E14" s="14"/>
      <c r="F14" s="15"/>
      <c r="G14" s="2"/>
      <c r="H14" s="2"/>
      <c r="I14" s="29"/>
      <c r="J14" s="31"/>
      <c r="L14" s="28"/>
      <c r="M14" s="28"/>
      <c r="N14" s="28"/>
      <c r="O14" s="28"/>
      <c r="P14" s="3"/>
      <c r="Q14" s="1" t="s">
        <v>37</v>
      </c>
      <c r="R14" s="2" t="s">
        <v>38</v>
      </c>
      <c r="S14" s="17" t="s">
        <v>39</v>
      </c>
      <c r="T14" s="2" t="s">
        <v>40</v>
      </c>
      <c r="U14" s="2"/>
      <c r="V14" s="17"/>
      <c r="W14" s="18"/>
      <c r="X14" s="44"/>
    </row>
    <row r="15" spans="1:25" x14ac:dyDescent="0.25">
      <c r="A15" s="1"/>
      <c r="B15" s="2"/>
      <c r="C15" s="8"/>
      <c r="D15" s="2"/>
      <c r="E15" s="14"/>
      <c r="F15" s="15"/>
      <c r="G15" s="2"/>
      <c r="H15" s="2"/>
      <c r="I15" s="29"/>
      <c r="J15" s="31"/>
      <c r="L15" s="28"/>
      <c r="M15" s="28"/>
      <c r="N15" s="28"/>
      <c r="O15" s="28"/>
      <c r="P15" s="3"/>
      <c r="Q15" s="25" t="str">
        <f>R9</f>
        <v>IA</v>
      </c>
      <c r="R15" s="24" t="str">
        <f>IF((G9="B"),"Bass Boat",IF((G9="P"),"Pontoon",IF((G9="S"),"Ski Boat",IF((G9="J"),"John Boat",IF((G9="C"),"Canoe",IF((G9="R"),"Cabin Cruiser","ERROR!"))))))</f>
        <v>Bass Boat</v>
      </c>
      <c r="S15" s="26">
        <f>P12</f>
        <v>4</v>
      </c>
      <c r="T15" s="27">
        <f>SUM(W9:W12)</f>
        <v>1612737.96</v>
      </c>
      <c r="U15" s="2"/>
      <c r="V15" s="17"/>
      <c r="W15" s="18"/>
      <c r="X15" s="44"/>
    </row>
    <row r="16" spans="1:25" x14ac:dyDescent="0.25">
      <c r="A16" s="1"/>
      <c r="B16" s="2"/>
      <c r="C16" s="8"/>
      <c r="D16" s="2"/>
      <c r="E16" s="14"/>
      <c r="F16" s="15"/>
      <c r="G16" s="2"/>
      <c r="H16" s="2"/>
      <c r="I16" s="29"/>
      <c r="J16" s="31"/>
      <c r="L16" s="28"/>
      <c r="M16" s="28"/>
      <c r="N16" s="28"/>
      <c r="O16" s="28"/>
      <c r="P16" s="3"/>
      <c r="U16" s="2"/>
      <c r="V16" s="17"/>
      <c r="W16" s="18"/>
      <c r="X16" s="44"/>
    </row>
    <row r="17" spans="1:24" x14ac:dyDescent="0.25">
      <c r="A17" s="1" t="s">
        <v>58</v>
      </c>
      <c r="B17" s="2" t="s">
        <v>21</v>
      </c>
      <c r="C17" s="8" t="s">
        <v>23</v>
      </c>
      <c r="D17" s="2">
        <v>9999</v>
      </c>
      <c r="E17" s="14" t="s">
        <v>71</v>
      </c>
      <c r="F17" s="15" t="s">
        <v>71</v>
      </c>
      <c r="G17" s="2" t="s">
        <v>15</v>
      </c>
      <c r="H17" s="2">
        <v>3</v>
      </c>
      <c r="I17" s="29" t="s">
        <v>35</v>
      </c>
      <c r="J17" s="31">
        <f>0.06</f>
        <v>0.06</v>
      </c>
      <c r="K17">
        <f>IF((G17="B"),0.33,IF((G17="P"),0.25,IF((G17="S"),0.425,IF((G17="J"),0.33,IF((G17="C"),0.2,IF((G17="R"),0.3,"ERROR!"))))))</f>
        <v>0.33</v>
      </c>
      <c r="L17" s="28">
        <f>ROUND(C17*K17,2)</f>
        <v>330000</v>
      </c>
      <c r="M17" s="7" t="str">
        <f t="shared" ref="M17" si="13">IF((H17=1),"5,415.30",IF((H17=2),"3,980.00",IF((H17=3),"345.45","Error!")))</f>
        <v>345.45</v>
      </c>
      <c r="N17" s="28">
        <f t="shared" ref="N17" si="14">ROUND((C17+I17+L17+M17)*J17,2)</f>
        <v>79820.73</v>
      </c>
      <c r="O17" s="28">
        <f t="shared" ref="O17" si="15">SUM(C17+I17+L17+N17+M17)</f>
        <v>1410166.17</v>
      </c>
      <c r="P17" s="3">
        <f>P16 +1</f>
        <v>1</v>
      </c>
      <c r="Q17" s="20" t="str">
        <f t="shared" ref="Q17" si="16">A17</f>
        <v xml:space="preserve">LESTER         </v>
      </c>
      <c r="R17" s="21" t="str">
        <f t="shared" ref="R17" si="17">B17</f>
        <v>MO</v>
      </c>
      <c r="S17" s="22">
        <f>VALUE(C17)</f>
        <v>999999.99</v>
      </c>
      <c r="T17" s="21" t="str">
        <f>CONCATENATE(E17,"/",F17,"/",RIGHT(D17,2))</f>
        <v>99/99/99</v>
      </c>
      <c r="U17" s="21" t="str">
        <f>IF((H17=1),"Electronics",IF((H17=2),"Ski Package",IF((H17=3),"Fishing Package","Error!")))</f>
        <v>Fishing Package</v>
      </c>
      <c r="V17" s="22">
        <f>VALUE(I17)</f>
        <v>0</v>
      </c>
      <c r="W17" s="23">
        <f>O17</f>
        <v>1410166.17</v>
      </c>
      <c r="X17" s="44" t="s">
        <v>123</v>
      </c>
    </row>
    <row r="18" spans="1:24" x14ac:dyDescent="0.25">
      <c r="A18" s="1"/>
      <c r="B18" s="2"/>
      <c r="C18" s="8"/>
      <c r="D18" s="2"/>
      <c r="E18" s="14"/>
      <c r="F18" s="15"/>
      <c r="G18" s="2"/>
      <c r="H18" s="2"/>
      <c r="I18" s="29"/>
      <c r="J18" s="31"/>
      <c r="L18" s="28"/>
      <c r="M18" s="28"/>
      <c r="N18" s="28"/>
      <c r="O18" s="28"/>
      <c r="P18" s="3"/>
      <c r="Q18" s="1"/>
      <c r="R18" s="2"/>
      <c r="S18" s="17"/>
      <c r="T18" s="2"/>
      <c r="U18" s="2"/>
      <c r="V18" s="17"/>
      <c r="W18" s="18"/>
      <c r="X18" s="44"/>
    </row>
    <row r="19" spans="1:24" x14ac:dyDescent="0.25">
      <c r="A19" s="1"/>
      <c r="B19" s="2"/>
      <c r="C19" s="8"/>
      <c r="D19" s="2"/>
      <c r="E19" s="14"/>
      <c r="F19" s="15"/>
      <c r="G19" s="2"/>
      <c r="H19" s="2"/>
      <c r="I19" s="29"/>
      <c r="J19" s="31"/>
      <c r="L19" s="28"/>
      <c r="M19" s="28"/>
      <c r="N19" s="28"/>
      <c r="O19" s="28"/>
      <c r="P19" s="3"/>
      <c r="Q19" s="1" t="s">
        <v>37</v>
      </c>
      <c r="R19" s="2" t="s">
        <v>38</v>
      </c>
      <c r="S19" s="17" t="s">
        <v>39</v>
      </c>
      <c r="T19" s="2" t="s">
        <v>40</v>
      </c>
      <c r="U19" s="2"/>
      <c r="V19" s="17"/>
      <c r="W19" s="18"/>
      <c r="X19" s="44"/>
    </row>
    <row r="20" spans="1:24" x14ac:dyDescent="0.25">
      <c r="A20" s="1"/>
      <c r="B20" s="2"/>
      <c r="C20" s="8"/>
      <c r="D20" s="2"/>
      <c r="E20" s="14"/>
      <c r="F20" s="15"/>
      <c r="G20" s="2"/>
      <c r="H20" s="2"/>
      <c r="I20" s="29"/>
      <c r="J20" s="31"/>
      <c r="L20" s="28"/>
      <c r="M20" s="28"/>
      <c r="N20" s="28"/>
      <c r="O20" s="28"/>
      <c r="P20" s="3"/>
      <c r="Q20" s="25" t="str">
        <f>R17</f>
        <v>MO</v>
      </c>
      <c r="R20" s="24" t="str">
        <f>IF((G17="B"),"Bass Boat",IF((G17="P"),"Pontoon",IF((G17="S"),"Ski Boat",IF((G17="J"),"John Boat",IF((G17="C"),"Canoe",IF((G17="R"),"Cabin Cruiser","ERROR!"))))))</f>
        <v>Bass Boat</v>
      </c>
      <c r="S20" s="26">
        <f>P17</f>
        <v>1</v>
      </c>
      <c r="T20" s="27">
        <f>SUM(W17)</f>
        <v>1410166.17</v>
      </c>
      <c r="U20" s="2"/>
      <c r="V20" s="17"/>
      <c r="W20" s="18"/>
      <c r="X20" s="44"/>
    </row>
    <row r="21" spans="1:24" x14ac:dyDescent="0.25">
      <c r="A21" s="1"/>
      <c r="B21" s="2"/>
      <c r="C21" s="8"/>
      <c r="D21" s="2"/>
      <c r="E21" s="14"/>
      <c r="F21" s="15"/>
      <c r="G21" s="2"/>
      <c r="H21" s="2"/>
      <c r="I21" s="29"/>
      <c r="J21" s="31"/>
      <c r="L21" s="28"/>
      <c r="M21" s="28"/>
      <c r="N21" s="28"/>
      <c r="O21" s="28"/>
      <c r="P21" s="3"/>
      <c r="Q21" s="1"/>
      <c r="R21" s="2"/>
      <c r="S21" s="17"/>
      <c r="T21" s="2"/>
      <c r="U21" s="2"/>
      <c r="V21" s="17"/>
      <c r="W21" s="18"/>
      <c r="X21" s="44"/>
    </row>
    <row r="22" spans="1:24" x14ac:dyDescent="0.25">
      <c r="A22" s="1" t="s">
        <v>59</v>
      </c>
      <c r="B22" s="2" t="s">
        <v>64</v>
      </c>
      <c r="C22" s="8" t="s">
        <v>34</v>
      </c>
      <c r="D22" s="2">
        <v>1998</v>
      </c>
      <c r="E22" s="14" t="s">
        <v>72</v>
      </c>
      <c r="F22" s="15" t="s">
        <v>76</v>
      </c>
      <c r="G22" s="2" t="s">
        <v>15</v>
      </c>
      <c r="H22" s="2">
        <v>3</v>
      </c>
      <c r="I22" s="29" t="s">
        <v>29</v>
      </c>
      <c r="J22" s="31">
        <f t="shared" ref="J22:J24" si="18">0.06</f>
        <v>0.06</v>
      </c>
      <c r="K22">
        <f t="shared" ref="K22:K24" si="19">IF((G22="B"),0.33,IF((G22="P"),0.25,IF((G22="S"),0.425,IF((G22="J"),0.33,IF((G22="C"),0.2,IF((G22="R"),0.3,"ERROR!"))))))</f>
        <v>0.33</v>
      </c>
      <c r="L22" s="28">
        <f t="shared" ref="L22:L24" si="20">ROUND(C22*K22,2)</f>
        <v>0</v>
      </c>
      <c r="M22" s="7" t="str">
        <f t="shared" ref="M22:M24" si="21">IF((H22=1),"5,415.30",IF((H22=2),"3,980.00",IF((H22=3),"345.45","Error!")))</f>
        <v>345.45</v>
      </c>
      <c r="N22" s="28">
        <f t="shared" ref="N22:N24" si="22">ROUND((C22+I22+L22+M22)*J22,2)</f>
        <v>6020.73</v>
      </c>
      <c r="O22" s="28">
        <f t="shared" ref="O22:O24" si="23">SUM(C22+I22+L22+N22+M22)</f>
        <v>106366.17</v>
      </c>
      <c r="P22" s="3">
        <f t="shared" ref="P22:P24" si="24">P21 +1</f>
        <v>1</v>
      </c>
      <c r="Q22" s="20" t="str">
        <f t="shared" ref="Q22:Q24" si="25">A22</f>
        <v xml:space="preserve">HERNANDEZ      </v>
      </c>
      <c r="R22" s="21" t="str">
        <f t="shared" ref="R22:R24" si="26">B22</f>
        <v>WI</v>
      </c>
      <c r="S22" s="22">
        <f t="shared" ref="S22:S24" si="27">VALUE(C22)</f>
        <v>0</v>
      </c>
      <c r="T22" s="21" t="str">
        <f t="shared" ref="T22:T24" si="28">CONCATENATE(E22,"/",F22,"/",RIGHT(D22,2))</f>
        <v>08/15/98</v>
      </c>
      <c r="U22" s="21" t="str">
        <f t="shared" ref="U22:U24" si="29">IF((H22=1),"Electronics",IF((H22=2),"Ski Package",IF((H22=3),"Fishing Package","Error!")))</f>
        <v>Fishing Package</v>
      </c>
      <c r="V22" s="22">
        <f t="shared" ref="V22:V24" si="30">VALUE(I22)</f>
        <v>99999.99</v>
      </c>
      <c r="W22" s="23">
        <f t="shared" ref="W22:W24" si="31">O22</f>
        <v>106366.17</v>
      </c>
      <c r="X22" s="44" t="s">
        <v>123</v>
      </c>
    </row>
    <row r="23" spans="1:24" x14ac:dyDescent="0.25">
      <c r="A23" s="1" t="s">
        <v>60</v>
      </c>
      <c r="B23" s="2" t="s">
        <v>64</v>
      </c>
      <c r="C23" s="8" t="s">
        <v>66</v>
      </c>
      <c r="D23" s="2">
        <v>2001</v>
      </c>
      <c r="E23" s="14" t="s">
        <v>69</v>
      </c>
      <c r="F23" s="15" t="s">
        <v>77</v>
      </c>
      <c r="G23" s="2" t="s">
        <v>15</v>
      </c>
      <c r="H23" s="2">
        <v>1</v>
      </c>
      <c r="I23" s="29" t="s">
        <v>35</v>
      </c>
      <c r="J23" s="31">
        <f t="shared" si="18"/>
        <v>0.06</v>
      </c>
      <c r="K23">
        <f t="shared" si="19"/>
        <v>0.33</v>
      </c>
      <c r="L23" s="28">
        <f t="shared" si="20"/>
        <v>0</v>
      </c>
      <c r="M23" s="7" t="str">
        <f t="shared" si="21"/>
        <v>5,415.30</v>
      </c>
      <c r="N23" s="28">
        <f t="shared" si="22"/>
        <v>324.92</v>
      </c>
      <c r="O23" s="28">
        <f t="shared" si="23"/>
        <v>5740.2300000000005</v>
      </c>
      <c r="P23" s="3">
        <f t="shared" si="24"/>
        <v>2</v>
      </c>
      <c r="Q23" s="20" t="str">
        <f t="shared" si="25"/>
        <v xml:space="preserve">MUHAMED        </v>
      </c>
      <c r="R23" s="21" t="str">
        <f t="shared" si="26"/>
        <v>WI</v>
      </c>
      <c r="S23" s="22">
        <f t="shared" si="27"/>
        <v>0.01</v>
      </c>
      <c r="T23" s="21" t="str">
        <f t="shared" si="28"/>
        <v>09/11/01</v>
      </c>
      <c r="U23" s="21" t="str">
        <f t="shared" si="29"/>
        <v>Electronics</v>
      </c>
      <c r="V23" s="22">
        <f t="shared" si="30"/>
        <v>0</v>
      </c>
      <c r="W23" s="23">
        <f t="shared" si="31"/>
        <v>5740.2300000000005</v>
      </c>
      <c r="X23" s="44" t="s">
        <v>124</v>
      </c>
    </row>
    <row r="24" spans="1:24" x14ac:dyDescent="0.25">
      <c r="A24" s="1" t="s">
        <v>61</v>
      </c>
      <c r="B24" s="2" t="s">
        <v>64</v>
      </c>
      <c r="C24" s="8" t="s">
        <v>34</v>
      </c>
      <c r="D24" s="2">
        <v>9999</v>
      </c>
      <c r="E24" s="14" t="s">
        <v>71</v>
      </c>
      <c r="F24" s="15" t="s">
        <v>71</v>
      </c>
      <c r="G24" s="2" t="s">
        <v>15</v>
      </c>
      <c r="H24" s="2">
        <v>1</v>
      </c>
      <c r="I24" s="29" t="s">
        <v>70</v>
      </c>
      <c r="J24" s="31">
        <f t="shared" si="18"/>
        <v>0.06</v>
      </c>
      <c r="K24">
        <f t="shared" si="19"/>
        <v>0.33</v>
      </c>
      <c r="L24" s="28">
        <f t="shared" si="20"/>
        <v>0</v>
      </c>
      <c r="M24" s="7" t="str">
        <f t="shared" si="21"/>
        <v>5,415.30</v>
      </c>
      <c r="N24" s="28">
        <f t="shared" si="22"/>
        <v>324.92</v>
      </c>
      <c r="O24" s="28">
        <f t="shared" si="23"/>
        <v>5740.2300000000005</v>
      </c>
      <c r="P24" s="3">
        <f t="shared" si="24"/>
        <v>3</v>
      </c>
      <c r="Q24" s="20" t="str">
        <f t="shared" si="25"/>
        <v xml:space="preserve">FREEMAN        </v>
      </c>
      <c r="R24" s="21" t="str">
        <f t="shared" si="26"/>
        <v>WI</v>
      </c>
      <c r="S24" s="22">
        <f t="shared" si="27"/>
        <v>0</v>
      </c>
      <c r="T24" s="21" t="str">
        <f t="shared" si="28"/>
        <v>99/99/99</v>
      </c>
      <c r="U24" s="21" t="str">
        <f t="shared" si="29"/>
        <v>Electronics</v>
      </c>
      <c r="V24" s="22">
        <f t="shared" si="30"/>
        <v>0.01</v>
      </c>
      <c r="W24" s="23">
        <f t="shared" si="31"/>
        <v>5740.2300000000005</v>
      </c>
      <c r="X24" s="44" t="s">
        <v>124</v>
      </c>
    </row>
    <row r="25" spans="1:24" x14ac:dyDescent="0.25">
      <c r="A25" s="1"/>
      <c r="B25" s="2"/>
      <c r="C25" s="8"/>
      <c r="D25" s="2"/>
      <c r="E25" s="14"/>
      <c r="F25" s="15"/>
      <c r="G25" s="2"/>
      <c r="H25" s="2"/>
      <c r="I25" s="29"/>
      <c r="J25" s="31"/>
      <c r="L25" s="28"/>
      <c r="M25" s="28"/>
      <c r="N25" s="28"/>
      <c r="O25" s="28"/>
      <c r="P25" s="3"/>
      <c r="Q25" s="1"/>
      <c r="R25" s="2"/>
      <c r="S25" s="17"/>
      <c r="T25" s="2"/>
      <c r="U25" s="2"/>
      <c r="V25" s="17"/>
      <c r="W25" s="18"/>
      <c r="X25" s="44"/>
    </row>
    <row r="26" spans="1:24" x14ac:dyDescent="0.25">
      <c r="A26" s="1"/>
      <c r="B26" s="2"/>
      <c r="C26" s="8"/>
      <c r="D26" s="2"/>
      <c r="E26" s="14"/>
      <c r="F26" s="15"/>
      <c r="G26" s="2"/>
      <c r="H26" s="2"/>
      <c r="I26" s="29"/>
      <c r="J26" s="31"/>
      <c r="L26" s="28"/>
      <c r="M26" s="28"/>
      <c r="N26" s="28"/>
      <c r="O26" s="28"/>
      <c r="P26" s="3"/>
      <c r="Q26" s="1" t="s">
        <v>37</v>
      </c>
      <c r="R26" s="2" t="s">
        <v>38</v>
      </c>
      <c r="S26" s="17" t="s">
        <v>39</v>
      </c>
      <c r="T26" s="2" t="s">
        <v>40</v>
      </c>
      <c r="U26" s="2"/>
      <c r="V26" s="17"/>
      <c r="W26" s="18"/>
      <c r="X26" s="44"/>
    </row>
    <row r="27" spans="1:24" x14ac:dyDescent="0.25">
      <c r="A27" s="1"/>
      <c r="B27" s="2"/>
      <c r="C27" s="8"/>
      <c r="D27" s="2"/>
      <c r="E27" s="14"/>
      <c r="F27" s="15"/>
      <c r="G27" s="2"/>
      <c r="H27" s="2"/>
      <c r="I27" s="29"/>
      <c r="J27" s="31"/>
      <c r="L27" s="28"/>
      <c r="M27" s="28"/>
      <c r="N27" s="28"/>
      <c r="O27" s="28"/>
      <c r="P27" s="3"/>
      <c r="Q27" s="25" t="str">
        <f>R22</f>
        <v>WI</v>
      </c>
      <c r="R27" s="24" t="str">
        <f>IF((G22="B"),"Bass Boat",IF((G22="P"),"Pontoon",IF((G22="S"),"Ski Boat",IF((G22="J"),"John Boat",IF((G22="C"),"Canoe",IF((G22="R"),"Cabin Cruiser","ERROR!"))))))</f>
        <v>Bass Boat</v>
      </c>
      <c r="S27" s="26">
        <f>P24</f>
        <v>3</v>
      </c>
      <c r="T27" s="27">
        <f>SUM(W22:W24)</f>
        <v>117846.62999999999</v>
      </c>
      <c r="U27" s="2"/>
      <c r="V27" s="17"/>
      <c r="W27" s="18"/>
      <c r="X27" s="44"/>
    </row>
    <row r="28" spans="1:24" x14ac:dyDescent="0.25">
      <c r="A28" s="1"/>
      <c r="B28" s="2"/>
      <c r="C28" s="8"/>
      <c r="D28" s="2"/>
      <c r="E28" s="14"/>
      <c r="F28" s="15"/>
      <c r="G28" s="2"/>
      <c r="H28" s="2"/>
      <c r="I28" s="29"/>
      <c r="J28" s="31"/>
      <c r="L28" s="28"/>
      <c r="M28" s="28"/>
      <c r="N28" s="28"/>
      <c r="O28" s="28"/>
      <c r="P28" s="3"/>
      <c r="Q28" s="1"/>
      <c r="R28" s="2"/>
      <c r="S28" s="17"/>
      <c r="T28" s="2"/>
      <c r="U28" s="2"/>
      <c r="V28" s="17"/>
      <c r="W28" s="18"/>
      <c r="X28" s="44"/>
    </row>
    <row r="29" spans="1:24" x14ac:dyDescent="0.25">
      <c r="A29" s="1" t="s">
        <v>62</v>
      </c>
      <c r="B29" s="2" t="s">
        <v>65</v>
      </c>
      <c r="C29" s="8" t="s">
        <v>23</v>
      </c>
      <c r="D29" s="2">
        <v>9999</v>
      </c>
      <c r="E29" s="14" t="s">
        <v>71</v>
      </c>
      <c r="F29" s="15" t="s">
        <v>71</v>
      </c>
      <c r="G29" s="2" t="s">
        <v>15</v>
      </c>
      <c r="H29" s="2">
        <v>1</v>
      </c>
      <c r="I29" s="29" t="s">
        <v>29</v>
      </c>
      <c r="J29" s="31">
        <f>0.06</f>
        <v>0.06</v>
      </c>
      <c r="K29">
        <f>IF((G29="B"),0.33,IF((G29="P"),0.25,IF((G29="S"),0.425,IF((G29="J"),0.33,IF((G29="C"),0.2,IF((G29="R"),0.3,"ERROR!"))))))</f>
        <v>0.33</v>
      </c>
      <c r="L29" s="28">
        <f>ROUND(C29*K29,2)</f>
        <v>330000</v>
      </c>
      <c r="M29" s="7" t="str">
        <f>IF((H29=1),"5,415.30",IF((H29=2),"3,980.00",IF((H29=3),"345.45","Error!")))</f>
        <v>5,415.30</v>
      </c>
      <c r="N29" s="28">
        <f t="shared" ref="N29" si="32">ROUND((C29+I29+L29+M29)*J29,2)</f>
        <v>86124.92</v>
      </c>
      <c r="O29" s="28">
        <f t="shared" ref="O29" si="33">SUM(C29+I29+L29+N29+M29)</f>
        <v>1521540.2</v>
      </c>
      <c r="P29" s="3">
        <f>P28 +1</f>
        <v>1</v>
      </c>
      <c r="Q29" s="20" t="str">
        <f t="shared" ref="Q29" si="34">A29</f>
        <v>XXXXXXXXXXXXXXX</v>
      </c>
      <c r="R29" s="21" t="str">
        <f t="shared" ref="R29" si="35">B29</f>
        <v>ZZ</v>
      </c>
      <c r="S29" s="22">
        <f>VALUE(C29)</f>
        <v>999999.99</v>
      </c>
      <c r="T29" s="21" t="str">
        <f>CONCATENATE(E29,"/",F29,"/",RIGHT(D29,2))</f>
        <v>99/99/99</v>
      </c>
      <c r="U29" s="21" t="str">
        <f>IF((H29=1),"Electronics",IF((H29=2),"Ski Package",IF((H29=3),"Fishing Package","Error!")))</f>
        <v>Electronics</v>
      </c>
      <c r="V29" s="22">
        <f>VALUE(I29)</f>
        <v>99999.99</v>
      </c>
      <c r="W29" s="23">
        <f>O29</f>
        <v>1521540.2</v>
      </c>
      <c r="X29" s="44" t="s">
        <v>125</v>
      </c>
    </row>
    <row r="30" spans="1:24" x14ac:dyDescent="0.25">
      <c r="A30" s="1"/>
      <c r="B30" s="2"/>
      <c r="C30" s="8"/>
      <c r="D30" s="2"/>
      <c r="E30" s="14"/>
      <c r="F30" s="15"/>
      <c r="G30" s="2"/>
      <c r="H30" s="2"/>
      <c r="I30" s="29"/>
      <c r="J30" s="31"/>
      <c r="L30" s="28"/>
      <c r="M30" s="28"/>
      <c r="N30" s="28"/>
      <c r="O30" s="28"/>
      <c r="P30" s="3"/>
      <c r="Q30" s="1"/>
      <c r="R30" s="2"/>
      <c r="S30" s="17"/>
      <c r="T30" s="2"/>
      <c r="U30" s="2"/>
      <c r="V30" s="17"/>
      <c r="W30" s="18"/>
      <c r="X30" s="44"/>
    </row>
    <row r="31" spans="1:24" x14ac:dyDescent="0.25">
      <c r="A31" s="1"/>
      <c r="B31" s="2"/>
      <c r="C31" s="8"/>
      <c r="D31" s="2"/>
      <c r="E31" s="14"/>
      <c r="F31" s="15"/>
      <c r="G31" s="2"/>
      <c r="H31" s="2"/>
      <c r="I31" s="29"/>
      <c r="J31" s="31"/>
      <c r="L31" s="28"/>
      <c r="M31" s="28"/>
      <c r="N31" s="28"/>
      <c r="O31" s="28"/>
      <c r="P31" s="3"/>
      <c r="Q31" s="1" t="s">
        <v>37</v>
      </c>
      <c r="R31" s="2" t="s">
        <v>38</v>
      </c>
      <c r="S31" s="17" t="s">
        <v>39</v>
      </c>
      <c r="T31" s="2" t="s">
        <v>40</v>
      </c>
      <c r="U31" s="2"/>
      <c r="V31" s="17"/>
      <c r="W31" s="18"/>
      <c r="X31" s="44"/>
    </row>
    <row r="32" spans="1:24" x14ac:dyDescent="0.25">
      <c r="A32" s="1"/>
      <c r="B32" s="2"/>
      <c r="C32" s="8"/>
      <c r="D32" s="2"/>
      <c r="E32" s="14"/>
      <c r="F32" s="15"/>
      <c r="G32" s="2"/>
      <c r="H32" s="2"/>
      <c r="I32" s="29"/>
      <c r="J32" s="31"/>
      <c r="L32" s="28"/>
      <c r="M32" s="28"/>
      <c r="N32" s="28"/>
      <c r="O32" s="28"/>
      <c r="P32" s="3"/>
      <c r="Q32" s="25" t="str">
        <f>R29</f>
        <v>ZZ</v>
      </c>
      <c r="R32" s="24" t="str">
        <f>IF((G29="B"),"Bass Boat",IF((G29="P"),"Pontoon",IF((G29="S"),"Ski Boat",IF((G29="J"),"John Boat",IF((G29="C"),"Canoe",IF((G29="R"),"Cabin Cruiser","ERROR!"))))))</f>
        <v>Bass Boat</v>
      </c>
      <c r="S32" s="26">
        <f>P29</f>
        <v>1</v>
      </c>
      <c r="T32" s="27">
        <f>SUM(W29)</f>
        <v>1521540.2</v>
      </c>
      <c r="U32" s="2"/>
      <c r="V32" s="17"/>
      <c r="W32" s="18"/>
      <c r="X32" s="44"/>
    </row>
    <row r="33" spans="1:24" x14ac:dyDescent="0.25">
      <c r="A33" s="1"/>
      <c r="B33" s="2"/>
      <c r="C33" s="8"/>
      <c r="D33" s="2"/>
      <c r="E33" s="14"/>
      <c r="F33" s="15"/>
      <c r="G33" s="2"/>
      <c r="H33" s="2"/>
      <c r="I33" s="29"/>
      <c r="J33" s="31"/>
      <c r="L33" s="28"/>
      <c r="M33" s="28"/>
      <c r="N33" s="28"/>
      <c r="O33" s="28"/>
      <c r="P33" s="3"/>
      <c r="Q33" s="1"/>
      <c r="R33" s="2"/>
      <c r="S33" s="17"/>
      <c r="T33" s="2"/>
      <c r="U33" s="2"/>
      <c r="V33" s="17"/>
      <c r="W33" s="18"/>
      <c r="X33" s="44"/>
    </row>
    <row r="34" spans="1:24" x14ac:dyDescent="0.25">
      <c r="A34" s="1"/>
      <c r="B34" s="2"/>
      <c r="C34" s="8"/>
      <c r="D34" s="2"/>
      <c r="E34" s="14"/>
      <c r="F34" s="14"/>
      <c r="G34" s="2"/>
      <c r="H34" s="2"/>
      <c r="I34" s="29"/>
      <c r="J34" s="31"/>
      <c r="L34" s="28"/>
      <c r="M34" s="28"/>
      <c r="N34" s="28"/>
      <c r="O34" s="28"/>
      <c r="P34" s="3"/>
      <c r="Q34" s="1" t="s">
        <v>41</v>
      </c>
      <c r="R34" s="2" t="s">
        <v>42</v>
      </c>
      <c r="S34" s="2" t="s">
        <v>43</v>
      </c>
      <c r="T34" s="2"/>
      <c r="U34" s="2"/>
      <c r="V34" s="2"/>
      <c r="X34" s="44"/>
    </row>
    <row r="35" spans="1:24" x14ac:dyDescent="0.25">
      <c r="A35" s="1"/>
      <c r="B35" s="2"/>
      <c r="C35" s="2"/>
      <c r="D35" s="2"/>
      <c r="E35" s="14"/>
      <c r="F35" s="14"/>
      <c r="G35" s="2"/>
      <c r="H35" s="2"/>
      <c r="I35" s="28"/>
      <c r="J35" s="13"/>
      <c r="L35" s="28"/>
      <c r="M35" s="28"/>
      <c r="N35" s="28"/>
      <c r="O35" s="28"/>
      <c r="P35" s="3"/>
      <c r="Q35" s="33" t="str">
        <f>R32</f>
        <v>Bass Boat</v>
      </c>
      <c r="R35" s="36">
        <f>SUM(S7,S15,S20,S27,S32)</f>
        <v>11</v>
      </c>
      <c r="S35" s="34">
        <f>SUM(T7+T15+T20+T27+T32)</f>
        <v>4672250</v>
      </c>
      <c r="T35" s="2"/>
      <c r="U35" s="2"/>
      <c r="V35" s="2"/>
      <c r="X35" s="44"/>
    </row>
    <row r="36" spans="1:24" x14ac:dyDescent="0.25">
      <c r="A36" s="1"/>
      <c r="B36" s="2"/>
      <c r="C36" s="2"/>
      <c r="D36" s="2"/>
      <c r="E36" s="14"/>
      <c r="F36" s="14"/>
      <c r="G36" s="2"/>
      <c r="H36" s="2"/>
      <c r="I36" s="28"/>
      <c r="J36" s="13"/>
      <c r="L36" s="28"/>
      <c r="M36" s="28"/>
      <c r="N36" s="28"/>
      <c r="O36" s="28"/>
      <c r="P36" s="3"/>
      <c r="Q36" s="1"/>
      <c r="R36" s="2"/>
      <c r="S36" s="2"/>
      <c r="T36" s="2"/>
      <c r="U36" s="2"/>
      <c r="V36" s="2"/>
      <c r="W36" s="3"/>
      <c r="X36" s="44"/>
    </row>
    <row r="37" spans="1:24" x14ac:dyDescent="0.25">
      <c r="A37" s="1" t="s">
        <v>51</v>
      </c>
      <c r="B37" s="2" t="s">
        <v>63</v>
      </c>
      <c r="C37" s="8" t="s">
        <v>34</v>
      </c>
      <c r="D37" s="2">
        <v>2019</v>
      </c>
      <c r="E37" s="2">
        <v>12</v>
      </c>
      <c r="F37" s="2">
        <v>11</v>
      </c>
      <c r="G37" s="2" t="s">
        <v>20</v>
      </c>
      <c r="H37" s="7">
        <v>2</v>
      </c>
      <c r="I37" s="8" t="s">
        <v>35</v>
      </c>
      <c r="J37" s="31">
        <f>0.06</f>
        <v>0.06</v>
      </c>
      <c r="K37">
        <f>IF((G37="B"),0.33,IF((G37="P"),0.25,IF((G37="S"),0.425,IF((G37="J"),0.33,IF((G37="C"),0.2,IF((G37="R"),0.3,"ERROR!"))))))</f>
        <v>0.25</v>
      </c>
      <c r="L37" s="28">
        <f>ROUND(C37*K37,2)</f>
        <v>0</v>
      </c>
      <c r="M37" s="28" t="str">
        <f>IF((H37=1),"5,415.30",IF((H37=2),"3,980.00",IF((H37=3),"345.45","Error!")))</f>
        <v>3,980.00</v>
      </c>
      <c r="N37" s="28">
        <f>ROUND((C37+I37+L37+M37)*J37,2)</f>
        <v>238.8</v>
      </c>
      <c r="O37" s="28">
        <f>SUM(C37+I37+L37+N37+M37)</f>
        <v>4218.8</v>
      </c>
      <c r="P37" s="3">
        <v>1</v>
      </c>
      <c r="Q37" s="20" t="str">
        <f>A37</f>
        <v xml:space="preserve">BOB - DYLAN    </v>
      </c>
      <c r="R37" s="21" t="str">
        <f>B37</f>
        <v>CA</v>
      </c>
      <c r="S37" s="22">
        <f>VALUE(C37)</f>
        <v>0</v>
      </c>
      <c r="T37" s="21" t="str">
        <f>CONCATENATE(E37,"/",F37,"/",RIGHT(D37,2))</f>
        <v>12/11/19</v>
      </c>
      <c r="U37" s="21" t="str">
        <f>IF((H37=1),"Electronics",IF((H37=2),"Ski Package",IF((H37=3),"Fishing Package","Error!")))</f>
        <v>Ski Package</v>
      </c>
      <c r="V37" s="22">
        <f>VALUE(I37)</f>
        <v>0</v>
      </c>
      <c r="W37" s="23">
        <f>O37</f>
        <v>4218.8</v>
      </c>
      <c r="X37" s="44" t="s">
        <v>119</v>
      </c>
    </row>
    <row r="38" spans="1:24" x14ac:dyDescent="0.25">
      <c r="A38" s="1" t="s">
        <v>52</v>
      </c>
      <c r="B38" s="2" t="s">
        <v>63</v>
      </c>
      <c r="C38" s="8" t="s">
        <v>66</v>
      </c>
      <c r="D38" s="2">
        <v>2015</v>
      </c>
      <c r="E38" s="14" t="s">
        <v>69</v>
      </c>
      <c r="F38" s="15" t="s">
        <v>69</v>
      </c>
      <c r="G38" s="2" t="s">
        <v>20</v>
      </c>
      <c r="H38" s="2">
        <v>1</v>
      </c>
      <c r="I38" s="29" t="s">
        <v>70</v>
      </c>
      <c r="J38" s="31">
        <f>0.06</f>
        <v>0.06</v>
      </c>
      <c r="K38">
        <f>IF((G38="B"),0.33,IF((G38="P"),0.25,IF((G38="S"),0.425,IF((G38="J"),0.33,IF((G38="C"),0.2,IF((G38="R"),0.3,"ERROR!"))))))</f>
        <v>0.25</v>
      </c>
      <c r="L38" s="28">
        <f>ROUND(C38*K38,2)</f>
        <v>0</v>
      </c>
      <c r="M38" s="28" t="str">
        <f>IF((H38=1),"5,415.30",IF((H38=2),"3,980.00",IF((H38=3),"345.45","Error!")))</f>
        <v>5,415.30</v>
      </c>
      <c r="N38" s="28">
        <f>ROUND((C38+I38+L38+M38)*J38,2)</f>
        <v>324.92</v>
      </c>
      <c r="O38" s="28">
        <f>SUM(C38+I38+L38+N38+M38)</f>
        <v>5740.24</v>
      </c>
      <c r="P38" s="3">
        <f>P37 + 1</f>
        <v>2</v>
      </c>
      <c r="Q38" s="20" t="str">
        <f>A38</f>
        <v xml:space="preserve">DAVIS          </v>
      </c>
      <c r="R38" s="21" t="str">
        <f>B38</f>
        <v>CA</v>
      </c>
      <c r="S38" s="22">
        <f>VALUE(C38)</f>
        <v>0.01</v>
      </c>
      <c r="T38" s="21" t="str">
        <f>CONCATENATE(E38,"/",F38,"/",RIGHT(D38,2))</f>
        <v>09/09/15</v>
      </c>
      <c r="U38" s="21" t="str">
        <f>IF((H38=1),"Electronics",IF((H38=2),"Ski Package",IF((H38=3),"Fishing Package","Error!")))</f>
        <v>Electronics</v>
      </c>
      <c r="V38" s="22">
        <f>VALUE(I38)</f>
        <v>0.01</v>
      </c>
      <c r="W38" s="23">
        <f>O38</f>
        <v>5740.24</v>
      </c>
      <c r="X38" s="44" t="s">
        <v>120</v>
      </c>
    </row>
    <row r="39" spans="1:24" x14ac:dyDescent="0.25">
      <c r="A39" s="1"/>
      <c r="B39" s="2"/>
      <c r="C39" s="8"/>
      <c r="D39" s="2"/>
      <c r="E39" s="14"/>
      <c r="F39" s="15"/>
      <c r="G39" s="2"/>
      <c r="H39" s="2"/>
      <c r="I39" s="29"/>
      <c r="J39" s="31"/>
      <c r="K39" s="28"/>
      <c r="L39" s="28"/>
      <c r="M39" s="28"/>
      <c r="N39" s="28"/>
      <c r="O39" s="28"/>
      <c r="P39" s="3"/>
      <c r="Q39" s="1"/>
      <c r="R39" s="2"/>
      <c r="S39" s="17"/>
      <c r="T39" s="2"/>
      <c r="U39" s="2"/>
      <c r="V39" s="17"/>
      <c r="W39" s="18"/>
      <c r="X39" s="44"/>
    </row>
    <row r="40" spans="1:24" x14ac:dyDescent="0.25">
      <c r="A40" s="1"/>
      <c r="B40" s="2"/>
      <c r="C40" s="8"/>
      <c r="D40" s="2"/>
      <c r="E40" s="14"/>
      <c r="F40" s="15"/>
      <c r="G40" s="2"/>
      <c r="H40" s="2"/>
      <c r="I40" s="29"/>
      <c r="J40" s="31"/>
      <c r="K40" s="28"/>
      <c r="L40" s="28"/>
      <c r="M40" s="28"/>
      <c r="N40" s="28"/>
      <c r="O40" s="28"/>
      <c r="P40" s="3"/>
      <c r="Q40" s="1" t="s">
        <v>37</v>
      </c>
      <c r="R40" s="2" t="s">
        <v>38</v>
      </c>
      <c r="S40" s="17" t="s">
        <v>39</v>
      </c>
      <c r="T40" s="2" t="s">
        <v>40</v>
      </c>
      <c r="U40" s="2"/>
      <c r="V40" s="17"/>
      <c r="W40" s="18"/>
      <c r="X40" s="44"/>
    </row>
    <row r="41" spans="1:24" x14ac:dyDescent="0.25">
      <c r="A41" s="1"/>
      <c r="B41" s="2"/>
      <c r="C41" s="8"/>
      <c r="D41" s="2"/>
      <c r="E41" s="14"/>
      <c r="F41" s="15"/>
      <c r="G41" s="2"/>
      <c r="H41" s="2"/>
      <c r="I41" s="29"/>
      <c r="J41" s="31"/>
      <c r="K41" s="28"/>
      <c r="L41" s="28"/>
      <c r="M41" s="28"/>
      <c r="N41" s="28"/>
      <c r="O41" s="28"/>
      <c r="P41" s="3"/>
      <c r="Q41" s="25" t="str">
        <f>R37</f>
        <v>CA</v>
      </c>
      <c r="R41" s="24" t="str">
        <f>IF((G37="B"),"Bass Boat",IF((G37="P"),"Pontoon",IF((G37="S"),"Ski Boat",IF((G37="J"),"John Boat",IF((G37="C"),"Canoe",IF((G37="R"),"Cabin Cruiser","ERROR!"))))))</f>
        <v>Pontoon</v>
      </c>
      <c r="S41" s="26">
        <f>VALUE(P38)</f>
        <v>2</v>
      </c>
      <c r="T41" s="27">
        <f>SUM(W37:W38)</f>
        <v>9959.0400000000009</v>
      </c>
      <c r="U41" s="2"/>
      <c r="V41" s="17"/>
      <c r="W41" s="18"/>
      <c r="X41" s="44"/>
    </row>
    <row r="42" spans="1:24" x14ac:dyDescent="0.25">
      <c r="A42" s="1"/>
      <c r="B42" s="2"/>
      <c r="C42" s="8"/>
      <c r="D42" s="2"/>
      <c r="E42" s="14"/>
      <c r="F42" s="15"/>
      <c r="G42" s="2"/>
      <c r="H42" s="2"/>
      <c r="I42" s="29"/>
      <c r="J42" s="31"/>
      <c r="K42" s="28"/>
      <c r="L42" s="28"/>
      <c r="M42" s="28"/>
      <c r="N42" s="28"/>
      <c r="O42" s="28"/>
      <c r="P42" s="3"/>
      <c r="U42" s="2"/>
      <c r="V42" s="17"/>
      <c r="W42" s="18"/>
      <c r="X42" s="44"/>
    </row>
    <row r="43" spans="1:24" x14ac:dyDescent="0.25">
      <c r="A43" s="1" t="s">
        <v>53</v>
      </c>
      <c r="B43" s="7" t="s">
        <v>14</v>
      </c>
      <c r="C43" s="8" t="s">
        <v>23</v>
      </c>
      <c r="D43" s="2">
        <v>9999</v>
      </c>
      <c r="E43" s="15" t="s">
        <v>71</v>
      </c>
      <c r="F43" s="16" t="s">
        <v>71</v>
      </c>
      <c r="G43" s="7" t="s">
        <v>20</v>
      </c>
      <c r="H43" s="7">
        <v>2</v>
      </c>
      <c r="I43" s="29" t="s">
        <v>70</v>
      </c>
      <c r="J43" s="31">
        <f>0.06</f>
        <v>0.06</v>
      </c>
      <c r="K43" s="28">
        <f>IF((G43="B"),0.33,IF((G43="P"),0.25,IF((G43="S"),0.425,IF((G43="J"),0.33,IF((G43="C"),0.2,IF((G43="R"),0.3,"ERROR!"))))))</f>
        <v>0.25</v>
      </c>
      <c r="L43" s="28">
        <f>ROUND(C43*K43,2)</f>
        <v>250000</v>
      </c>
      <c r="M43" s="28" t="str">
        <f>IF((H43=1),"5,415.30",IF((H43=2),"3,980.00",IF((H43=3),"345.45","Error!")))</f>
        <v>3,980.00</v>
      </c>
      <c r="N43" s="28">
        <f>ROUND((C43+I43+L43+M43)*J43,2)</f>
        <v>75238.8</v>
      </c>
      <c r="O43" s="28">
        <f>SUM(C43+I43+L43+N43+M43)</f>
        <v>1329218.8</v>
      </c>
      <c r="P43" s="3">
        <f>P42 + 1</f>
        <v>1</v>
      </c>
      <c r="Q43" s="20" t="str">
        <f>A43</f>
        <v xml:space="preserve">QUERVO         </v>
      </c>
      <c r="R43" s="21" t="str">
        <f>B43</f>
        <v>IA</v>
      </c>
      <c r="S43" s="22">
        <f>VALUE(C37)</f>
        <v>0</v>
      </c>
      <c r="T43" s="21" t="str">
        <f>CONCATENATE(E43,"/",F43,"/",RIGHT(D43,2))</f>
        <v>99/99/99</v>
      </c>
      <c r="U43" s="21" t="str">
        <f>IF((H43=1),"Electronics",IF((H43=2),"Ski Package",IF((H43=3),"Fishing Package","Error!")))</f>
        <v>Ski Package</v>
      </c>
      <c r="V43" s="22">
        <f>VALUE(I43)</f>
        <v>0.01</v>
      </c>
      <c r="W43" s="23">
        <f>O43</f>
        <v>1329218.8</v>
      </c>
      <c r="X43" s="44" t="s">
        <v>121</v>
      </c>
    </row>
    <row r="44" spans="1:24" x14ac:dyDescent="0.25">
      <c r="A44" s="1" t="s">
        <v>55</v>
      </c>
      <c r="B44" s="7" t="s">
        <v>14</v>
      </c>
      <c r="C44" s="8" t="s">
        <v>66</v>
      </c>
      <c r="D44" s="2">
        <v>2019</v>
      </c>
      <c r="E44" s="15" t="s">
        <v>73</v>
      </c>
      <c r="F44" s="16" t="s">
        <v>26</v>
      </c>
      <c r="G44" s="7" t="s">
        <v>20</v>
      </c>
      <c r="H44" s="7">
        <v>3</v>
      </c>
      <c r="I44" s="29" t="s">
        <v>29</v>
      </c>
      <c r="J44" s="31">
        <f t="shared" ref="J44" si="36">0.06</f>
        <v>0.06</v>
      </c>
      <c r="K44" s="28">
        <f t="shared" ref="K44" si="37">IF((G44="B"),0.33,IF((G44="P"),0.25,IF((G44="S"),0.425,IF((G44="J"),0.33,IF((G44="C"),0.2,IF((G44="R"),0.3,"ERROR!"))))))</f>
        <v>0.25</v>
      </c>
      <c r="L44" s="28">
        <f t="shared" ref="L44" si="38">ROUND(C44*K44,2)</f>
        <v>0</v>
      </c>
      <c r="M44" s="28" t="str">
        <f t="shared" ref="M44" si="39">IF((H44=1),"5,415.30",IF((H44=2),"3,980.00",IF((H44=3),"345.45","Error!")))</f>
        <v>345.45</v>
      </c>
      <c r="N44" s="28">
        <f t="shared" ref="N44" si="40">ROUND((C44+I44+L44+M44)*J44,2)</f>
        <v>6020.73</v>
      </c>
      <c r="O44" s="28">
        <f>SUM(C44+I44+L44+N44+M44)</f>
        <v>106366.18</v>
      </c>
      <c r="P44" s="3">
        <f>P43+1</f>
        <v>2</v>
      </c>
      <c r="Q44" s="20" t="str">
        <f t="shared" ref="Q44" si="41">A44</f>
        <v xml:space="preserve">BIRKNER        </v>
      </c>
      <c r="R44" s="21" t="str">
        <f t="shared" ref="R44" si="42">B44</f>
        <v>IA</v>
      </c>
      <c r="S44" s="22">
        <f>VALUE(C39)</f>
        <v>0</v>
      </c>
      <c r="T44" s="21" t="str">
        <f t="shared" ref="T44" si="43">CONCATENATE(E44,"/",F44,"/",RIGHT(D44,2))</f>
        <v>06/01/19</v>
      </c>
      <c r="U44" s="21" t="str">
        <f t="shared" ref="U44" si="44">IF((H44=1),"Electronics",IF((H44=2),"Ski Package",IF((H44=3),"Fishing Package","Error!")))</f>
        <v>Fishing Package</v>
      </c>
      <c r="V44" s="22">
        <f t="shared" ref="V44" si="45">VALUE(I44)</f>
        <v>99999.99</v>
      </c>
      <c r="W44" s="23">
        <f t="shared" ref="W44" si="46">O44</f>
        <v>106366.18</v>
      </c>
      <c r="X44" s="44" t="s">
        <v>121</v>
      </c>
    </row>
    <row r="45" spans="1:24" x14ac:dyDescent="0.25">
      <c r="A45" s="1"/>
      <c r="B45" s="2"/>
      <c r="C45" s="8"/>
      <c r="D45" s="2"/>
      <c r="E45" s="14"/>
      <c r="F45" s="15"/>
      <c r="G45" s="2"/>
      <c r="H45" s="2"/>
      <c r="I45" s="29"/>
      <c r="J45" s="31"/>
      <c r="K45" s="28"/>
      <c r="L45" s="28"/>
      <c r="M45" s="28"/>
      <c r="N45" s="28"/>
      <c r="O45" s="28"/>
      <c r="P45" s="3"/>
      <c r="Q45" s="1"/>
      <c r="R45" s="2"/>
      <c r="S45" s="17"/>
      <c r="T45" s="2"/>
      <c r="U45" s="2"/>
      <c r="V45" s="17"/>
      <c r="W45" s="18"/>
      <c r="X45" s="44"/>
    </row>
    <row r="46" spans="1:24" x14ac:dyDescent="0.25">
      <c r="A46" s="1"/>
      <c r="B46" s="2"/>
      <c r="C46" s="8"/>
      <c r="D46" s="2"/>
      <c r="E46" s="14"/>
      <c r="F46" s="15"/>
      <c r="G46" s="2"/>
      <c r="H46" s="2"/>
      <c r="I46" s="29"/>
      <c r="J46" s="31"/>
      <c r="K46" s="28"/>
      <c r="L46" s="28"/>
      <c r="M46" s="28"/>
      <c r="N46" s="28"/>
      <c r="O46" s="28"/>
      <c r="P46" s="3"/>
      <c r="Q46" s="1" t="s">
        <v>37</v>
      </c>
      <c r="R46" s="2" t="s">
        <v>38</v>
      </c>
      <c r="S46" s="17" t="s">
        <v>39</v>
      </c>
      <c r="T46" s="2" t="s">
        <v>40</v>
      </c>
      <c r="U46" s="2"/>
      <c r="V46" s="17"/>
      <c r="W46" s="18"/>
      <c r="X46" s="44"/>
    </row>
    <row r="47" spans="1:24" x14ac:dyDescent="0.25">
      <c r="A47" s="1"/>
      <c r="B47" s="2"/>
      <c r="C47" s="8"/>
      <c r="D47" s="2"/>
      <c r="E47" s="14"/>
      <c r="F47" s="15"/>
      <c r="G47" s="2"/>
      <c r="H47" s="2"/>
      <c r="I47" s="29"/>
      <c r="J47" s="31"/>
      <c r="K47" s="28"/>
      <c r="L47" s="28"/>
      <c r="M47" s="28"/>
      <c r="N47" s="28"/>
      <c r="O47" s="28"/>
      <c r="P47" s="3"/>
      <c r="Q47" s="25" t="str">
        <f>R43</f>
        <v>IA</v>
      </c>
      <c r="R47" s="24" t="str">
        <f>IF((G43="B"),"Bass Boat",IF((G43="P"),"Pontoon",IF((G43="S"),"Ski Boat",IF((G43="J"),"John Boat",IF((G43="C"),"Canoe",IF((G43="R"),"Cabin Cruiser","ERROR!"))))))</f>
        <v>Pontoon</v>
      </c>
      <c r="S47" s="26">
        <f>P44</f>
        <v>2</v>
      </c>
      <c r="T47" s="27">
        <f>SUM(W43:W44)</f>
        <v>1435584.98</v>
      </c>
      <c r="U47" s="2"/>
      <c r="V47" s="17"/>
      <c r="W47" s="18"/>
      <c r="X47" s="44"/>
    </row>
    <row r="48" spans="1:24" x14ac:dyDescent="0.25">
      <c r="A48" s="1"/>
      <c r="B48" s="2"/>
      <c r="C48" s="8"/>
      <c r="D48" s="2"/>
      <c r="E48" s="14"/>
      <c r="F48" s="15"/>
      <c r="G48" s="2"/>
      <c r="H48" s="2"/>
      <c r="I48" s="29"/>
      <c r="J48" s="31"/>
      <c r="K48" s="28"/>
      <c r="L48" s="28"/>
      <c r="M48" s="28"/>
      <c r="N48" s="28"/>
      <c r="O48" s="28"/>
      <c r="P48" s="3"/>
      <c r="U48" s="2"/>
      <c r="V48" s="17"/>
      <c r="W48" s="18"/>
      <c r="X48" s="44"/>
    </row>
    <row r="49" spans="1:24" x14ac:dyDescent="0.25">
      <c r="A49" s="1" t="s">
        <v>85</v>
      </c>
      <c r="B49" s="2" t="s">
        <v>21</v>
      </c>
      <c r="C49" s="8" t="s">
        <v>86</v>
      </c>
      <c r="D49" s="2">
        <v>2020</v>
      </c>
      <c r="E49" s="15" t="s">
        <v>73</v>
      </c>
      <c r="F49" s="15" t="s">
        <v>87</v>
      </c>
      <c r="G49" s="2" t="s">
        <v>20</v>
      </c>
      <c r="H49" s="2">
        <v>2</v>
      </c>
      <c r="I49" s="29" t="s">
        <v>88</v>
      </c>
      <c r="J49" s="31">
        <f t="shared" ref="J49:J50" si="47">0.06</f>
        <v>0.06</v>
      </c>
      <c r="K49" s="28">
        <f t="shared" ref="K49" si="48">IF((G49="B"),0.33,IF((G49="P"),0.25,IF((G49="S"),0.425,IF((G49="J"),0.33,IF((G49="C"),0.2,IF((G49="R"),0.3,"ERROR!"))))))</f>
        <v>0.25</v>
      </c>
      <c r="L49" s="28">
        <f t="shared" ref="L49" si="49">ROUND(C49*K49,2)</f>
        <v>37500</v>
      </c>
      <c r="M49" s="28" t="str">
        <f t="shared" ref="M49" si="50">IF((H49=1),"5,415.30",IF((H49=2),"3,980.00",IF((H49=3),"345.45","Error!")))</f>
        <v>3,980.00</v>
      </c>
      <c r="N49" s="28">
        <f t="shared" ref="N49" si="51">ROUND((C49+I49+L49+M49)*J49,2)</f>
        <v>11788.8</v>
      </c>
      <c r="O49" s="28">
        <f>SUM(C49+I49+L49+N49+M49)</f>
        <v>208268.79999999999</v>
      </c>
      <c r="P49" s="3">
        <f t="shared" ref="P49" si="52">P48 + 1</f>
        <v>1</v>
      </c>
      <c r="Q49" s="20" t="str">
        <f>A49</f>
        <v>BERNARD</v>
      </c>
      <c r="R49" s="21" t="str">
        <f>B49</f>
        <v>MO</v>
      </c>
      <c r="S49" s="22">
        <f>VALUE(C49)</f>
        <v>150000</v>
      </c>
      <c r="T49" s="21" t="str">
        <f>CONCATENATE(E49,"/",F49,"/",RIGHT(D49,2))</f>
        <v>06/20/20</v>
      </c>
      <c r="U49" s="21" t="str">
        <f>IF((H49=1),"Electronics",IF((H49=2),"Ski Package",IF((H49=3),"Fishing Package","Error!")))</f>
        <v>Ski Package</v>
      </c>
      <c r="V49" s="22">
        <f>VALUE(I49)</f>
        <v>5000</v>
      </c>
      <c r="W49" s="23">
        <f>O49</f>
        <v>208268.79999999999</v>
      </c>
      <c r="X49" s="44" t="s">
        <v>122</v>
      </c>
    </row>
    <row r="50" spans="1:24" x14ac:dyDescent="0.25">
      <c r="A50" s="1" t="s">
        <v>58</v>
      </c>
      <c r="B50" s="2" t="s">
        <v>21</v>
      </c>
      <c r="C50" s="8" t="s">
        <v>23</v>
      </c>
      <c r="D50" s="2">
        <v>9999</v>
      </c>
      <c r="E50" s="14" t="s">
        <v>71</v>
      </c>
      <c r="F50" s="15" t="s">
        <v>71</v>
      </c>
      <c r="G50" s="2" t="s">
        <v>20</v>
      </c>
      <c r="H50" s="2">
        <v>3</v>
      </c>
      <c r="I50" s="29" t="s">
        <v>35</v>
      </c>
      <c r="J50" s="31">
        <f t="shared" si="47"/>
        <v>0.06</v>
      </c>
      <c r="K50" s="28">
        <f t="shared" ref="K50" si="53">IF((G50="B"),0.33,IF((G50="P"),0.25,IF((G50="S"),0.425,IF((G50="J"),0.33,IF((G50="C"),0.2,IF((G50="R"),0.3,"ERROR!"))))))</f>
        <v>0.25</v>
      </c>
      <c r="L50" s="28">
        <f t="shared" ref="L50" si="54">ROUND(C50*K50,2)</f>
        <v>250000</v>
      </c>
      <c r="M50" s="28" t="str">
        <f t="shared" ref="M50" si="55">IF((H50=1),"5,415.30",IF((H50=2),"3,980.00",IF((H50=3),"345.45","Error!")))</f>
        <v>345.45</v>
      </c>
      <c r="N50" s="28">
        <f t="shared" ref="N50" si="56">ROUND((C50+I50+L50+M50)*J50,2)</f>
        <v>75020.73</v>
      </c>
      <c r="O50" s="28">
        <f>SUM(C50+I50+L50+N50+M50)</f>
        <v>1325366.17</v>
      </c>
      <c r="P50" s="3">
        <f t="shared" ref="P50" si="57">P49 + 1</f>
        <v>2</v>
      </c>
      <c r="Q50" s="20" t="str">
        <f>A50</f>
        <v xml:space="preserve">LESTER         </v>
      </c>
      <c r="R50" s="21" t="str">
        <f>B44</f>
        <v>IA</v>
      </c>
      <c r="S50" s="22">
        <f>VALUE(C44)</f>
        <v>0.01</v>
      </c>
      <c r="T50" s="21" t="str">
        <f>CONCATENATE(E50,"/",F50,"/",RIGHT(D50,2))</f>
        <v>99/99/99</v>
      </c>
      <c r="U50" s="21" t="str">
        <f>IF((H50=1),"Electronics",IF((H50=2),"Ski Package",IF((H50=3),"Fishing Package","Error!")))</f>
        <v>Fishing Package</v>
      </c>
      <c r="V50" s="22">
        <f>VALUE(I50)</f>
        <v>0</v>
      </c>
      <c r="W50" s="23">
        <f>O50</f>
        <v>1325366.17</v>
      </c>
      <c r="X50" s="44" t="s">
        <v>123</v>
      </c>
    </row>
    <row r="51" spans="1:24" x14ac:dyDescent="0.25">
      <c r="A51" s="1"/>
      <c r="B51" s="2"/>
      <c r="C51" s="8"/>
      <c r="D51" s="2"/>
      <c r="E51" s="14"/>
      <c r="F51" s="15"/>
      <c r="G51" s="2"/>
      <c r="H51" s="2"/>
      <c r="I51" s="29"/>
      <c r="J51" s="31"/>
      <c r="K51" s="28"/>
      <c r="L51" s="28"/>
      <c r="M51" s="28"/>
      <c r="N51" s="28"/>
      <c r="O51" s="28"/>
      <c r="P51" s="3"/>
      <c r="Q51" s="1"/>
      <c r="R51" s="2"/>
      <c r="S51" s="17"/>
      <c r="T51" s="2"/>
      <c r="U51" s="2"/>
      <c r="V51" s="17"/>
      <c r="W51" s="18"/>
      <c r="X51" s="44"/>
    </row>
    <row r="52" spans="1:24" x14ac:dyDescent="0.25">
      <c r="A52" s="1"/>
      <c r="B52" s="2"/>
      <c r="C52" s="8"/>
      <c r="D52" s="2"/>
      <c r="E52" s="14"/>
      <c r="F52" s="15"/>
      <c r="G52" s="2"/>
      <c r="H52" s="2"/>
      <c r="I52" s="29"/>
      <c r="J52" s="31"/>
      <c r="K52" s="28"/>
      <c r="L52" s="28"/>
      <c r="M52" s="28"/>
      <c r="N52" s="28"/>
      <c r="O52" s="28"/>
      <c r="P52" s="3"/>
      <c r="Q52" s="1" t="s">
        <v>37</v>
      </c>
      <c r="R52" s="2" t="s">
        <v>38</v>
      </c>
      <c r="S52" s="17" t="s">
        <v>39</v>
      </c>
      <c r="T52" s="2" t="s">
        <v>40</v>
      </c>
      <c r="U52" s="2"/>
      <c r="V52" s="17"/>
      <c r="W52" s="18"/>
      <c r="X52" s="44"/>
    </row>
    <row r="53" spans="1:24" x14ac:dyDescent="0.25">
      <c r="A53" s="1"/>
      <c r="B53" s="2"/>
      <c r="C53" s="8"/>
      <c r="D53" s="2"/>
      <c r="E53" s="14"/>
      <c r="F53" s="15"/>
      <c r="G53" s="2"/>
      <c r="H53" s="2"/>
      <c r="I53" s="29"/>
      <c r="J53" s="31"/>
      <c r="K53" s="28"/>
      <c r="L53" s="28"/>
      <c r="M53" s="28"/>
      <c r="N53" s="28"/>
      <c r="O53" s="28"/>
      <c r="P53" s="3"/>
      <c r="Q53" s="25" t="str">
        <f>R50</f>
        <v>IA</v>
      </c>
      <c r="R53" s="24" t="str">
        <f>IF((G50="B"),"Bass Boat",IF((G50="P"),"Pontoon",IF((G50="S"),"Ski Boat",IF((G50="J"),"John Boat",IF((G50="C"),"Canoe",IF((G50="R"),"Cabin Cruiser","ERROR!"))))))</f>
        <v>Pontoon</v>
      </c>
      <c r="S53" s="26">
        <f>P50</f>
        <v>2</v>
      </c>
      <c r="T53" s="27">
        <f>SUM(W49:W50)</f>
        <v>1533634.97</v>
      </c>
      <c r="U53" s="2"/>
      <c r="V53" s="17"/>
      <c r="W53" s="18"/>
      <c r="X53" s="44"/>
    </row>
    <row r="54" spans="1:24" x14ac:dyDescent="0.25">
      <c r="A54" s="1"/>
      <c r="B54" s="2"/>
      <c r="C54" s="8"/>
      <c r="D54" s="2"/>
      <c r="E54" s="14"/>
      <c r="F54" s="15"/>
      <c r="G54" s="2"/>
      <c r="H54" s="2"/>
      <c r="I54" s="29"/>
      <c r="J54" s="31"/>
      <c r="K54" s="28"/>
      <c r="L54" s="28"/>
      <c r="M54" s="28"/>
      <c r="N54" s="28"/>
      <c r="O54" s="28"/>
      <c r="P54" s="3"/>
      <c r="Q54" s="1"/>
      <c r="R54" s="2"/>
      <c r="S54" s="17"/>
      <c r="T54" s="2"/>
      <c r="U54" s="2"/>
      <c r="V54" s="17"/>
      <c r="W54" s="18"/>
      <c r="X54" s="44"/>
    </row>
    <row r="55" spans="1:24" x14ac:dyDescent="0.25">
      <c r="A55" s="1" t="s">
        <v>59</v>
      </c>
      <c r="B55" s="2" t="s">
        <v>64</v>
      </c>
      <c r="C55" s="8" t="s">
        <v>34</v>
      </c>
      <c r="D55" s="2">
        <v>1998</v>
      </c>
      <c r="E55" s="14" t="s">
        <v>72</v>
      </c>
      <c r="F55" s="15" t="s">
        <v>76</v>
      </c>
      <c r="G55" s="2" t="s">
        <v>20</v>
      </c>
      <c r="H55" s="2">
        <v>3</v>
      </c>
      <c r="I55" s="29" t="s">
        <v>29</v>
      </c>
      <c r="J55" s="31">
        <f t="shared" ref="J55:J58" si="58">0.06</f>
        <v>0.06</v>
      </c>
      <c r="K55" s="28">
        <f t="shared" ref="K55:K57" si="59">IF((G55="B"),0.33,IF((G55="P"),0.25,IF((G55="S"),0.425,IF((G55="J"),0.33,IF((G55="C"),0.2,IF((G55="R"),0.3,"ERROR!"))))))</f>
        <v>0.25</v>
      </c>
      <c r="L55" s="28">
        <f t="shared" ref="L55:L57" si="60">ROUND(C55*K55,2)</f>
        <v>0</v>
      </c>
      <c r="M55" s="28" t="str">
        <f t="shared" ref="M55:M57" si="61">IF((H55=1),"5,415.30",IF((H55=2),"3,980.00",IF((H55=3),"345.45","Error!")))</f>
        <v>345.45</v>
      </c>
      <c r="N55" s="28">
        <f t="shared" ref="N55:N57" si="62">ROUND((C55+I55+L55+M55)*J55,2)</f>
        <v>6020.73</v>
      </c>
      <c r="O55" s="28">
        <f>SUM(C55+I55+L55+N55+M55)</f>
        <v>106366.17</v>
      </c>
      <c r="P55" s="3">
        <f t="shared" ref="P55:P57" si="63">P54 + 1</f>
        <v>1</v>
      </c>
      <c r="Q55" s="20" t="str">
        <f>A55</f>
        <v xml:space="preserve">HERNANDEZ      </v>
      </c>
      <c r="R55" s="21" t="str">
        <f>B55</f>
        <v>WI</v>
      </c>
      <c r="S55" s="22">
        <f>VALUE(C49)</f>
        <v>150000</v>
      </c>
      <c r="T55" s="21" t="str">
        <f>CONCATENATE(E55,"/",F55,"/",RIGHT(D55,2))</f>
        <v>08/15/98</v>
      </c>
      <c r="U55" s="21" t="str">
        <f>IF((H55=1),"Electronics",IF((H55=2),"Ski Package",IF((H55=3),"Fishing Package","Error!")))</f>
        <v>Fishing Package</v>
      </c>
      <c r="V55" s="22">
        <f>VALUE(I55)</f>
        <v>99999.99</v>
      </c>
      <c r="W55" s="23">
        <f>O55</f>
        <v>106366.17</v>
      </c>
      <c r="X55" s="44" t="s">
        <v>123</v>
      </c>
    </row>
    <row r="56" spans="1:24" x14ac:dyDescent="0.25">
      <c r="A56" s="1" t="s">
        <v>60</v>
      </c>
      <c r="B56" s="2" t="s">
        <v>64</v>
      </c>
      <c r="C56" s="8" t="s">
        <v>66</v>
      </c>
      <c r="D56" s="2">
        <v>2001</v>
      </c>
      <c r="E56" s="14" t="s">
        <v>69</v>
      </c>
      <c r="F56" s="15" t="s">
        <v>77</v>
      </c>
      <c r="G56" s="2" t="s">
        <v>20</v>
      </c>
      <c r="H56" s="2">
        <v>1</v>
      </c>
      <c r="I56" s="29" t="s">
        <v>35</v>
      </c>
      <c r="J56" s="31">
        <f t="shared" si="58"/>
        <v>0.06</v>
      </c>
      <c r="K56" s="28">
        <f t="shared" si="59"/>
        <v>0.25</v>
      </c>
      <c r="L56" s="28">
        <f t="shared" si="60"/>
        <v>0</v>
      </c>
      <c r="M56" s="28" t="str">
        <f t="shared" si="61"/>
        <v>5,415.30</v>
      </c>
      <c r="N56" s="28">
        <f t="shared" si="62"/>
        <v>324.92</v>
      </c>
      <c r="O56" s="28">
        <f t="shared" ref="O56:O58" si="64">SUM(C56+I56+L56+N56+M56)</f>
        <v>5740.2300000000005</v>
      </c>
      <c r="P56" s="3">
        <f t="shared" si="63"/>
        <v>2</v>
      </c>
      <c r="Q56" s="20" t="str">
        <f t="shared" ref="Q56:Q57" si="65">A56</f>
        <v xml:space="preserve">MUHAMED        </v>
      </c>
      <c r="R56" s="21" t="str">
        <f t="shared" ref="R56:R57" si="66">B56</f>
        <v>WI</v>
      </c>
      <c r="S56" s="22">
        <f t="shared" ref="S56:S57" si="67">VALUE(C50)</f>
        <v>999999.99</v>
      </c>
      <c r="T56" s="21" t="str">
        <f t="shared" ref="T56:T57" si="68">CONCATENATE(E56,"/",F56,"/",RIGHT(D56,2))</f>
        <v>09/11/01</v>
      </c>
      <c r="U56" s="21" t="str">
        <f t="shared" ref="U56:U57" si="69">IF((H56=1),"Electronics",IF((H56=2),"Ski Package",IF((H56=3),"Fishing Package","Error!")))</f>
        <v>Electronics</v>
      </c>
      <c r="V56" s="22">
        <f t="shared" ref="V56:V57" si="70">VALUE(I56)</f>
        <v>0</v>
      </c>
      <c r="W56" s="23">
        <f t="shared" ref="W56:W57" si="71">O56</f>
        <v>5740.2300000000005</v>
      </c>
      <c r="X56" s="44" t="s">
        <v>124</v>
      </c>
    </row>
    <row r="57" spans="1:24" x14ac:dyDescent="0.25">
      <c r="A57" s="1" t="s">
        <v>61</v>
      </c>
      <c r="B57" s="2" t="s">
        <v>64</v>
      </c>
      <c r="C57" s="8" t="s">
        <v>34</v>
      </c>
      <c r="D57" s="2">
        <v>9999</v>
      </c>
      <c r="E57" s="14" t="s">
        <v>71</v>
      </c>
      <c r="F57" s="15" t="s">
        <v>71</v>
      </c>
      <c r="G57" s="2" t="s">
        <v>20</v>
      </c>
      <c r="H57" s="2">
        <v>1</v>
      </c>
      <c r="I57" s="29" t="s">
        <v>70</v>
      </c>
      <c r="J57" s="31">
        <f t="shared" si="58"/>
        <v>0.06</v>
      </c>
      <c r="K57" s="28">
        <f t="shared" si="59"/>
        <v>0.25</v>
      </c>
      <c r="L57" s="28">
        <f t="shared" si="60"/>
        <v>0</v>
      </c>
      <c r="M57" s="28" t="str">
        <f t="shared" si="61"/>
        <v>5,415.30</v>
      </c>
      <c r="N57" s="28">
        <f t="shared" si="62"/>
        <v>324.92</v>
      </c>
      <c r="O57" s="28">
        <f t="shared" si="64"/>
        <v>5740.2300000000005</v>
      </c>
      <c r="P57" s="3">
        <f t="shared" si="63"/>
        <v>3</v>
      </c>
      <c r="Q57" s="20" t="str">
        <f t="shared" si="65"/>
        <v xml:space="preserve">FREEMAN        </v>
      </c>
      <c r="R57" s="21" t="str">
        <f t="shared" si="66"/>
        <v>WI</v>
      </c>
      <c r="S57" s="22">
        <f t="shared" si="67"/>
        <v>0</v>
      </c>
      <c r="T57" s="21" t="str">
        <f t="shared" si="68"/>
        <v>99/99/99</v>
      </c>
      <c r="U57" s="21" t="str">
        <f t="shared" si="69"/>
        <v>Electronics</v>
      </c>
      <c r="V57" s="22">
        <f t="shared" si="70"/>
        <v>0.01</v>
      </c>
      <c r="W57" s="23">
        <f t="shared" si="71"/>
        <v>5740.2300000000005</v>
      </c>
      <c r="X57" s="44" t="s">
        <v>124</v>
      </c>
    </row>
    <row r="58" spans="1:24" x14ac:dyDescent="0.25">
      <c r="A58" s="1" t="s">
        <v>89</v>
      </c>
      <c r="B58" s="2" t="s">
        <v>64</v>
      </c>
      <c r="C58" s="8" t="s">
        <v>90</v>
      </c>
      <c r="D58" s="2">
        <v>2011</v>
      </c>
      <c r="E58" s="15" t="s">
        <v>69</v>
      </c>
      <c r="F58" s="15" t="s">
        <v>91</v>
      </c>
      <c r="G58" s="2" t="s">
        <v>20</v>
      </c>
      <c r="H58" s="2">
        <v>1</v>
      </c>
      <c r="I58" s="29" t="s">
        <v>88</v>
      </c>
      <c r="J58" s="31">
        <f t="shared" si="58"/>
        <v>0.06</v>
      </c>
      <c r="K58" s="28">
        <f t="shared" ref="K58" si="72">IF((G58="B"),0.33,IF((G58="P"),0.25,IF((G58="S"),0.425,IF((G58="J"),0.33,IF((G58="C"),0.2,IF((G58="R"),0.3,"ERROR!"))))))</f>
        <v>0.25</v>
      </c>
      <c r="L58" s="28">
        <f t="shared" ref="L58" si="73">ROUND(C58*K58,2)</f>
        <v>6250</v>
      </c>
      <c r="M58" s="28" t="str">
        <f t="shared" ref="M58" si="74">IF((H58=1),"5,415.30",IF((H58=2),"3,980.00",IF((H58=3),"345.45","Error!")))</f>
        <v>5,415.30</v>
      </c>
      <c r="N58" s="28">
        <f t="shared" ref="N58" si="75">ROUND((C58+I58+L58+M58)*J58,2)</f>
        <v>2499.92</v>
      </c>
      <c r="O58" s="28">
        <f t="shared" si="64"/>
        <v>44165.22</v>
      </c>
      <c r="P58" s="3">
        <f t="shared" ref="P58" si="76">P57 + 1</f>
        <v>4</v>
      </c>
      <c r="Q58" s="20" t="str">
        <f t="shared" ref="Q58" si="77">A58</f>
        <v xml:space="preserve">GEORGE                 </v>
      </c>
      <c r="R58" s="21" t="str">
        <f t="shared" ref="R58" si="78">B58</f>
        <v>WI</v>
      </c>
      <c r="S58" s="22">
        <f t="shared" ref="S58" si="79">VALUE(C52)</f>
        <v>0</v>
      </c>
      <c r="T58" s="21" t="str">
        <f t="shared" ref="T58" si="80">CONCATENATE(E58,"/",F58,"/",RIGHT(D58,2))</f>
        <v>09/04/11</v>
      </c>
      <c r="U58" s="21" t="str">
        <f t="shared" ref="U58" si="81">IF((H58=1),"Electronics",IF((H58=2),"Ski Package",IF((H58=3),"Fishing Package","Error!")))</f>
        <v>Electronics</v>
      </c>
      <c r="V58" s="22">
        <f t="shared" ref="V58" si="82">VALUE(I58)</f>
        <v>5000</v>
      </c>
      <c r="W58" s="23">
        <f t="shared" ref="W58" si="83">O58</f>
        <v>44165.22</v>
      </c>
      <c r="X58" s="44" t="s">
        <v>122</v>
      </c>
    </row>
    <row r="59" spans="1:24" x14ac:dyDescent="0.25">
      <c r="A59" s="1"/>
      <c r="B59" s="2"/>
      <c r="C59" s="8"/>
      <c r="D59" s="2"/>
      <c r="E59" s="14"/>
      <c r="F59" s="15"/>
      <c r="G59" s="2"/>
      <c r="H59" s="2"/>
      <c r="I59" s="29"/>
      <c r="J59" s="31"/>
      <c r="K59" s="28"/>
      <c r="L59" s="28"/>
      <c r="M59" s="28"/>
      <c r="N59" s="28"/>
      <c r="O59" s="28"/>
      <c r="P59" s="3"/>
      <c r="X59" s="44"/>
    </row>
    <row r="60" spans="1:24" x14ac:dyDescent="0.25">
      <c r="A60" s="1"/>
      <c r="B60" s="2"/>
      <c r="C60" s="8"/>
      <c r="D60" s="2"/>
      <c r="E60" s="14"/>
      <c r="F60" s="15"/>
      <c r="G60" s="2"/>
      <c r="H60" s="2"/>
      <c r="I60" s="29"/>
      <c r="J60" s="31"/>
      <c r="K60" s="28"/>
      <c r="L60" s="28"/>
      <c r="M60" s="28"/>
      <c r="N60" s="28"/>
      <c r="O60" s="28"/>
      <c r="P60" s="3"/>
      <c r="Q60" s="1" t="s">
        <v>37</v>
      </c>
      <c r="R60" s="2" t="s">
        <v>38</v>
      </c>
      <c r="S60" s="17" t="s">
        <v>39</v>
      </c>
      <c r="T60" s="2" t="s">
        <v>40</v>
      </c>
      <c r="U60" s="2"/>
      <c r="V60" s="17"/>
      <c r="W60" s="18"/>
      <c r="X60" s="44"/>
    </row>
    <row r="61" spans="1:24" x14ac:dyDescent="0.25">
      <c r="A61" s="1"/>
      <c r="B61" s="2"/>
      <c r="C61" s="8"/>
      <c r="D61" s="2"/>
      <c r="E61" s="14"/>
      <c r="F61" s="15"/>
      <c r="G61" s="2"/>
      <c r="H61" s="2"/>
      <c r="I61" s="29"/>
      <c r="J61" s="31"/>
      <c r="K61" s="28"/>
      <c r="L61" s="28"/>
      <c r="M61" s="28"/>
      <c r="N61" s="28"/>
      <c r="O61" s="28"/>
      <c r="P61" s="3"/>
      <c r="Q61" s="25" t="str">
        <f>R55</f>
        <v>WI</v>
      </c>
      <c r="R61" s="24" t="str">
        <f>IF((G57="B"),"Bass Boat",IF((G57="P"),"Pontoon",IF((G57="S"),"Ski Boat",IF((G57="J"),"John Boat",IF((G57="C"),"Canoe",IF((G57="R"),"Cabin Cruiser","ERROR!"))))))</f>
        <v>Pontoon</v>
      </c>
      <c r="S61" s="26">
        <f>P58</f>
        <v>4</v>
      </c>
      <c r="T61" s="27">
        <f>SUM(W55:W58)</f>
        <v>162011.84999999998</v>
      </c>
      <c r="U61" s="2"/>
      <c r="V61" s="17"/>
      <c r="W61" s="18"/>
      <c r="X61" s="44"/>
    </row>
    <row r="62" spans="1:24" x14ac:dyDescent="0.25">
      <c r="A62" s="1"/>
      <c r="B62" s="2"/>
      <c r="C62" s="8"/>
      <c r="D62" s="2"/>
      <c r="E62" s="14"/>
      <c r="F62" s="15"/>
      <c r="G62" s="2"/>
      <c r="H62" s="2"/>
      <c r="I62" s="29"/>
      <c r="J62" s="31"/>
      <c r="K62" s="28"/>
      <c r="L62" s="28"/>
      <c r="M62" s="28"/>
      <c r="N62" s="28"/>
      <c r="O62" s="28"/>
      <c r="P62" s="3"/>
      <c r="Q62" s="1"/>
      <c r="R62" s="2"/>
      <c r="S62" s="17"/>
      <c r="T62" s="2"/>
      <c r="U62" s="2"/>
      <c r="V62" s="17"/>
      <c r="W62" s="18"/>
      <c r="X62" s="44"/>
    </row>
    <row r="63" spans="1:24" x14ac:dyDescent="0.25">
      <c r="A63" s="1" t="s">
        <v>62</v>
      </c>
      <c r="B63" s="2" t="s">
        <v>65</v>
      </c>
      <c r="C63" s="8" t="s">
        <v>23</v>
      </c>
      <c r="D63" s="2">
        <v>9999</v>
      </c>
      <c r="E63" s="14" t="s">
        <v>71</v>
      </c>
      <c r="F63" s="15" t="s">
        <v>71</v>
      </c>
      <c r="G63" s="2" t="s">
        <v>20</v>
      </c>
      <c r="H63" s="2">
        <v>1</v>
      </c>
      <c r="I63" s="29" t="s">
        <v>29</v>
      </c>
      <c r="J63" s="31">
        <f t="shared" ref="J63" si="84">0.06</f>
        <v>0.06</v>
      </c>
      <c r="K63" s="28">
        <f t="shared" ref="K63" si="85">IF((G63="B"),0.33,IF((G63="P"),0.25,IF((G63="S"),0.425,IF((G63="J"),0.33,IF((G63="C"),0.2,IF((G63="R"),0.3,"ERROR!"))))))</f>
        <v>0.25</v>
      </c>
      <c r="L63" s="28">
        <f t="shared" ref="L63" si="86">ROUND(C63*K63,2)</f>
        <v>250000</v>
      </c>
      <c r="M63" s="28" t="str">
        <f t="shared" ref="M63" si="87">IF((H63=1),"5,415.30",IF((H63=2),"3,980.00",IF((H63=3),"345.45","Error!")))</f>
        <v>5,415.30</v>
      </c>
      <c r="N63" s="28">
        <f t="shared" ref="N63" si="88">ROUND((C63+I63+L63+M63)*J63,2)</f>
        <v>81324.92</v>
      </c>
      <c r="O63" s="28">
        <f>SUM(C63+I63+L63+N63+M63)</f>
        <v>1436740.2</v>
      </c>
      <c r="P63" s="3">
        <f t="shared" ref="P63" si="89">P62 + 1</f>
        <v>1</v>
      </c>
      <c r="Q63" s="20" t="str">
        <f t="shared" ref="Q63" si="90">A63</f>
        <v>XXXXXXXXXXXXXXX</v>
      </c>
      <c r="R63" s="21" t="str">
        <f t="shared" ref="R63" si="91">B63</f>
        <v>ZZ</v>
      </c>
      <c r="S63" s="22">
        <f t="shared" ref="S63" si="92">VALUE(C56)</f>
        <v>0.01</v>
      </c>
      <c r="T63" s="21" t="str">
        <f t="shared" ref="T63" si="93">CONCATENATE(E63,"/",F63,"/",RIGHT(D63,2))</f>
        <v>99/99/99</v>
      </c>
      <c r="U63" s="21" t="str">
        <f t="shared" ref="U63" si="94">IF((H63=1),"Electronics",IF((H63=2),"Ski Package",IF((H63=3),"Fishing Package","Error!")))</f>
        <v>Electronics</v>
      </c>
      <c r="V63" s="22">
        <f t="shared" ref="V63" si="95">VALUE(I63)</f>
        <v>99999.99</v>
      </c>
      <c r="W63" s="23">
        <f t="shared" ref="W63" si="96">O63</f>
        <v>1436740.2</v>
      </c>
      <c r="X63" s="44" t="s">
        <v>125</v>
      </c>
    </row>
    <row r="64" spans="1:24" x14ac:dyDescent="0.25">
      <c r="A64" s="1"/>
      <c r="B64" s="2"/>
      <c r="C64" s="8"/>
      <c r="D64" s="2"/>
      <c r="E64" s="14"/>
      <c r="F64" s="15"/>
      <c r="G64" s="2"/>
      <c r="H64" s="2"/>
      <c r="I64" s="29"/>
      <c r="J64" s="31"/>
      <c r="K64" s="28"/>
      <c r="L64" s="28"/>
      <c r="M64" s="28"/>
      <c r="N64" s="28"/>
      <c r="O64" s="28"/>
      <c r="P64" s="3"/>
      <c r="Q64" s="1"/>
      <c r="R64" s="2"/>
      <c r="S64" s="17"/>
      <c r="T64" s="2"/>
      <c r="U64" s="2"/>
      <c r="V64" s="17"/>
      <c r="W64" s="18"/>
      <c r="X64" s="44"/>
    </row>
    <row r="65" spans="1:24" x14ac:dyDescent="0.25">
      <c r="A65" s="1"/>
      <c r="B65" s="2"/>
      <c r="C65" s="8"/>
      <c r="D65" s="2"/>
      <c r="E65" s="14"/>
      <c r="F65" s="15"/>
      <c r="G65" s="2"/>
      <c r="H65" s="2"/>
      <c r="I65" s="29"/>
      <c r="J65" s="31"/>
      <c r="K65" s="28"/>
      <c r="L65" s="28"/>
      <c r="M65" s="28"/>
      <c r="N65" s="28"/>
      <c r="O65" s="28"/>
      <c r="P65" s="3"/>
      <c r="Q65" s="1" t="s">
        <v>37</v>
      </c>
      <c r="R65" s="2" t="s">
        <v>38</v>
      </c>
      <c r="S65" s="17" t="s">
        <v>39</v>
      </c>
      <c r="T65" s="2" t="s">
        <v>40</v>
      </c>
      <c r="U65" s="2"/>
      <c r="V65" s="17"/>
      <c r="W65" s="18"/>
      <c r="X65" s="44"/>
    </row>
    <row r="66" spans="1:24" x14ac:dyDescent="0.25">
      <c r="A66" s="1"/>
      <c r="B66" s="2"/>
      <c r="C66" s="8"/>
      <c r="D66" s="2"/>
      <c r="E66" s="14"/>
      <c r="F66" s="15"/>
      <c r="G66" s="2"/>
      <c r="H66" s="2"/>
      <c r="I66" s="29"/>
      <c r="J66" s="31"/>
      <c r="K66" s="28"/>
      <c r="L66" s="28"/>
      <c r="M66" s="28"/>
      <c r="N66" s="28"/>
      <c r="O66" s="28"/>
      <c r="P66" s="3"/>
      <c r="Q66" s="25" t="str">
        <f>R63</f>
        <v>ZZ</v>
      </c>
      <c r="R66" s="24" t="str">
        <f>IF((G63="B"),"Bass Boat",IF((G63="P"),"Pontoon",IF((G63="S"),"Ski Boat",IF((G63="J"),"John Boat",IF((G63="C"),"Canoe",IF((G63="R"),"Cabin Cruiser","ERROR!"))))))</f>
        <v>Pontoon</v>
      </c>
      <c r="S66" s="26">
        <f>P63</f>
        <v>1</v>
      </c>
      <c r="T66" s="27">
        <f>SUM(W63)</f>
        <v>1436740.2</v>
      </c>
      <c r="U66" s="2"/>
      <c r="V66" s="17"/>
      <c r="W66" s="18"/>
      <c r="X66" s="44"/>
    </row>
    <row r="67" spans="1:24" x14ac:dyDescent="0.25">
      <c r="A67" s="1"/>
      <c r="B67" s="2"/>
      <c r="C67" s="8"/>
      <c r="D67" s="2"/>
      <c r="E67" s="14"/>
      <c r="F67" s="15"/>
      <c r="G67" s="2"/>
      <c r="H67" s="2"/>
      <c r="I67" s="29"/>
      <c r="J67" s="31"/>
      <c r="K67" s="28"/>
      <c r="L67" s="28"/>
      <c r="M67" s="28"/>
      <c r="N67" s="28"/>
      <c r="O67" s="28"/>
      <c r="P67" s="3"/>
      <c r="Q67" s="1"/>
      <c r="R67" s="2"/>
      <c r="S67" s="17"/>
      <c r="T67" s="2"/>
      <c r="U67" s="2"/>
      <c r="V67" s="17"/>
      <c r="W67" s="18"/>
      <c r="X67" s="44"/>
    </row>
    <row r="68" spans="1:24" x14ac:dyDescent="0.25">
      <c r="A68" s="1"/>
      <c r="J68" s="31"/>
      <c r="K68" s="28"/>
      <c r="L68" s="28"/>
      <c r="M68" s="28"/>
      <c r="N68" s="28"/>
      <c r="O68" s="28"/>
      <c r="P68" s="3"/>
      <c r="Q68" s="1" t="s">
        <v>41</v>
      </c>
      <c r="R68" s="2" t="s">
        <v>42</v>
      </c>
      <c r="S68" s="2" t="s">
        <v>43</v>
      </c>
      <c r="T68" s="2"/>
      <c r="U68" s="2"/>
      <c r="V68" s="2"/>
      <c r="X68" s="44"/>
    </row>
    <row r="69" spans="1:24" x14ac:dyDescent="0.25">
      <c r="A69" s="1"/>
      <c r="J69" s="13"/>
      <c r="K69" s="28"/>
      <c r="L69" s="28"/>
      <c r="M69" s="28"/>
      <c r="N69" s="28"/>
      <c r="O69" s="28"/>
      <c r="P69" s="3"/>
      <c r="Q69" s="33" t="str">
        <f>IF((G37="B"),"Bass Boat",IF((G37="P"),"Pontoon",IF((G37="S"),"Ski Boat",IF((G37="J"),"John Boat",IF((G37="C"),"Canoe",IF((G37="R"),"Cabin Cruiser","ERROR!"))))))</f>
        <v>Pontoon</v>
      </c>
      <c r="R69" s="36">
        <f>SUM(S41,S47,S53,S61,S66)</f>
        <v>11</v>
      </c>
      <c r="S69" s="34">
        <f>SUM(T66,T61,T53,T47,T41)</f>
        <v>4577931.04</v>
      </c>
      <c r="T69" s="2"/>
      <c r="U69" s="2"/>
      <c r="V69" s="2"/>
      <c r="X69" s="44"/>
    </row>
    <row r="70" spans="1:24" x14ac:dyDescent="0.25">
      <c r="A70" s="1"/>
      <c r="J70" s="13"/>
      <c r="K70" s="28"/>
      <c r="L70" s="28"/>
      <c r="M70" s="28"/>
      <c r="N70" s="28"/>
      <c r="O70" s="28"/>
      <c r="P70" s="3"/>
      <c r="T70" s="2"/>
      <c r="U70" s="2"/>
      <c r="V70" s="2"/>
      <c r="X70" s="44"/>
    </row>
    <row r="71" spans="1:24" x14ac:dyDescent="0.25">
      <c r="A71" s="1" t="s">
        <v>51</v>
      </c>
      <c r="B71" s="2" t="s">
        <v>63</v>
      </c>
      <c r="C71" s="8" t="s">
        <v>34</v>
      </c>
      <c r="D71" s="2">
        <v>2019</v>
      </c>
      <c r="E71" s="2">
        <v>12</v>
      </c>
      <c r="F71" s="2">
        <v>11</v>
      </c>
      <c r="G71" s="2" t="s">
        <v>22</v>
      </c>
      <c r="H71" s="7">
        <v>2</v>
      </c>
      <c r="I71" s="8" t="s">
        <v>35</v>
      </c>
      <c r="J71" s="31">
        <f t="shared" ref="J71:J73" si="97">0.06</f>
        <v>0.06</v>
      </c>
      <c r="K71">
        <f t="shared" ref="K71:K72" si="98">IF((G71="B"),0.33,IF((G71="P"),0.25,IF((G71="S"),0.425,IF((G71="J"),0.33,IF((G71="C"),0.2,IF((G71="R"),0.3,"ERROR!"))))))</f>
        <v>0.42499999999999999</v>
      </c>
      <c r="L71" s="28">
        <f t="shared" ref="L71:L72" si="99">ROUND(C71*K71,2)</f>
        <v>0</v>
      </c>
      <c r="M71" s="7" t="str">
        <f>IF((H71=1),"5,415.30",IF((H71=2),"3,980.00",IF((H71=3),"345.45","Error!")))</f>
        <v>3,980.00</v>
      </c>
      <c r="N71" s="28">
        <f>ROUND((C71+I71+L71+M71)*J71,2)</f>
        <v>238.8</v>
      </c>
      <c r="O71" s="28">
        <f>SUM(C71+I71+L71+N71+M71)</f>
        <v>4218.8</v>
      </c>
      <c r="P71" s="3">
        <v>1</v>
      </c>
      <c r="Q71" s="20" t="str">
        <f t="shared" ref="Q71:Q72" si="100">A71</f>
        <v xml:space="preserve">BOB - DYLAN    </v>
      </c>
      <c r="R71" s="21" t="str">
        <f t="shared" ref="R71:R72" si="101">B71</f>
        <v>CA</v>
      </c>
      <c r="S71" s="22">
        <f>VALUE(C71)</f>
        <v>0</v>
      </c>
      <c r="T71" s="21" t="str">
        <f>CONCATENATE(E71,"/",F71,"/",RIGHT(D71,2))</f>
        <v>12/11/19</v>
      </c>
      <c r="U71" s="21" t="str">
        <f>IF((H71=1),"Electronics",IF((H71=2),"Ski Package",IF((H71=3),"Fishing Package","Error!")))</f>
        <v>Ski Package</v>
      </c>
      <c r="V71" s="22">
        <f>VALUE(I71)</f>
        <v>0</v>
      </c>
      <c r="W71" s="23">
        <f>O71</f>
        <v>4218.8</v>
      </c>
      <c r="X71" s="44" t="s">
        <v>119</v>
      </c>
    </row>
    <row r="72" spans="1:24" x14ac:dyDescent="0.25">
      <c r="A72" s="1" t="s">
        <v>52</v>
      </c>
      <c r="B72" s="2" t="s">
        <v>63</v>
      </c>
      <c r="C72" s="8" t="s">
        <v>66</v>
      </c>
      <c r="D72" s="2">
        <v>2015</v>
      </c>
      <c r="E72" s="14" t="s">
        <v>69</v>
      </c>
      <c r="F72" s="15" t="s">
        <v>69</v>
      </c>
      <c r="G72" s="2" t="s">
        <v>22</v>
      </c>
      <c r="H72" s="2">
        <v>1</v>
      </c>
      <c r="I72" s="29" t="s">
        <v>70</v>
      </c>
      <c r="J72" s="31">
        <f t="shared" si="97"/>
        <v>0.06</v>
      </c>
      <c r="K72">
        <f t="shared" si="98"/>
        <v>0.42499999999999999</v>
      </c>
      <c r="L72" s="28">
        <f t="shared" si="99"/>
        <v>0</v>
      </c>
      <c r="M72" s="7" t="str">
        <f t="shared" ref="M72" si="102">IF((H72=1),"5,415.30",IF((H72=2),"3,90.00",IF((H72=3),"345.45","Error!")))</f>
        <v>5,415.30</v>
      </c>
      <c r="N72" s="28">
        <f>ROUND((C72+I72+L72+M72)*J72,2)</f>
        <v>324.92</v>
      </c>
      <c r="O72" s="28">
        <f t="shared" ref="O72:O73" si="103">SUM(C72+I72+L72+N72+M72)</f>
        <v>5740.24</v>
      </c>
      <c r="P72" s="3">
        <f>P71+1</f>
        <v>2</v>
      </c>
      <c r="Q72" s="20" t="str">
        <f t="shared" si="100"/>
        <v xml:space="preserve">DAVIS          </v>
      </c>
      <c r="R72" s="21" t="str">
        <f t="shared" si="101"/>
        <v>CA</v>
      </c>
      <c r="S72" s="22">
        <f>VALUE(C72)</f>
        <v>0.01</v>
      </c>
      <c r="T72" s="21" t="str">
        <f>CONCATENATE(E72,"/",F72,"/",RIGHT(D72,2))</f>
        <v>09/09/15</v>
      </c>
      <c r="U72" s="21" t="str">
        <f>IF((H72=1),"Electronics",IF((H72=2),"Ski Package",IF((H72=3),"Fishing Package","Error!")))</f>
        <v>Electronics</v>
      </c>
      <c r="V72" s="22">
        <f>VALUE(I72)</f>
        <v>0.01</v>
      </c>
      <c r="W72" s="23">
        <f>O72</f>
        <v>5740.24</v>
      </c>
      <c r="X72" s="44" t="s">
        <v>120</v>
      </c>
    </row>
    <row r="73" spans="1:24" x14ac:dyDescent="0.25">
      <c r="A73" s="1" t="s">
        <v>92</v>
      </c>
      <c r="B73" s="2" t="s">
        <v>63</v>
      </c>
      <c r="C73" s="8" t="s">
        <v>115</v>
      </c>
      <c r="D73" s="2">
        <v>2011</v>
      </c>
      <c r="E73" s="14" t="s">
        <v>116</v>
      </c>
      <c r="F73" s="15" t="s">
        <v>91</v>
      </c>
      <c r="G73" s="2" t="s">
        <v>22</v>
      </c>
      <c r="H73" s="2">
        <v>2</v>
      </c>
      <c r="I73" s="29" t="s">
        <v>117</v>
      </c>
      <c r="J73" s="31">
        <f t="shared" si="97"/>
        <v>0.06</v>
      </c>
      <c r="K73">
        <f t="shared" ref="K73" si="104">IF((G73="B"),0.33,IF((G73="P"),0.25,IF((G73="S"),0.425,IF((G73="J"),0.33,IF((G73="C"),0.2,IF((G73="R"),0.3,"ERROR!"))))))</f>
        <v>0.42499999999999999</v>
      </c>
      <c r="L73" s="28">
        <f t="shared" ref="L73" si="105">ROUND(C73*K73,2)</f>
        <v>212500</v>
      </c>
      <c r="M73" s="7" t="str">
        <f>IF((H73=1),"5,415.30",IF((H73=2),"3,980.00",IF((H73=3),"345.45","Error!")))</f>
        <v>3,980.00</v>
      </c>
      <c r="N73" s="28">
        <f>ROUND((C73+I73+L73+M73)*J73,2)</f>
        <v>43588.800000000003</v>
      </c>
      <c r="O73" s="28">
        <f t="shared" si="103"/>
        <v>770068.8</v>
      </c>
      <c r="P73" s="3">
        <f>P72+1</f>
        <v>3</v>
      </c>
      <c r="Q73" s="20" t="str">
        <f t="shared" ref="Q73" si="106">A73</f>
        <v xml:space="preserve">SCHWARZENEGGER </v>
      </c>
      <c r="R73" s="21" t="str">
        <f t="shared" ref="R73" si="107">B73</f>
        <v>CA</v>
      </c>
      <c r="S73" s="22">
        <f>VALUE(C73)</f>
        <v>500000</v>
      </c>
      <c r="T73" s="21" t="str">
        <f>CONCATENATE(E73,"/",F73,"/",RIGHT(D73,2))</f>
        <v>07/04/11</v>
      </c>
      <c r="U73" s="21" t="str">
        <f>IF((H73=1),"Electronics",IF((H73=2),"Ski Package",IF((H73=3),"Fishing Package","Error!")))</f>
        <v>Ski Package</v>
      </c>
      <c r="V73" s="22">
        <f>VALUE(I73)</f>
        <v>10000</v>
      </c>
      <c r="W73" s="23">
        <f>O73</f>
        <v>770068.8</v>
      </c>
      <c r="X73" s="44" t="s">
        <v>122</v>
      </c>
    </row>
    <row r="74" spans="1:24" x14ac:dyDescent="0.25">
      <c r="A74" s="1"/>
      <c r="B74" s="2"/>
      <c r="C74" s="8"/>
      <c r="D74" s="2"/>
      <c r="E74" s="14"/>
      <c r="F74" s="15"/>
      <c r="G74" s="2"/>
      <c r="H74" s="2"/>
      <c r="I74" s="29"/>
      <c r="J74" s="31"/>
      <c r="L74" s="28"/>
      <c r="M74" s="7"/>
      <c r="N74" s="28"/>
      <c r="O74" s="28"/>
      <c r="P74" s="3"/>
      <c r="Q74" s="1"/>
      <c r="R74" s="2"/>
      <c r="S74" s="17"/>
      <c r="T74" s="2"/>
      <c r="U74" s="2"/>
      <c r="V74" s="17"/>
      <c r="W74" s="18"/>
      <c r="X74" s="44"/>
    </row>
    <row r="75" spans="1:24" x14ac:dyDescent="0.25">
      <c r="A75" s="1"/>
      <c r="B75" s="2"/>
      <c r="C75" s="8"/>
      <c r="D75" s="2"/>
      <c r="E75" s="14"/>
      <c r="F75" s="15"/>
      <c r="G75" s="2"/>
      <c r="H75" s="2"/>
      <c r="I75" s="29"/>
      <c r="J75" s="31"/>
      <c r="L75" s="28"/>
      <c r="M75" s="7"/>
      <c r="N75" s="28"/>
      <c r="O75" s="28"/>
      <c r="P75" s="3"/>
      <c r="Q75" s="1" t="s">
        <v>37</v>
      </c>
      <c r="R75" s="2" t="s">
        <v>38</v>
      </c>
      <c r="S75" s="17" t="s">
        <v>39</v>
      </c>
      <c r="T75" s="2" t="s">
        <v>40</v>
      </c>
      <c r="U75" s="2"/>
      <c r="V75" s="17"/>
      <c r="W75" s="18"/>
      <c r="X75" s="44"/>
    </row>
    <row r="76" spans="1:24" x14ac:dyDescent="0.25">
      <c r="A76" s="1"/>
      <c r="B76" s="2"/>
      <c r="C76" s="8"/>
      <c r="D76" s="2"/>
      <c r="E76" s="14"/>
      <c r="F76" s="15"/>
      <c r="G76" s="2"/>
      <c r="H76" s="2"/>
      <c r="I76" s="29"/>
      <c r="J76" s="31"/>
      <c r="L76" s="28"/>
      <c r="M76" s="7"/>
      <c r="N76" s="28"/>
      <c r="O76" s="28"/>
      <c r="P76" s="3"/>
      <c r="Q76" s="25" t="str">
        <f>R71</f>
        <v>CA</v>
      </c>
      <c r="R76" s="24" t="str">
        <f>IF((G71="B"),"Bass Boat",IF((G71="P"),"Pontoon",IF((G71="S"),"Ski Boat",IF((G71="J"),"John Boat",IF((G71="C"),"Canoe",IF((G71="R"),"Cabin Cruiser","ERROR!"))))))</f>
        <v>Ski Boat</v>
      </c>
      <c r="S76" s="26">
        <f>P73</f>
        <v>3</v>
      </c>
      <c r="T76" s="27">
        <f>SUM(W71:W73)</f>
        <v>780027.84000000008</v>
      </c>
      <c r="U76" s="2"/>
      <c r="V76" s="17"/>
      <c r="W76" s="18"/>
      <c r="X76" s="44"/>
    </row>
    <row r="77" spans="1:24" x14ac:dyDescent="0.25">
      <c r="A77" s="1"/>
      <c r="B77" s="2"/>
      <c r="C77" s="8"/>
      <c r="D77" s="2"/>
      <c r="E77" s="14"/>
      <c r="F77" s="15"/>
      <c r="G77" s="2"/>
      <c r="H77" s="2"/>
      <c r="I77" s="29"/>
      <c r="J77" s="31"/>
      <c r="L77" s="28"/>
      <c r="M77" s="7"/>
      <c r="N77" s="28"/>
      <c r="O77" s="28"/>
      <c r="P77" s="3"/>
      <c r="Q77" s="1"/>
      <c r="R77" s="2"/>
      <c r="S77" s="17"/>
      <c r="T77" s="2"/>
      <c r="U77" s="2"/>
      <c r="V77" s="17"/>
      <c r="W77" s="18"/>
      <c r="X77" s="44"/>
    </row>
    <row r="78" spans="1:24" x14ac:dyDescent="0.25">
      <c r="A78" s="1" t="s">
        <v>53</v>
      </c>
      <c r="B78" s="7" t="s">
        <v>14</v>
      </c>
      <c r="C78" s="8" t="s">
        <v>23</v>
      </c>
      <c r="D78" s="2">
        <v>9999</v>
      </c>
      <c r="E78" s="15" t="s">
        <v>71</v>
      </c>
      <c r="F78" s="16" t="s">
        <v>71</v>
      </c>
      <c r="G78" s="7" t="s">
        <v>22</v>
      </c>
      <c r="H78" s="7">
        <v>2</v>
      </c>
      <c r="I78" s="29" t="s">
        <v>70</v>
      </c>
      <c r="J78" s="31">
        <f>0.06</f>
        <v>0.06</v>
      </c>
      <c r="K78">
        <f>IF((G78="B"),0.33,IF((G78="P"),0.25,IF((G78="S"),0.425,IF((G78="J"),0.33,IF((G78="C"),0.2,IF((G78="R"),0.3,"ERROR!"))))))</f>
        <v>0.42499999999999999</v>
      </c>
      <c r="L78" s="28">
        <f>ROUND(C78*K78,2)</f>
        <v>425000</v>
      </c>
      <c r="M78" s="7" t="str">
        <f>IF((H78=1),"5,415.30",IF((H78=2),"3,980.00",IF((H78=3),"345.45","Error!")))</f>
        <v>3,980.00</v>
      </c>
      <c r="N78" s="28">
        <f>ROUND((C78+I78+L78+M78)*J78,2)</f>
        <v>85738.8</v>
      </c>
      <c r="O78" s="28">
        <f>SUM(C78+I78+L78+N78+M78)</f>
        <v>1514718.8</v>
      </c>
      <c r="P78" s="3">
        <f>1</f>
        <v>1</v>
      </c>
      <c r="Q78" s="20" t="str">
        <f t="shared" ref="Q78:Q79" si="108">A78</f>
        <v xml:space="preserve">QUERVO         </v>
      </c>
      <c r="R78" s="21" t="str">
        <f t="shared" ref="R78:R79" si="109">B78</f>
        <v>IA</v>
      </c>
      <c r="S78" s="22">
        <f>VALUE(C78)</f>
        <v>999999.99</v>
      </c>
      <c r="T78" s="21" t="str">
        <f>CONCATENATE(E78,"/",F78,"/",RIGHT(D78,2))</f>
        <v>99/99/99</v>
      </c>
      <c r="U78" s="21" t="str">
        <f>IF((H78=1),"Electronics",IF((H78=2),"Ski Package",IF((H78=3),"Fishing Package","Error!")))</f>
        <v>Ski Package</v>
      </c>
      <c r="V78" s="22">
        <f>VALUE(I78)</f>
        <v>0.01</v>
      </c>
      <c r="W78" s="23">
        <f>O78</f>
        <v>1514718.8</v>
      </c>
      <c r="X78" s="44" t="s">
        <v>121</v>
      </c>
    </row>
    <row r="79" spans="1:24" x14ac:dyDescent="0.25">
      <c r="A79" s="1" t="s">
        <v>55</v>
      </c>
      <c r="B79" s="7" t="s">
        <v>14</v>
      </c>
      <c r="C79" s="8" t="s">
        <v>66</v>
      </c>
      <c r="D79" s="2">
        <v>2019</v>
      </c>
      <c r="E79" s="15" t="s">
        <v>73</v>
      </c>
      <c r="F79" s="16" t="s">
        <v>26</v>
      </c>
      <c r="G79" s="7" t="s">
        <v>22</v>
      </c>
      <c r="H79" s="7">
        <v>3</v>
      </c>
      <c r="I79" s="29" t="s">
        <v>29</v>
      </c>
      <c r="J79" s="31">
        <f>0.06</f>
        <v>0.06</v>
      </c>
      <c r="K79">
        <f>IF((G79="B"),0.33,IF((G79="P"),0.25,IF((G79="S"),0.425,IF((G79="J"),0.33,IF((G79="C"),0.2,IF((G79="R"),0.3,"ERROR!"))))))</f>
        <v>0.42499999999999999</v>
      </c>
      <c r="L79" s="28">
        <f>ROUND(C79*K79,2)</f>
        <v>0</v>
      </c>
      <c r="M79" s="7" t="str">
        <f t="shared" ref="M79" si="110">IF((H79=1),"5,415.30",IF((H79=2),"3,980.00",IF((H79=3),"345.45","Error!")))</f>
        <v>345.45</v>
      </c>
      <c r="N79" s="28">
        <f t="shared" ref="N79" si="111">ROUND((C79+I79+L79+M79)*J79,2)</f>
        <v>6020.73</v>
      </c>
      <c r="O79" s="28">
        <f t="shared" ref="O79" si="112">SUM(C79+I79+L79+N79+M79)</f>
        <v>106366.18</v>
      </c>
      <c r="P79" s="3">
        <f>P78 +1</f>
        <v>2</v>
      </c>
      <c r="Q79" s="20" t="str">
        <f t="shared" si="108"/>
        <v xml:space="preserve">BIRKNER        </v>
      </c>
      <c r="R79" s="21" t="str">
        <f t="shared" si="109"/>
        <v>IA</v>
      </c>
      <c r="S79" s="22">
        <f>VALUE(C79)</f>
        <v>0.01</v>
      </c>
      <c r="T79" s="21" t="str">
        <f>CONCATENATE(E79,"/",F79,"/",RIGHT(D79,2))</f>
        <v>06/01/19</v>
      </c>
      <c r="U79" s="21" t="str">
        <f>IF((H79=1),"Electronics",IF((H79=2),"Ski Package",IF((H79=3),"Fishing Package","Error!")))</f>
        <v>Fishing Package</v>
      </c>
      <c r="V79" s="22">
        <f>VALUE(I79)</f>
        <v>99999.99</v>
      </c>
      <c r="W79" s="23">
        <f>O79</f>
        <v>106366.18</v>
      </c>
      <c r="X79" s="44" t="s">
        <v>121</v>
      </c>
    </row>
    <row r="80" spans="1:24" x14ac:dyDescent="0.25">
      <c r="A80" s="1"/>
      <c r="B80" s="2"/>
      <c r="C80" s="8"/>
      <c r="D80" s="2"/>
      <c r="E80" s="14"/>
      <c r="F80" s="15"/>
      <c r="G80" s="2"/>
      <c r="H80" s="2"/>
      <c r="I80" s="29"/>
      <c r="J80" s="31"/>
      <c r="L80" s="28"/>
      <c r="M80" s="28"/>
      <c r="N80" s="28"/>
      <c r="O80" s="28"/>
      <c r="P80" s="3"/>
      <c r="Q80" s="1"/>
      <c r="R80" s="2"/>
      <c r="S80" s="17"/>
      <c r="T80" s="2"/>
      <c r="U80" s="2"/>
      <c r="V80" s="17"/>
      <c r="W80" s="18"/>
      <c r="X80" s="44"/>
    </row>
    <row r="81" spans="1:24" x14ac:dyDescent="0.25">
      <c r="A81" s="1"/>
      <c r="B81" s="2"/>
      <c r="C81" s="8"/>
      <c r="D81" s="2"/>
      <c r="E81" s="14"/>
      <c r="F81" s="15"/>
      <c r="G81" s="2"/>
      <c r="H81" s="2"/>
      <c r="I81" s="29"/>
      <c r="J81" s="31"/>
      <c r="L81" s="28"/>
      <c r="M81" s="28"/>
      <c r="N81" s="28"/>
      <c r="O81" s="28"/>
      <c r="P81" s="3"/>
      <c r="Q81" s="1" t="s">
        <v>37</v>
      </c>
      <c r="R81" s="2" t="s">
        <v>38</v>
      </c>
      <c r="S81" s="17" t="s">
        <v>39</v>
      </c>
      <c r="T81" s="2" t="s">
        <v>40</v>
      </c>
      <c r="U81" s="2"/>
      <c r="V81" s="17"/>
      <c r="W81" s="18"/>
      <c r="X81" s="44"/>
    </row>
    <row r="82" spans="1:24" x14ac:dyDescent="0.25">
      <c r="A82" s="1"/>
      <c r="B82" s="2"/>
      <c r="C82" s="8"/>
      <c r="D82" s="2"/>
      <c r="E82" s="14"/>
      <c r="F82" s="15"/>
      <c r="G82" s="2"/>
      <c r="H82" s="2"/>
      <c r="I82" s="29"/>
      <c r="J82" s="31"/>
      <c r="L82" s="28"/>
      <c r="M82" s="28"/>
      <c r="N82" s="28"/>
      <c r="O82" s="28"/>
      <c r="P82" s="3"/>
      <c r="Q82" s="25" t="str">
        <f>R78</f>
        <v>IA</v>
      </c>
      <c r="R82" s="24" t="str">
        <f>IF((G78="B"),"Bass Boat",IF((G78="P"),"Pontoon",IF((G78="S"),"Ski Boat",IF((G78="J"),"John Boat",IF((G78="C"),"Canoe",IF((G78="R"),"Cabin Cruiser","ERROR!"))))))</f>
        <v>Ski Boat</v>
      </c>
      <c r="S82" s="26">
        <f>P79</f>
        <v>2</v>
      </c>
      <c r="T82" s="27">
        <f>SUM(W78:W79)</f>
        <v>1621084.98</v>
      </c>
      <c r="U82" s="2"/>
      <c r="V82" s="17"/>
      <c r="W82" s="18"/>
      <c r="X82" s="44"/>
    </row>
    <row r="83" spans="1:24" x14ac:dyDescent="0.25">
      <c r="A83" s="1"/>
      <c r="B83" s="2"/>
      <c r="C83" s="8"/>
      <c r="D83" s="2"/>
      <c r="E83" s="14"/>
      <c r="F83" s="15"/>
      <c r="G83" s="2"/>
      <c r="H83" s="2"/>
      <c r="I83" s="29"/>
      <c r="J83" s="31"/>
      <c r="L83" s="28"/>
      <c r="M83" s="28"/>
      <c r="N83" s="28"/>
      <c r="O83" s="28"/>
      <c r="P83" s="3"/>
      <c r="U83" s="2"/>
      <c r="V83" s="17"/>
      <c r="W83" s="18"/>
      <c r="X83" s="44"/>
    </row>
    <row r="84" spans="1:24" x14ac:dyDescent="0.25">
      <c r="A84" s="1" t="s">
        <v>58</v>
      </c>
      <c r="B84" s="2" t="s">
        <v>21</v>
      </c>
      <c r="C84" s="8" t="s">
        <v>23</v>
      </c>
      <c r="D84" s="2">
        <v>9999</v>
      </c>
      <c r="E84" s="14" t="s">
        <v>71</v>
      </c>
      <c r="F84" s="15" t="s">
        <v>71</v>
      </c>
      <c r="G84" s="2" t="s">
        <v>22</v>
      </c>
      <c r="H84" s="2">
        <v>3</v>
      </c>
      <c r="I84" s="29" t="s">
        <v>35</v>
      </c>
      <c r="J84" s="31">
        <f>0.06</f>
        <v>0.06</v>
      </c>
      <c r="K84">
        <f>IF((G84="B"),0.33,IF((G84="P"),0.25,IF((G84="S"),0.425,IF((G84="J"),0.33,IF((G84="C"),0.2,IF((G84="R"),0.3,"ERROR!"))))))</f>
        <v>0.42499999999999999</v>
      </c>
      <c r="L84" s="28">
        <f>ROUND(C84*K84,2)</f>
        <v>425000</v>
      </c>
      <c r="M84" s="7" t="str">
        <f t="shared" ref="M84" si="113">IF((H84=1),"5,415.30",IF((H84=2),"3,980.00",IF((H84=3),"345.45","Error!")))</f>
        <v>345.45</v>
      </c>
      <c r="N84" s="28">
        <f t="shared" ref="N84" si="114">ROUND((C84+I84+L84+M84)*J84,2)</f>
        <v>85520.73</v>
      </c>
      <c r="O84" s="28">
        <f t="shared" ref="O84" si="115">SUM(C84+I84+L84+N84+M84)</f>
        <v>1510866.17</v>
      </c>
      <c r="P84" s="3">
        <f>P83 +1</f>
        <v>1</v>
      </c>
      <c r="Q84" s="20" t="str">
        <f t="shared" ref="Q84" si="116">A84</f>
        <v xml:space="preserve">LESTER         </v>
      </c>
      <c r="R84" s="21" t="str">
        <f t="shared" ref="R84" si="117">B84</f>
        <v>MO</v>
      </c>
      <c r="S84" s="22">
        <f>VALUE(C84)</f>
        <v>999999.99</v>
      </c>
      <c r="T84" s="21" t="str">
        <f>CONCATENATE(E84,"/",F84,"/",RIGHT(D84,2))</f>
        <v>99/99/99</v>
      </c>
      <c r="U84" s="21" t="str">
        <f>IF((H84=1),"Electronics",IF((H84=2),"Ski Package",IF((H84=3),"Fishing Package","Error!")))</f>
        <v>Fishing Package</v>
      </c>
      <c r="V84" s="22">
        <f>VALUE(I84)</f>
        <v>0</v>
      </c>
      <c r="W84" s="23">
        <f>O84</f>
        <v>1510866.17</v>
      </c>
      <c r="X84" s="44" t="s">
        <v>123</v>
      </c>
    </row>
    <row r="85" spans="1:24" x14ac:dyDescent="0.25">
      <c r="A85" s="1"/>
      <c r="B85" s="2"/>
      <c r="C85" s="8"/>
      <c r="D85" s="2"/>
      <c r="E85" s="14"/>
      <c r="F85" s="15"/>
      <c r="G85" s="2"/>
      <c r="H85" s="2"/>
      <c r="I85" s="29"/>
      <c r="J85" s="31"/>
      <c r="L85" s="28"/>
      <c r="M85" s="28"/>
      <c r="N85" s="28"/>
      <c r="O85" s="28"/>
      <c r="P85" s="3"/>
      <c r="Q85" s="1"/>
      <c r="R85" s="2"/>
      <c r="S85" s="17"/>
      <c r="T85" s="2"/>
      <c r="U85" s="2"/>
      <c r="V85" s="17"/>
      <c r="W85" s="18"/>
      <c r="X85" s="44"/>
    </row>
    <row r="86" spans="1:24" x14ac:dyDescent="0.25">
      <c r="A86" s="1"/>
      <c r="B86" s="2"/>
      <c r="C86" s="8"/>
      <c r="D86" s="2"/>
      <c r="E86" s="14"/>
      <c r="F86" s="15"/>
      <c r="G86" s="2"/>
      <c r="H86" s="2"/>
      <c r="I86" s="29"/>
      <c r="J86" s="31"/>
      <c r="L86" s="28"/>
      <c r="M86" s="28"/>
      <c r="N86" s="28"/>
      <c r="O86" s="28"/>
      <c r="P86" s="3"/>
      <c r="Q86" s="1" t="s">
        <v>37</v>
      </c>
      <c r="R86" s="2" t="s">
        <v>38</v>
      </c>
      <c r="S86" s="17" t="s">
        <v>39</v>
      </c>
      <c r="T86" s="2" t="s">
        <v>40</v>
      </c>
      <c r="U86" s="2"/>
      <c r="V86" s="17"/>
      <c r="W86" s="18"/>
      <c r="X86" s="44"/>
    </row>
    <row r="87" spans="1:24" x14ac:dyDescent="0.25">
      <c r="A87" s="1"/>
      <c r="B87" s="2"/>
      <c r="C87" s="8"/>
      <c r="D87" s="2"/>
      <c r="E87" s="14"/>
      <c r="F87" s="15"/>
      <c r="G87" s="2"/>
      <c r="H87" s="2"/>
      <c r="I87" s="29"/>
      <c r="J87" s="31"/>
      <c r="L87" s="28"/>
      <c r="M87" s="28"/>
      <c r="N87" s="28"/>
      <c r="O87" s="28"/>
      <c r="P87" s="3"/>
      <c r="Q87" s="25" t="str">
        <f>R84</f>
        <v>MO</v>
      </c>
      <c r="R87" s="24" t="str">
        <f>IF((G84="B"),"Bass Boat",IF((G84="P"),"Pontoon",IF((G84="S"),"Ski Boat",IF((G84="J"),"John Boat",IF((G84="C"),"Canoe",IF((G84="R"),"Cabin Cruiser","ERROR!"))))))</f>
        <v>Ski Boat</v>
      </c>
      <c r="S87" s="26">
        <f>P84</f>
        <v>1</v>
      </c>
      <c r="T87" s="27">
        <f>SUM(W84)</f>
        <v>1510866.17</v>
      </c>
      <c r="U87" s="2"/>
      <c r="V87" s="17"/>
      <c r="W87" s="18"/>
      <c r="X87" s="44"/>
    </row>
    <row r="88" spans="1:24" x14ac:dyDescent="0.25">
      <c r="A88" s="1"/>
      <c r="B88" s="2"/>
      <c r="C88" s="8"/>
      <c r="D88" s="2"/>
      <c r="E88" s="14"/>
      <c r="F88" s="15"/>
      <c r="G88" s="2"/>
      <c r="H88" s="2"/>
      <c r="I88" s="29"/>
      <c r="J88" s="31"/>
      <c r="L88" s="28"/>
      <c r="M88" s="28"/>
      <c r="N88" s="28"/>
      <c r="O88" s="28"/>
      <c r="P88" s="3"/>
      <c r="Q88" s="1"/>
      <c r="R88" s="2"/>
      <c r="S88" s="17"/>
      <c r="T88" s="2"/>
      <c r="U88" s="2"/>
      <c r="V88" s="17"/>
      <c r="W88" s="18"/>
      <c r="X88" s="44"/>
    </row>
    <row r="89" spans="1:24" x14ac:dyDescent="0.25">
      <c r="A89" s="1" t="s">
        <v>59</v>
      </c>
      <c r="B89" s="2" t="s">
        <v>64</v>
      </c>
      <c r="C89" s="8" t="s">
        <v>34</v>
      </c>
      <c r="D89" s="2">
        <v>1998</v>
      </c>
      <c r="E89" s="14" t="s">
        <v>72</v>
      </c>
      <c r="F89" s="15" t="s">
        <v>76</v>
      </c>
      <c r="G89" s="2" t="s">
        <v>22</v>
      </c>
      <c r="H89" s="2">
        <v>3</v>
      </c>
      <c r="I89" s="29" t="s">
        <v>29</v>
      </c>
      <c r="J89" s="31">
        <f t="shared" ref="J89:J92" si="118">0.06</f>
        <v>0.06</v>
      </c>
      <c r="K89">
        <f t="shared" ref="K89:K91" si="119">IF((G89="B"),0.33,IF((G89="P"),0.25,IF((G89="S"),0.425,IF((G89="J"),0.33,IF((G89="C"),0.2,IF((G89="R"),0.3,"ERROR!"))))))</f>
        <v>0.42499999999999999</v>
      </c>
      <c r="L89" s="28">
        <f t="shared" ref="L89:L91" si="120">ROUND(C89*K89,2)</f>
        <v>0</v>
      </c>
      <c r="M89" s="7" t="str">
        <f t="shared" ref="M89:M91" si="121">IF((H89=1),"5,415.30",IF((H89=2),"3,980.00",IF((H89=3),"345.45","Error!")))</f>
        <v>345.45</v>
      </c>
      <c r="N89" s="28">
        <f t="shared" ref="N89:N91" si="122">ROUND((C89+I89+L89+M89)*J89,2)</f>
        <v>6020.73</v>
      </c>
      <c r="O89" s="28">
        <f t="shared" ref="O89:O91" si="123">SUM(C89+I89+L89+N89+M89)</f>
        <v>106366.17</v>
      </c>
      <c r="P89" s="3">
        <f t="shared" ref="P89:P92" si="124">P88 +1</f>
        <v>1</v>
      </c>
      <c r="Q89" s="20" t="str">
        <f t="shared" ref="Q89:Q91" si="125">A89</f>
        <v xml:space="preserve">HERNANDEZ      </v>
      </c>
      <c r="R89" s="21" t="str">
        <f t="shared" ref="R89:R91" si="126">B89</f>
        <v>WI</v>
      </c>
      <c r="S89" s="22">
        <f t="shared" ref="S89:S91" si="127">VALUE(C89)</f>
        <v>0</v>
      </c>
      <c r="T89" s="21" t="str">
        <f t="shared" ref="T89:T91" si="128">CONCATENATE(E89,"/",F89,"/",RIGHT(D89,2))</f>
        <v>08/15/98</v>
      </c>
      <c r="U89" s="21" t="str">
        <f t="shared" ref="U89:U91" si="129">IF((H89=1),"Electronics",IF((H89=2),"Ski Package",IF((H89=3),"Fishing Package","Error!")))</f>
        <v>Fishing Package</v>
      </c>
      <c r="V89" s="22">
        <f t="shared" ref="V89:V91" si="130">VALUE(I89)</f>
        <v>99999.99</v>
      </c>
      <c r="W89" s="23">
        <f t="shared" ref="W89:W91" si="131">O89</f>
        <v>106366.17</v>
      </c>
      <c r="X89" s="44" t="s">
        <v>123</v>
      </c>
    </row>
    <row r="90" spans="1:24" x14ac:dyDescent="0.25">
      <c r="A90" s="1" t="s">
        <v>60</v>
      </c>
      <c r="B90" s="2" t="s">
        <v>64</v>
      </c>
      <c r="C90" s="8" t="s">
        <v>66</v>
      </c>
      <c r="D90" s="2">
        <v>2001</v>
      </c>
      <c r="E90" s="14" t="s">
        <v>69</v>
      </c>
      <c r="F90" s="15" t="s">
        <v>77</v>
      </c>
      <c r="G90" s="2" t="s">
        <v>22</v>
      </c>
      <c r="H90" s="2">
        <v>1</v>
      </c>
      <c r="I90" s="29" t="s">
        <v>35</v>
      </c>
      <c r="J90" s="31">
        <f t="shared" si="118"/>
        <v>0.06</v>
      </c>
      <c r="K90">
        <f t="shared" si="119"/>
        <v>0.42499999999999999</v>
      </c>
      <c r="L90" s="28">
        <f t="shared" si="120"/>
        <v>0</v>
      </c>
      <c r="M90" s="7" t="str">
        <f t="shared" si="121"/>
        <v>5,415.30</v>
      </c>
      <c r="N90" s="28">
        <f t="shared" si="122"/>
        <v>324.92</v>
      </c>
      <c r="O90" s="28">
        <f t="shared" si="123"/>
        <v>5740.2300000000005</v>
      </c>
      <c r="P90" s="3">
        <f t="shared" si="124"/>
        <v>2</v>
      </c>
      <c r="Q90" s="20" t="str">
        <f t="shared" si="125"/>
        <v xml:space="preserve">MUHAMED        </v>
      </c>
      <c r="R90" s="21" t="str">
        <f t="shared" si="126"/>
        <v>WI</v>
      </c>
      <c r="S90" s="22">
        <f t="shared" si="127"/>
        <v>0.01</v>
      </c>
      <c r="T90" s="21" t="str">
        <f t="shared" si="128"/>
        <v>09/11/01</v>
      </c>
      <c r="U90" s="21" t="str">
        <f t="shared" si="129"/>
        <v>Electronics</v>
      </c>
      <c r="V90" s="22">
        <f t="shared" si="130"/>
        <v>0</v>
      </c>
      <c r="W90" s="23">
        <f t="shared" si="131"/>
        <v>5740.2300000000005</v>
      </c>
      <c r="X90" s="44" t="s">
        <v>124</v>
      </c>
    </row>
    <row r="91" spans="1:24" x14ac:dyDescent="0.25">
      <c r="A91" s="1" t="s">
        <v>61</v>
      </c>
      <c r="B91" s="2" t="s">
        <v>64</v>
      </c>
      <c r="C91" s="8" t="s">
        <v>34</v>
      </c>
      <c r="D91" s="2">
        <v>9999</v>
      </c>
      <c r="E91" s="14" t="s">
        <v>71</v>
      </c>
      <c r="F91" s="15" t="s">
        <v>71</v>
      </c>
      <c r="G91" s="2" t="s">
        <v>22</v>
      </c>
      <c r="H91" s="2">
        <v>1</v>
      </c>
      <c r="I91" s="29" t="s">
        <v>70</v>
      </c>
      <c r="J91" s="31">
        <f t="shared" si="118"/>
        <v>0.06</v>
      </c>
      <c r="K91">
        <f t="shared" si="119"/>
        <v>0.42499999999999999</v>
      </c>
      <c r="L91" s="28">
        <f t="shared" si="120"/>
        <v>0</v>
      </c>
      <c r="M91" s="7" t="str">
        <f t="shared" si="121"/>
        <v>5,415.30</v>
      </c>
      <c r="N91" s="28">
        <f t="shared" si="122"/>
        <v>324.92</v>
      </c>
      <c r="O91" s="28">
        <f t="shared" si="123"/>
        <v>5740.2300000000005</v>
      </c>
      <c r="P91" s="3">
        <f t="shared" si="124"/>
        <v>3</v>
      </c>
      <c r="Q91" s="20" t="str">
        <f t="shared" si="125"/>
        <v xml:space="preserve">FREEMAN        </v>
      </c>
      <c r="R91" s="21" t="str">
        <f t="shared" si="126"/>
        <v>WI</v>
      </c>
      <c r="S91" s="22">
        <f t="shared" si="127"/>
        <v>0</v>
      </c>
      <c r="T91" s="21" t="str">
        <f t="shared" si="128"/>
        <v>99/99/99</v>
      </c>
      <c r="U91" s="21" t="str">
        <f t="shared" si="129"/>
        <v>Electronics</v>
      </c>
      <c r="V91" s="22">
        <f t="shared" si="130"/>
        <v>0.01</v>
      </c>
      <c r="W91" s="23">
        <f t="shared" si="131"/>
        <v>5740.2300000000005</v>
      </c>
      <c r="X91" s="44" t="s">
        <v>124</v>
      </c>
    </row>
    <row r="92" spans="1:24" x14ac:dyDescent="0.25">
      <c r="A92" s="1" t="s">
        <v>93</v>
      </c>
      <c r="B92" s="2" t="s">
        <v>64</v>
      </c>
      <c r="C92" s="8" t="s">
        <v>90</v>
      </c>
      <c r="D92" s="2">
        <v>2011</v>
      </c>
      <c r="E92" s="15" t="s">
        <v>69</v>
      </c>
      <c r="F92" s="15" t="s">
        <v>91</v>
      </c>
      <c r="G92" s="2" t="s">
        <v>22</v>
      </c>
      <c r="H92" s="2">
        <v>1</v>
      </c>
      <c r="I92" s="29" t="s">
        <v>88</v>
      </c>
      <c r="J92" s="31">
        <f t="shared" si="118"/>
        <v>0.06</v>
      </c>
      <c r="K92">
        <f t="shared" ref="K92" si="132">IF((G92="B"),0.33,IF((G92="P"),0.25,IF((G92="S"),0.425,IF((G92="J"),0.33,IF((G92="C"),0.2,IF((G92="R"),0.3,"ERROR!"))))))</f>
        <v>0.42499999999999999</v>
      </c>
      <c r="L92" s="28">
        <f t="shared" ref="L92" si="133">ROUND(C92*K92,2)</f>
        <v>10625</v>
      </c>
      <c r="M92" s="7" t="str">
        <f t="shared" ref="M92" si="134">IF((H92=1),"5,415.30",IF((H92=2),"3,980.00",IF((H92=3),"345.45","Error!")))</f>
        <v>5,415.30</v>
      </c>
      <c r="N92" s="28">
        <f t="shared" ref="N92" si="135">ROUND((C92+I92+L92+M92)*J92,2)</f>
        <v>2762.42</v>
      </c>
      <c r="O92" s="28">
        <f t="shared" ref="O92" si="136">SUM(C92+I92+L92+N92+M92)</f>
        <v>48802.720000000001</v>
      </c>
      <c r="P92" s="3">
        <f t="shared" si="124"/>
        <v>4</v>
      </c>
      <c r="Q92" s="20" t="str">
        <f t="shared" ref="Q92" si="137">A92</f>
        <v xml:space="preserve">POTTER         </v>
      </c>
      <c r="R92" s="21" t="str">
        <f t="shared" ref="R92" si="138">B92</f>
        <v>WI</v>
      </c>
      <c r="S92" s="22">
        <f t="shared" ref="S92" si="139">VALUE(C92)</f>
        <v>25000</v>
      </c>
      <c r="T92" s="21" t="str">
        <f t="shared" ref="T92" si="140">CONCATENATE(E92,"/",F92,"/",RIGHT(D92,2))</f>
        <v>09/04/11</v>
      </c>
      <c r="U92" s="21" t="str">
        <f t="shared" ref="U92" si="141">IF((H92=1),"Electronics",IF((H92=2),"Ski Package",IF((H92=3),"Fishing Package","Error!")))</f>
        <v>Electronics</v>
      </c>
      <c r="V92" s="22">
        <f t="shared" ref="V92" si="142">VALUE(I92)</f>
        <v>5000</v>
      </c>
      <c r="W92" s="23">
        <f t="shared" ref="W92" si="143">O92</f>
        <v>48802.720000000001</v>
      </c>
      <c r="X92" s="44" t="s">
        <v>122</v>
      </c>
    </row>
    <row r="93" spans="1:24" x14ac:dyDescent="0.25">
      <c r="A93" s="1"/>
      <c r="B93" s="2"/>
      <c r="C93" s="8"/>
      <c r="D93" s="2"/>
      <c r="E93" s="14"/>
      <c r="F93" s="15"/>
      <c r="G93" s="2"/>
      <c r="H93" s="2"/>
      <c r="I93" s="29"/>
      <c r="J93" s="31"/>
      <c r="L93" s="28"/>
      <c r="M93" s="28"/>
      <c r="N93" s="28"/>
      <c r="O93" s="28"/>
      <c r="P93" s="3"/>
      <c r="Q93" s="1"/>
      <c r="R93" s="2"/>
      <c r="S93" s="17"/>
      <c r="T93" s="2"/>
      <c r="U93" s="2"/>
      <c r="V93" s="17"/>
      <c r="W93" s="18"/>
      <c r="X93" s="44"/>
    </row>
    <row r="94" spans="1:24" x14ac:dyDescent="0.25">
      <c r="A94" s="1"/>
      <c r="B94" s="2"/>
      <c r="C94" s="8"/>
      <c r="D94" s="2"/>
      <c r="E94" s="14"/>
      <c r="F94" s="15"/>
      <c r="G94" s="2"/>
      <c r="H94" s="2"/>
      <c r="I94" s="29"/>
      <c r="J94" s="31"/>
      <c r="L94" s="28"/>
      <c r="M94" s="28"/>
      <c r="N94" s="28"/>
      <c r="O94" s="28"/>
      <c r="P94" s="3"/>
      <c r="Q94" s="1" t="s">
        <v>37</v>
      </c>
      <c r="R94" s="2" t="s">
        <v>38</v>
      </c>
      <c r="S94" s="17" t="s">
        <v>39</v>
      </c>
      <c r="T94" s="2" t="s">
        <v>40</v>
      </c>
      <c r="U94" s="2"/>
      <c r="V94" s="17"/>
      <c r="W94" s="18"/>
      <c r="X94" s="44"/>
    </row>
    <row r="95" spans="1:24" x14ac:dyDescent="0.25">
      <c r="A95" s="1"/>
      <c r="B95" s="2"/>
      <c r="C95" s="8"/>
      <c r="D95" s="2"/>
      <c r="E95" s="14"/>
      <c r="F95" s="15"/>
      <c r="G95" s="2"/>
      <c r="H95" s="2"/>
      <c r="I95" s="29"/>
      <c r="J95" s="31"/>
      <c r="L95" s="28"/>
      <c r="M95" s="28"/>
      <c r="N95" s="28"/>
      <c r="O95" s="28"/>
      <c r="P95" s="3"/>
      <c r="Q95" s="25" t="str">
        <f>R89</f>
        <v>WI</v>
      </c>
      <c r="R95" s="24" t="str">
        <f>IF((G89="B"),"Bass Boat",IF((G89="P"),"Pontoon",IF((G89="S"),"Ski Boat",IF((G89="J"),"John Boat",IF((G89="C"),"Canoe",IF((G89="R"),"Cabin Cruiser","ERROR!"))))))</f>
        <v>Ski Boat</v>
      </c>
      <c r="S95" s="26">
        <f>P92</f>
        <v>4</v>
      </c>
      <c r="T95" s="27">
        <f>SUM(W89:W92)</f>
        <v>166649.34999999998</v>
      </c>
      <c r="U95" s="2"/>
      <c r="V95" s="17"/>
      <c r="W95" s="18"/>
      <c r="X95" s="44"/>
    </row>
    <row r="96" spans="1:24" x14ac:dyDescent="0.25">
      <c r="A96" s="1"/>
      <c r="B96" s="2"/>
      <c r="C96" s="8"/>
      <c r="D96" s="2"/>
      <c r="E96" s="14"/>
      <c r="F96" s="15"/>
      <c r="G96" s="2"/>
      <c r="H96" s="2"/>
      <c r="I96" s="29"/>
      <c r="J96" s="31"/>
      <c r="L96" s="28"/>
      <c r="M96" s="28"/>
      <c r="N96" s="28"/>
      <c r="O96" s="28"/>
      <c r="P96" s="3"/>
      <c r="Q96" s="1"/>
      <c r="R96" s="2"/>
      <c r="S96" s="17"/>
      <c r="T96" s="2"/>
      <c r="U96" s="2"/>
      <c r="V96" s="17"/>
      <c r="W96" s="18"/>
      <c r="X96" s="44"/>
    </row>
    <row r="97" spans="1:24" x14ac:dyDescent="0.25">
      <c r="A97" s="1" t="s">
        <v>62</v>
      </c>
      <c r="B97" s="2" t="s">
        <v>65</v>
      </c>
      <c r="C97" s="8" t="s">
        <v>23</v>
      </c>
      <c r="D97" s="2">
        <v>9999</v>
      </c>
      <c r="E97" s="14" t="s">
        <v>71</v>
      </c>
      <c r="F97" s="15" t="s">
        <v>71</v>
      </c>
      <c r="G97" s="2" t="s">
        <v>22</v>
      </c>
      <c r="H97" s="2">
        <v>1</v>
      </c>
      <c r="I97" s="29" t="s">
        <v>29</v>
      </c>
      <c r="J97" s="31">
        <f>0.06</f>
        <v>0.06</v>
      </c>
      <c r="K97">
        <f>IF((G97="B"),0.33,IF((G97="P"),0.25,IF((G97="S"),0.425,IF((G97="J"),0.33,IF((G97="C"),0.2,IF((G97="R"),0.3,"ERROR!"))))))</f>
        <v>0.42499999999999999</v>
      </c>
      <c r="L97" s="28">
        <f>ROUND(C97*K97,2)</f>
        <v>425000</v>
      </c>
      <c r="M97" s="7" t="str">
        <f>IF((H97=1),"5,415.30",IF((H97=2),"3,980.00",IF((H97=3),"345.45","Error!")))</f>
        <v>5,415.30</v>
      </c>
      <c r="N97" s="28">
        <f t="shared" ref="N97" si="144">ROUND((C97+I97+L97+M97)*J97,2)</f>
        <v>91824.92</v>
      </c>
      <c r="O97" s="28">
        <f t="shared" ref="O97" si="145">SUM(C97+I97+L97+N97+M97)</f>
        <v>1622240.2</v>
      </c>
      <c r="P97" s="3">
        <f>P96 +1</f>
        <v>1</v>
      </c>
      <c r="Q97" s="20" t="str">
        <f t="shared" ref="Q97" si="146">A97</f>
        <v>XXXXXXXXXXXXXXX</v>
      </c>
      <c r="R97" s="21" t="str">
        <f t="shared" ref="R97" si="147">B97</f>
        <v>ZZ</v>
      </c>
      <c r="S97" s="22">
        <f>VALUE(C97)</f>
        <v>999999.99</v>
      </c>
      <c r="T97" s="21" t="str">
        <f>CONCATENATE(E97,"/",F97,"/",RIGHT(D97,2))</f>
        <v>99/99/99</v>
      </c>
      <c r="U97" s="21" t="str">
        <f>IF((H97=1),"Electronics",IF((H97=2),"Ski Package",IF((H97=3),"Fishing Package","Error!")))</f>
        <v>Electronics</v>
      </c>
      <c r="V97" s="22">
        <f>VALUE(I97)</f>
        <v>99999.99</v>
      </c>
      <c r="W97" s="23">
        <f>O97</f>
        <v>1622240.2</v>
      </c>
      <c r="X97" s="44" t="s">
        <v>125</v>
      </c>
    </row>
    <row r="98" spans="1:24" x14ac:dyDescent="0.25">
      <c r="A98" s="1"/>
      <c r="B98" s="2"/>
      <c r="C98" s="8"/>
      <c r="D98" s="2"/>
      <c r="E98" s="14"/>
      <c r="F98" s="15"/>
      <c r="G98" s="2"/>
      <c r="H98" s="2"/>
      <c r="I98" s="29"/>
      <c r="J98" s="31"/>
      <c r="L98" s="28"/>
      <c r="M98" s="28"/>
      <c r="N98" s="28"/>
      <c r="O98" s="28"/>
      <c r="P98" s="3"/>
      <c r="Q98" s="1"/>
      <c r="R98" s="2"/>
      <c r="S98" s="17"/>
      <c r="T98" s="2"/>
      <c r="U98" s="2"/>
      <c r="V98" s="17"/>
      <c r="W98" s="18"/>
      <c r="X98" s="44"/>
    </row>
    <row r="99" spans="1:24" x14ac:dyDescent="0.25">
      <c r="A99" s="1"/>
      <c r="B99" s="2"/>
      <c r="C99" s="8"/>
      <c r="D99" s="2"/>
      <c r="E99" s="14"/>
      <c r="F99" s="15"/>
      <c r="G99" s="2"/>
      <c r="H99" s="2"/>
      <c r="I99" s="29"/>
      <c r="J99" s="31"/>
      <c r="L99" s="28"/>
      <c r="M99" s="28"/>
      <c r="N99" s="28"/>
      <c r="O99" s="28"/>
      <c r="P99" s="3"/>
      <c r="Q99" s="1" t="s">
        <v>37</v>
      </c>
      <c r="R99" s="2" t="s">
        <v>38</v>
      </c>
      <c r="S99" s="17" t="s">
        <v>39</v>
      </c>
      <c r="T99" s="2" t="s">
        <v>40</v>
      </c>
      <c r="U99" s="2"/>
      <c r="V99" s="17"/>
      <c r="W99" s="18"/>
      <c r="X99" s="44"/>
    </row>
    <row r="100" spans="1:24" x14ac:dyDescent="0.25">
      <c r="A100" s="1"/>
      <c r="B100" s="2"/>
      <c r="C100" s="8"/>
      <c r="D100" s="2"/>
      <c r="E100" s="14"/>
      <c r="F100" s="15"/>
      <c r="G100" s="2"/>
      <c r="H100" s="2"/>
      <c r="I100" s="29"/>
      <c r="J100" s="31"/>
      <c r="L100" s="28"/>
      <c r="M100" s="28"/>
      <c r="N100" s="28"/>
      <c r="O100" s="28"/>
      <c r="P100" s="3"/>
      <c r="Q100" s="25" t="str">
        <f>R97</f>
        <v>ZZ</v>
      </c>
      <c r="R100" s="24" t="str">
        <f>IF((G97="B"),"Bass Boat",IF((G97="P"),"Pontoon",IF((G97="S"),"Ski Boat",IF((G97="J"),"John Boat",IF((G97="C"),"Canoe",IF((G97="R"),"Cabin Cruiser","ERROR!"))))))</f>
        <v>Ski Boat</v>
      </c>
      <c r="S100" s="26">
        <f>P97</f>
        <v>1</v>
      </c>
      <c r="T100" s="27">
        <f>SUM(W97)</f>
        <v>1622240.2</v>
      </c>
      <c r="U100" s="2"/>
      <c r="V100" s="17"/>
      <c r="W100" s="18"/>
      <c r="X100" s="44"/>
    </row>
    <row r="101" spans="1:24" x14ac:dyDescent="0.25">
      <c r="A101" s="1"/>
      <c r="B101" s="2"/>
      <c r="C101" s="8"/>
      <c r="D101" s="2"/>
      <c r="E101" s="14"/>
      <c r="F101" s="15"/>
      <c r="G101" s="2"/>
      <c r="H101" s="2"/>
      <c r="I101" s="29"/>
      <c r="J101" s="31"/>
      <c r="L101" s="28"/>
      <c r="M101" s="28"/>
      <c r="N101" s="28"/>
      <c r="O101" s="28"/>
      <c r="P101" s="3"/>
      <c r="Q101" s="1"/>
      <c r="R101" s="2"/>
      <c r="S101" s="17"/>
      <c r="T101" s="2"/>
      <c r="U101" s="2"/>
      <c r="V101" s="17"/>
      <c r="W101" s="18"/>
      <c r="X101" s="44"/>
    </row>
    <row r="102" spans="1:24" x14ac:dyDescent="0.25">
      <c r="A102" s="1"/>
      <c r="B102" s="2"/>
      <c r="C102" s="8"/>
      <c r="D102" s="2"/>
      <c r="E102" s="14"/>
      <c r="F102" s="14"/>
      <c r="G102" s="2"/>
      <c r="H102" s="2"/>
      <c r="I102" s="29"/>
      <c r="J102" s="31"/>
      <c r="L102" s="28"/>
      <c r="M102" s="28"/>
      <c r="N102" s="28"/>
      <c r="O102" s="28"/>
      <c r="P102" s="3"/>
      <c r="Q102" s="1" t="s">
        <v>41</v>
      </c>
      <c r="R102" s="2" t="s">
        <v>42</v>
      </c>
      <c r="S102" s="2" t="s">
        <v>43</v>
      </c>
      <c r="T102" s="2"/>
      <c r="U102" s="2"/>
      <c r="V102" s="2"/>
      <c r="X102" s="44"/>
    </row>
    <row r="103" spans="1:24" x14ac:dyDescent="0.25">
      <c r="A103" s="1"/>
      <c r="B103" s="2"/>
      <c r="C103" s="2"/>
      <c r="D103" s="2"/>
      <c r="E103" s="14"/>
      <c r="F103" s="14"/>
      <c r="G103" s="2"/>
      <c r="H103" s="2"/>
      <c r="I103" s="28"/>
      <c r="J103" s="13"/>
      <c r="L103" s="28"/>
      <c r="M103" s="28"/>
      <c r="N103" s="28"/>
      <c r="O103" s="28"/>
      <c r="P103" s="3"/>
      <c r="Q103" s="33" t="str">
        <f>R100</f>
        <v>Ski Boat</v>
      </c>
      <c r="R103" s="36">
        <f>SUM(S76,S82,S87,S95,S100)</f>
        <v>11</v>
      </c>
      <c r="S103" s="34">
        <f>SUM(T76+T82+T87+T95+T100)</f>
        <v>5700868.54</v>
      </c>
      <c r="T103" s="2"/>
      <c r="U103" s="2"/>
      <c r="V103" s="2"/>
      <c r="X103" s="44"/>
    </row>
    <row r="104" spans="1:24" x14ac:dyDescent="0.25">
      <c r="A104" s="1"/>
      <c r="B104" s="2"/>
      <c r="C104" s="2"/>
      <c r="D104" s="2"/>
      <c r="E104" s="14"/>
      <c r="F104" s="14"/>
      <c r="G104" s="2"/>
      <c r="H104" s="2"/>
      <c r="I104" s="28"/>
      <c r="J104" s="13"/>
      <c r="L104" s="28"/>
      <c r="M104" s="28"/>
      <c r="N104" s="28"/>
      <c r="O104" s="28"/>
      <c r="P104" s="3"/>
      <c r="Q104" s="1"/>
      <c r="R104" s="2"/>
      <c r="S104" s="2"/>
      <c r="T104" s="2"/>
      <c r="U104" s="2"/>
      <c r="V104" s="2"/>
      <c r="W104" s="3"/>
      <c r="X104" s="44"/>
    </row>
    <row r="105" spans="1:24" x14ac:dyDescent="0.25">
      <c r="A105" s="1" t="s">
        <v>51</v>
      </c>
      <c r="B105" s="2" t="s">
        <v>63</v>
      </c>
      <c r="C105" s="8" t="s">
        <v>34</v>
      </c>
      <c r="D105" s="2">
        <v>2019</v>
      </c>
      <c r="E105" s="2">
        <v>12</v>
      </c>
      <c r="F105" s="2">
        <v>11</v>
      </c>
      <c r="G105" s="2" t="s">
        <v>80</v>
      </c>
      <c r="H105" s="7">
        <v>2</v>
      </c>
      <c r="I105" s="8" t="s">
        <v>35</v>
      </c>
      <c r="J105" s="31">
        <f>0.06</f>
        <v>0.06</v>
      </c>
      <c r="K105">
        <f>IF((G105="B"),0.33,IF((G105="P"),0.25,IF((G105="S"),0.425,IF((G105="J"),0.33,IF((G105="C"),0.2,IF((G105="R"),0.3,"ERROR!"))))))</f>
        <v>0.33</v>
      </c>
      <c r="L105" s="28">
        <f>ROUND(C105*K105,2)</f>
        <v>0</v>
      </c>
      <c r="M105" s="28" t="str">
        <f>IF((H105=1),"5,415.30",IF((H105=2),"3,980.00",IF((H105=3),"345.45","Error!")))</f>
        <v>3,980.00</v>
      </c>
      <c r="N105" s="28">
        <f>ROUND((C105+I105+L105+M105)*J105,2)</f>
        <v>238.8</v>
      </c>
      <c r="O105" s="28">
        <f>SUM(C105+I105+L105+N105+M105)</f>
        <v>4218.8</v>
      </c>
      <c r="P105" s="3">
        <v>1</v>
      </c>
      <c r="Q105" s="20" t="str">
        <f>A105</f>
        <v xml:space="preserve">BOB - DYLAN    </v>
      </c>
      <c r="R105" s="21" t="str">
        <f>B105</f>
        <v>CA</v>
      </c>
      <c r="S105" s="22">
        <f>VALUE(C105)</f>
        <v>0</v>
      </c>
      <c r="T105" s="21" t="str">
        <f>CONCATENATE(E105,"/",F105,"/",RIGHT(D105,2))</f>
        <v>12/11/19</v>
      </c>
      <c r="U105" s="21" t="str">
        <f>IF((H105=1),"Electronics",IF((H105=2),"Ski Package",IF((H105=3),"Fishing Package","Error!")))</f>
        <v>Ski Package</v>
      </c>
      <c r="V105" s="22">
        <f>VALUE(I105)</f>
        <v>0</v>
      </c>
      <c r="W105" s="23">
        <f>O105</f>
        <v>4218.8</v>
      </c>
      <c r="X105" s="44" t="s">
        <v>119</v>
      </c>
    </row>
    <row r="106" spans="1:24" x14ac:dyDescent="0.25">
      <c r="A106" s="1" t="s">
        <v>52</v>
      </c>
      <c r="B106" s="2" t="s">
        <v>63</v>
      </c>
      <c r="C106" s="8" t="s">
        <v>66</v>
      </c>
      <c r="D106" s="2">
        <v>2015</v>
      </c>
      <c r="E106" s="14" t="s">
        <v>69</v>
      </c>
      <c r="F106" s="15" t="s">
        <v>69</v>
      </c>
      <c r="G106" s="2" t="s">
        <v>80</v>
      </c>
      <c r="H106" s="2">
        <v>1</v>
      </c>
      <c r="I106" s="29" t="s">
        <v>70</v>
      </c>
      <c r="J106" s="31">
        <f>0.06</f>
        <v>0.06</v>
      </c>
      <c r="K106">
        <f>IF((G106="B"),0.33,IF((G106="P"),0.25,IF((G106="S"),0.425,IF((G106="J"),0.33,IF((G106="C"),0.2,IF((G106="R"),0.3,"ERROR!"))))))</f>
        <v>0.33</v>
      </c>
      <c r="L106" s="28">
        <f>ROUND(C106*K106,2)</f>
        <v>0</v>
      </c>
      <c r="M106" s="28" t="str">
        <f>IF((H106=1),"5,415.30",IF((H106=2),"3,980.00",IF((H106=3),"345.45","Error!")))</f>
        <v>5,415.30</v>
      </c>
      <c r="N106" s="28">
        <f>ROUND((C106+I106+L106+M106)*J106,2)</f>
        <v>324.92</v>
      </c>
      <c r="O106" s="28">
        <f>SUM(C106+I106+L106+N106+M106)</f>
        <v>5740.24</v>
      </c>
      <c r="P106" s="3">
        <f>P105 + 1</f>
        <v>2</v>
      </c>
      <c r="Q106" s="20" t="str">
        <f>A106</f>
        <v xml:space="preserve">DAVIS          </v>
      </c>
      <c r="R106" s="21" t="str">
        <f>B106</f>
        <v>CA</v>
      </c>
      <c r="S106" s="22">
        <f>VALUE(C106)</f>
        <v>0.01</v>
      </c>
      <c r="T106" s="21" t="str">
        <f>CONCATENATE(E106,"/",F106,"/",RIGHT(D106,2))</f>
        <v>09/09/15</v>
      </c>
      <c r="U106" s="21" t="str">
        <f>IF((H106=1),"Electronics",IF((H106=2),"Ski Package",IF((H106=3),"Fishing Package","Error!")))</f>
        <v>Electronics</v>
      </c>
      <c r="V106" s="22">
        <f>VALUE(I106)</f>
        <v>0.01</v>
      </c>
      <c r="W106" s="23">
        <f>O106</f>
        <v>5740.24</v>
      </c>
      <c r="X106" s="44" t="s">
        <v>120</v>
      </c>
    </row>
    <row r="107" spans="1:24" x14ac:dyDescent="0.25">
      <c r="A107" s="1"/>
      <c r="B107" s="2"/>
      <c r="C107" s="8"/>
      <c r="D107" s="2"/>
      <c r="E107" s="14"/>
      <c r="F107" s="15"/>
      <c r="G107" s="2"/>
      <c r="H107" s="2"/>
      <c r="I107" s="29"/>
      <c r="J107" s="31"/>
      <c r="K107" s="28"/>
      <c r="L107" s="28"/>
      <c r="M107" s="28"/>
      <c r="N107" s="28"/>
      <c r="O107" s="28"/>
      <c r="P107" s="3"/>
      <c r="Q107" s="1"/>
      <c r="R107" s="2"/>
      <c r="S107" s="17"/>
      <c r="T107" s="2"/>
      <c r="U107" s="2"/>
      <c r="V107" s="17"/>
      <c r="W107" s="18"/>
      <c r="X107" s="44"/>
    </row>
    <row r="108" spans="1:24" x14ac:dyDescent="0.25">
      <c r="A108" s="1"/>
      <c r="B108" s="2"/>
      <c r="C108" s="8"/>
      <c r="D108" s="2"/>
      <c r="E108" s="14"/>
      <c r="F108" s="15"/>
      <c r="G108" s="2"/>
      <c r="H108" s="2"/>
      <c r="I108" s="29"/>
      <c r="J108" s="31"/>
      <c r="K108" s="28"/>
      <c r="L108" s="28"/>
      <c r="M108" s="28"/>
      <c r="N108" s="28"/>
      <c r="O108" s="28"/>
      <c r="P108" s="3"/>
      <c r="Q108" s="1" t="s">
        <v>37</v>
      </c>
      <c r="R108" s="2" t="s">
        <v>38</v>
      </c>
      <c r="S108" s="17" t="s">
        <v>39</v>
      </c>
      <c r="T108" s="2" t="s">
        <v>40</v>
      </c>
      <c r="U108" s="2"/>
      <c r="V108" s="17"/>
      <c r="W108" s="18"/>
      <c r="X108" s="44"/>
    </row>
    <row r="109" spans="1:24" x14ac:dyDescent="0.25">
      <c r="A109" s="1"/>
      <c r="B109" s="2"/>
      <c r="C109" s="8"/>
      <c r="D109" s="2"/>
      <c r="E109" s="14"/>
      <c r="F109" s="15"/>
      <c r="G109" s="2"/>
      <c r="H109" s="2"/>
      <c r="I109" s="29"/>
      <c r="J109" s="31"/>
      <c r="K109" s="28"/>
      <c r="L109" s="28"/>
      <c r="M109" s="28"/>
      <c r="N109" s="28"/>
      <c r="O109" s="28"/>
      <c r="P109" s="3"/>
      <c r="Q109" s="25" t="str">
        <f>R105</f>
        <v>CA</v>
      </c>
      <c r="R109" s="24" t="str">
        <f>IF((G105="B"),"Bass Boat",IF((G105="P"),"Pontoon",IF((G105="S"),"Ski Boat",IF((G105="J"),"John Boat",IF((G105="C"),"Canoe",IF((G105="R"),"Cabin Cruiser","ERROR!"))))))</f>
        <v>John Boat</v>
      </c>
      <c r="S109" s="26">
        <f>VALUE(P106)</f>
        <v>2</v>
      </c>
      <c r="T109" s="27">
        <f>SUM(W105:W106)</f>
        <v>9959.0400000000009</v>
      </c>
      <c r="U109" s="2"/>
      <c r="V109" s="17"/>
      <c r="W109" s="18"/>
      <c r="X109" s="44"/>
    </row>
    <row r="110" spans="1:24" x14ac:dyDescent="0.25">
      <c r="A110" s="1"/>
      <c r="B110" s="2"/>
      <c r="C110" s="8"/>
      <c r="D110" s="2"/>
      <c r="E110" s="14"/>
      <c r="F110" s="15"/>
      <c r="G110" s="2"/>
      <c r="H110" s="2"/>
      <c r="I110" s="29"/>
      <c r="J110" s="31"/>
      <c r="K110" s="28"/>
      <c r="L110" s="28"/>
      <c r="M110" s="28"/>
      <c r="N110" s="28"/>
      <c r="O110" s="28"/>
      <c r="P110" s="3"/>
      <c r="U110" s="2"/>
      <c r="V110" s="17"/>
      <c r="W110" s="18"/>
      <c r="X110" s="44"/>
    </row>
    <row r="111" spans="1:24" x14ac:dyDescent="0.25">
      <c r="A111" s="1" t="s">
        <v>53</v>
      </c>
      <c r="B111" s="7" t="s">
        <v>14</v>
      </c>
      <c r="C111" s="8" t="s">
        <v>23</v>
      </c>
      <c r="D111" s="2">
        <v>9999</v>
      </c>
      <c r="E111" s="15" t="s">
        <v>71</v>
      </c>
      <c r="F111" s="16" t="s">
        <v>71</v>
      </c>
      <c r="G111" s="7" t="s">
        <v>80</v>
      </c>
      <c r="H111" s="7">
        <v>2</v>
      </c>
      <c r="I111" s="29" t="s">
        <v>70</v>
      </c>
      <c r="J111" s="31">
        <f>0.06</f>
        <v>0.06</v>
      </c>
      <c r="K111" s="28">
        <f>IF((G111="B"),0.33,IF((G111="P"),0.25,IF((G111="S"),0.425,IF((G111="J"),0.33,IF((G111="C"),0.2,IF((G111="R"),0.3,"ERROR!"))))))</f>
        <v>0.33</v>
      </c>
      <c r="L111" s="28">
        <f>ROUND(C111*K111,2)</f>
        <v>330000</v>
      </c>
      <c r="M111" s="28" t="str">
        <f>IF((H111=1),"5,415.30",IF((H111=2),"3,980.00",IF((H111=3),"345.45","Error!")))</f>
        <v>3,980.00</v>
      </c>
      <c r="N111" s="28">
        <f>ROUND((C111+I111+L111+M111)*J111,2)</f>
        <v>80038.8</v>
      </c>
      <c r="O111" s="28">
        <f>SUM(C111+I111+L111+N111+M111)</f>
        <v>1414018.8</v>
      </c>
      <c r="P111" s="3">
        <f>P110 + 1</f>
        <v>1</v>
      </c>
      <c r="Q111" s="20" t="str">
        <f>A111</f>
        <v xml:space="preserve">QUERVO         </v>
      </c>
      <c r="R111" s="21" t="str">
        <f>B111</f>
        <v>IA</v>
      </c>
      <c r="S111" s="22">
        <f>VALUE(C105)</f>
        <v>0</v>
      </c>
      <c r="T111" s="21" t="str">
        <f>CONCATENATE(E111,"/",F111,"/",RIGHT(D111,2))</f>
        <v>99/99/99</v>
      </c>
      <c r="U111" s="21" t="str">
        <f>IF((H111=1),"Electronics",IF((H111=2),"Ski Package",IF((H111=3),"Fishing Package","Error!")))</f>
        <v>Ski Package</v>
      </c>
      <c r="V111" s="22">
        <f>VALUE(I111)</f>
        <v>0.01</v>
      </c>
      <c r="W111" s="23">
        <f>O111</f>
        <v>1414018.8</v>
      </c>
      <c r="X111" s="44" t="s">
        <v>121</v>
      </c>
    </row>
    <row r="112" spans="1:24" x14ac:dyDescent="0.25">
      <c r="A112" s="1" t="s">
        <v>55</v>
      </c>
      <c r="B112" s="7" t="s">
        <v>14</v>
      </c>
      <c r="C112" s="8" t="s">
        <v>66</v>
      </c>
      <c r="D112" s="2">
        <v>2019</v>
      </c>
      <c r="E112" s="15" t="s">
        <v>73</v>
      </c>
      <c r="F112" s="16" t="s">
        <v>26</v>
      </c>
      <c r="G112" s="7" t="s">
        <v>80</v>
      </c>
      <c r="H112" s="7">
        <v>3</v>
      </c>
      <c r="I112" s="29" t="s">
        <v>29</v>
      </c>
      <c r="J112" s="31">
        <f t="shared" ref="J112:J113" si="148">0.06</f>
        <v>0.06</v>
      </c>
      <c r="K112" s="28">
        <f t="shared" ref="K112" si="149">IF((G112="B"),0.33,IF((G112="P"),0.25,IF((G112="S"),0.425,IF((G112="J"),0.33,IF((G112="C"),0.2,IF((G112="R"),0.3,"ERROR!"))))))</f>
        <v>0.33</v>
      </c>
      <c r="L112" s="28">
        <f t="shared" ref="L112" si="150">ROUND(C112*K112,2)</f>
        <v>0</v>
      </c>
      <c r="M112" s="28" t="str">
        <f t="shared" ref="M112" si="151">IF((H112=1),"5,415.30",IF((H112=2),"3,980.00",IF((H112=3),"345.45","Error!")))</f>
        <v>345.45</v>
      </c>
      <c r="N112" s="28">
        <f t="shared" ref="N112" si="152">ROUND((C112+I112+L112+M112)*J112,2)</f>
        <v>6020.73</v>
      </c>
      <c r="O112" s="28">
        <f t="shared" ref="O112:O113" si="153">SUM(C112+I112+L112+N112+M112)</f>
        <v>106366.18</v>
      </c>
      <c r="P112" s="3">
        <f>P111+1</f>
        <v>2</v>
      </c>
      <c r="Q112" s="20" t="str">
        <f t="shared" ref="Q112" si="154">A112</f>
        <v xml:space="preserve">BIRKNER        </v>
      </c>
      <c r="R112" s="21" t="str">
        <f t="shared" ref="R112" si="155">B112</f>
        <v>IA</v>
      </c>
      <c r="S112" s="22">
        <f>VALUE(C107)</f>
        <v>0</v>
      </c>
      <c r="T112" s="21" t="str">
        <f t="shared" ref="T112" si="156">CONCATENATE(E112,"/",F112,"/",RIGHT(D112,2))</f>
        <v>06/01/19</v>
      </c>
      <c r="U112" s="21" t="str">
        <f t="shared" ref="U112" si="157">IF((H112=1),"Electronics",IF((H112=2),"Ski Package",IF((H112=3),"Fishing Package","Error!")))</f>
        <v>Fishing Package</v>
      </c>
      <c r="V112" s="22">
        <f t="shared" ref="V112" si="158">VALUE(I112)</f>
        <v>99999.99</v>
      </c>
      <c r="W112" s="23">
        <f t="shared" ref="W112" si="159">O112</f>
        <v>106366.18</v>
      </c>
      <c r="X112" s="44" t="s">
        <v>121</v>
      </c>
    </row>
    <row r="113" spans="1:25" x14ac:dyDescent="0.25">
      <c r="A113" s="1" t="s">
        <v>94</v>
      </c>
      <c r="B113" s="7" t="s">
        <v>14</v>
      </c>
      <c r="C113" s="8" t="s">
        <v>67</v>
      </c>
      <c r="D113" s="2">
        <v>2018</v>
      </c>
      <c r="E113" s="15" t="s">
        <v>95</v>
      </c>
      <c r="F113" s="16" t="s">
        <v>96</v>
      </c>
      <c r="G113" s="7" t="s">
        <v>80</v>
      </c>
      <c r="H113" s="7">
        <v>1</v>
      </c>
      <c r="I113" s="29" t="s">
        <v>97</v>
      </c>
      <c r="J113" s="31">
        <f t="shared" si="148"/>
        <v>0.06</v>
      </c>
      <c r="K113" s="28">
        <f t="shared" ref="K113" si="160">IF((G113="B"),0.33,IF((G113="P"),0.25,IF((G113="S"),0.425,IF((G113="J"),0.33,IF((G113="C"),0.2,IF((G113="R"),0.3,"ERROR!"))))))</f>
        <v>0.33</v>
      </c>
      <c r="L113" s="28">
        <f t="shared" ref="L113" si="161">ROUND(C113*K113,2)</f>
        <v>3300</v>
      </c>
      <c r="M113" s="28" t="str">
        <f t="shared" ref="M113" si="162">IF((H113=1),"5,415.30",IF((H113=2),"3,980.00",IF((H113=3),"345.45","Error!")))</f>
        <v>5,415.30</v>
      </c>
      <c r="N113" s="28">
        <f t="shared" ref="N113" si="163">ROUND((C113+I113+L113+M113)*J113,2)</f>
        <v>1152.92</v>
      </c>
      <c r="O113" s="28">
        <f t="shared" si="153"/>
        <v>20368.22</v>
      </c>
      <c r="P113" s="3">
        <f>P112+1</f>
        <v>3</v>
      </c>
      <c r="Q113" s="20" t="str">
        <f t="shared" ref="Q113" si="164">A113</f>
        <v>WILSON</v>
      </c>
      <c r="R113" s="21" t="str">
        <f t="shared" ref="R113" si="165">B113</f>
        <v>IA</v>
      </c>
      <c r="S113" s="22">
        <f>VALUE(C108)</f>
        <v>0</v>
      </c>
      <c r="T113" s="21" t="str">
        <f t="shared" ref="T113" si="166">CONCATENATE(E113,"/",F113,"/",RIGHT(D113,2))</f>
        <v>10/31/18</v>
      </c>
      <c r="U113" s="21" t="str">
        <f t="shared" ref="U113" si="167">IF((H113=1),"Electronics",IF((H113=2),"Ski Package",IF((H113=3),"Fishing Package","Error!")))</f>
        <v>Electronics</v>
      </c>
      <c r="V113" s="22">
        <f t="shared" ref="V113" si="168">VALUE(I113)</f>
        <v>500</v>
      </c>
      <c r="W113" s="23">
        <f t="shared" ref="W113" si="169">O113</f>
        <v>20368.22</v>
      </c>
      <c r="X113" s="44" t="s">
        <v>122</v>
      </c>
    </row>
    <row r="114" spans="1:25" x14ac:dyDescent="0.25">
      <c r="A114" s="1"/>
      <c r="B114" s="2"/>
      <c r="C114" s="8"/>
      <c r="D114" s="2"/>
      <c r="E114" s="14"/>
      <c r="F114" s="15"/>
      <c r="G114" s="2"/>
      <c r="H114" s="2"/>
      <c r="I114" s="29"/>
      <c r="J114" s="31"/>
      <c r="K114" s="28"/>
      <c r="L114" s="28"/>
      <c r="M114" s="28"/>
      <c r="N114" s="28"/>
      <c r="O114" s="28"/>
      <c r="P114" s="3"/>
      <c r="Q114" s="1"/>
      <c r="R114" s="2"/>
      <c r="S114" s="17"/>
      <c r="T114" s="2"/>
      <c r="U114" s="2"/>
      <c r="V114" s="17"/>
      <c r="W114" s="18"/>
      <c r="X114" s="44"/>
    </row>
    <row r="115" spans="1:25" x14ac:dyDescent="0.25">
      <c r="A115" s="1"/>
      <c r="B115" s="2"/>
      <c r="C115" s="8"/>
      <c r="D115" s="2"/>
      <c r="E115" s="14"/>
      <c r="F115" s="15"/>
      <c r="G115" s="2"/>
      <c r="H115" s="2"/>
      <c r="I115" s="29"/>
      <c r="J115" s="31"/>
      <c r="K115" s="28"/>
      <c r="L115" s="28"/>
      <c r="M115" s="28"/>
      <c r="N115" s="28"/>
      <c r="O115" s="28"/>
      <c r="P115" s="3"/>
      <c r="Q115" s="1" t="s">
        <v>37</v>
      </c>
      <c r="R115" s="2" t="s">
        <v>38</v>
      </c>
      <c r="S115" s="17" t="s">
        <v>39</v>
      </c>
      <c r="T115" s="2" t="s">
        <v>40</v>
      </c>
      <c r="U115" s="2"/>
      <c r="V115" s="17"/>
      <c r="W115" s="18"/>
      <c r="X115" s="44"/>
    </row>
    <row r="116" spans="1:25" x14ac:dyDescent="0.25">
      <c r="A116" s="1"/>
      <c r="B116" s="2"/>
      <c r="C116" s="8"/>
      <c r="D116" s="2"/>
      <c r="E116" s="14"/>
      <c r="F116" s="15"/>
      <c r="G116" s="2"/>
      <c r="H116" s="2"/>
      <c r="I116" s="29"/>
      <c r="J116" s="31"/>
      <c r="K116" s="28"/>
      <c r="L116" s="28"/>
      <c r="M116" s="28"/>
      <c r="N116" s="28"/>
      <c r="O116" s="28"/>
      <c r="P116" s="3"/>
      <c r="Q116" s="25" t="str">
        <f>R111</f>
        <v>IA</v>
      </c>
      <c r="R116" s="24" t="str">
        <f>IF((G111="B"),"Bass Boat",IF((G111="P"),"Pontoon",IF((G111="S"),"Ski Boat",IF((G111="J"),"John Boat",IF((G111="C"),"Canoe",IF((G111="R"),"Cabin Cruiser","ERROR!"))))))</f>
        <v>John Boat</v>
      </c>
      <c r="S116" s="26">
        <f>P113</f>
        <v>3</v>
      </c>
      <c r="T116" s="27">
        <f>SUM(W111:W113)</f>
        <v>1540753.2</v>
      </c>
      <c r="U116" s="2"/>
      <c r="V116" s="17"/>
      <c r="W116" s="18"/>
      <c r="X116" s="44"/>
    </row>
    <row r="117" spans="1:25" x14ac:dyDescent="0.25">
      <c r="A117" s="1"/>
      <c r="B117" s="2"/>
      <c r="C117" s="8"/>
      <c r="D117" s="2"/>
      <c r="E117" s="14"/>
      <c r="F117" s="15"/>
      <c r="G117" s="2"/>
      <c r="H117" s="2"/>
      <c r="I117" s="29"/>
      <c r="J117" s="31"/>
      <c r="K117" s="28"/>
      <c r="L117" s="28"/>
      <c r="M117" s="28"/>
      <c r="N117" s="28"/>
      <c r="O117" s="28"/>
      <c r="P117" s="3"/>
      <c r="U117" s="2"/>
      <c r="V117" s="17"/>
      <c r="W117" s="18"/>
      <c r="X117" s="44"/>
    </row>
    <row r="118" spans="1:25" x14ac:dyDescent="0.25">
      <c r="A118" s="1" t="s">
        <v>58</v>
      </c>
      <c r="B118" s="2" t="s">
        <v>21</v>
      </c>
      <c r="C118" s="8" t="s">
        <v>23</v>
      </c>
      <c r="D118" s="2">
        <v>9999</v>
      </c>
      <c r="E118" s="14" t="s">
        <v>71</v>
      </c>
      <c r="F118" s="15" t="s">
        <v>71</v>
      </c>
      <c r="G118" s="2" t="s">
        <v>80</v>
      </c>
      <c r="H118" s="2">
        <v>3</v>
      </c>
      <c r="I118" s="29" t="s">
        <v>35</v>
      </c>
      <c r="J118" s="31">
        <f t="shared" ref="J118" si="170">0.06</f>
        <v>0.06</v>
      </c>
      <c r="K118" s="28">
        <f t="shared" ref="K118" si="171">IF((G118="B"),0.33,IF((G118="P"),0.25,IF((G118="S"),0.425,IF((G118="J"),0.33,IF((G118="C"),0.2,IF((G118="R"),0.3,"ERROR!"))))))</f>
        <v>0.33</v>
      </c>
      <c r="L118" s="28">
        <f t="shared" ref="L118" si="172">ROUND(C118*K118,2)</f>
        <v>330000</v>
      </c>
      <c r="M118" s="28" t="str">
        <f t="shared" ref="M118" si="173">IF((H118=1),"5,415.30",IF((H118=2),"3,980.00",IF((H118=3),"345.45","Error!")))</f>
        <v>345.45</v>
      </c>
      <c r="N118" s="28">
        <f t="shared" ref="N118" si="174">ROUND((C118+I118+L118+M118)*J118,2)</f>
        <v>79820.73</v>
      </c>
      <c r="O118" s="28">
        <f>SUM(C118+I118+L118+N118+M118)</f>
        <v>1410166.17</v>
      </c>
      <c r="P118" s="3">
        <f t="shared" ref="P118" si="175">P117 + 1</f>
        <v>1</v>
      </c>
      <c r="Q118" s="20" t="str">
        <f>A118</f>
        <v xml:space="preserve">LESTER         </v>
      </c>
      <c r="R118" s="21" t="str">
        <f>B118</f>
        <v>MO</v>
      </c>
      <c r="S118" s="22">
        <f>VALUE(C112)</f>
        <v>0.01</v>
      </c>
      <c r="T118" s="21" t="str">
        <f>CONCATENATE(E118,"/",F118,"/",RIGHT(D118,2))</f>
        <v>99/99/99</v>
      </c>
      <c r="U118" s="21" t="str">
        <f>IF((H118=1),"Electronics",IF((H118=2),"Ski Package",IF((H118=3),"Fishing Package","Error!")))</f>
        <v>Fishing Package</v>
      </c>
      <c r="V118" s="22">
        <f>VALUE(I118)</f>
        <v>0</v>
      </c>
      <c r="W118" s="23">
        <f>O118</f>
        <v>1410166.17</v>
      </c>
      <c r="X118" s="44" t="s">
        <v>123</v>
      </c>
    </row>
    <row r="119" spans="1:25" x14ac:dyDescent="0.25">
      <c r="A119" s="1"/>
      <c r="B119" s="2"/>
      <c r="C119" s="8"/>
      <c r="D119" s="2"/>
      <c r="E119" s="14"/>
      <c r="F119" s="15"/>
      <c r="G119" s="2"/>
      <c r="H119" s="2"/>
      <c r="I119" s="29"/>
      <c r="J119" s="31"/>
      <c r="K119" s="28"/>
      <c r="L119" s="28"/>
      <c r="M119" s="28"/>
      <c r="N119" s="28"/>
      <c r="O119" s="28"/>
      <c r="P119" s="3"/>
      <c r="Q119" s="1"/>
      <c r="R119" s="2"/>
      <c r="S119" s="17"/>
      <c r="T119" s="2"/>
      <c r="U119" s="2"/>
      <c r="V119" s="17"/>
      <c r="W119" s="18"/>
      <c r="Y119" s="1"/>
    </row>
    <row r="120" spans="1:25" x14ac:dyDescent="0.25">
      <c r="A120" s="1"/>
      <c r="B120" s="2"/>
      <c r="C120" s="8"/>
      <c r="D120" s="2"/>
      <c r="E120" s="14"/>
      <c r="F120" s="15"/>
      <c r="G120" s="2"/>
      <c r="H120" s="2"/>
      <c r="I120" s="29"/>
      <c r="J120" s="31"/>
      <c r="K120" s="28"/>
      <c r="L120" s="28"/>
      <c r="M120" s="28"/>
      <c r="N120" s="28"/>
      <c r="O120" s="28"/>
      <c r="P120" s="3"/>
      <c r="Q120" s="1" t="s">
        <v>37</v>
      </c>
      <c r="R120" s="2" t="s">
        <v>38</v>
      </c>
      <c r="S120" s="17" t="s">
        <v>39</v>
      </c>
      <c r="T120" s="2" t="s">
        <v>40</v>
      </c>
      <c r="U120" s="2"/>
      <c r="V120" s="17"/>
      <c r="W120" s="18"/>
      <c r="X120" s="44"/>
    </row>
    <row r="121" spans="1:25" x14ac:dyDescent="0.25">
      <c r="A121" s="1"/>
      <c r="B121" s="2"/>
      <c r="C121" s="8"/>
      <c r="D121" s="2"/>
      <c r="E121" s="14"/>
      <c r="F121" s="15"/>
      <c r="G121" s="2"/>
      <c r="H121" s="2"/>
      <c r="I121" s="29"/>
      <c r="J121" s="31"/>
      <c r="K121" s="28"/>
      <c r="L121" s="28"/>
      <c r="M121" s="28"/>
      <c r="N121" s="28"/>
      <c r="O121" s="28"/>
      <c r="P121" s="3"/>
      <c r="Q121" s="25" t="str">
        <f>R118</f>
        <v>MO</v>
      </c>
      <c r="R121" s="24" t="str">
        <f>IF((G118="B"),"Bass Boat",IF((G118="P"),"Pontoon",IF((G118="S"),"Ski Boat",IF((G118="J"),"John Boat",IF((G118="C"),"Canoe",IF((G118="R"),"Cabin Cruiser","ERROR!"))))))</f>
        <v>John Boat</v>
      </c>
      <c r="S121" s="26">
        <f>P118</f>
        <v>1</v>
      </c>
      <c r="T121" s="27">
        <f>SUM(W118)</f>
        <v>1410166.17</v>
      </c>
      <c r="U121" s="2"/>
      <c r="V121" s="17"/>
      <c r="W121" s="18"/>
      <c r="X121" s="44"/>
    </row>
    <row r="122" spans="1:25" x14ac:dyDescent="0.25">
      <c r="A122" s="1"/>
      <c r="B122" s="2"/>
      <c r="C122" s="8"/>
      <c r="D122" s="2"/>
      <c r="E122" s="14"/>
      <c r="F122" s="15"/>
      <c r="G122" s="2"/>
      <c r="H122" s="2"/>
      <c r="I122" s="29"/>
      <c r="J122" s="31"/>
      <c r="K122" s="28"/>
      <c r="L122" s="28"/>
      <c r="M122" s="28"/>
      <c r="N122" s="28"/>
      <c r="O122" s="28"/>
      <c r="P122" s="3"/>
      <c r="Q122" s="1"/>
      <c r="R122" s="2"/>
      <c r="S122" s="17"/>
      <c r="T122" s="2"/>
      <c r="U122" s="2"/>
      <c r="V122" s="17"/>
      <c r="W122" s="18"/>
      <c r="X122" s="44"/>
    </row>
    <row r="123" spans="1:25" x14ac:dyDescent="0.25">
      <c r="A123" s="1" t="s">
        <v>59</v>
      </c>
      <c r="B123" s="2" t="s">
        <v>64</v>
      </c>
      <c r="C123" s="8" t="s">
        <v>34</v>
      </c>
      <c r="D123" s="2">
        <v>1998</v>
      </c>
      <c r="E123" s="14" t="s">
        <v>72</v>
      </c>
      <c r="F123" s="15" t="s">
        <v>76</v>
      </c>
      <c r="G123" s="2" t="s">
        <v>80</v>
      </c>
      <c r="H123" s="2">
        <v>3</v>
      </c>
      <c r="I123" s="29" t="s">
        <v>29</v>
      </c>
      <c r="J123" s="31">
        <f t="shared" ref="J123:J126" si="176">0.06</f>
        <v>0.06</v>
      </c>
      <c r="K123" s="28">
        <f t="shared" ref="K123:K125" si="177">IF((G123="B"),0.33,IF((G123="P"),0.25,IF((G123="S"),0.425,IF((G123="J"),0.33,IF((G123="C"),0.2,IF((G123="R"),0.3,"ERROR!"))))))</f>
        <v>0.33</v>
      </c>
      <c r="L123" s="28">
        <f t="shared" ref="L123:L125" si="178">ROUND(C123*K123,2)</f>
        <v>0</v>
      </c>
      <c r="M123" s="28" t="str">
        <f t="shared" ref="M123:M125" si="179">IF((H123=1),"5,415.30",IF((H123=2),"3,980.00",IF((H123=3),"345.45","Error!")))</f>
        <v>345.45</v>
      </c>
      <c r="N123" s="28">
        <f t="shared" ref="N123:N125" si="180">ROUND((C123+I123+L123+M123)*J123,2)</f>
        <v>6020.73</v>
      </c>
      <c r="O123" s="28">
        <f>SUM(C123+I123+L123+N123+M123)</f>
        <v>106366.17</v>
      </c>
      <c r="P123" s="3">
        <f t="shared" ref="P123:P125" si="181">P122 + 1</f>
        <v>1</v>
      </c>
      <c r="Q123" s="20" t="str">
        <f>A123</f>
        <v xml:space="preserve">HERNANDEZ      </v>
      </c>
      <c r="R123" s="21" t="str">
        <f>B123</f>
        <v>WI</v>
      </c>
      <c r="S123" s="22">
        <f>VALUE(C117)</f>
        <v>0</v>
      </c>
      <c r="T123" s="21" t="str">
        <f>CONCATENATE(E123,"/",F123,"/",RIGHT(D123,2))</f>
        <v>08/15/98</v>
      </c>
      <c r="U123" s="21" t="str">
        <f>IF((H123=1),"Electronics",IF((H123=2),"Ski Package",IF((H123=3),"Fishing Package","Error!")))</f>
        <v>Fishing Package</v>
      </c>
      <c r="V123" s="22">
        <f>VALUE(I123)</f>
        <v>99999.99</v>
      </c>
      <c r="W123" s="23">
        <f>O123</f>
        <v>106366.17</v>
      </c>
      <c r="X123" s="44" t="s">
        <v>123</v>
      </c>
    </row>
    <row r="124" spans="1:25" x14ac:dyDescent="0.25">
      <c r="A124" s="1" t="s">
        <v>60</v>
      </c>
      <c r="B124" s="2" t="s">
        <v>64</v>
      </c>
      <c r="C124" s="8" t="s">
        <v>66</v>
      </c>
      <c r="D124" s="2">
        <v>2001</v>
      </c>
      <c r="E124" s="14" t="s">
        <v>69</v>
      </c>
      <c r="F124" s="15" t="s">
        <v>77</v>
      </c>
      <c r="G124" s="2" t="s">
        <v>80</v>
      </c>
      <c r="H124" s="2">
        <v>1</v>
      </c>
      <c r="I124" s="29" t="s">
        <v>35</v>
      </c>
      <c r="J124" s="31">
        <f t="shared" si="176"/>
        <v>0.06</v>
      </c>
      <c r="K124" s="28">
        <f t="shared" si="177"/>
        <v>0.33</v>
      </c>
      <c r="L124" s="28">
        <f t="shared" si="178"/>
        <v>0</v>
      </c>
      <c r="M124" s="28" t="str">
        <f t="shared" si="179"/>
        <v>5,415.30</v>
      </c>
      <c r="N124" s="28">
        <f t="shared" si="180"/>
        <v>324.92</v>
      </c>
      <c r="O124" s="28">
        <f t="shared" ref="O124:O126" si="182">SUM(C124+I124+L124+N124+M124)</f>
        <v>5740.2300000000005</v>
      </c>
      <c r="P124" s="3">
        <f t="shared" si="181"/>
        <v>2</v>
      </c>
      <c r="Q124" s="20" t="str">
        <f t="shared" ref="Q124:Q125" si="183">A124</f>
        <v xml:space="preserve">MUHAMED        </v>
      </c>
      <c r="R124" s="21" t="str">
        <f t="shared" ref="R124:R125" si="184">B124</f>
        <v>WI</v>
      </c>
      <c r="S124" s="22">
        <f t="shared" ref="S124:S125" si="185">VALUE(C118)</f>
        <v>999999.99</v>
      </c>
      <c r="T124" s="21" t="str">
        <f t="shared" ref="T124:T125" si="186">CONCATENATE(E124,"/",F124,"/",RIGHT(D124,2))</f>
        <v>09/11/01</v>
      </c>
      <c r="U124" s="21" t="str">
        <f t="shared" ref="U124:U125" si="187">IF((H124=1),"Electronics",IF((H124=2),"Ski Package",IF((H124=3),"Fishing Package","Error!")))</f>
        <v>Electronics</v>
      </c>
      <c r="V124" s="22">
        <f t="shared" ref="V124:V125" si="188">VALUE(I124)</f>
        <v>0</v>
      </c>
      <c r="W124" s="23">
        <f t="shared" ref="W124:W125" si="189">O124</f>
        <v>5740.2300000000005</v>
      </c>
      <c r="X124" s="44" t="s">
        <v>124</v>
      </c>
    </row>
    <row r="125" spans="1:25" x14ac:dyDescent="0.25">
      <c r="A125" s="1" t="s">
        <v>61</v>
      </c>
      <c r="B125" s="2" t="s">
        <v>64</v>
      </c>
      <c r="C125" s="8" t="s">
        <v>34</v>
      </c>
      <c r="D125" s="2">
        <v>9999</v>
      </c>
      <c r="E125" s="14" t="s">
        <v>71</v>
      </c>
      <c r="F125" s="15" t="s">
        <v>71</v>
      </c>
      <c r="G125" s="2" t="s">
        <v>80</v>
      </c>
      <c r="H125" s="2">
        <v>1</v>
      </c>
      <c r="I125" s="29" t="s">
        <v>70</v>
      </c>
      <c r="J125" s="31">
        <f t="shared" si="176"/>
        <v>0.06</v>
      </c>
      <c r="K125" s="28">
        <f t="shared" si="177"/>
        <v>0.33</v>
      </c>
      <c r="L125" s="28">
        <f t="shared" si="178"/>
        <v>0</v>
      </c>
      <c r="M125" s="28" t="str">
        <f t="shared" si="179"/>
        <v>5,415.30</v>
      </c>
      <c r="N125" s="28">
        <f t="shared" si="180"/>
        <v>324.92</v>
      </c>
      <c r="O125" s="28">
        <f t="shared" si="182"/>
        <v>5740.2300000000005</v>
      </c>
      <c r="P125" s="3">
        <f t="shared" si="181"/>
        <v>3</v>
      </c>
      <c r="Q125" s="20" t="str">
        <f t="shared" si="183"/>
        <v xml:space="preserve">FREEMAN        </v>
      </c>
      <c r="R125" s="21" t="str">
        <f t="shared" si="184"/>
        <v>WI</v>
      </c>
      <c r="S125" s="22">
        <f t="shared" si="185"/>
        <v>0</v>
      </c>
      <c r="T125" s="21" t="str">
        <f t="shared" si="186"/>
        <v>99/99/99</v>
      </c>
      <c r="U125" s="21" t="str">
        <f t="shared" si="187"/>
        <v>Electronics</v>
      </c>
      <c r="V125" s="22">
        <f t="shared" si="188"/>
        <v>0.01</v>
      </c>
      <c r="W125" s="23">
        <f t="shared" si="189"/>
        <v>5740.2300000000005</v>
      </c>
      <c r="X125" s="44" t="s">
        <v>124</v>
      </c>
    </row>
    <row r="126" spans="1:25" x14ac:dyDescent="0.25">
      <c r="A126" s="1" t="s">
        <v>99</v>
      </c>
      <c r="B126" s="7" t="s">
        <v>64</v>
      </c>
      <c r="C126" s="10" t="s">
        <v>83</v>
      </c>
      <c r="D126" s="7">
        <v>1998</v>
      </c>
      <c r="E126" s="15" t="s">
        <v>73</v>
      </c>
      <c r="F126" s="15" t="s">
        <v>84</v>
      </c>
      <c r="G126" s="7" t="s">
        <v>80</v>
      </c>
      <c r="H126" s="7">
        <v>2</v>
      </c>
      <c r="I126" s="29" t="s">
        <v>98</v>
      </c>
      <c r="J126" s="31">
        <f t="shared" si="176"/>
        <v>0.06</v>
      </c>
      <c r="K126" s="28">
        <f t="shared" ref="K126" si="190">IF((G126="B"),0.33,IF((G126="P"),0.25,IF((G126="S"),0.425,IF((G126="J"),0.33,IF((G126="C"),0.2,IF((G126="R"),0.3,"ERROR!"))))))</f>
        <v>0.33</v>
      </c>
      <c r="L126" s="28">
        <f t="shared" ref="L126" si="191">ROUND(C126*K126,2)</f>
        <v>26400</v>
      </c>
      <c r="M126" s="28" t="str">
        <f t="shared" ref="M126" si="192">IF((H126=1),"5,415.30",IF((H126=2),"3,980.00",IF((H126=3),"345.45","Error!")))</f>
        <v>3,980.00</v>
      </c>
      <c r="N126" s="28">
        <f t="shared" ref="N126" si="193">ROUND((C126+I126+L126+M126)*J126,2)</f>
        <v>6712.8</v>
      </c>
      <c r="O126" s="28">
        <f t="shared" si="182"/>
        <v>118592.8</v>
      </c>
      <c r="P126" s="3">
        <f t="shared" ref="P126" si="194">P125 + 1</f>
        <v>4</v>
      </c>
      <c r="Q126" s="20" t="str">
        <f t="shared" ref="Q126" si="195">A126</f>
        <v xml:space="preserve">DURSLEY        </v>
      </c>
      <c r="R126" s="21" t="str">
        <f t="shared" ref="R126" si="196">B126</f>
        <v>WI</v>
      </c>
      <c r="S126" s="22">
        <f t="shared" ref="S126" si="197">VALUE(C120)</f>
        <v>0</v>
      </c>
      <c r="T126" s="21" t="str">
        <f t="shared" ref="T126" si="198">CONCATENATE(E126,"/",F126,"/",RIGHT(D126,2))</f>
        <v>06/14/98</v>
      </c>
      <c r="U126" s="21" t="str">
        <f t="shared" ref="U126" si="199">IF((H126=1),"Electronics",IF((H126=2),"Ski Package",IF((H126=3),"Fishing Package","Error!")))</f>
        <v>Ski Package</v>
      </c>
      <c r="V126" s="22">
        <f t="shared" ref="V126" si="200">VALUE(I126)</f>
        <v>1500</v>
      </c>
      <c r="W126" s="23">
        <f t="shared" ref="W126" si="201">O126</f>
        <v>118592.8</v>
      </c>
      <c r="X126" s="44" t="s">
        <v>122</v>
      </c>
    </row>
    <row r="127" spans="1:25" x14ac:dyDescent="0.25">
      <c r="A127" s="1"/>
      <c r="B127" s="2"/>
      <c r="C127" s="8"/>
      <c r="D127" s="2"/>
      <c r="E127" s="14"/>
      <c r="F127" s="15"/>
      <c r="G127" s="2"/>
      <c r="H127" s="2"/>
      <c r="I127" s="29"/>
      <c r="J127" s="31"/>
      <c r="K127" s="28"/>
      <c r="L127" s="28"/>
      <c r="M127" s="28"/>
      <c r="N127" s="28"/>
      <c r="O127" s="28"/>
      <c r="P127" s="3"/>
      <c r="Q127" s="1"/>
      <c r="R127" s="2"/>
      <c r="S127" s="17"/>
      <c r="T127" s="2"/>
      <c r="U127" s="2"/>
      <c r="V127" s="17"/>
      <c r="W127" s="18"/>
      <c r="X127" s="44"/>
    </row>
    <row r="128" spans="1:25" x14ac:dyDescent="0.25">
      <c r="A128" s="1"/>
      <c r="B128" s="2"/>
      <c r="C128" s="8"/>
      <c r="D128" s="2"/>
      <c r="E128" s="14"/>
      <c r="F128" s="15"/>
      <c r="G128" s="2"/>
      <c r="H128" s="2"/>
      <c r="I128" s="29"/>
      <c r="J128" s="31"/>
      <c r="K128" s="28"/>
      <c r="L128" s="28"/>
      <c r="M128" s="28"/>
      <c r="N128" s="28"/>
      <c r="O128" s="28"/>
      <c r="P128" s="3"/>
      <c r="Q128" s="1" t="s">
        <v>37</v>
      </c>
      <c r="R128" s="2" t="s">
        <v>38</v>
      </c>
      <c r="S128" s="17" t="s">
        <v>39</v>
      </c>
      <c r="T128" s="2" t="s">
        <v>40</v>
      </c>
      <c r="U128" s="2"/>
      <c r="V128" s="17"/>
      <c r="W128" s="18"/>
      <c r="X128" s="44"/>
    </row>
    <row r="129" spans="1:24" x14ac:dyDescent="0.25">
      <c r="A129" s="1"/>
      <c r="B129" s="2"/>
      <c r="C129" s="8"/>
      <c r="D129" s="2"/>
      <c r="E129" s="14"/>
      <c r="F129" s="15"/>
      <c r="G129" s="2"/>
      <c r="H129" s="2"/>
      <c r="I129" s="29"/>
      <c r="J129" s="31"/>
      <c r="K129" s="28"/>
      <c r="L129" s="28"/>
      <c r="M129" s="28"/>
      <c r="N129" s="28"/>
      <c r="O129" s="28"/>
      <c r="P129" s="3"/>
      <c r="Q129" s="25" t="str">
        <f>R123</f>
        <v>WI</v>
      </c>
      <c r="R129" s="24" t="str">
        <f>IF((G125="B"),"Bass Boat",IF((G125="P"),"Pontoon",IF((G125="S"),"Ski Boat",IF((G125="J"),"John Boat",IF((G125="C"),"Canoe",IF((G125="R"),"Cabin Cruiser","ERROR!"))))))</f>
        <v>John Boat</v>
      </c>
      <c r="S129" s="26">
        <f>P126</f>
        <v>4</v>
      </c>
      <c r="T129" s="27">
        <f>SUM(W123:W126)</f>
        <v>236439.43</v>
      </c>
      <c r="U129" s="2"/>
      <c r="V129" s="17"/>
      <c r="W129" s="18"/>
      <c r="X129" s="44"/>
    </row>
    <row r="130" spans="1:24" x14ac:dyDescent="0.25">
      <c r="A130" s="1"/>
      <c r="B130" s="2"/>
      <c r="C130" s="8"/>
      <c r="D130" s="2"/>
      <c r="E130" s="14"/>
      <c r="F130" s="15"/>
      <c r="G130" s="2"/>
      <c r="H130" s="2"/>
      <c r="I130" s="29"/>
      <c r="J130" s="31"/>
      <c r="K130" s="28"/>
      <c r="L130" s="28"/>
      <c r="M130" s="28"/>
      <c r="N130" s="28"/>
      <c r="O130" s="28"/>
      <c r="P130" s="3"/>
      <c r="Q130" s="1"/>
      <c r="R130" s="2"/>
      <c r="S130" s="17"/>
      <c r="T130" s="2"/>
      <c r="U130" s="2"/>
      <c r="V130" s="17"/>
      <c r="W130" s="18"/>
      <c r="X130" s="44"/>
    </row>
    <row r="131" spans="1:24" x14ac:dyDescent="0.25">
      <c r="A131" s="1" t="s">
        <v>62</v>
      </c>
      <c r="B131" s="2" t="s">
        <v>65</v>
      </c>
      <c r="C131" s="8" t="s">
        <v>23</v>
      </c>
      <c r="D131" s="2">
        <v>9999</v>
      </c>
      <c r="E131" s="14" t="s">
        <v>71</v>
      </c>
      <c r="F131" s="15" t="s">
        <v>71</v>
      </c>
      <c r="G131" s="2" t="s">
        <v>80</v>
      </c>
      <c r="H131" s="2">
        <v>1</v>
      </c>
      <c r="I131" s="29" t="s">
        <v>29</v>
      </c>
      <c r="J131" s="31">
        <f t="shared" ref="J131" si="202">0.06</f>
        <v>0.06</v>
      </c>
      <c r="K131" s="28">
        <f t="shared" ref="K131" si="203">IF((G131="B"),0.33,IF((G131="P"),0.25,IF((G131="S"),0.425,IF((G131="J"),0.33,IF((G131="C"),0.2,IF((G131="R"),0.3,"ERROR!"))))))</f>
        <v>0.33</v>
      </c>
      <c r="L131" s="28">
        <f t="shared" ref="L131" si="204">ROUND(C131*K131,2)</f>
        <v>330000</v>
      </c>
      <c r="M131" s="28" t="str">
        <f t="shared" ref="M131" si="205">IF((H131=1),"5,415.30",IF((H131=2),"3,980.00",IF((H131=3),"345.45","Error!")))</f>
        <v>5,415.30</v>
      </c>
      <c r="N131" s="28">
        <f t="shared" ref="N131" si="206">ROUND((C131+I131+L131+M131)*J131,2)</f>
        <v>86124.92</v>
      </c>
      <c r="O131" s="28">
        <f>SUM(C131+I131+L131+N131+M131)</f>
        <v>1521540.2</v>
      </c>
      <c r="P131" s="3">
        <f t="shared" ref="P131" si="207">P130 + 1</f>
        <v>1</v>
      </c>
      <c r="Q131" s="20" t="str">
        <f t="shared" ref="Q131" si="208">A131</f>
        <v>XXXXXXXXXXXXXXX</v>
      </c>
      <c r="R131" s="21" t="str">
        <f t="shared" ref="R131" si="209">B131</f>
        <v>ZZ</v>
      </c>
      <c r="S131" s="22">
        <f t="shared" ref="S131" si="210">VALUE(C124)</f>
        <v>0.01</v>
      </c>
      <c r="T131" s="21" t="str">
        <f t="shared" ref="T131" si="211">CONCATENATE(E131,"/",F131,"/",RIGHT(D131,2))</f>
        <v>99/99/99</v>
      </c>
      <c r="U131" s="21" t="str">
        <f t="shared" ref="U131" si="212">IF((H131=1),"Electronics",IF((H131=2),"Ski Package",IF((H131=3),"Fishing Package","Error!")))</f>
        <v>Electronics</v>
      </c>
      <c r="V131" s="22">
        <f t="shared" ref="V131" si="213">VALUE(I131)</f>
        <v>99999.99</v>
      </c>
      <c r="W131" s="23">
        <f t="shared" ref="W131" si="214">O131</f>
        <v>1521540.2</v>
      </c>
      <c r="X131" s="44" t="s">
        <v>125</v>
      </c>
    </row>
    <row r="132" spans="1:24" x14ac:dyDescent="0.25">
      <c r="A132" s="1"/>
      <c r="B132" s="2"/>
      <c r="C132" s="8"/>
      <c r="D132" s="2"/>
      <c r="E132" s="14"/>
      <c r="F132" s="15"/>
      <c r="G132" s="2"/>
      <c r="H132" s="2"/>
      <c r="I132" s="29"/>
      <c r="J132" s="31"/>
      <c r="K132" s="28"/>
      <c r="L132" s="28"/>
      <c r="M132" s="28"/>
      <c r="N132" s="28"/>
      <c r="O132" s="28"/>
      <c r="P132" s="3"/>
      <c r="Q132" s="1"/>
      <c r="R132" s="2"/>
      <c r="S132" s="17"/>
      <c r="T132" s="2"/>
      <c r="U132" s="2"/>
      <c r="V132" s="17"/>
      <c r="W132" s="18"/>
      <c r="X132" s="44"/>
    </row>
    <row r="133" spans="1:24" x14ac:dyDescent="0.25">
      <c r="A133" s="1"/>
      <c r="B133" s="2"/>
      <c r="C133" s="8"/>
      <c r="D133" s="2"/>
      <c r="E133" s="14"/>
      <c r="F133" s="15"/>
      <c r="G133" s="2"/>
      <c r="H133" s="2"/>
      <c r="I133" s="29"/>
      <c r="J133" s="31"/>
      <c r="K133" s="28"/>
      <c r="L133" s="28"/>
      <c r="M133" s="28"/>
      <c r="N133" s="28"/>
      <c r="O133" s="28"/>
      <c r="P133" s="3"/>
      <c r="Q133" s="1" t="s">
        <v>37</v>
      </c>
      <c r="R133" s="2" t="s">
        <v>38</v>
      </c>
      <c r="S133" s="17" t="s">
        <v>39</v>
      </c>
      <c r="T133" s="2" t="s">
        <v>40</v>
      </c>
      <c r="U133" s="2"/>
      <c r="V133" s="17"/>
      <c r="W133" s="18"/>
      <c r="X133" s="44"/>
    </row>
    <row r="134" spans="1:24" x14ac:dyDescent="0.25">
      <c r="A134" s="1"/>
      <c r="B134" s="2"/>
      <c r="C134" s="8"/>
      <c r="D134" s="2"/>
      <c r="E134" s="14"/>
      <c r="F134" s="15"/>
      <c r="G134" s="2"/>
      <c r="H134" s="2"/>
      <c r="I134" s="29"/>
      <c r="J134" s="31"/>
      <c r="K134" s="28"/>
      <c r="L134" s="28"/>
      <c r="M134" s="28"/>
      <c r="N134" s="28"/>
      <c r="O134" s="28"/>
      <c r="P134" s="3"/>
      <c r="Q134" s="25" t="str">
        <f>R131</f>
        <v>ZZ</v>
      </c>
      <c r="R134" s="24" t="str">
        <f>IF((G131="B"),"Bass Boat",IF((G131="P"),"Pontoon",IF((G131="S"),"Ski Boat",IF((G131="J"),"John Boat",IF((G131="C"),"Canoe",IF((G131="R"),"Cabin Cruiser","ERROR!"))))))</f>
        <v>John Boat</v>
      </c>
      <c r="S134" s="26">
        <f>P131</f>
        <v>1</v>
      </c>
      <c r="T134" s="27">
        <f>SUM(W131)</f>
        <v>1521540.2</v>
      </c>
      <c r="U134" s="2"/>
      <c r="V134" s="17"/>
      <c r="W134" s="18"/>
      <c r="X134" s="44"/>
    </row>
    <row r="135" spans="1:24" x14ac:dyDescent="0.25">
      <c r="A135" s="1"/>
      <c r="B135" s="2"/>
      <c r="C135" s="8"/>
      <c r="D135" s="2"/>
      <c r="E135" s="14"/>
      <c r="F135" s="15"/>
      <c r="G135" s="2"/>
      <c r="H135" s="2"/>
      <c r="I135" s="29"/>
      <c r="J135" s="31"/>
      <c r="K135" s="28"/>
      <c r="L135" s="28"/>
      <c r="M135" s="28"/>
      <c r="N135" s="28"/>
      <c r="O135" s="28"/>
      <c r="P135" s="3"/>
      <c r="Q135" s="1"/>
      <c r="R135" s="2"/>
      <c r="S135" s="17"/>
      <c r="T135" s="2"/>
      <c r="U135" s="2"/>
      <c r="V135" s="17"/>
      <c r="W135" s="18"/>
      <c r="X135" s="44"/>
    </row>
    <row r="136" spans="1:24" x14ac:dyDescent="0.25">
      <c r="A136" s="1"/>
      <c r="J136" s="31"/>
      <c r="K136" s="28"/>
      <c r="L136" s="28"/>
      <c r="M136" s="28"/>
      <c r="N136" s="28"/>
      <c r="O136" s="28"/>
      <c r="P136" s="3"/>
      <c r="Q136" s="1" t="s">
        <v>41</v>
      </c>
      <c r="R136" s="2" t="s">
        <v>42</v>
      </c>
      <c r="S136" s="2" t="s">
        <v>43</v>
      </c>
      <c r="T136" s="2"/>
      <c r="U136" s="2"/>
      <c r="V136" s="2"/>
      <c r="X136" s="44"/>
    </row>
    <row r="137" spans="1:24" x14ac:dyDescent="0.25">
      <c r="A137" s="1"/>
      <c r="J137" s="13"/>
      <c r="K137" s="28"/>
      <c r="L137" s="28"/>
      <c r="M137" s="28"/>
      <c r="N137" s="28"/>
      <c r="O137" s="28"/>
      <c r="P137" s="3"/>
      <c r="Q137" s="33" t="str">
        <f>IF((G105="B"),"Bass Boat",IF((G105="P"),"Pontoon",IF((G105="S"),"Ski Boat",IF((G105="J"),"John Boat",IF((G105="C"),"Canoe",IF((G105="R"),"Cabin Cruiser","ERROR!"))))))</f>
        <v>John Boat</v>
      </c>
      <c r="R137" s="36">
        <f>SUM(S109,S116,S121,S129,S134)</f>
        <v>11</v>
      </c>
      <c r="S137" s="34">
        <f>SUM(T134,T129,T121,T116,T109)</f>
        <v>4718858.04</v>
      </c>
      <c r="T137" s="2"/>
      <c r="U137" s="2"/>
      <c r="V137" s="2"/>
      <c r="X137" s="44"/>
    </row>
    <row r="138" spans="1:24" x14ac:dyDescent="0.25">
      <c r="A138" s="1"/>
      <c r="J138" s="13"/>
      <c r="K138" s="28"/>
      <c r="L138" s="28"/>
      <c r="M138" s="28"/>
      <c r="N138" s="28"/>
      <c r="O138" s="28"/>
      <c r="P138" s="3"/>
      <c r="T138" s="2"/>
      <c r="U138" s="2"/>
      <c r="V138" s="2"/>
      <c r="W138" s="3"/>
      <c r="X138" s="44"/>
    </row>
    <row r="139" spans="1:24" x14ac:dyDescent="0.25">
      <c r="A139" s="1" t="s">
        <v>51</v>
      </c>
      <c r="B139" s="2" t="s">
        <v>63</v>
      </c>
      <c r="C139" s="8" t="s">
        <v>34</v>
      </c>
      <c r="D139" s="2">
        <v>2019</v>
      </c>
      <c r="E139" s="2">
        <v>12</v>
      </c>
      <c r="F139" s="2">
        <v>11</v>
      </c>
      <c r="G139" s="2" t="s">
        <v>81</v>
      </c>
      <c r="H139" s="7">
        <v>2</v>
      </c>
      <c r="I139" s="8" t="s">
        <v>35</v>
      </c>
      <c r="J139" s="31">
        <f t="shared" ref="J139:J141" si="215">0.06</f>
        <v>0.06</v>
      </c>
      <c r="K139">
        <f t="shared" ref="K139:K140" si="216">IF((G139="B"),0.33,IF((G139="P"),0.25,IF((G139="S"),0.425,IF((G139="J"),0.33,IF((G139="C"),0.2,IF((G139="R"),0.3,"ERROR!"))))))</f>
        <v>0.3</v>
      </c>
      <c r="L139" s="28">
        <f t="shared" ref="L139:L140" si="217">ROUND(C139*K139,2)</f>
        <v>0</v>
      </c>
      <c r="M139" s="7" t="str">
        <f>IF((H139=1),"5,415.30",IF((H139=2),"3,980.00",IF((H139=3),"345.45","Error!")))</f>
        <v>3,980.00</v>
      </c>
      <c r="N139" s="28">
        <f>ROUND((C139+I139+L139+M139)*J139,2)</f>
        <v>238.8</v>
      </c>
      <c r="O139" s="28">
        <f>SUM(C139+I139+L139+N139+M139)</f>
        <v>4218.8</v>
      </c>
      <c r="P139" s="3">
        <v>1</v>
      </c>
      <c r="Q139" s="20" t="str">
        <f t="shared" ref="Q139:Q140" si="218">A139</f>
        <v xml:space="preserve">BOB - DYLAN    </v>
      </c>
      <c r="R139" s="21" t="str">
        <f t="shared" ref="R139:R140" si="219">B139</f>
        <v>CA</v>
      </c>
      <c r="S139" s="22">
        <f>VALUE(C139)</f>
        <v>0</v>
      </c>
      <c r="T139" s="21" t="str">
        <f>CONCATENATE(E139,"/",F139,"/",RIGHT(D139,2))</f>
        <v>12/11/19</v>
      </c>
      <c r="U139" s="21" t="str">
        <f>IF((H139=1),"Electronics",IF((H139=2),"Ski Package",IF((H139=3),"Fishing Package","Error!")))</f>
        <v>Ski Package</v>
      </c>
      <c r="V139" s="22">
        <f>VALUE(I139)</f>
        <v>0</v>
      </c>
      <c r="W139" s="23">
        <f>O139</f>
        <v>4218.8</v>
      </c>
      <c r="X139" s="44" t="s">
        <v>119</v>
      </c>
    </row>
    <row r="140" spans="1:24" x14ac:dyDescent="0.25">
      <c r="A140" s="1" t="s">
        <v>52</v>
      </c>
      <c r="B140" s="2" t="s">
        <v>63</v>
      </c>
      <c r="C140" s="8" t="s">
        <v>66</v>
      </c>
      <c r="D140" s="2">
        <v>2015</v>
      </c>
      <c r="E140" s="14" t="s">
        <v>69</v>
      </c>
      <c r="F140" s="15" t="s">
        <v>69</v>
      </c>
      <c r="G140" s="2" t="s">
        <v>81</v>
      </c>
      <c r="H140" s="2">
        <v>1</v>
      </c>
      <c r="I140" s="29" t="s">
        <v>70</v>
      </c>
      <c r="J140" s="31">
        <f t="shared" si="215"/>
        <v>0.06</v>
      </c>
      <c r="K140">
        <f t="shared" si="216"/>
        <v>0.3</v>
      </c>
      <c r="L140" s="28">
        <f t="shared" si="217"/>
        <v>0</v>
      </c>
      <c r="M140" s="7" t="str">
        <f t="shared" ref="M140" si="220">IF((H140=1),"5,415.30",IF((H140=2),"3,90.00",IF((H140=3),"345.45","Error!")))</f>
        <v>5,415.30</v>
      </c>
      <c r="N140" s="28">
        <f>ROUND((C140+I140+L140+M140)*J140,2)</f>
        <v>324.92</v>
      </c>
      <c r="O140" s="28">
        <f t="shared" ref="O140" si="221">SUM(C140+I140+L140+N140+M140)</f>
        <v>5740.24</v>
      </c>
      <c r="P140" s="3">
        <f>P139+1</f>
        <v>2</v>
      </c>
      <c r="Q140" s="20" t="str">
        <f t="shared" si="218"/>
        <v xml:space="preserve">DAVIS          </v>
      </c>
      <c r="R140" s="21" t="str">
        <f t="shared" si="219"/>
        <v>CA</v>
      </c>
      <c r="S140" s="22">
        <f>VALUE(C140)</f>
        <v>0.01</v>
      </c>
      <c r="T140" s="21" t="str">
        <f>CONCATENATE(E140,"/",F140,"/",RIGHT(D140,2))</f>
        <v>09/09/15</v>
      </c>
      <c r="U140" s="21" t="str">
        <f>IF((H140=1),"Electronics",IF((H140=2),"Ski Package",IF((H140=3),"Fishing Package","Error!")))</f>
        <v>Electronics</v>
      </c>
      <c r="V140" s="22">
        <f>VALUE(I140)</f>
        <v>0.01</v>
      </c>
      <c r="W140" s="23">
        <f>O140</f>
        <v>5740.24</v>
      </c>
      <c r="X140" s="44" t="s">
        <v>120</v>
      </c>
    </row>
    <row r="141" spans="1:24" x14ac:dyDescent="0.25">
      <c r="A141" s="1" t="s">
        <v>100</v>
      </c>
      <c r="B141" s="2" t="s">
        <v>63</v>
      </c>
      <c r="C141" s="8" t="s">
        <v>101</v>
      </c>
      <c r="D141" s="2">
        <v>1985</v>
      </c>
      <c r="E141" s="15" t="s">
        <v>69</v>
      </c>
      <c r="F141" s="15" t="s">
        <v>102</v>
      </c>
      <c r="G141" s="2" t="s">
        <v>81</v>
      </c>
      <c r="H141" s="2">
        <v>3</v>
      </c>
      <c r="I141" s="29" t="s">
        <v>103</v>
      </c>
      <c r="J141" s="31">
        <f t="shared" si="215"/>
        <v>0.06</v>
      </c>
      <c r="K141">
        <f t="shared" ref="K141" si="222">IF((G141="B"),0.33,IF((G141="P"),0.25,IF((G141="S"),0.425,IF((G141="J"),0.33,IF((G141="C"),0.2,IF((G141="R"),0.3,"ERROR!"))))))</f>
        <v>0.3</v>
      </c>
      <c r="L141" s="28">
        <f t="shared" ref="L141" si="223">ROUND(C141*K141,2)</f>
        <v>18000</v>
      </c>
      <c r="M141" s="7" t="str">
        <f t="shared" ref="M141" si="224">IF((H141=1),"5,415.30",IF((H141=2),"3,90.00",IF((H141=3),"345.45","Error!")))</f>
        <v>345.45</v>
      </c>
      <c r="N141" s="28">
        <f>ROUND((C141+I141+L141+M141)*J141,2)</f>
        <v>4760.7299999999996</v>
      </c>
      <c r="O141" s="28">
        <f t="shared" ref="O141" si="225">SUM(C141+I141+L141+N141+M141)</f>
        <v>84106.18</v>
      </c>
      <c r="P141" s="3">
        <f>P140+1</f>
        <v>3</v>
      </c>
      <c r="Q141" s="20" t="str">
        <f t="shared" ref="Q141" si="226">A141</f>
        <v xml:space="preserve">MACGYVER       </v>
      </c>
      <c r="R141" s="21" t="str">
        <f t="shared" ref="R141" si="227">B141</f>
        <v>CA</v>
      </c>
      <c r="S141" s="22">
        <f>VALUE(C141)</f>
        <v>60000</v>
      </c>
      <c r="T141" s="21" t="str">
        <f>CONCATENATE(E141,"/",F141,"/",RIGHT(D141,2))</f>
        <v>09/29/85</v>
      </c>
      <c r="U141" s="21" t="str">
        <f>IF((H141=1),"Electronics",IF((H141=2),"Ski Package",IF((H141=3),"Fishing Package","Error!")))</f>
        <v>Fishing Package</v>
      </c>
      <c r="V141" s="22">
        <f>VALUE(I141)</f>
        <v>1000</v>
      </c>
      <c r="W141" s="23">
        <f>O141</f>
        <v>84106.18</v>
      </c>
      <c r="X141" s="44" t="s">
        <v>122</v>
      </c>
    </row>
    <row r="142" spans="1:24" x14ac:dyDescent="0.25">
      <c r="A142" s="1"/>
      <c r="B142" s="2"/>
      <c r="C142" s="8"/>
      <c r="D142" s="2"/>
      <c r="E142" s="14"/>
      <c r="F142" s="15"/>
      <c r="G142" s="2"/>
      <c r="H142" s="2"/>
      <c r="I142" s="29"/>
      <c r="J142" s="31"/>
      <c r="L142" s="28"/>
      <c r="M142" s="7"/>
      <c r="N142" s="28"/>
      <c r="O142" s="28"/>
      <c r="P142" s="3"/>
      <c r="Q142" s="1"/>
      <c r="R142" s="2"/>
      <c r="S142" s="17"/>
      <c r="T142" s="2"/>
      <c r="U142" s="2"/>
      <c r="V142" s="17"/>
      <c r="W142" s="18"/>
      <c r="X142" s="44"/>
    </row>
    <row r="143" spans="1:24" x14ac:dyDescent="0.25">
      <c r="A143" s="1"/>
      <c r="B143" s="2"/>
      <c r="C143" s="8"/>
      <c r="D143" s="2"/>
      <c r="E143" s="14"/>
      <c r="F143" s="15"/>
      <c r="G143" s="2"/>
      <c r="H143" s="2"/>
      <c r="I143" s="29"/>
      <c r="J143" s="31"/>
      <c r="L143" s="28"/>
      <c r="M143" s="7"/>
      <c r="N143" s="28"/>
      <c r="O143" s="28"/>
      <c r="P143" s="3"/>
      <c r="Q143" s="1" t="s">
        <v>37</v>
      </c>
      <c r="R143" s="2" t="s">
        <v>38</v>
      </c>
      <c r="S143" s="17" t="s">
        <v>39</v>
      </c>
      <c r="T143" s="2" t="s">
        <v>40</v>
      </c>
      <c r="U143" s="2"/>
      <c r="V143" s="17"/>
      <c r="W143" s="18"/>
      <c r="X143" s="44"/>
    </row>
    <row r="144" spans="1:24" x14ac:dyDescent="0.25">
      <c r="A144" s="1"/>
      <c r="B144" s="2"/>
      <c r="C144" s="8"/>
      <c r="D144" s="2"/>
      <c r="E144" s="14"/>
      <c r="F144" s="15"/>
      <c r="G144" s="2"/>
      <c r="H144" s="2"/>
      <c r="I144" s="29"/>
      <c r="J144" s="31"/>
      <c r="L144" s="28"/>
      <c r="M144" s="7"/>
      <c r="N144" s="28"/>
      <c r="O144" s="28"/>
      <c r="P144" s="3"/>
      <c r="Q144" s="25" t="str">
        <f>R139</f>
        <v>CA</v>
      </c>
      <c r="R144" s="24" t="str">
        <f>IF((G139="B"),"Bass Boat",IF((G139="P"),"Pontoon",IF((G139="S"),"Ski Boat",IF((G139="J"),"John Boat",IF((G139="C"),"Canoe",IF((G139="R"),"Cabin Cruiser","ERROR!"))))))</f>
        <v>Cabin Cruiser</v>
      </c>
      <c r="S144" s="26">
        <f>P141</f>
        <v>3</v>
      </c>
      <c r="T144" s="27">
        <f>SUM(W139:W141)</f>
        <v>94065.22</v>
      </c>
      <c r="U144" s="2"/>
      <c r="V144" s="17"/>
      <c r="W144" s="18"/>
      <c r="X144" s="44"/>
    </row>
    <row r="145" spans="1:24" x14ac:dyDescent="0.25">
      <c r="A145" s="1"/>
      <c r="B145" s="2"/>
      <c r="C145" s="8"/>
      <c r="D145" s="2"/>
      <c r="E145" s="14"/>
      <c r="F145" s="15"/>
      <c r="G145" s="2"/>
      <c r="H145" s="2"/>
      <c r="I145" s="29"/>
      <c r="J145" s="31"/>
      <c r="L145" s="28"/>
      <c r="M145" s="7"/>
      <c r="N145" s="28"/>
      <c r="O145" s="28"/>
      <c r="P145" s="3"/>
      <c r="Q145" s="1"/>
      <c r="R145" s="2"/>
      <c r="S145" s="17"/>
      <c r="T145" s="2"/>
      <c r="U145" s="2"/>
      <c r="V145" s="17"/>
      <c r="W145" s="18"/>
      <c r="X145" s="44"/>
    </row>
    <row r="146" spans="1:24" x14ac:dyDescent="0.25">
      <c r="A146" s="1" t="s">
        <v>53</v>
      </c>
      <c r="B146" s="7" t="s">
        <v>14</v>
      </c>
      <c r="C146" s="8" t="s">
        <v>23</v>
      </c>
      <c r="D146" s="2">
        <v>9999</v>
      </c>
      <c r="E146" s="15" t="s">
        <v>71</v>
      </c>
      <c r="F146" s="16" t="s">
        <v>71</v>
      </c>
      <c r="G146" s="7" t="s">
        <v>81</v>
      </c>
      <c r="H146" s="7">
        <v>2</v>
      </c>
      <c r="I146" s="29" t="s">
        <v>70</v>
      </c>
      <c r="J146" s="31">
        <f>0.06</f>
        <v>0.06</v>
      </c>
      <c r="K146">
        <f>IF((G146="B"),0.33,IF((G146="P"),0.25,IF((G146="S"),0.425,IF((G146="J"),0.33,IF((G146="C"),0.2,IF((G146="R"),0.3,"ERROR!"))))))</f>
        <v>0.3</v>
      </c>
      <c r="L146" s="28">
        <f>ROUND(C146*K146,2)</f>
        <v>300000</v>
      </c>
      <c r="M146" s="7" t="str">
        <f>IF((H146=1),"5,415.30",IF((H146=2),"3,980.00",IF((H146=3),"345.45","Error!")))</f>
        <v>3,980.00</v>
      </c>
      <c r="N146" s="28">
        <f>ROUND((C146+I146+L146+M146)*J146,2)</f>
        <v>78238.8</v>
      </c>
      <c r="O146" s="28">
        <f>SUM(C146+I146+L146+N146+M146)</f>
        <v>1382218.8</v>
      </c>
      <c r="P146" s="3">
        <f>1</f>
        <v>1</v>
      </c>
      <c r="Q146" s="20" t="str">
        <f t="shared" ref="Q146:Q147" si="228">A146</f>
        <v xml:space="preserve">QUERVO         </v>
      </c>
      <c r="R146" s="21" t="str">
        <f t="shared" ref="R146:R147" si="229">B146</f>
        <v>IA</v>
      </c>
      <c r="S146" s="22">
        <f>VALUE(C146)</f>
        <v>999999.99</v>
      </c>
      <c r="T146" s="21" t="str">
        <f>CONCATENATE(E146,"/",F146,"/",RIGHT(D146,2))</f>
        <v>99/99/99</v>
      </c>
      <c r="U146" s="21" t="str">
        <f>IF((H146=1),"Electronics",IF((H146=2),"Ski Package",IF((H146=3),"Fishing Package","Error!")))</f>
        <v>Ski Package</v>
      </c>
      <c r="V146" s="22">
        <f>VALUE(I146)</f>
        <v>0.01</v>
      </c>
      <c r="W146" s="23">
        <f>O146</f>
        <v>1382218.8</v>
      </c>
      <c r="X146" s="44" t="s">
        <v>121</v>
      </c>
    </row>
    <row r="147" spans="1:24" x14ac:dyDescent="0.25">
      <c r="A147" s="1" t="s">
        <v>55</v>
      </c>
      <c r="B147" s="7" t="s">
        <v>14</v>
      </c>
      <c r="C147" s="8" t="s">
        <v>66</v>
      </c>
      <c r="D147" s="2">
        <v>2019</v>
      </c>
      <c r="E147" s="15" t="s">
        <v>73</v>
      </c>
      <c r="F147" s="16" t="s">
        <v>26</v>
      </c>
      <c r="G147" s="7" t="s">
        <v>81</v>
      </c>
      <c r="H147" s="7">
        <v>3</v>
      </c>
      <c r="I147" s="29" t="s">
        <v>29</v>
      </c>
      <c r="J147" s="31">
        <f>0.06</f>
        <v>0.06</v>
      </c>
      <c r="K147">
        <f>IF((G147="B"),0.33,IF((G147="P"),0.25,IF((G147="S"),0.425,IF((G147="J"),0.33,IF((G147="C"),0.2,IF((G147="R"),0.3,"ERROR!"))))))</f>
        <v>0.3</v>
      </c>
      <c r="L147" s="28">
        <f>ROUND(C147*K147,2)</f>
        <v>0</v>
      </c>
      <c r="M147" s="7" t="str">
        <f t="shared" ref="M147" si="230">IF((H147=1),"5,415.30",IF((H147=2),"3,980.00",IF((H147=3),"345.45","Error!")))</f>
        <v>345.45</v>
      </c>
      <c r="N147" s="28">
        <f t="shared" ref="N147" si="231">ROUND((C147+I147+L147+M147)*J147,2)</f>
        <v>6020.73</v>
      </c>
      <c r="O147" s="28">
        <f t="shared" ref="O147" si="232">SUM(C147+I147+L147+N147+M147)</f>
        <v>106366.18</v>
      </c>
      <c r="P147" s="3">
        <f>P146+1</f>
        <v>2</v>
      </c>
      <c r="Q147" s="20" t="str">
        <f t="shared" si="228"/>
        <v xml:space="preserve">BIRKNER        </v>
      </c>
      <c r="R147" s="21" t="str">
        <f t="shared" si="229"/>
        <v>IA</v>
      </c>
      <c r="S147" s="22">
        <f>VALUE(C147)</f>
        <v>0.01</v>
      </c>
      <c r="T147" s="21" t="str">
        <f>CONCATENATE(E147,"/",F147,"/",RIGHT(D147,2))</f>
        <v>06/01/19</v>
      </c>
      <c r="U147" s="21" t="str">
        <f>IF((H147=1),"Electronics",IF((H147=2),"Ski Package",IF((H147=3),"Fishing Package","Error!")))</f>
        <v>Fishing Package</v>
      </c>
      <c r="V147" s="22">
        <f>VALUE(I147)</f>
        <v>99999.99</v>
      </c>
      <c r="W147" s="23">
        <f>O147</f>
        <v>106366.18</v>
      </c>
      <c r="X147" s="44" t="s">
        <v>121</v>
      </c>
    </row>
    <row r="148" spans="1:24" x14ac:dyDescent="0.25">
      <c r="A148" s="1"/>
      <c r="B148" s="2"/>
      <c r="C148" s="8"/>
      <c r="D148" s="2"/>
      <c r="E148" s="14"/>
      <c r="F148" s="15"/>
      <c r="G148" s="2"/>
      <c r="H148" s="2"/>
      <c r="I148" s="29"/>
      <c r="J148" s="31"/>
      <c r="L148" s="28"/>
      <c r="M148" s="28"/>
      <c r="N148" s="28"/>
      <c r="O148" s="28"/>
      <c r="P148" s="3"/>
      <c r="Q148" s="1"/>
      <c r="R148" s="2"/>
      <c r="S148" s="17"/>
      <c r="T148" s="2"/>
      <c r="U148" s="2"/>
      <c r="V148" s="17"/>
      <c r="W148" s="18"/>
      <c r="X148" s="44"/>
    </row>
    <row r="149" spans="1:24" x14ac:dyDescent="0.25">
      <c r="A149" s="1"/>
      <c r="B149" s="2"/>
      <c r="C149" s="8"/>
      <c r="D149" s="2"/>
      <c r="E149" s="14"/>
      <c r="F149" s="15"/>
      <c r="G149" s="2"/>
      <c r="H149" s="2"/>
      <c r="I149" s="29"/>
      <c r="J149" s="31"/>
      <c r="L149" s="28"/>
      <c r="M149" s="28"/>
      <c r="N149" s="28"/>
      <c r="O149" s="28"/>
      <c r="P149" s="3"/>
      <c r="Q149" s="1" t="s">
        <v>37</v>
      </c>
      <c r="R149" s="2" t="s">
        <v>38</v>
      </c>
      <c r="S149" s="17" t="s">
        <v>39</v>
      </c>
      <c r="T149" s="2" t="s">
        <v>40</v>
      </c>
      <c r="U149" s="2"/>
      <c r="V149" s="17"/>
      <c r="W149" s="18"/>
      <c r="X149" s="44"/>
    </row>
    <row r="150" spans="1:24" x14ac:dyDescent="0.25">
      <c r="A150" s="1"/>
      <c r="B150" s="2"/>
      <c r="C150" s="8"/>
      <c r="D150" s="2"/>
      <c r="E150" s="14"/>
      <c r="F150" s="15"/>
      <c r="G150" s="2"/>
      <c r="H150" s="2"/>
      <c r="I150" s="29"/>
      <c r="J150" s="31"/>
      <c r="L150" s="28"/>
      <c r="M150" s="28"/>
      <c r="N150" s="28"/>
      <c r="O150" s="28"/>
      <c r="P150" s="3"/>
      <c r="Q150" s="25" t="str">
        <f>R146</f>
        <v>IA</v>
      </c>
      <c r="R150" s="24" t="str">
        <f>IF((G146="B"),"Bass Boat",IF((G146="P"),"Pontoon",IF((G146="S"),"Ski Boat",IF((G146="J"),"John Boat",IF((G146="C"),"Canoe",IF((G146="R"),"Cabin Cruiser","ERROR!"))))))</f>
        <v>Cabin Cruiser</v>
      </c>
      <c r="S150" s="26">
        <f>P147</f>
        <v>2</v>
      </c>
      <c r="T150" s="27">
        <f>SUM(W146:W147)</f>
        <v>1488584.98</v>
      </c>
      <c r="U150" s="2"/>
      <c r="V150" s="17"/>
      <c r="W150" s="18"/>
      <c r="X150" s="44"/>
    </row>
    <row r="151" spans="1:24" x14ac:dyDescent="0.25">
      <c r="A151" s="1"/>
      <c r="B151" s="2"/>
      <c r="C151" s="8"/>
      <c r="D151" s="2"/>
      <c r="E151" s="14"/>
      <c r="F151" s="15"/>
      <c r="G151" s="2"/>
      <c r="H151" s="2"/>
      <c r="I151" s="29"/>
      <c r="J151" s="31"/>
      <c r="L151" s="28"/>
      <c r="M151" s="28"/>
      <c r="N151" s="28"/>
      <c r="O151" s="28"/>
      <c r="P151" s="3"/>
      <c r="U151" s="2"/>
      <c r="V151" s="17"/>
      <c r="W151" s="18"/>
      <c r="X151" s="44"/>
    </row>
    <row r="152" spans="1:24" x14ac:dyDescent="0.25">
      <c r="A152" s="1" t="s">
        <v>58</v>
      </c>
      <c r="B152" s="2" t="s">
        <v>21</v>
      </c>
      <c r="C152" s="8" t="s">
        <v>23</v>
      </c>
      <c r="D152" s="2">
        <v>9999</v>
      </c>
      <c r="E152" s="14" t="s">
        <v>71</v>
      </c>
      <c r="F152" s="15" t="s">
        <v>71</v>
      </c>
      <c r="G152" s="2" t="s">
        <v>81</v>
      </c>
      <c r="H152" s="2">
        <v>3</v>
      </c>
      <c r="I152" s="29" t="s">
        <v>35</v>
      </c>
      <c r="J152" s="31">
        <f>0.06</f>
        <v>0.06</v>
      </c>
      <c r="K152">
        <f>IF((G152="B"),0.33,IF((G152="P"),0.25,IF((G152="S"),0.425,IF((G152="J"),0.33,IF((G152="C"),0.2,IF((G152="R"),0.3,"ERROR!"))))))</f>
        <v>0.3</v>
      </c>
      <c r="L152" s="28">
        <f>ROUND(C152*K152,2)</f>
        <v>300000</v>
      </c>
      <c r="M152" s="7" t="str">
        <f t="shared" ref="M152" si="233">IF((H152=1),"5,415.30",IF((H152=2),"3,980.00",IF((H152=3),"345.45","Error!")))</f>
        <v>345.45</v>
      </c>
      <c r="N152" s="28">
        <f t="shared" ref="N152" si="234">ROUND((C152+I152+L152+M152)*J152,2)</f>
        <v>78020.73</v>
      </c>
      <c r="O152" s="28">
        <f t="shared" ref="O152" si="235">SUM(C152+I152+L152+N152+M152)</f>
        <v>1378366.17</v>
      </c>
      <c r="P152" s="3">
        <f>P151 +1</f>
        <v>1</v>
      </c>
      <c r="Q152" s="20" t="str">
        <f t="shared" ref="Q152" si="236">A152</f>
        <v xml:space="preserve">LESTER         </v>
      </c>
      <c r="R152" s="21" t="str">
        <f t="shared" ref="R152" si="237">B152</f>
        <v>MO</v>
      </c>
      <c r="S152" s="22">
        <f>VALUE(C152)</f>
        <v>999999.99</v>
      </c>
      <c r="T152" s="21" t="str">
        <f>CONCATENATE(E152,"/",F152,"/",RIGHT(D152,2))</f>
        <v>99/99/99</v>
      </c>
      <c r="U152" s="21" t="str">
        <f>IF((H152=1),"Electronics",IF((H152=2),"Ski Package",IF((H152=3),"Fishing Package","Error!")))</f>
        <v>Fishing Package</v>
      </c>
      <c r="V152" s="22">
        <f>VALUE(I152)</f>
        <v>0</v>
      </c>
      <c r="W152" s="23">
        <f>O152</f>
        <v>1378366.17</v>
      </c>
      <c r="X152" s="44" t="s">
        <v>123</v>
      </c>
    </row>
    <row r="153" spans="1:24" x14ac:dyDescent="0.25">
      <c r="A153" s="1"/>
      <c r="B153" s="2"/>
      <c r="C153" s="8"/>
      <c r="D153" s="2"/>
      <c r="E153" s="14"/>
      <c r="F153" s="15"/>
      <c r="G153" s="2"/>
      <c r="H153" s="2"/>
      <c r="I153" s="29"/>
      <c r="J153" s="31"/>
      <c r="L153" s="28"/>
      <c r="M153" s="28"/>
      <c r="N153" s="28"/>
      <c r="O153" s="28"/>
      <c r="P153" s="3"/>
      <c r="Q153" s="1"/>
      <c r="R153" s="2"/>
      <c r="S153" s="17"/>
      <c r="T153" s="2"/>
      <c r="U153" s="2"/>
      <c r="V153" s="17"/>
      <c r="W153" s="18"/>
      <c r="X153" s="44"/>
    </row>
    <row r="154" spans="1:24" x14ac:dyDescent="0.25">
      <c r="A154" s="1"/>
      <c r="B154" s="2"/>
      <c r="C154" s="8"/>
      <c r="D154" s="2"/>
      <c r="E154" s="14"/>
      <c r="F154" s="15"/>
      <c r="G154" s="2"/>
      <c r="H154" s="2"/>
      <c r="I154" s="29"/>
      <c r="J154" s="31"/>
      <c r="L154" s="28"/>
      <c r="M154" s="28"/>
      <c r="N154" s="28"/>
      <c r="O154" s="28"/>
      <c r="P154" s="3"/>
      <c r="Q154" s="1" t="s">
        <v>37</v>
      </c>
      <c r="R154" s="2" t="s">
        <v>38</v>
      </c>
      <c r="S154" s="17" t="s">
        <v>39</v>
      </c>
      <c r="T154" s="2" t="s">
        <v>40</v>
      </c>
      <c r="U154" s="2"/>
      <c r="V154" s="17"/>
      <c r="W154" s="18"/>
      <c r="X154" s="44"/>
    </row>
    <row r="155" spans="1:24" x14ac:dyDescent="0.25">
      <c r="A155" s="1"/>
      <c r="B155" s="2"/>
      <c r="C155" s="8"/>
      <c r="D155" s="2"/>
      <c r="E155" s="14"/>
      <c r="F155" s="15"/>
      <c r="G155" s="2"/>
      <c r="H155" s="2"/>
      <c r="I155" s="29"/>
      <c r="J155" s="31"/>
      <c r="L155" s="28"/>
      <c r="M155" s="28"/>
      <c r="N155" s="28"/>
      <c r="O155" s="28"/>
      <c r="P155" s="3"/>
      <c r="Q155" s="25" t="str">
        <f>R152</f>
        <v>MO</v>
      </c>
      <c r="R155" s="24" t="str">
        <f>IF((G152="B"),"Bass Boat",IF((G152="P"),"Pontoon",IF((G152="S"),"Ski Boat",IF((G152="J"),"John Boat",IF((G152="C"),"Canoe",IF((G152="R"),"Cabin Cruiser","ERROR!"))))))</f>
        <v>Cabin Cruiser</v>
      </c>
      <c r="S155" s="26">
        <f>P152</f>
        <v>1</v>
      </c>
      <c r="T155" s="27">
        <f>SUM(W152)</f>
        <v>1378366.17</v>
      </c>
      <c r="U155" s="2"/>
      <c r="V155" s="17"/>
      <c r="W155" s="18"/>
      <c r="X155" s="44"/>
    </row>
    <row r="156" spans="1:24" x14ac:dyDescent="0.25">
      <c r="A156" s="1"/>
      <c r="B156" s="2"/>
      <c r="C156" s="8"/>
      <c r="D156" s="2"/>
      <c r="E156" s="14"/>
      <c r="F156" s="15"/>
      <c r="G156" s="2"/>
      <c r="H156" s="2"/>
      <c r="I156" s="29"/>
      <c r="J156" s="31"/>
      <c r="L156" s="28"/>
      <c r="M156" s="28"/>
      <c r="N156" s="28"/>
      <c r="O156" s="28"/>
      <c r="P156" s="3"/>
      <c r="Q156" s="1"/>
      <c r="R156" s="2"/>
      <c r="S156" s="17"/>
      <c r="T156" s="2"/>
      <c r="U156" s="2"/>
      <c r="V156" s="17"/>
      <c r="W156" s="18"/>
      <c r="X156" s="44"/>
    </row>
    <row r="157" spans="1:24" x14ac:dyDescent="0.25">
      <c r="A157" s="1" t="s">
        <v>59</v>
      </c>
      <c r="B157" s="2" t="s">
        <v>64</v>
      </c>
      <c r="C157" s="8" t="s">
        <v>34</v>
      </c>
      <c r="D157" s="2">
        <v>1998</v>
      </c>
      <c r="E157" s="14" t="s">
        <v>72</v>
      </c>
      <c r="F157" s="15" t="s">
        <v>76</v>
      </c>
      <c r="G157" s="2" t="s">
        <v>81</v>
      </c>
      <c r="H157" s="2">
        <v>3</v>
      </c>
      <c r="I157" s="29" t="s">
        <v>29</v>
      </c>
      <c r="J157" s="31">
        <f t="shared" ref="J157:J160" si="238">0.06</f>
        <v>0.06</v>
      </c>
      <c r="K157">
        <f t="shared" ref="K157:K159" si="239">IF((G157="B"),0.33,IF((G157="P"),0.25,IF((G157="S"),0.425,IF((G157="J"),0.33,IF((G157="C"),0.2,IF((G157="R"),0.3,"ERROR!"))))))</f>
        <v>0.3</v>
      </c>
      <c r="L157" s="28">
        <f t="shared" ref="L157:L159" si="240">ROUND(C157*K157,2)</f>
        <v>0</v>
      </c>
      <c r="M157" s="7" t="str">
        <f t="shared" ref="M157:M159" si="241">IF((H157=1),"5,415.30",IF((H157=2),"3,980.00",IF((H157=3),"345.45","Error!")))</f>
        <v>345.45</v>
      </c>
      <c r="N157" s="28">
        <f t="shared" ref="N157:N159" si="242">ROUND((C157+I157+L157+M157)*J157,2)</f>
        <v>6020.73</v>
      </c>
      <c r="O157" s="28">
        <f t="shared" ref="O157:O159" si="243">SUM(C157+I157+L157+N157+M157)</f>
        <v>106366.17</v>
      </c>
      <c r="P157" s="3">
        <f t="shared" ref="P157:P160" si="244">P156 +1</f>
        <v>1</v>
      </c>
      <c r="Q157" s="20" t="str">
        <f t="shared" ref="Q157:Q159" si="245">A157</f>
        <v xml:space="preserve">HERNANDEZ      </v>
      </c>
      <c r="R157" s="21" t="str">
        <f t="shared" ref="R157:R159" si="246">B157</f>
        <v>WI</v>
      </c>
      <c r="S157" s="22">
        <f t="shared" ref="S157:S159" si="247">VALUE(C157)</f>
        <v>0</v>
      </c>
      <c r="T157" s="21" t="str">
        <f t="shared" ref="T157:T159" si="248">CONCATENATE(E157,"/",F157,"/",RIGHT(D157,2))</f>
        <v>08/15/98</v>
      </c>
      <c r="U157" s="21" t="str">
        <f t="shared" ref="U157:U159" si="249">IF((H157=1),"Electronics",IF((H157=2),"Ski Package",IF((H157=3),"Fishing Package","Error!")))</f>
        <v>Fishing Package</v>
      </c>
      <c r="V157" s="22">
        <f t="shared" ref="V157:V159" si="250">VALUE(I157)</f>
        <v>99999.99</v>
      </c>
      <c r="W157" s="23">
        <f t="shared" ref="W157:W159" si="251">O157</f>
        <v>106366.17</v>
      </c>
      <c r="X157" s="44" t="s">
        <v>123</v>
      </c>
    </row>
    <row r="158" spans="1:24" x14ac:dyDescent="0.25">
      <c r="A158" s="1" t="s">
        <v>60</v>
      </c>
      <c r="B158" s="2" t="s">
        <v>64</v>
      </c>
      <c r="C158" s="8" t="s">
        <v>66</v>
      </c>
      <c r="D158" s="2">
        <v>2001</v>
      </c>
      <c r="E158" s="14" t="s">
        <v>69</v>
      </c>
      <c r="F158" s="15" t="s">
        <v>77</v>
      </c>
      <c r="G158" s="2" t="s">
        <v>81</v>
      </c>
      <c r="H158" s="2">
        <v>1</v>
      </c>
      <c r="I158" s="29" t="s">
        <v>35</v>
      </c>
      <c r="J158" s="31">
        <f t="shared" si="238"/>
        <v>0.06</v>
      </c>
      <c r="K158">
        <f t="shared" si="239"/>
        <v>0.3</v>
      </c>
      <c r="L158" s="28">
        <f t="shared" si="240"/>
        <v>0</v>
      </c>
      <c r="M158" s="7" t="str">
        <f t="shared" si="241"/>
        <v>5,415.30</v>
      </c>
      <c r="N158" s="28">
        <f t="shared" si="242"/>
        <v>324.92</v>
      </c>
      <c r="O158" s="28">
        <f t="shared" si="243"/>
        <v>5740.2300000000005</v>
      </c>
      <c r="P158" s="3">
        <f t="shared" si="244"/>
        <v>2</v>
      </c>
      <c r="Q158" s="20" t="str">
        <f t="shared" si="245"/>
        <v xml:space="preserve">MUHAMED        </v>
      </c>
      <c r="R158" s="21" t="str">
        <f t="shared" si="246"/>
        <v>WI</v>
      </c>
      <c r="S158" s="22">
        <f t="shared" si="247"/>
        <v>0.01</v>
      </c>
      <c r="T158" s="21" t="str">
        <f t="shared" si="248"/>
        <v>09/11/01</v>
      </c>
      <c r="U158" s="21" t="str">
        <f t="shared" si="249"/>
        <v>Electronics</v>
      </c>
      <c r="V158" s="22">
        <f t="shared" si="250"/>
        <v>0</v>
      </c>
      <c r="W158" s="23">
        <f t="shared" si="251"/>
        <v>5740.2300000000005</v>
      </c>
      <c r="X158" s="44" t="s">
        <v>124</v>
      </c>
    </row>
    <row r="159" spans="1:24" x14ac:dyDescent="0.25">
      <c r="A159" s="1" t="s">
        <v>61</v>
      </c>
      <c r="B159" s="2" t="s">
        <v>64</v>
      </c>
      <c r="C159" s="8" t="s">
        <v>34</v>
      </c>
      <c r="D159" s="2">
        <v>9999</v>
      </c>
      <c r="E159" s="14" t="s">
        <v>71</v>
      </c>
      <c r="F159" s="15" t="s">
        <v>71</v>
      </c>
      <c r="G159" s="2" t="s">
        <v>81</v>
      </c>
      <c r="H159" s="2">
        <v>1</v>
      </c>
      <c r="I159" s="29" t="s">
        <v>70</v>
      </c>
      <c r="J159" s="31">
        <f t="shared" si="238"/>
        <v>0.06</v>
      </c>
      <c r="K159">
        <f t="shared" si="239"/>
        <v>0.3</v>
      </c>
      <c r="L159" s="28">
        <f t="shared" si="240"/>
        <v>0</v>
      </c>
      <c r="M159" s="7" t="str">
        <f t="shared" si="241"/>
        <v>5,415.30</v>
      </c>
      <c r="N159" s="28">
        <f t="shared" si="242"/>
        <v>324.92</v>
      </c>
      <c r="O159" s="28">
        <f t="shared" si="243"/>
        <v>5740.2300000000005</v>
      </c>
      <c r="P159" s="3">
        <f t="shared" si="244"/>
        <v>3</v>
      </c>
      <c r="Q159" s="20" t="str">
        <f t="shared" si="245"/>
        <v xml:space="preserve">FREEMAN        </v>
      </c>
      <c r="R159" s="21" t="str">
        <f t="shared" si="246"/>
        <v>WI</v>
      </c>
      <c r="S159" s="22">
        <f t="shared" si="247"/>
        <v>0</v>
      </c>
      <c r="T159" s="21" t="str">
        <f t="shared" si="248"/>
        <v>99/99/99</v>
      </c>
      <c r="U159" s="21" t="str">
        <f t="shared" si="249"/>
        <v>Electronics</v>
      </c>
      <c r="V159" s="22">
        <f t="shared" si="250"/>
        <v>0.01</v>
      </c>
      <c r="W159" s="23">
        <f t="shared" si="251"/>
        <v>5740.2300000000005</v>
      </c>
      <c r="X159" s="44" t="s">
        <v>124</v>
      </c>
    </row>
    <row r="160" spans="1:24" x14ac:dyDescent="0.25">
      <c r="A160" s="1" t="s">
        <v>106</v>
      </c>
      <c r="B160" s="7" t="s">
        <v>64</v>
      </c>
      <c r="C160" s="10" t="s">
        <v>104</v>
      </c>
      <c r="D160" s="7">
        <v>2011</v>
      </c>
      <c r="E160" s="15" t="s">
        <v>69</v>
      </c>
      <c r="F160" s="15" t="s">
        <v>91</v>
      </c>
      <c r="G160" s="7" t="s">
        <v>81</v>
      </c>
      <c r="H160" s="7">
        <v>1</v>
      </c>
      <c r="I160" s="29" t="s">
        <v>105</v>
      </c>
      <c r="J160" s="31">
        <f t="shared" si="238"/>
        <v>0.06</v>
      </c>
      <c r="K160">
        <f t="shared" ref="K160" si="252">IF((G160="B"),0.33,IF((G160="P"),0.25,IF((G160="S"),0.425,IF((G160="J"),0.33,IF((G160="C"),0.2,IF((G160="R"),0.3,"ERROR!"))))))</f>
        <v>0.3</v>
      </c>
      <c r="L160" s="28">
        <f t="shared" ref="L160" si="253">ROUND(C160*K160,2)</f>
        <v>30000</v>
      </c>
      <c r="M160" s="7" t="str">
        <f t="shared" ref="M160" si="254">IF((H160=1),"5,415.30",IF((H160=2),"3,980.00",IF((H160=3),"345.45","Error!")))</f>
        <v>5,415.30</v>
      </c>
      <c r="N160" s="28">
        <f t="shared" ref="N160" si="255">ROUND((C160+I160+L160+M160)*J160,2)</f>
        <v>9024.92</v>
      </c>
      <c r="O160" s="28">
        <f t="shared" ref="O160" si="256">SUM(C160+I160+L160+N160+M160)</f>
        <v>159440.22</v>
      </c>
      <c r="P160" s="3">
        <f t="shared" si="244"/>
        <v>4</v>
      </c>
      <c r="Q160" s="20" t="str">
        <f t="shared" ref="Q160" si="257">A160</f>
        <v xml:space="preserve">BILL           </v>
      </c>
      <c r="R160" s="21" t="str">
        <f t="shared" ref="R160" si="258">B160</f>
        <v>WI</v>
      </c>
      <c r="S160" s="22">
        <f t="shared" ref="S160" si="259">VALUE(C160)</f>
        <v>100000</v>
      </c>
      <c r="T160" s="21" t="str">
        <f t="shared" ref="T160" si="260">CONCATENATE(E160,"/",F160,"/",RIGHT(D160,2))</f>
        <v>09/04/11</v>
      </c>
      <c r="U160" s="21" t="str">
        <f t="shared" ref="U160" si="261">IF((H160=1),"Electronics",IF((H160=2),"Ski Package",IF((H160=3),"Fishing Package","Error!")))</f>
        <v>Electronics</v>
      </c>
      <c r="V160" s="22">
        <f t="shared" ref="V160" si="262">VALUE(I160)</f>
        <v>15000</v>
      </c>
      <c r="W160" s="23">
        <f t="shared" ref="W160" si="263">O160</f>
        <v>159440.22</v>
      </c>
      <c r="X160" s="44" t="s">
        <v>122</v>
      </c>
    </row>
    <row r="161" spans="1:24" x14ac:dyDescent="0.25">
      <c r="A161" s="1"/>
      <c r="B161" s="2"/>
      <c r="C161" s="8"/>
      <c r="D161" s="2"/>
      <c r="E161" s="14"/>
      <c r="F161" s="15"/>
      <c r="G161" s="2"/>
      <c r="H161" s="2"/>
      <c r="I161" s="29"/>
      <c r="J161" s="31"/>
      <c r="L161" s="28"/>
      <c r="M161" s="28"/>
      <c r="N161" s="28"/>
      <c r="O161" s="28"/>
      <c r="P161" s="3"/>
      <c r="Q161" s="1"/>
      <c r="R161" s="2"/>
      <c r="S161" s="17"/>
      <c r="T161" s="2"/>
      <c r="U161" s="2"/>
      <c r="V161" s="17"/>
      <c r="W161" s="18"/>
      <c r="X161" s="44"/>
    </row>
    <row r="162" spans="1:24" x14ac:dyDescent="0.25">
      <c r="A162" s="1"/>
      <c r="B162" s="2"/>
      <c r="C162" s="8"/>
      <c r="D162" s="2"/>
      <c r="E162" s="14"/>
      <c r="F162" s="15"/>
      <c r="G162" s="2"/>
      <c r="H162" s="2"/>
      <c r="I162" s="29"/>
      <c r="J162" s="31"/>
      <c r="L162" s="28"/>
      <c r="M162" s="28"/>
      <c r="N162" s="28"/>
      <c r="O162" s="28"/>
      <c r="P162" s="3"/>
      <c r="Q162" s="1" t="s">
        <v>37</v>
      </c>
      <c r="R162" s="2" t="s">
        <v>38</v>
      </c>
      <c r="S162" s="17" t="s">
        <v>39</v>
      </c>
      <c r="T162" s="2" t="s">
        <v>40</v>
      </c>
      <c r="U162" s="2"/>
      <c r="V162" s="17"/>
      <c r="W162" s="18"/>
      <c r="X162" s="44"/>
    </row>
    <row r="163" spans="1:24" x14ac:dyDescent="0.25">
      <c r="A163" s="1"/>
      <c r="B163" s="2"/>
      <c r="C163" s="8"/>
      <c r="D163" s="2"/>
      <c r="E163" s="14"/>
      <c r="F163" s="15"/>
      <c r="G163" s="2"/>
      <c r="H163" s="2"/>
      <c r="I163" s="29"/>
      <c r="J163" s="31"/>
      <c r="L163" s="28"/>
      <c r="M163" s="28"/>
      <c r="N163" s="28"/>
      <c r="O163" s="28"/>
      <c r="P163" s="3"/>
      <c r="Q163" s="25" t="str">
        <f>R157</f>
        <v>WI</v>
      </c>
      <c r="R163" s="24" t="str">
        <f>IF((G157="B"),"Bass Boat",IF((G157="P"),"Pontoon",IF((G157="S"),"Ski Boat",IF((G157="J"),"John Boat",IF((G157="C"),"Canoe",IF((G157="R"),"Cabin Cruiser","ERROR!"))))))</f>
        <v>Cabin Cruiser</v>
      </c>
      <c r="S163" s="26">
        <f>P160</f>
        <v>4</v>
      </c>
      <c r="T163" s="27">
        <f>SUM(W157:W160)</f>
        <v>277286.84999999998</v>
      </c>
      <c r="U163" s="2"/>
      <c r="V163" s="17"/>
      <c r="W163" s="18"/>
      <c r="X163" s="44"/>
    </row>
    <row r="164" spans="1:24" x14ac:dyDescent="0.25">
      <c r="A164" s="1"/>
      <c r="B164" s="2"/>
      <c r="C164" s="8"/>
      <c r="D164" s="2"/>
      <c r="E164" s="14"/>
      <c r="F164" s="15"/>
      <c r="G164" s="2"/>
      <c r="H164" s="2"/>
      <c r="I164" s="29"/>
      <c r="J164" s="31"/>
      <c r="L164" s="28"/>
      <c r="M164" s="28"/>
      <c r="N164" s="28"/>
      <c r="O164" s="28"/>
      <c r="P164" s="3"/>
      <c r="Q164" s="1"/>
      <c r="R164" s="2"/>
      <c r="S164" s="17"/>
      <c r="T164" s="2"/>
      <c r="U164" s="2"/>
      <c r="V164" s="17"/>
      <c r="W164" s="18"/>
      <c r="X164" s="44"/>
    </row>
    <row r="165" spans="1:24" x14ac:dyDescent="0.25">
      <c r="A165" s="1" t="s">
        <v>62</v>
      </c>
      <c r="B165" s="2" t="s">
        <v>65</v>
      </c>
      <c r="C165" s="8" t="s">
        <v>23</v>
      </c>
      <c r="D165" s="2">
        <v>9999</v>
      </c>
      <c r="E165" s="14" t="s">
        <v>71</v>
      </c>
      <c r="F165" s="15" t="s">
        <v>71</v>
      </c>
      <c r="G165" s="2" t="s">
        <v>81</v>
      </c>
      <c r="H165" s="2">
        <v>1</v>
      </c>
      <c r="I165" s="29" t="s">
        <v>29</v>
      </c>
      <c r="J165" s="31">
        <f>0.06</f>
        <v>0.06</v>
      </c>
      <c r="K165">
        <f>IF((G165="B"),0.33,IF((G165="P"),0.25,IF((G165="S"),0.425,IF((G165="J"),0.33,IF((G165="C"),0.2,IF((G165="R"),0.3,"ERROR!"))))))</f>
        <v>0.3</v>
      </c>
      <c r="L165" s="28">
        <f>ROUND(C165*K165,2)</f>
        <v>300000</v>
      </c>
      <c r="M165" s="7" t="str">
        <f>IF((H165=1),"5,415.30",IF((H165=2),"3,980.00",IF((H165=3),"345.45","Error!")))</f>
        <v>5,415.30</v>
      </c>
      <c r="N165" s="28">
        <f t="shared" ref="N165" si="264">ROUND((C165+I165+L165+M165)*J165,2)</f>
        <v>84324.92</v>
      </c>
      <c r="O165" s="28">
        <f t="shared" ref="O165" si="265">SUM(C165+I165+L165+N165+M165)</f>
        <v>1489740.2</v>
      </c>
      <c r="P165" s="3">
        <f>P164 +1</f>
        <v>1</v>
      </c>
      <c r="Q165" s="20" t="str">
        <f t="shared" ref="Q165" si="266">A165</f>
        <v>XXXXXXXXXXXXXXX</v>
      </c>
      <c r="R165" s="21" t="str">
        <f t="shared" ref="R165" si="267">B165</f>
        <v>ZZ</v>
      </c>
      <c r="S165" s="22">
        <f>VALUE(C165)</f>
        <v>999999.99</v>
      </c>
      <c r="T165" s="21" t="str">
        <f>CONCATENATE(E165,"/",F165,"/",RIGHT(D165,2))</f>
        <v>99/99/99</v>
      </c>
      <c r="U165" s="21" t="str">
        <f>IF((H165=1),"Electronics",IF((H165=2),"Ski Package",IF((H165=3),"Fishing Package","Error!")))</f>
        <v>Electronics</v>
      </c>
      <c r="V165" s="22">
        <f>VALUE(I165)</f>
        <v>99999.99</v>
      </c>
      <c r="W165" s="23">
        <f>O165</f>
        <v>1489740.2</v>
      </c>
      <c r="X165" s="44" t="s">
        <v>125</v>
      </c>
    </row>
    <row r="166" spans="1:24" x14ac:dyDescent="0.25">
      <c r="A166" s="1"/>
      <c r="B166" s="2"/>
      <c r="C166" s="8"/>
      <c r="D166" s="2"/>
      <c r="E166" s="14"/>
      <c r="F166" s="15"/>
      <c r="G166" s="2"/>
      <c r="H166" s="2"/>
      <c r="I166" s="29"/>
      <c r="J166" s="31"/>
      <c r="L166" s="28"/>
      <c r="M166" s="28"/>
      <c r="N166" s="28"/>
      <c r="O166" s="28"/>
      <c r="P166" s="3"/>
      <c r="Q166" s="1"/>
      <c r="R166" s="2"/>
      <c r="S166" s="17"/>
      <c r="T166" s="2"/>
      <c r="U166" s="2"/>
      <c r="V166" s="17"/>
      <c r="W166" s="18"/>
      <c r="X166" s="44"/>
    </row>
    <row r="167" spans="1:24" x14ac:dyDescent="0.25">
      <c r="A167" s="1"/>
      <c r="B167" s="2"/>
      <c r="C167" s="8"/>
      <c r="D167" s="2"/>
      <c r="E167" s="14"/>
      <c r="F167" s="15"/>
      <c r="G167" s="2"/>
      <c r="H167" s="2"/>
      <c r="I167" s="29"/>
      <c r="J167" s="31"/>
      <c r="L167" s="28"/>
      <c r="M167" s="28"/>
      <c r="N167" s="28"/>
      <c r="O167" s="28"/>
      <c r="P167" s="3"/>
      <c r="Q167" s="1" t="s">
        <v>37</v>
      </c>
      <c r="R167" s="2" t="s">
        <v>38</v>
      </c>
      <c r="S167" s="17" t="s">
        <v>39</v>
      </c>
      <c r="T167" s="2" t="s">
        <v>40</v>
      </c>
      <c r="U167" s="2"/>
      <c r="V167" s="17"/>
      <c r="W167" s="18"/>
      <c r="X167" s="44"/>
    </row>
    <row r="168" spans="1:24" x14ac:dyDescent="0.25">
      <c r="A168" s="1"/>
      <c r="B168" s="2"/>
      <c r="C168" s="8"/>
      <c r="D168" s="2"/>
      <c r="E168" s="14"/>
      <c r="F168" s="15"/>
      <c r="G168" s="2"/>
      <c r="H168" s="2"/>
      <c r="I168" s="29"/>
      <c r="J168" s="31"/>
      <c r="L168" s="28"/>
      <c r="M168" s="28"/>
      <c r="N168" s="28"/>
      <c r="O168" s="28"/>
      <c r="P168" s="3"/>
      <c r="Q168" s="25" t="str">
        <f>R165</f>
        <v>ZZ</v>
      </c>
      <c r="R168" s="24" t="str">
        <f>IF((G165="B"),"Bass Boat",IF((G165="P"),"Pontoon",IF((G165="S"),"Ski Boat",IF((G165="J"),"John Boat",IF((G165="C"),"Canoe",IF((G165="R"),"Cabin Cruiser","ERROR!"))))))</f>
        <v>Cabin Cruiser</v>
      </c>
      <c r="S168" s="26">
        <f>P165</f>
        <v>1</v>
      </c>
      <c r="T168" s="27">
        <f>SUM(W165)</f>
        <v>1489740.2</v>
      </c>
      <c r="U168" s="2"/>
      <c r="V168" s="17"/>
      <c r="W168" s="18"/>
      <c r="X168" s="44"/>
    </row>
    <row r="169" spans="1:24" x14ac:dyDescent="0.25">
      <c r="A169" s="1"/>
      <c r="B169" s="2"/>
      <c r="C169" s="8"/>
      <c r="D169" s="2"/>
      <c r="E169" s="14"/>
      <c r="F169" s="15"/>
      <c r="G169" s="2"/>
      <c r="H169" s="2"/>
      <c r="I169" s="29"/>
      <c r="J169" s="31"/>
      <c r="L169" s="28"/>
      <c r="M169" s="28"/>
      <c r="N169" s="28"/>
      <c r="O169" s="28"/>
      <c r="P169" s="3"/>
      <c r="Q169" s="1"/>
      <c r="R169" s="2"/>
      <c r="S169" s="17"/>
      <c r="T169" s="2"/>
      <c r="U169" s="2"/>
      <c r="V169" s="17"/>
      <c r="W169" s="18"/>
      <c r="X169" s="44"/>
    </row>
    <row r="170" spans="1:24" x14ac:dyDescent="0.25">
      <c r="A170" s="1"/>
      <c r="B170" s="2"/>
      <c r="C170" s="8"/>
      <c r="D170" s="2"/>
      <c r="E170" s="14"/>
      <c r="F170" s="14"/>
      <c r="G170" s="2"/>
      <c r="H170" s="2"/>
      <c r="I170" s="29"/>
      <c r="J170" s="31"/>
      <c r="L170" s="28"/>
      <c r="M170" s="28"/>
      <c r="N170" s="28"/>
      <c r="O170" s="28"/>
      <c r="P170" s="3"/>
      <c r="Q170" s="1" t="s">
        <v>41</v>
      </c>
      <c r="R170" s="2" t="s">
        <v>42</v>
      </c>
      <c r="S170" s="2" t="s">
        <v>43</v>
      </c>
      <c r="T170" s="2"/>
      <c r="U170" s="2"/>
      <c r="V170" s="2"/>
      <c r="X170" s="44"/>
    </row>
    <row r="171" spans="1:24" x14ac:dyDescent="0.25">
      <c r="A171" s="1"/>
      <c r="B171" s="2"/>
      <c r="C171" s="2"/>
      <c r="D171" s="2"/>
      <c r="E171" s="14"/>
      <c r="F171" s="14"/>
      <c r="G171" s="2"/>
      <c r="H171" s="2"/>
      <c r="I171" s="28"/>
      <c r="J171" s="13"/>
      <c r="L171" s="28"/>
      <c r="M171" s="28"/>
      <c r="N171" s="28"/>
      <c r="O171" s="28"/>
      <c r="P171" s="3"/>
      <c r="Q171" s="33" t="str">
        <f>R168</f>
        <v>Cabin Cruiser</v>
      </c>
      <c r="R171" s="36">
        <f>SUM(S144,S150,S155,S163,S168)</f>
        <v>11</v>
      </c>
      <c r="S171" s="34">
        <f>SUM(T144+T150+T155+T163+T168)</f>
        <v>4728043.42</v>
      </c>
      <c r="T171" s="2"/>
      <c r="U171" s="2"/>
      <c r="V171" s="2"/>
      <c r="X171" s="44"/>
    </row>
    <row r="172" spans="1:24" x14ac:dyDescent="0.25">
      <c r="A172" s="1"/>
      <c r="B172" s="2"/>
      <c r="C172" s="2"/>
      <c r="D172" s="2"/>
      <c r="E172" s="14"/>
      <c r="F172" s="14"/>
      <c r="G172" s="2"/>
      <c r="H172" s="2"/>
      <c r="I172" s="28"/>
      <c r="J172" s="13"/>
      <c r="L172" s="28"/>
      <c r="M172" s="28"/>
      <c r="N172" s="28"/>
      <c r="O172" s="28"/>
      <c r="P172" s="3"/>
      <c r="Q172" s="1"/>
      <c r="R172" s="2"/>
      <c r="S172" s="2"/>
      <c r="T172" s="2"/>
      <c r="U172" s="2"/>
      <c r="V172" s="2"/>
      <c r="W172" s="3"/>
      <c r="X172" s="44"/>
    </row>
    <row r="173" spans="1:24" x14ac:dyDescent="0.25">
      <c r="A173" s="1" t="s">
        <v>51</v>
      </c>
      <c r="B173" s="2" t="s">
        <v>63</v>
      </c>
      <c r="C173" s="8" t="s">
        <v>34</v>
      </c>
      <c r="D173" s="2">
        <v>2019</v>
      </c>
      <c r="E173" s="2">
        <v>12</v>
      </c>
      <c r="F173" s="2">
        <v>11</v>
      </c>
      <c r="G173" s="2" t="s">
        <v>82</v>
      </c>
      <c r="H173" s="7">
        <v>2</v>
      </c>
      <c r="I173" s="8" t="s">
        <v>35</v>
      </c>
      <c r="J173" s="31">
        <f>0.06</f>
        <v>0.06</v>
      </c>
      <c r="K173">
        <f>IF((G173="B"),0.33,IF((G173="P"),0.25,IF((G173="S"),0.425,IF((G173="J"),0.33,IF((G173="C"),0.2,IF((G173="R"),0.3,"ERROR!"))))))</f>
        <v>0.2</v>
      </c>
      <c r="L173" s="28">
        <f>ROUND(C173*K173,2)</f>
        <v>0</v>
      </c>
      <c r="M173" s="28" t="str">
        <f>IF((H173=1),"5,415.30",IF((H173=2),"3,980.00",IF((H173=3),"345.45","Error!")))</f>
        <v>3,980.00</v>
      </c>
      <c r="N173" s="28">
        <f>ROUND((C173+I173+L173+M173)*J173,2)</f>
        <v>238.8</v>
      </c>
      <c r="O173" s="28">
        <f>SUM(C173+I173+L173+N173+M173)</f>
        <v>4218.8</v>
      </c>
      <c r="P173" s="3">
        <v>1</v>
      </c>
      <c r="Q173" s="20" t="str">
        <f>A173</f>
        <v xml:space="preserve">BOB - DYLAN    </v>
      </c>
      <c r="R173" s="21" t="str">
        <f>B173</f>
        <v>CA</v>
      </c>
      <c r="S173" s="22">
        <f>VALUE(C173)</f>
        <v>0</v>
      </c>
      <c r="T173" s="21" t="str">
        <f>CONCATENATE(E173,"/",F173,"/",RIGHT(D173,2))</f>
        <v>12/11/19</v>
      </c>
      <c r="U173" s="21" t="str">
        <f>IF((H173=1),"Electronics",IF((H173=2),"Ski Package",IF((H173=3),"Fishing Package","Error!")))</f>
        <v>Ski Package</v>
      </c>
      <c r="V173" s="22">
        <f>VALUE(I173)</f>
        <v>0</v>
      </c>
      <c r="W173" s="23">
        <f>O173</f>
        <v>4218.8</v>
      </c>
      <c r="X173" s="44" t="s">
        <v>119</v>
      </c>
    </row>
    <row r="174" spans="1:24" x14ac:dyDescent="0.25">
      <c r="A174" s="1" t="s">
        <v>52</v>
      </c>
      <c r="B174" s="2" t="s">
        <v>63</v>
      </c>
      <c r="C174" s="8" t="s">
        <v>66</v>
      </c>
      <c r="D174" s="2">
        <v>2015</v>
      </c>
      <c r="E174" s="14" t="s">
        <v>69</v>
      </c>
      <c r="F174" s="15" t="s">
        <v>69</v>
      </c>
      <c r="G174" s="2" t="s">
        <v>82</v>
      </c>
      <c r="H174" s="2">
        <v>1</v>
      </c>
      <c r="I174" s="29" t="s">
        <v>70</v>
      </c>
      <c r="J174" s="31">
        <f>0.06</f>
        <v>0.06</v>
      </c>
      <c r="K174">
        <f>IF((G174="B"),0.33,IF((G174="P"),0.25,IF((G174="S"),0.425,IF((G174="J"),0.33,IF((G174="C"),0.2,IF((G174="R"),0.3,"ERROR!"))))))</f>
        <v>0.2</v>
      </c>
      <c r="L174" s="28">
        <f>ROUND(C174*K174,2)</f>
        <v>0</v>
      </c>
      <c r="M174" s="28" t="str">
        <f>IF((H174=1),"5,415.30",IF((H174=2),"3,980.00",IF((H174=3),"345.45","Error!")))</f>
        <v>5,415.30</v>
      </c>
      <c r="N174" s="28">
        <f>ROUND((C174+I174+L174+M174)*J174,2)</f>
        <v>324.92</v>
      </c>
      <c r="O174" s="28">
        <f>SUM(C174+I174+L174+N174+M174)</f>
        <v>5740.24</v>
      </c>
      <c r="P174" s="3">
        <f>P173 + 1</f>
        <v>2</v>
      </c>
      <c r="Q174" s="20" t="str">
        <f>A174</f>
        <v xml:space="preserve">DAVIS          </v>
      </c>
      <c r="R174" s="21" t="str">
        <f>B174</f>
        <v>CA</v>
      </c>
      <c r="S174" s="22">
        <f>VALUE(C174)</f>
        <v>0.01</v>
      </c>
      <c r="T174" s="21" t="str">
        <f>CONCATENATE(E174,"/",F174,"/",RIGHT(D174,2))</f>
        <v>09/09/15</v>
      </c>
      <c r="U174" s="21" t="str">
        <f>IF((H174=1),"Electronics",IF((H174=2),"Ski Package",IF((H174=3),"Fishing Package","Error!")))</f>
        <v>Electronics</v>
      </c>
      <c r="V174" s="22">
        <f>VALUE(I174)</f>
        <v>0.01</v>
      </c>
      <c r="W174" s="23">
        <f>O174</f>
        <v>5740.24</v>
      </c>
      <c r="X174" s="44" t="s">
        <v>120</v>
      </c>
    </row>
    <row r="175" spans="1:24" x14ac:dyDescent="0.25">
      <c r="A175" s="1"/>
      <c r="B175" s="2"/>
      <c r="C175" s="8"/>
      <c r="D175" s="2"/>
      <c r="E175" s="14"/>
      <c r="F175" s="15"/>
      <c r="G175" s="2"/>
      <c r="H175" s="2"/>
      <c r="I175" s="29"/>
      <c r="J175" s="31"/>
      <c r="K175" s="28"/>
      <c r="L175" s="28"/>
      <c r="M175" s="28"/>
      <c r="N175" s="28"/>
      <c r="O175" s="28"/>
      <c r="P175" s="3"/>
      <c r="Q175" s="1"/>
      <c r="R175" s="2"/>
      <c r="S175" s="17"/>
      <c r="T175" s="2"/>
      <c r="U175" s="2"/>
      <c r="V175" s="17"/>
      <c r="W175" s="18"/>
      <c r="X175" s="44"/>
    </row>
    <row r="176" spans="1:24" x14ac:dyDescent="0.25">
      <c r="A176" s="1"/>
      <c r="B176" s="2"/>
      <c r="C176" s="8"/>
      <c r="D176" s="2"/>
      <c r="E176" s="14"/>
      <c r="F176" s="15"/>
      <c r="G176" s="2"/>
      <c r="H176" s="2"/>
      <c r="I176" s="29"/>
      <c r="J176" s="31"/>
      <c r="K176" s="28"/>
      <c r="L176" s="28"/>
      <c r="M176" s="28"/>
      <c r="N176" s="28"/>
      <c r="O176" s="28"/>
      <c r="P176" s="3"/>
      <c r="Q176" s="1" t="s">
        <v>37</v>
      </c>
      <c r="R176" s="2" t="s">
        <v>38</v>
      </c>
      <c r="S176" s="17" t="s">
        <v>39</v>
      </c>
      <c r="T176" s="2" t="s">
        <v>40</v>
      </c>
      <c r="U176" s="2"/>
      <c r="V176" s="17"/>
      <c r="W176" s="18"/>
      <c r="X176" s="44"/>
    </row>
    <row r="177" spans="1:24" x14ac:dyDescent="0.25">
      <c r="A177" s="1"/>
      <c r="B177" s="2"/>
      <c r="C177" s="8"/>
      <c r="D177" s="2"/>
      <c r="E177" s="14"/>
      <c r="F177" s="15"/>
      <c r="G177" s="2"/>
      <c r="H177" s="2"/>
      <c r="I177" s="29"/>
      <c r="J177" s="31"/>
      <c r="K177" s="28"/>
      <c r="L177" s="28"/>
      <c r="M177" s="28"/>
      <c r="N177" s="28"/>
      <c r="O177" s="28"/>
      <c r="P177" s="3"/>
      <c r="Q177" s="25" t="str">
        <f>R173</f>
        <v>CA</v>
      </c>
      <c r="R177" s="24" t="str">
        <f>IF((G173="B"),"Bass Boat",IF((G173="P"),"Pontoon",IF((G173="S"),"Ski Boat",IF((G173="J"),"John Boat",IF((G173="C"),"Canoe",IF((G173="R"),"Cabin Cruiser","ERROR!"))))))</f>
        <v>Canoe</v>
      </c>
      <c r="S177" s="26">
        <f>VALUE(P174)</f>
        <v>2</v>
      </c>
      <c r="T177" s="27">
        <f>SUM(W173:W174)</f>
        <v>9959.0400000000009</v>
      </c>
      <c r="U177" s="2"/>
      <c r="V177" s="17"/>
      <c r="W177" s="18"/>
      <c r="X177" s="44"/>
    </row>
    <row r="178" spans="1:24" x14ac:dyDescent="0.25">
      <c r="A178" s="1"/>
      <c r="B178" s="2"/>
      <c r="C178" s="8"/>
      <c r="D178" s="2"/>
      <c r="E178" s="14"/>
      <c r="F178" s="15"/>
      <c r="G178" s="2"/>
      <c r="H178" s="2"/>
      <c r="I178" s="29"/>
      <c r="J178" s="31"/>
      <c r="K178" s="28"/>
      <c r="L178" s="28"/>
      <c r="M178" s="28"/>
      <c r="N178" s="28"/>
      <c r="O178" s="28"/>
      <c r="P178" s="3"/>
      <c r="U178" s="2"/>
      <c r="V178" s="17"/>
      <c r="W178" s="18"/>
      <c r="X178" s="44"/>
    </row>
    <row r="179" spans="1:24" x14ac:dyDescent="0.25">
      <c r="A179" s="1" t="s">
        <v>130</v>
      </c>
      <c r="B179" s="7" t="s">
        <v>126</v>
      </c>
      <c r="C179" s="8" t="s">
        <v>127</v>
      </c>
      <c r="D179" s="2">
        <v>2010</v>
      </c>
      <c r="E179" s="15" t="s">
        <v>95</v>
      </c>
      <c r="F179" s="16" t="s">
        <v>95</v>
      </c>
      <c r="G179" s="7" t="s">
        <v>82</v>
      </c>
      <c r="H179" s="7">
        <v>1</v>
      </c>
      <c r="I179" s="29" t="s">
        <v>128</v>
      </c>
      <c r="J179" s="31">
        <f t="shared" ref="J179" si="268">0.06</f>
        <v>0.06</v>
      </c>
      <c r="K179" s="28">
        <f t="shared" ref="K179" si="269">IF((G179="B"),0.33,IF((G179="P"),0.25,IF((G179="S"),0.425,IF((G179="J"),0.33,IF((G179="C"),0.2,IF((G179="R"),0.3,"ERROR!"))))))</f>
        <v>0.2</v>
      </c>
      <c r="L179" s="28">
        <f t="shared" ref="L179" si="270">ROUND(C179*K179,2)</f>
        <v>100</v>
      </c>
      <c r="M179" s="28" t="str">
        <f t="shared" ref="M179" si="271">IF((H179=1),"5,415.30",IF((H179=2),"3,980.00",IF((H179=3),"345.45","Error!")))</f>
        <v>5,415.30</v>
      </c>
      <c r="N179" s="28">
        <f t="shared" ref="N179" si="272">ROUND((C179+I179+L179+M179)*J179,2)</f>
        <v>366.92</v>
      </c>
      <c r="O179" s="28">
        <f>SUM(C179+I179+L179+N179+M179)</f>
        <v>6482.22</v>
      </c>
      <c r="P179" s="3">
        <f>P178+1</f>
        <v>1</v>
      </c>
      <c r="Q179" s="20" t="str">
        <f t="shared" ref="Q179" si="273">A179</f>
        <v xml:space="preserve">SKYWALKER      </v>
      </c>
      <c r="R179" s="21" t="str">
        <f t="shared" ref="R179" si="274">B179</f>
        <v>CT</v>
      </c>
      <c r="S179" s="22">
        <f>VALUE(C169)</f>
        <v>0</v>
      </c>
      <c r="T179" s="21" t="str">
        <f t="shared" ref="T179" si="275">CONCATENATE(E179,"/",F179,"/",RIGHT(D179,2))</f>
        <v>10/10/10</v>
      </c>
      <c r="U179" s="21" t="str">
        <f t="shared" ref="U179" si="276">IF((H179=1),"Electronics",IF((H179=2),"Ski Package",IF((H179=3),"Fishing Package","Error!")))</f>
        <v>Electronics</v>
      </c>
      <c r="V179" s="22">
        <f t="shared" ref="V179" si="277">VALUE(I179)</f>
        <v>100</v>
      </c>
      <c r="W179" s="23">
        <f t="shared" ref="W179" si="278">O179</f>
        <v>6482.22</v>
      </c>
      <c r="X179" s="44" t="s">
        <v>122</v>
      </c>
    </row>
    <row r="180" spans="1:24" x14ac:dyDescent="0.25">
      <c r="A180" s="1"/>
      <c r="B180" s="2"/>
      <c r="C180" s="8"/>
      <c r="D180" s="2"/>
      <c r="E180" s="14"/>
      <c r="F180" s="15"/>
      <c r="G180" s="2"/>
      <c r="H180" s="2"/>
      <c r="I180" s="29"/>
      <c r="J180" s="31"/>
      <c r="K180" s="28"/>
      <c r="L180" s="28"/>
      <c r="M180" s="28"/>
      <c r="N180" s="28"/>
      <c r="O180" s="28"/>
      <c r="P180" s="3"/>
      <c r="Q180" s="1"/>
      <c r="R180" s="2"/>
      <c r="S180" s="17"/>
      <c r="T180" s="2"/>
      <c r="U180" s="2"/>
      <c r="V180" s="17"/>
      <c r="W180" s="18"/>
      <c r="X180" s="44"/>
    </row>
    <row r="181" spans="1:24" x14ac:dyDescent="0.25">
      <c r="A181" s="1"/>
      <c r="B181" s="2"/>
      <c r="C181" s="8"/>
      <c r="D181" s="2"/>
      <c r="E181" s="14"/>
      <c r="F181" s="15"/>
      <c r="G181" s="2"/>
      <c r="H181" s="2"/>
      <c r="I181" s="29"/>
      <c r="J181" s="31"/>
      <c r="K181" s="28"/>
      <c r="L181" s="28"/>
      <c r="M181" s="28"/>
      <c r="N181" s="28"/>
      <c r="O181" s="28"/>
      <c r="P181" s="3"/>
      <c r="Q181" s="1" t="s">
        <v>37</v>
      </c>
      <c r="R181" s="2" t="s">
        <v>38</v>
      </c>
      <c r="S181" s="17" t="s">
        <v>39</v>
      </c>
      <c r="T181" s="2" t="s">
        <v>40</v>
      </c>
      <c r="U181" s="2"/>
      <c r="V181" s="17"/>
      <c r="W181" s="18"/>
      <c r="X181" s="44"/>
    </row>
    <row r="182" spans="1:24" x14ac:dyDescent="0.25">
      <c r="A182" s="1"/>
      <c r="B182" s="2"/>
      <c r="C182" s="8"/>
      <c r="D182" s="2"/>
      <c r="E182" s="14"/>
      <c r="F182" s="15"/>
      <c r="G182" s="2"/>
      <c r="H182" s="2"/>
      <c r="I182" s="29"/>
      <c r="J182" s="31"/>
      <c r="K182" s="28"/>
      <c r="L182" s="28"/>
      <c r="M182" s="28"/>
      <c r="N182" s="28"/>
      <c r="O182" s="28"/>
      <c r="P182" s="3"/>
      <c r="Q182" s="25" t="str">
        <f>R179</f>
        <v>CT</v>
      </c>
      <c r="R182" s="24" t="str">
        <f>IF((G179="B"),"Bass Boat",IF((G179="P"),"Pontoon",IF((G179="S"),"Ski Boat",IF((G179="J"),"John Boat",IF((G179="C"),"Canoe",IF((G179="R"),"Cabin Cruiser","ERROR!"))))))</f>
        <v>Canoe</v>
      </c>
      <c r="S182" s="26">
        <f>P179</f>
        <v>1</v>
      </c>
      <c r="T182" s="27">
        <f>SUM(W178:W179)</f>
        <v>6482.22</v>
      </c>
      <c r="U182" s="2"/>
      <c r="V182" s="17"/>
      <c r="W182" s="18"/>
      <c r="X182" s="44"/>
    </row>
    <row r="183" spans="1:24" x14ac:dyDescent="0.25">
      <c r="A183" s="1"/>
      <c r="B183" s="2"/>
      <c r="C183" s="8"/>
      <c r="D183" s="2"/>
      <c r="E183" s="14"/>
      <c r="F183" s="15"/>
      <c r="G183" s="2"/>
      <c r="H183" s="2"/>
      <c r="I183" s="29"/>
      <c r="J183" s="31"/>
      <c r="K183" s="28"/>
      <c r="L183" s="28"/>
      <c r="M183" s="28"/>
      <c r="N183" s="28"/>
      <c r="O183" s="28"/>
      <c r="P183" s="3"/>
      <c r="U183" s="2"/>
      <c r="V183" s="17"/>
      <c r="W183" s="18"/>
      <c r="X183" s="44"/>
    </row>
    <row r="184" spans="1:24" x14ac:dyDescent="0.25">
      <c r="A184" s="1" t="s">
        <v>53</v>
      </c>
      <c r="B184" s="7" t="s">
        <v>14</v>
      </c>
      <c r="C184" s="8" t="s">
        <v>23</v>
      </c>
      <c r="D184" s="2">
        <v>9999</v>
      </c>
      <c r="E184" s="15" t="s">
        <v>71</v>
      </c>
      <c r="F184" s="16" t="s">
        <v>71</v>
      </c>
      <c r="G184" s="7" t="s">
        <v>82</v>
      </c>
      <c r="H184" s="7">
        <v>2</v>
      </c>
      <c r="I184" s="29" t="s">
        <v>70</v>
      </c>
      <c r="J184" s="31">
        <f>0.06</f>
        <v>0.06</v>
      </c>
      <c r="K184" s="28">
        <f>IF((G184="B"),0.33,IF((G184="P"),0.25,IF((G184="S"),0.425,IF((G184="J"),0.33,IF((G184="C"),0.2,IF((G184="R"),0.3,"ERROR!"))))))</f>
        <v>0.2</v>
      </c>
      <c r="L184" s="28">
        <f>ROUND(C184*K184,2)</f>
        <v>200000</v>
      </c>
      <c r="M184" s="28" t="str">
        <f>IF((H184=1),"5,415.30",IF((H184=2),"3,980.00",IF((H184=3),"345.45","Error!")))</f>
        <v>3,980.00</v>
      </c>
      <c r="N184" s="28">
        <f>ROUND((C184+I184+L184+M184)*J184,2)</f>
        <v>72238.8</v>
      </c>
      <c r="O184" s="28">
        <f>SUM(C184+I184+L184+N184+M173)</f>
        <v>1276218.8</v>
      </c>
      <c r="P184" s="3">
        <f>P178 + 1</f>
        <v>1</v>
      </c>
      <c r="Q184" s="20" t="str">
        <f>A184</f>
        <v xml:space="preserve">QUERVO         </v>
      </c>
      <c r="R184" s="21" t="str">
        <f>B184</f>
        <v>IA</v>
      </c>
      <c r="S184" s="22">
        <f>VALUE(C173)</f>
        <v>0</v>
      </c>
      <c r="T184" s="21" t="str">
        <f>CONCATENATE(E184,"/",F184,"/",RIGHT(D184,2))</f>
        <v>99/99/99</v>
      </c>
      <c r="U184" s="21" t="str">
        <f>IF((H184=1),"Electronics",IF((H184=2),"Ski Package",IF((H184=3),"Fishing Package","Error!")))</f>
        <v>Ski Package</v>
      </c>
      <c r="V184" s="22">
        <f>VALUE(I184)</f>
        <v>0.01</v>
      </c>
      <c r="W184" s="23">
        <f>O184</f>
        <v>1276218.8</v>
      </c>
      <c r="X184" s="44" t="s">
        <v>121</v>
      </c>
    </row>
    <row r="185" spans="1:24" x14ac:dyDescent="0.25">
      <c r="A185" s="1" t="s">
        <v>55</v>
      </c>
      <c r="B185" s="7" t="s">
        <v>14</v>
      </c>
      <c r="C185" s="8" t="s">
        <v>66</v>
      </c>
      <c r="D185" s="2">
        <v>2019</v>
      </c>
      <c r="E185" s="15" t="s">
        <v>73</v>
      </c>
      <c r="F185" s="16" t="s">
        <v>26</v>
      </c>
      <c r="G185" s="7" t="s">
        <v>82</v>
      </c>
      <c r="H185" s="7">
        <v>3</v>
      </c>
      <c r="I185" s="29" t="s">
        <v>29</v>
      </c>
      <c r="J185" s="31">
        <f t="shared" ref="J185" si="279">0.06</f>
        <v>0.06</v>
      </c>
      <c r="K185" s="28">
        <f t="shared" ref="K185" si="280">IF((G185="B"),0.33,IF((G185="P"),0.25,IF((G185="S"),0.425,IF((G185="J"),0.33,IF((G185="C"),0.2,IF((G185="R"),0.3,"ERROR!"))))))</f>
        <v>0.2</v>
      </c>
      <c r="L185" s="28">
        <f t="shared" ref="L185" si="281">ROUND(C185*K185,2)</f>
        <v>0</v>
      </c>
      <c r="M185" s="28" t="str">
        <f t="shared" ref="M185" si="282">IF((H185=1),"5,415.30",IF((H185=2),"3,980.00",IF((H185=3),"345.45","Error!")))</f>
        <v>345.45</v>
      </c>
      <c r="N185" s="28">
        <f t="shared" ref="N185" si="283">ROUND((C185+I185+L185+M185)*J185,2)</f>
        <v>6020.73</v>
      </c>
      <c r="O185" s="28">
        <f>SUM(C185+I185+L185+N185+M185)</f>
        <v>106366.18</v>
      </c>
      <c r="P185" s="3">
        <f>P184+1</f>
        <v>2</v>
      </c>
      <c r="Q185" s="20" t="str">
        <f t="shared" ref="Q185" si="284">A185</f>
        <v xml:space="preserve">BIRKNER        </v>
      </c>
      <c r="R185" s="21" t="str">
        <f t="shared" ref="R185" si="285">B185</f>
        <v>IA</v>
      </c>
      <c r="S185" s="22">
        <f>VALUE(C175)</f>
        <v>0</v>
      </c>
      <c r="T185" s="21" t="str">
        <f t="shared" ref="T185" si="286">CONCATENATE(E185,"/",F185,"/",RIGHT(D185,2))</f>
        <v>06/01/19</v>
      </c>
      <c r="U185" s="21" t="str">
        <f t="shared" ref="U185" si="287">IF((H185=1),"Electronics",IF((H185=2),"Ski Package",IF((H185=3),"Fishing Package","Error!")))</f>
        <v>Fishing Package</v>
      </c>
      <c r="V185" s="22">
        <f t="shared" ref="V185" si="288">VALUE(I185)</f>
        <v>99999.99</v>
      </c>
      <c r="W185" s="23">
        <f t="shared" ref="W185" si="289">O185</f>
        <v>106366.18</v>
      </c>
      <c r="X185" s="44" t="s">
        <v>121</v>
      </c>
    </row>
    <row r="186" spans="1:24" x14ac:dyDescent="0.25">
      <c r="A186" s="1"/>
      <c r="B186" s="2"/>
      <c r="C186" s="8"/>
      <c r="D186" s="2"/>
      <c r="E186" s="14"/>
      <c r="F186" s="15"/>
      <c r="G186" s="2"/>
      <c r="H186" s="2"/>
      <c r="I186" s="29"/>
      <c r="J186" s="31"/>
      <c r="K186" s="28"/>
      <c r="L186" s="28"/>
      <c r="M186" s="28"/>
      <c r="N186" s="28"/>
      <c r="O186" s="28"/>
      <c r="P186" s="3"/>
      <c r="Q186" s="1"/>
      <c r="R186" s="2"/>
      <c r="S186" s="17"/>
      <c r="T186" s="2"/>
      <c r="U186" s="2"/>
      <c r="V186" s="17"/>
      <c r="W186" s="18"/>
      <c r="X186" s="44"/>
    </row>
    <row r="187" spans="1:24" x14ac:dyDescent="0.25">
      <c r="A187" s="1"/>
      <c r="B187" s="2"/>
      <c r="C187" s="8"/>
      <c r="D187" s="2"/>
      <c r="E187" s="14"/>
      <c r="F187" s="15"/>
      <c r="G187" s="2"/>
      <c r="H187" s="2"/>
      <c r="I187" s="29"/>
      <c r="J187" s="31"/>
      <c r="K187" s="28"/>
      <c r="L187" s="28"/>
      <c r="M187" s="28"/>
      <c r="N187" s="28"/>
      <c r="O187" s="28"/>
      <c r="P187" s="3"/>
      <c r="Q187" s="1" t="s">
        <v>37</v>
      </c>
      <c r="R187" s="2" t="s">
        <v>38</v>
      </c>
      <c r="S187" s="17" t="s">
        <v>39</v>
      </c>
      <c r="T187" s="2" t="s">
        <v>40</v>
      </c>
      <c r="U187" s="2"/>
      <c r="V187" s="17"/>
      <c r="W187" s="18"/>
      <c r="X187" s="44"/>
    </row>
    <row r="188" spans="1:24" x14ac:dyDescent="0.25">
      <c r="A188" s="1"/>
      <c r="B188" s="2"/>
      <c r="C188" s="8"/>
      <c r="D188" s="2"/>
      <c r="E188" s="14"/>
      <c r="F188" s="15"/>
      <c r="G188" s="2"/>
      <c r="H188" s="2"/>
      <c r="I188" s="29"/>
      <c r="J188" s="31"/>
      <c r="K188" s="28"/>
      <c r="L188" s="28"/>
      <c r="M188" s="28"/>
      <c r="N188" s="28"/>
      <c r="O188" s="28"/>
      <c r="P188" s="3"/>
      <c r="Q188" s="25" t="str">
        <f>R184</f>
        <v>IA</v>
      </c>
      <c r="R188" s="24" t="str">
        <f>IF((G184="B"),"Bass Boat",IF((G184="P"),"Pontoon",IF((G184="S"),"Ski Boat",IF((G184="J"),"John Boat",IF((G184="C"),"Canoe",IF((G184="R"),"Cabin Cruiser","ERROR!"))))))</f>
        <v>Canoe</v>
      </c>
      <c r="S188" s="26">
        <f>P185</f>
        <v>2</v>
      </c>
      <c r="T188" s="27">
        <f>SUM(W184:W185)</f>
        <v>1382584.98</v>
      </c>
      <c r="U188" s="2"/>
      <c r="V188" s="17"/>
      <c r="W188" s="18"/>
      <c r="X188" s="44"/>
    </row>
    <row r="189" spans="1:24" x14ac:dyDescent="0.25">
      <c r="A189" s="1"/>
      <c r="B189" s="2"/>
      <c r="C189" s="8"/>
      <c r="D189" s="2"/>
      <c r="E189" s="14"/>
      <c r="F189" s="15"/>
      <c r="G189" s="2"/>
      <c r="H189" s="2"/>
      <c r="I189" s="29"/>
      <c r="J189" s="31"/>
      <c r="K189" s="28"/>
      <c r="L189" s="28"/>
      <c r="M189" s="28"/>
      <c r="N189" s="28"/>
      <c r="O189" s="28"/>
      <c r="P189" s="3"/>
      <c r="U189" s="2"/>
      <c r="V189" s="17"/>
      <c r="W189" s="18"/>
      <c r="X189" s="44"/>
    </row>
    <row r="190" spans="1:24" x14ac:dyDescent="0.25">
      <c r="A190" s="1" t="s">
        <v>107</v>
      </c>
      <c r="B190" s="2" t="s">
        <v>21</v>
      </c>
      <c r="C190" s="8" t="s">
        <v>108</v>
      </c>
      <c r="D190" s="2">
        <v>2015</v>
      </c>
      <c r="E190" s="15" t="s">
        <v>109</v>
      </c>
      <c r="F190" s="15" t="s">
        <v>76</v>
      </c>
      <c r="G190" s="2" t="s">
        <v>82</v>
      </c>
      <c r="H190" s="2">
        <v>3</v>
      </c>
      <c r="I190" s="29" t="s">
        <v>110</v>
      </c>
      <c r="J190" s="31">
        <f t="shared" ref="J190:J191" si="290">0.06</f>
        <v>0.06</v>
      </c>
      <c r="K190" s="28">
        <f t="shared" ref="K190" si="291">IF((G190="B"),0.33,IF((G190="P"),0.25,IF((G190="S"),0.425,IF((G190="J"),0.33,IF((G190="C"),0.2,IF((G190="R"),0.3,"ERROR!"))))))</f>
        <v>0.2</v>
      </c>
      <c r="L190" s="28">
        <f t="shared" ref="L190" si="292">ROUND(C190*K190,2)</f>
        <v>4000</v>
      </c>
      <c r="M190" s="28" t="str">
        <f t="shared" ref="M190" si="293">IF((H190=1),"5,415.30",IF((H190=2),"3,980.00",IF((H190=3),"345.45","Error!")))</f>
        <v>345.45</v>
      </c>
      <c r="N190" s="28">
        <f t="shared" ref="N190" si="294">ROUND((C190+I190+L190+M190)*J190,2)</f>
        <v>1475.73</v>
      </c>
      <c r="O190" s="28">
        <f>SUM(C190+I190+L190+N190+M190)</f>
        <v>26071.18</v>
      </c>
      <c r="P190" s="3">
        <v>1</v>
      </c>
      <c r="Q190" s="20" t="str">
        <f>A190</f>
        <v xml:space="preserve">HILL           </v>
      </c>
      <c r="R190" s="21" t="str">
        <f>B190</f>
        <v>MO</v>
      </c>
      <c r="S190" s="22">
        <f>VALUE(C184)</f>
        <v>999999.99</v>
      </c>
      <c r="T190" s="21" t="str">
        <f>CONCATENATE(E190,"/",F190,"/",RIGHT(D190,2))</f>
        <v>05/15/15</v>
      </c>
      <c r="U190" s="21" t="str">
        <f>IF((H190=1),"Electronics",IF((H190=2),"Ski Package",IF((H190=3),"Fishing Package","Error!")))</f>
        <v>Fishing Package</v>
      </c>
      <c r="V190" s="22">
        <f>VALUE(I190)</f>
        <v>250</v>
      </c>
      <c r="W190" s="23">
        <f>O190</f>
        <v>26071.18</v>
      </c>
      <c r="X190" s="44" t="s">
        <v>122</v>
      </c>
    </row>
    <row r="191" spans="1:24" x14ac:dyDescent="0.25">
      <c r="A191" s="1" t="s">
        <v>58</v>
      </c>
      <c r="B191" s="2" t="s">
        <v>21</v>
      </c>
      <c r="C191" s="8" t="s">
        <v>23</v>
      </c>
      <c r="D191" s="2">
        <v>9999</v>
      </c>
      <c r="E191" s="14" t="s">
        <v>71</v>
      </c>
      <c r="F191" s="15" t="s">
        <v>71</v>
      </c>
      <c r="G191" s="2" t="s">
        <v>82</v>
      </c>
      <c r="H191" s="2">
        <v>3</v>
      </c>
      <c r="I191" s="29" t="s">
        <v>35</v>
      </c>
      <c r="J191" s="31">
        <f t="shared" si="290"/>
        <v>0.06</v>
      </c>
      <c r="K191" s="28">
        <f t="shared" ref="K191" si="295">IF((G191="B"),0.33,IF((G191="P"),0.25,IF((G191="S"),0.425,IF((G191="J"),0.33,IF((G191="C"),0.2,IF((G191="R"),0.3,"ERROR!"))))))</f>
        <v>0.2</v>
      </c>
      <c r="L191" s="28">
        <f t="shared" ref="L191" si="296">ROUND(C191*K191,2)</f>
        <v>200000</v>
      </c>
      <c r="M191" s="28" t="str">
        <f t="shared" ref="M191" si="297">IF((H191=1),"5,415.30",IF((H191=2),"3,980.00",IF((H191=3),"345.45","Error!")))</f>
        <v>345.45</v>
      </c>
      <c r="N191" s="28">
        <f t="shared" ref="N191" si="298">ROUND((C191+I191+L191+M191)*J191,2)</f>
        <v>72020.73</v>
      </c>
      <c r="O191" s="28">
        <f>SUM(C191+I191+L191+N191+M191)</f>
        <v>1272366.17</v>
      </c>
      <c r="P191" s="3">
        <f>P190 + 1</f>
        <v>2</v>
      </c>
      <c r="Q191" s="20" t="str">
        <f>A191</f>
        <v xml:space="preserve">LESTER         </v>
      </c>
      <c r="R191" s="21" t="str">
        <f>B191</f>
        <v>MO</v>
      </c>
      <c r="S191" s="22">
        <f>VALUE(C185)</f>
        <v>0.01</v>
      </c>
      <c r="T191" s="21" t="str">
        <f>CONCATENATE(E191,"/",F191,"/",RIGHT(D191,2))</f>
        <v>99/99/99</v>
      </c>
      <c r="U191" s="21" t="str">
        <f>IF((H191=1),"Electronics",IF((H191=2),"Ski Package",IF((H191=3),"Fishing Package","Error!")))</f>
        <v>Fishing Package</v>
      </c>
      <c r="V191" s="22">
        <f>VALUE(I191)</f>
        <v>0</v>
      </c>
      <c r="W191" s="23">
        <f>O191</f>
        <v>1272366.17</v>
      </c>
      <c r="X191" s="44" t="s">
        <v>123</v>
      </c>
    </row>
    <row r="192" spans="1:24" x14ac:dyDescent="0.25">
      <c r="A192" s="1"/>
      <c r="B192" s="2"/>
      <c r="C192" s="8"/>
      <c r="D192" s="2"/>
      <c r="E192" s="14"/>
      <c r="F192" s="15"/>
      <c r="G192" s="2"/>
      <c r="H192" s="2"/>
      <c r="I192" s="29"/>
      <c r="J192" s="31"/>
      <c r="K192" s="28"/>
      <c r="L192" s="28"/>
      <c r="M192" s="28"/>
      <c r="N192" s="28"/>
      <c r="O192" s="28"/>
      <c r="P192" s="3"/>
      <c r="Q192" s="1"/>
      <c r="R192" s="2"/>
      <c r="S192" s="17"/>
      <c r="T192" s="2"/>
      <c r="U192" s="2"/>
      <c r="V192" s="17"/>
      <c r="W192" s="18"/>
      <c r="X192" s="44"/>
    </row>
    <row r="193" spans="1:24" x14ac:dyDescent="0.25">
      <c r="A193" s="1"/>
      <c r="B193" s="2"/>
      <c r="C193" s="8"/>
      <c r="D193" s="2"/>
      <c r="E193" s="14"/>
      <c r="F193" s="15"/>
      <c r="G193" s="2"/>
      <c r="H193" s="2"/>
      <c r="I193" s="29"/>
      <c r="J193" s="31"/>
      <c r="K193" s="28"/>
      <c r="L193" s="28"/>
      <c r="M193" s="28"/>
      <c r="N193" s="28"/>
      <c r="O193" s="28"/>
      <c r="P193" s="3"/>
      <c r="Q193" s="1" t="s">
        <v>37</v>
      </c>
      <c r="R193" s="2" t="s">
        <v>38</v>
      </c>
      <c r="S193" s="17" t="s">
        <v>39</v>
      </c>
      <c r="T193" s="2" t="s">
        <v>40</v>
      </c>
      <c r="U193" s="2"/>
      <c r="V193" s="17"/>
      <c r="W193" s="18"/>
      <c r="X193" s="44"/>
    </row>
    <row r="194" spans="1:24" x14ac:dyDescent="0.25">
      <c r="A194" s="1"/>
      <c r="B194" s="2"/>
      <c r="C194" s="8"/>
      <c r="D194" s="2"/>
      <c r="E194" s="14"/>
      <c r="F194" s="15"/>
      <c r="G194" s="2"/>
      <c r="H194" s="2"/>
      <c r="I194" s="29"/>
      <c r="J194" s="31"/>
      <c r="K194" s="28"/>
      <c r="L194" s="28"/>
      <c r="M194" s="28"/>
      <c r="N194" s="28"/>
      <c r="O194" s="28"/>
      <c r="P194" s="3"/>
      <c r="Q194" s="25" t="str">
        <f>R191</f>
        <v>MO</v>
      </c>
      <c r="R194" s="24" t="str">
        <f>IF((G191="B"),"Bass Boat",IF((G191="P"),"Pontoon",IF((G191="S"),"Ski Boat",IF((G191="J"),"John Boat",IF((G191="C"),"Canoe",IF((G191="R"),"Cabin Cruiser","ERROR!"))))))</f>
        <v>Canoe</v>
      </c>
      <c r="S194" s="26">
        <f>P191</f>
        <v>2</v>
      </c>
      <c r="T194" s="27">
        <f>SUM(W190:W191)</f>
        <v>1298437.3499999999</v>
      </c>
      <c r="U194" s="2"/>
      <c r="V194" s="17"/>
      <c r="W194" s="18"/>
      <c r="X194" s="44"/>
    </row>
    <row r="195" spans="1:24" x14ac:dyDescent="0.25">
      <c r="A195" s="1"/>
      <c r="B195" s="2"/>
      <c r="C195" s="8"/>
      <c r="D195" s="2"/>
      <c r="E195" s="14"/>
      <c r="F195" s="15"/>
      <c r="G195" s="2"/>
      <c r="H195" s="2"/>
      <c r="I195" s="29"/>
      <c r="J195" s="31"/>
      <c r="K195" s="28"/>
      <c r="L195" s="28"/>
      <c r="M195" s="28"/>
      <c r="N195" s="28"/>
      <c r="O195" s="28"/>
      <c r="P195" s="3"/>
      <c r="Q195" s="1"/>
      <c r="R195" s="2"/>
      <c r="S195" s="17"/>
      <c r="T195" s="2"/>
      <c r="U195" s="2"/>
      <c r="V195" s="17"/>
      <c r="W195" s="18"/>
      <c r="X195" s="44"/>
    </row>
    <row r="196" spans="1:24" x14ac:dyDescent="0.25">
      <c r="A196" s="1" t="s">
        <v>59</v>
      </c>
      <c r="B196" s="2" t="s">
        <v>64</v>
      </c>
      <c r="C196" s="8" t="s">
        <v>34</v>
      </c>
      <c r="D196" s="2">
        <v>1998</v>
      </c>
      <c r="E196" s="14" t="s">
        <v>72</v>
      </c>
      <c r="F196" s="15" t="s">
        <v>76</v>
      </c>
      <c r="G196" s="2" t="s">
        <v>82</v>
      </c>
      <c r="H196" s="2">
        <v>3</v>
      </c>
      <c r="I196" s="29" t="s">
        <v>29</v>
      </c>
      <c r="J196" s="31">
        <f t="shared" ref="J196:J199" si="299">0.06</f>
        <v>0.06</v>
      </c>
      <c r="K196" s="28">
        <f t="shared" ref="K196:K198" si="300">IF((G196="B"),0.33,IF((G196="P"),0.25,IF((G196="S"),0.425,IF((G196="J"),0.33,IF((G196="C"),0.2,IF((G196="R"),0.3,"ERROR!"))))))</f>
        <v>0.2</v>
      </c>
      <c r="L196" s="28">
        <f t="shared" ref="L196:L198" si="301">ROUND(C196*K196,2)</f>
        <v>0</v>
      </c>
      <c r="M196" s="28" t="str">
        <f t="shared" ref="M196:M198" si="302">IF((H196=1),"5,415.30",IF((H196=2),"3,980.00",IF((H196=3),"345.45","Error!")))</f>
        <v>345.45</v>
      </c>
      <c r="N196" s="28">
        <f t="shared" ref="N196:N198" si="303">ROUND((C196+I196+L196+M196)*J196,2)</f>
        <v>6020.73</v>
      </c>
      <c r="O196" s="28">
        <f>SUM(C196+I196+L196+N196+M196)</f>
        <v>106366.17</v>
      </c>
      <c r="P196" s="3">
        <f t="shared" ref="P196:P198" si="304">P195 + 1</f>
        <v>1</v>
      </c>
      <c r="Q196" s="20" t="str">
        <f>A196</f>
        <v xml:space="preserve">HERNANDEZ      </v>
      </c>
      <c r="R196" s="21" t="str">
        <f>B196</f>
        <v>WI</v>
      </c>
      <c r="S196" s="22">
        <f>VALUE(C189)</f>
        <v>0</v>
      </c>
      <c r="T196" s="21" t="str">
        <f>CONCATENATE(E196,"/",F196,"/",RIGHT(D196,2))</f>
        <v>08/15/98</v>
      </c>
      <c r="U196" s="21" t="str">
        <f>IF((H196=1),"Electronics",IF((H196=2),"Ski Package",IF((H196=3),"Fishing Package","Error!")))</f>
        <v>Fishing Package</v>
      </c>
      <c r="V196" s="22">
        <f>VALUE(I196)</f>
        <v>99999.99</v>
      </c>
      <c r="W196" s="23">
        <f>O196</f>
        <v>106366.17</v>
      </c>
      <c r="X196" s="44" t="s">
        <v>123</v>
      </c>
    </row>
    <row r="197" spans="1:24" x14ac:dyDescent="0.25">
      <c r="A197" s="1" t="s">
        <v>60</v>
      </c>
      <c r="B197" s="2" t="s">
        <v>64</v>
      </c>
      <c r="C197" s="8" t="s">
        <v>66</v>
      </c>
      <c r="D197" s="2">
        <v>2001</v>
      </c>
      <c r="E197" s="14" t="s">
        <v>69</v>
      </c>
      <c r="F197" s="15" t="s">
        <v>77</v>
      </c>
      <c r="G197" s="2" t="s">
        <v>82</v>
      </c>
      <c r="H197" s="2">
        <v>1</v>
      </c>
      <c r="I197" s="29" t="s">
        <v>35</v>
      </c>
      <c r="J197" s="31">
        <f t="shared" si="299"/>
        <v>0.06</v>
      </c>
      <c r="K197" s="28">
        <f t="shared" si="300"/>
        <v>0.2</v>
      </c>
      <c r="L197" s="28">
        <f t="shared" si="301"/>
        <v>0</v>
      </c>
      <c r="M197" s="28" t="str">
        <f t="shared" si="302"/>
        <v>5,415.30</v>
      </c>
      <c r="N197" s="28">
        <f t="shared" si="303"/>
        <v>324.92</v>
      </c>
      <c r="O197" s="28">
        <f t="shared" ref="O197:O199" si="305">SUM(C197+I197+L197+N197+M197)</f>
        <v>5740.2300000000005</v>
      </c>
      <c r="P197" s="3">
        <f t="shared" si="304"/>
        <v>2</v>
      </c>
      <c r="Q197" s="20" t="str">
        <f t="shared" ref="Q197:Q198" si="306">A197</f>
        <v xml:space="preserve">MUHAMED        </v>
      </c>
      <c r="R197" s="21" t="str">
        <f t="shared" ref="R197:R198" si="307">B197</f>
        <v>WI</v>
      </c>
      <c r="S197" s="22">
        <f t="shared" ref="S197:S198" si="308">VALUE(C191)</f>
        <v>999999.99</v>
      </c>
      <c r="T197" s="21" t="str">
        <f t="shared" ref="T197:T198" si="309">CONCATENATE(E197,"/",F197,"/",RIGHT(D197,2))</f>
        <v>09/11/01</v>
      </c>
      <c r="U197" s="21" t="str">
        <f t="shared" ref="U197:U198" si="310">IF((H197=1),"Electronics",IF((H197=2),"Ski Package",IF((H197=3),"Fishing Package","Error!")))</f>
        <v>Electronics</v>
      </c>
      <c r="V197" s="22">
        <f t="shared" ref="V197:V198" si="311">VALUE(I197)</f>
        <v>0</v>
      </c>
      <c r="W197" s="23">
        <f t="shared" ref="W197:W198" si="312">O197</f>
        <v>5740.2300000000005</v>
      </c>
      <c r="X197" s="44" t="s">
        <v>124</v>
      </c>
    </row>
    <row r="198" spans="1:24" x14ac:dyDescent="0.25">
      <c r="A198" s="1" t="s">
        <v>61</v>
      </c>
      <c r="B198" s="2" t="s">
        <v>64</v>
      </c>
      <c r="C198" s="8" t="s">
        <v>34</v>
      </c>
      <c r="D198" s="2">
        <v>9999</v>
      </c>
      <c r="E198" s="14" t="s">
        <v>71</v>
      </c>
      <c r="F198" s="15" t="s">
        <v>71</v>
      </c>
      <c r="G198" s="2" t="s">
        <v>82</v>
      </c>
      <c r="H198" s="2">
        <v>1</v>
      </c>
      <c r="I198" s="29" t="s">
        <v>70</v>
      </c>
      <c r="J198" s="31">
        <f t="shared" si="299"/>
        <v>0.06</v>
      </c>
      <c r="K198" s="28">
        <f t="shared" si="300"/>
        <v>0.2</v>
      </c>
      <c r="L198" s="28">
        <f t="shared" si="301"/>
        <v>0</v>
      </c>
      <c r="M198" s="28" t="str">
        <f t="shared" si="302"/>
        <v>5,415.30</v>
      </c>
      <c r="N198" s="28">
        <f t="shared" si="303"/>
        <v>324.92</v>
      </c>
      <c r="O198" s="28">
        <f t="shared" si="305"/>
        <v>5740.2300000000005</v>
      </c>
      <c r="P198" s="3">
        <f t="shared" si="304"/>
        <v>3</v>
      </c>
      <c r="Q198" s="20" t="str">
        <f t="shared" si="306"/>
        <v xml:space="preserve">FREEMAN        </v>
      </c>
      <c r="R198" s="21" t="str">
        <f t="shared" si="307"/>
        <v>WI</v>
      </c>
      <c r="S198" s="22">
        <f t="shared" si="308"/>
        <v>0</v>
      </c>
      <c r="T198" s="21" t="str">
        <f t="shared" si="309"/>
        <v>99/99/99</v>
      </c>
      <c r="U198" s="21" t="str">
        <f t="shared" si="310"/>
        <v>Electronics</v>
      </c>
      <c r="V198" s="22">
        <f t="shared" si="311"/>
        <v>0.01</v>
      </c>
      <c r="W198" s="23">
        <f t="shared" si="312"/>
        <v>5740.2300000000005</v>
      </c>
      <c r="X198" s="44" t="s">
        <v>124</v>
      </c>
    </row>
    <row r="199" spans="1:24" x14ac:dyDescent="0.25">
      <c r="A199" s="1" t="s">
        <v>111</v>
      </c>
      <c r="B199" s="7" t="s">
        <v>64</v>
      </c>
      <c r="C199" s="10" t="s">
        <v>112</v>
      </c>
      <c r="D199" s="7">
        <v>2019</v>
      </c>
      <c r="E199" s="14" t="s">
        <v>113</v>
      </c>
      <c r="F199" s="15" t="s">
        <v>114</v>
      </c>
      <c r="G199" s="7" t="s">
        <v>82</v>
      </c>
      <c r="H199" s="7">
        <v>3</v>
      </c>
      <c r="I199" s="29" t="s">
        <v>88</v>
      </c>
      <c r="J199" s="31">
        <f t="shared" si="299"/>
        <v>0.06</v>
      </c>
      <c r="K199" s="28">
        <f t="shared" ref="K199" si="313">IF((G199="B"),0.33,IF((G199="P"),0.25,IF((G199="S"),0.425,IF((G199="J"),0.33,IF((G199="C"),0.2,IF((G199="R"),0.3,"ERROR!"))))))</f>
        <v>0.2</v>
      </c>
      <c r="L199" s="28">
        <f t="shared" ref="L199" si="314">ROUND(C199*K199,2)</f>
        <v>14000</v>
      </c>
      <c r="M199" s="28" t="str">
        <f t="shared" ref="M199" si="315">IF((H199=1),"5,415.30",IF((H199=2),"3,980.00",IF((H199=3),"345.45","Error!")))</f>
        <v>345.45</v>
      </c>
      <c r="N199" s="28">
        <f t="shared" ref="N199" si="316">ROUND((C199+I199+L199+M199)*J199,2)</f>
        <v>5360.73</v>
      </c>
      <c r="O199" s="28">
        <f t="shared" si="305"/>
        <v>94706.18</v>
      </c>
      <c r="P199" s="3">
        <f t="shared" ref="P199" si="317">P198 + 1</f>
        <v>4</v>
      </c>
      <c r="Q199" s="20" t="str">
        <f t="shared" ref="Q199" si="318">A199</f>
        <v xml:space="preserve">VAN VELSOR     </v>
      </c>
      <c r="R199" s="21" t="str">
        <f t="shared" ref="R199" si="319">B199</f>
        <v>WI</v>
      </c>
      <c r="S199" s="22">
        <f t="shared" ref="S199" si="320">VALUE(C193)</f>
        <v>0</v>
      </c>
      <c r="T199" s="21" t="str">
        <f t="shared" ref="T199" si="321">CONCATENATE(E199,"/",F199,"/",RIGHT(D199,2))</f>
        <v>12/16/19</v>
      </c>
      <c r="U199" s="21" t="str">
        <f t="shared" ref="U199" si="322">IF((H199=1),"Electronics",IF((H199=2),"Ski Package",IF((H199=3),"Fishing Package","Error!")))</f>
        <v>Fishing Package</v>
      </c>
      <c r="V199" s="22">
        <f t="shared" ref="V199" si="323">VALUE(I199)</f>
        <v>5000</v>
      </c>
      <c r="W199" s="23">
        <f t="shared" ref="W199" si="324">O199</f>
        <v>94706.18</v>
      </c>
      <c r="X199" s="44" t="s">
        <v>122</v>
      </c>
    </row>
    <row r="200" spans="1:24" x14ac:dyDescent="0.25">
      <c r="A200" s="1"/>
      <c r="B200" s="2"/>
      <c r="C200" s="8"/>
      <c r="D200" s="2"/>
      <c r="E200" s="14"/>
      <c r="F200" s="15"/>
      <c r="G200" s="2"/>
      <c r="H200" s="2"/>
      <c r="I200" s="29"/>
      <c r="J200" s="31"/>
      <c r="K200" s="28"/>
      <c r="L200" s="28"/>
      <c r="M200" s="28"/>
      <c r="N200" s="28"/>
      <c r="O200" s="28"/>
      <c r="P200" s="3"/>
      <c r="Q200" s="1"/>
      <c r="R200" s="2"/>
      <c r="S200" s="17"/>
      <c r="T200" s="2"/>
      <c r="U200" s="2"/>
      <c r="V200" s="17"/>
      <c r="W200" s="18"/>
      <c r="X200" s="44"/>
    </row>
    <row r="201" spans="1:24" x14ac:dyDescent="0.25">
      <c r="A201" s="1"/>
      <c r="B201" s="2"/>
      <c r="C201" s="8"/>
      <c r="D201" s="2"/>
      <c r="E201" s="14"/>
      <c r="F201" s="15"/>
      <c r="G201" s="2"/>
      <c r="H201" s="2"/>
      <c r="I201" s="29"/>
      <c r="J201" s="31"/>
      <c r="K201" s="28"/>
      <c r="L201" s="28"/>
      <c r="M201" s="28"/>
      <c r="N201" s="28"/>
      <c r="O201" s="28"/>
      <c r="P201" s="3"/>
      <c r="Q201" s="1" t="s">
        <v>37</v>
      </c>
      <c r="R201" s="2" t="s">
        <v>38</v>
      </c>
      <c r="S201" s="17" t="s">
        <v>39</v>
      </c>
      <c r="T201" s="2" t="s">
        <v>40</v>
      </c>
      <c r="U201" s="2"/>
      <c r="V201" s="17"/>
      <c r="W201" s="18"/>
      <c r="X201" s="44"/>
    </row>
    <row r="202" spans="1:24" x14ac:dyDescent="0.25">
      <c r="A202" s="1"/>
      <c r="B202" s="2"/>
      <c r="C202" s="8"/>
      <c r="D202" s="2"/>
      <c r="E202" s="14"/>
      <c r="F202" s="15"/>
      <c r="G202" s="2"/>
      <c r="H202" s="2"/>
      <c r="I202" s="29"/>
      <c r="J202" s="31"/>
      <c r="K202" s="28"/>
      <c r="L202" s="28"/>
      <c r="M202" s="28"/>
      <c r="N202" s="28"/>
      <c r="O202" s="28"/>
      <c r="P202" s="3"/>
      <c r="Q202" s="25" t="str">
        <f>R196</f>
        <v>WI</v>
      </c>
      <c r="R202" s="24" t="str">
        <f>IF((G198="B"),"Bass Boat",IF((G198="P"),"Pontoon",IF((G198="S"),"Ski Boat",IF((G198="J"),"John Boat",IF((G198="C"),"Canoe",IF((G198="R"),"Cabin Cruiser","ERROR!"))))))</f>
        <v>Canoe</v>
      </c>
      <c r="S202" s="26">
        <f>P199</f>
        <v>4</v>
      </c>
      <c r="T202" s="27">
        <f>SUM(W196:W199)</f>
        <v>212552.81</v>
      </c>
      <c r="U202" s="2"/>
      <c r="V202" s="17"/>
      <c r="W202" s="18"/>
      <c r="X202" s="44"/>
    </row>
    <row r="203" spans="1:24" x14ac:dyDescent="0.25">
      <c r="A203" s="1"/>
      <c r="B203" s="2"/>
      <c r="C203" s="8"/>
      <c r="D203" s="2"/>
      <c r="E203" s="14"/>
      <c r="F203" s="15"/>
      <c r="G203" s="2"/>
      <c r="H203" s="2"/>
      <c r="I203" s="29"/>
      <c r="J203" s="31"/>
      <c r="K203" s="28"/>
      <c r="L203" s="28"/>
      <c r="M203" s="28"/>
      <c r="N203" s="28"/>
      <c r="O203" s="28"/>
      <c r="P203" s="3"/>
      <c r="Q203" s="1"/>
      <c r="R203" s="2"/>
      <c r="S203" s="17"/>
      <c r="T203" s="2"/>
      <c r="U203" s="2"/>
      <c r="V203" s="17"/>
      <c r="W203" s="18"/>
      <c r="X203" s="44"/>
    </row>
    <row r="204" spans="1:24" x14ac:dyDescent="0.25">
      <c r="A204" s="1" t="s">
        <v>129</v>
      </c>
      <c r="B204" s="7" t="s">
        <v>65</v>
      </c>
      <c r="C204" s="8" t="s">
        <v>23</v>
      </c>
      <c r="D204" s="2">
        <v>9999</v>
      </c>
      <c r="E204" s="15" t="s">
        <v>71</v>
      </c>
      <c r="F204" s="16" t="s">
        <v>71</v>
      </c>
      <c r="G204" s="7" t="s">
        <v>82</v>
      </c>
      <c r="H204" s="7">
        <v>1</v>
      </c>
      <c r="I204" s="29" t="s">
        <v>29</v>
      </c>
      <c r="J204" s="31">
        <f t="shared" ref="J204" si="325">0.06</f>
        <v>0.06</v>
      </c>
      <c r="K204" s="28">
        <f t="shared" ref="K204" si="326">IF((G204="B"),0.33,IF((G204="P"),0.25,IF((G204="S"),0.425,IF((G204="J"),0.33,IF((G204="C"),0.2,IF((G204="R"),0.3,"ERROR!"))))))</f>
        <v>0.2</v>
      </c>
      <c r="L204" s="28">
        <f t="shared" ref="L204" si="327">ROUND(C204*K204,2)</f>
        <v>200000</v>
      </c>
      <c r="M204" s="28" t="str">
        <f t="shared" ref="M204" si="328">IF((H204=1),"5,415.30",IF((H204=2),"3,980.00",IF((H204=3),"345.45","Error!")))</f>
        <v>5,415.30</v>
      </c>
      <c r="N204" s="28">
        <f t="shared" ref="N204" si="329">ROUND((C204+I204+L204+M204)*J204,2)</f>
        <v>78324.92</v>
      </c>
      <c r="O204" s="28">
        <f>SUM(C204+I204+L204+N204+M204)</f>
        <v>1383740.2</v>
      </c>
      <c r="P204" s="3">
        <f>P203+1</f>
        <v>1</v>
      </c>
      <c r="Q204" s="20" t="str">
        <f t="shared" ref="Q204" si="330">A204</f>
        <v>ZZZZZZZZZZZZZZZ</v>
      </c>
      <c r="R204" s="21" t="str">
        <f t="shared" ref="R204" si="331">B204</f>
        <v>ZZ</v>
      </c>
      <c r="S204" s="22">
        <f>VALUE(C194)</f>
        <v>0</v>
      </c>
      <c r="T204" s="21" t="str">
        <f t="shared" ref="T204" si="332">CONCATENATE(E204,"/",F204,"/",RIGHT(D204,2))</f>
        <v>99/99/99</v>
      </c>
      <c r="U204" s="21" t="str">
        <f t="shared" ref="U204" si="333">IF((H204=1),"Electronics",IF((H204=2),"Ski Package",IF((H204=3),"Fishing Package","Error!")))</f>
        <v>Electronics</v>
      </c>
      <c r="V204" s="22">
        <f t="shared" ref="V204" si="334">VALUE(I204)</f>
        <v>99999.99</v>
      </c>
      <c r="W204" s="23">
        <f t="shared" ref="W204" si="335">O204</f>
        <v>1383740.2</v>
      </c>
      <c r="X204" s="44" t="s">
        <v>125</v>
      </c>
    </row>
    <row r="205" spans="1:24" x14ac:dyDescent="0.25">
      <c r="A205" s="1"/>
      <c r="B205" s="2"/>
      <c r="C205" s="8"/>
      <c r="D205" s="2"/>
      <c r="E205" s="14"/>
      <c r="F205" s="15"/>
      <c r="G205" s="2"/>
      <c r="H205" s="2"/>
      <c r="I205" s="29"/>
      <c r="J205" s="31"/>
      <c r="K205" s="28"/>
      <c r="L205" s="28"/>
      <c r="M205" s="28"/>
      <c r="N205" s="28"/>
      <c r="O205" s="28"/>
      <c r="P205" s="3"/>
      <c r="Q205" s="1"/>
      <c r="R205" s="2"/>
      <c r="S205" s="17"/>
      <c r="T205" s="2"/>
      <c r="U205" s="2"/>
      <c r="V205" s="17"/>
      <c r="W205" s="18"/>
      <c r="X205" s="44"/>
    </row>
    <row r="206" spans="1:24" x14ac:dyDescent="0.25">
      <c r="A206" s="1"/>
      <c r="B206" s="2"/>
      <c r="C206" s="8"/>
      <c r="D206" s="2"/>
      <c r="E206" s="14"/>
      <c r="F206" s="15"/>
      <c r="G206" s="2"/>
      <c r="H206" s="2"/>
      <c r="I206" s="29"/>
      <c r="J206" s="31"/>
      <c r="K206" s="28"/>
      <c r="L206" s="28"/>
      <c r="M206" s="28"/>
      <c r="N206" s="28"/>
      <c r="O206" s="28"/>
      <c r="P206" s="3"/>
      <c r="Q206" s="1" t="s">
        <v>37</v>
      </c>
      <c r="R206" s="2" t="s">
        <v>38</v>
      </c>
      <c r="S206" s="17" t="s">
        <v>39</v>
      </c>
      <c r="T206" s="2" t="s">
        <v>40</v>
      </c>
      <c r="U206" s="2"/>
      <c r="V206" s="17"/>
      <c r="W206" s="18"/>
      <c r="X206" s="44"/>
    </row>
    <row r="207" spans="1:24" x14ac:dyDescent="0.25">
      <c r="A207" s="1"/>
      <c r="B207" s="2"/>
      <c r="C207" s="8"/>
      <c r="D207" s="2"/>
      <c r="E207" s="14"/>
      <c r="F207" s="15"/>
      <c r="G207" s="2"/>
      <c r="H207" s="2"/>
      <c r="I207" s="29"/>
      <c r="J207" s="31"/>
      <c r="K207" s="28"/>
      <c r="L207" s="28"/>
      <c r="M207" s="28"/>
      <c r="N207" s="28"/>
      <c r="O207" s="28"/>
      <c r="P207" s="3"/>
      <c r="Q207" s="25" t="str">
        <f>R204</f>
        <v>ZZ</v>
      </c>
      <c r="R207" s="24" t="str">
        <f>IF((G204="B"),"Bass Boat",IF((G204="P"),"Pontoon",IF((G204="S"),"Ski Boat",IF((G204="J"),"John Boat",IF((G204="C"),"Canoe",IF((G204="R"),"Cabin Cruiser","ERROR!"))))))</f>
        <v>Canoe</v>
      </c>
      <c r="S207" s="26">
        <f>P204</f>
        <v>1</v>
      </c>
      <c r="T207" s="27">
        <f>SUM(W203:W204)</f>
        <v>1383740.2</v>
      </c>
      <c r="U207" s="2"/>
      <c r="V207" s="17"/>
      <c r="W207" s="18"/>
      <c r="X207" s="44"/>
    </row>
    <row r="208" spans="1:24" x14ac:dyDescent="0.25">
      <c r="A208" s="1"/>
      <c r="B208" s="2"/>
      <c r="C208" s="8"/>
      <c r="D208" s="2"/>
      <c r="E208" s="14"/>
      <c r="F208" s="15"/>
      <c r="G208" s="2"/>
      <c r="H208" s="2"/>
      <c r="I208" s="29"/>
      <c r="J208" s="31"/>
      <c r="K208" s="28"/>
      <c r="L208" s="28"/>
      <c r="M208" s="28"/>
      <c r="N208" s="28"/>
      <c r="O208" s="28"/>
      <c r="P208" s="3"/>
      <c r="U208" s="2"/>
      <c r="V208" s="17"/>
      <c r="W208" s="18"/>
      <c r="X208" s="44"/>
    </row>
    <row r="209" spans="1:24" x14ac:dyDescent="0.25">
      <c r="A209" s="1"/>
      <c r="J209" s="31"/>
      <c r="K209" s="28"/>
      <c r="L209" s="28"/>
      <c r="M209" s="28"/>
      <c r="N209" s="28"/>
      <c r="O209" s="28"/>
      <c r="P209" s="3"/>
      <c r="Q209" s="1" t="s">
        <v>41</v>
      </c>
      <c r="R209" s="2" t="s">
        <v>42</v>
      </c>
      <c r="S209" s="2" t="s">
        <v>43</v>
      </c>
      <c r="T209" s="2"/>
      <c r="U209" s="2"/>
      <c r="V209" s="2"/>
      <c r="X209" s="44"/>
    </row>
    <row r="210" spans="1:24" x14ac:dyDescent="0.25">
      <c r="A210" s="1"/>
      <c r="J210" s="13"/>
      <c r="K210" s="28"/>
      <c r="L210" s="28"/>
      <c r="M210" s="28"/>
      <c r="N210" s="28"/>
      <c r="O210" s="28"/>
      <c r="P210" s="3"/>
      <c r="Q210" s="33" t="str">
        <f>IF((G173="B"),"Bass Boat",IF((G173="P"),"Pontoon",IF((G173="S"),"Ski Boat",IF((G173="J"),"John Boat",IF((G173="C"),"Canoe",IF((G173="R"),"Cabin Cruiser","ERROR!"))))))</f>
        <v>Canoe</v>
      </c>
      <c r="R210" s="36">
        <f>SUM(S177,S188,S194,S202,S182,S207)</f>
        <v>12</v>
      </c>
      <c r="S210" s="34">
        <f>SUM(T202,T194,T188,T177,T182,T207)</f>
        <v>4293756.5999999996</v>
      </c>
      <c r="T210" s="2"/>
      <c r="U210" s="2"/>
      <c r="V210" s="2"/>
      <c r="X210" s="44"/>
    </row>
    <row r="211" spans="1:24" x14ac:dyDescent="0.25">
      <c r="A211" s="1"/>
      <c r="J211" s="13"/>
      <c r="K211" s="28"/>
      <c r="L211" s="28"/>
      <c r="M211" s="28"/>
      <c r="N211" s="28"/>
      <c r="O211" s="28"/>
      <c r="P211" s="3"/>
      <c r="T211" s="2"/>
      <c r="U211" s="2"/>
      <c r="V211" s="2"/>
      <c r="X211" s="44"/>
    </row>
    <row r="212" spans="1:24" x14ac:dyDescent="0.25">
      <c r="A212" s="1"/>
      <c r="J212" s="31"/>
      <c r="K212" s="28"/>
      <c r="L212" s="28"/>
      <c r="M212" s="28"/>
      <c r="N212" s="28"/>
      <c r="O212" s="28"/>
      <c r="P212" s="3"/>
      <c r="Q212" s="1"/>
      <c r="R212" s="2"/>
      <c r="S212" s="2"/>
      <c r="T212" s="2"/>
      <c r="U212" s="2"/>
      <c r="V212" s="2"/>
      <c r="W212" s="3"/>
      <c r="X212" s="44"/>
    </row>
    <row r="213" spans="1:24" x14ac:dyDescent="0.25">
      <c r="A213" s="1"/>
      <c r="J213" s="31"/>
      <c r="K213" s="28"/>
      <c r="L213" s="28"/>
      <c r="M213" s="28"/>
      <c r="N213" s="28"/>
      <c r="O213" s="28"/>
      <c r="P213" s="3"/>
      <c r="Q213" s="2" t="s">
        <v>44</v>
      </c>
      <c r="R213" s="3" t="s">
        <v>45</v>
      </c>
      <c r="T213" s="2"/>
      <c r="U213" s="2"/>
      <c r="V213" s="2"/>
      <c r="W213" s="3"/>
      <c r="X213" s="44"/>
    </row>
    <row r="214" spans="1:24" x14ac:dyDescent="0.25">
      <c r="A214" s="1"/>
      <c r="J214" s="13"/>
      <c r="K214" s="28"/>
      <c r="L214" s="28"/>
      <c r="M214" s="28"/>
      <c r="N214" s="28"/>
      <c r="O214" s="28"/>
      <c r="P214" s="3"/>
      <c r="Q214" s="41">
        <f>SUM(R35,R69,R103,R137,R171,R210)</f>
        <v>67</v>
      </c>
      <c r="R214" s="40">
        <f>SUM(S35,S69,S103,S137,S171,S210)</f>
        <v>28691707.640000001</v>
      </c>
      <c r="S214" s="2"/>
      <c r="T214" s="2"/>
      <c r="U214" s="2"/>
      <c r="V214" s="2"/>
      <c r="W214" s="19"/>
      <c r="X214" s="44"/>
    </row>
    <row r="215" spans="1:24" x14ac:dyDescent="0.25">
      <c r="A215" s="1"/>
      <c r="J215" s="13"/>
      <c r="K215" s="28"/>
      <c r="L215" s="28"/>
      <c r="M215" s="28"/>
      <c r="N215" s="28"/>
      <c r="O215" s="28"/>
      <c r="P215" s="3"/>
      <c r="Q215" s="2"/>
      <c r="R215" s="2"/>
      <c r="T215" s="2"/>
      <c r="U215" s="2"/>
      <c r="V215" s="2"/>
      <c r="W215" s="19"/>
      <c r="X215" s="44"/>
    </row>
    <row r="216" spans="1:24" ht="15.75" thickBot="1" x14ac:dyDescent="0.3">
      <c r="A216" s="4"/>
      <c r="B216" s="5"/>
      <c r="C216" s="5"/>
      <c r="D216" s="5"/>
      <c r="E216" s="5"/>
      <c r="F216" s="5"/>
      <c r="G216" s="5"/>
      <c r="H216" s="5"/>
      <c r="I216" s="6"/>
      <c r="J216" s="32"/>
      <c r="K216" s="30"/>
      <c r="L216" s="30"/>
      <c r="M216" s="30"/>
      <c r="N216" s="30"/>
      <c r="O216" s="30"/>
      <c r="P216" s="6"/>
      <c r="Q216" s="1"/>
      <c r="R216" s="5"/>
      <c r="S216" s="5"/>
      <c r="T216" s="2"/>
      <c r="U216" s="2"/>
      <c r="V216" s="2"/>
      <c r="W216" s="6"/>
      <c r="X216" s="44"/>
    </row>
    <row r="217" spans="1:24" ht="15.75" thickTop="1" x14ac:dyDescent="0.25">
      <c r="A217" s="12"/>
      <c r="K217" s="2"/>
      <c r="L217" s="2"/>
      <c r="M217" s="2"/>
      <c r="N217" s="2"/>
      <c r="O217" s="2"/>
      <c r="Q217" s="12"/>
      <c r="T217" s="12"/>
      <c r="U217" s="12"/>
      <c r="V217" s="12"/>
      <c r="X217" s="35"/>
    </row>
    <row r="227" spans="1:9" x14ac:dyDescent="0.25">
      <c r="A227" s="2"/>
      <c r="B227" s="2"/>
      <c r="C227" s="8"/>
      <c r="D227" s="2"/>
      <c r="E227" s="14"/>
      <c r="F227" s="15"/>
      <c r="G227" s="2"/>
      <c r="H227" s="2"/>
      <c r="I227" s="29"/>
    </row>
    <row r="228" spans="1:9" x14ac:dyDescent="0.25">
      <c r="A228" s="2"/>
      <c r="B228" s="2"/>
      <c r="C228" s="8"/>
      <c r="D228" s="2"/>
      <c r="E228" s="14"/>
      <c r="F228" s="15"/>
      <c r="G228" s="2"/>
      <c r="H228" s="2"/>
      <c r="I228" s="29"/>
    </row>
    <row r="229" spans="1:9" x14ac:dyDescent="0.25">
      <c r="A229" s="2"/>
      <c r="B229" s="2"/>
      <c r="C229" s="8"/>
      <c r="D229" s="2"/>
      <c r="E229" s="14"/>
      <c r="F229" s="15"/>
      <c r="G229" s="2"/>
      <c r="H229" s="2"/>
      <c r="I229" s="29"/>
    </row>
    <row r="230" spans="1:9" x14ac:dyDescent="0.25">
      <c r="A230" s="2"/>
      <c r="B230" s="2"/>
      <c r="C230" s="8"/>
      <c r="D230" s="2"/>
      <c r="E230" s="14"/>
      <c r="F230" s="15"/>
      <c r="G230" s="2"/>
      <c r="H230" s="2"/>
      <c r="I230" s="29"/>
    </row>
    <row r="231" spans="1:9" x14ac:dyDescent="0.25">
      <c r="A231" s="2"/>
      <c r="B231" s="2"/>
      <c r="C231" s="8"/>
      <c r="D231" s="2"/>
      <c r="E231" s="14"/>
      <c r="F231" s="15"/>
      <c r="G231" s="2"/>
      <c r="H231" s="2"/>
      <c r="I231" s="29"/>
    </row>
    <row r="232" spans="1:9" x14ac:dyDescent="0.25">
      <c r="A232" s="2"/>
      <c r="B232" s="2"/>
      <c r="C232" s="8"/>
      <c r="D232" s="2"/>
      <c r="E232" s="14"/>
      <c r="F232" s="14"/>
      <c r="G232" s="2"/>
      <c r="H232" s="2"/>
      <c r="I232" s="29"/>
    </row>
    <row r="233" spans="1:9" x14ac:dyDescent="0.25">
      <c r="A233" s="2"/>
      <c r="B233" s="2"/>
      <c r="C233" s="2"/>
      <c r="D233" s="2"/>
      <c r="E233" s="14"/>
      <c r="F233" s="14"/>
      <c r="G233" s="2"/>
      <c r="H233" s="2"/>
      <c r="I233" s="28"/>
    </row>
    <row r="234" spans="1:9" x14ac:dyDescent="0.25">
      <c r="A234" s="2"/>
      <c r="B234" s="2"/>
      <c r="C234" s="2"/>
      <c r="D234" s="2"/>
      <c r="E234" s="14"/>
      <c r="F234" s="14"/>
      <c r="G234" s="2"/>
      <c r="H234" s="2"/>
      <c r="I234" s="28"/>
    </row>
    <row r="235" spans="1:9" x14ac:dyDescent="0.25">
      <c r="A235" s="2"/>
      <c r="B235" s="2"/>
      <c r="C235" s="8"/>
      <c r="D235" s="2"/>
      <c r="E235" s="2"/>
      <c r="F235" s="2"/>
      <c r="G235" s="2"/>
      <c r="H235" s="7"/>
      <c r="I235" s="8"/>
    </row>
    <row r="236" spans="1:9" x14ac:dyDescent="0.25">
      <c r="A236" s="2"/>
      <c r="B236" s="2"/>
      <c r="C236" s="8"/>
      <c r="D236" s="2"/>
      <c r="E236" s="14"/>
      <c r="F236" s="15"/>
      <c r="G236" s="2"/>
      <c r="H236" s="2"/>
      <c r="I236" s="29"/>
    </row>
  </sheetData>
  <mergeCells count="3">
    <mergeCell ref="A1:I1"/>
    <mergeCell ref="Q1:W1"/>
    <mergeCell ref="K1:P1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s="1" t="s">
        <v>30</v>
      </c>
      <c r="B1" s="2" t="s">
        <v>14</v>
      </c>
      <c r="C1" s="8" t="s">
        <v>23</v>
      </c>
      <c r="D1" s="2">
        <v>2019</v>
      </c>
      <c r="E1" s="2">
        <v>12</v>
      </c>
      <c r="F1" s="2">
        <v>16</v>
      </c>
      <c r="G1" s="2" t="s">
        <v>15</v>
      </c>
      <c r="H1" s="2">
        <v>1</v>
      </c>
      <c r="I1" s="9" t="s">
        <v>29</v>
      </c>
    </row>
    <row r="2" spans="1:9" x14ac:dyDescent="0.25">
      <c r="A2" s="1" t="s">
        <v>31</v>
      </c>
      <c r="B2" s="2" t="s">
        <v>14</v>
      </c>
      <c r="C2" s="8" t="s">
        <v>24</v>
      </c>
      <c r="D2" s="2">
        <v>2019</v>
      </c>
      <c r="E2" s="2">
        <v>11</v>
      </c>
      <c r="F2" s="8" t="s">
        <v>26</v>
      </c>
      <c r="G2" s="2" t="s">
        <v>20</v>
      </c>
      <c r="H2" s="2">
        <v>2</v>
      </c>
      <c r="I2" s="9" t="s">
        <v>28</v>
      </c>
    </row>
    <row r="3" spans="1:9" x14ac:dyDescent="0.25">
      <c r="A3" s="1" t="s">
        <v>32</v>
      </c>
      <c r="B3" s="7" t="s">
        <v>21</v>
      </c>
      <c r="C3" s="8" t="s">
        <v>25</v>
      </c>
      <c r="D3" s="2">
        <v>2018</v>
      </c>
      <c r="E3" s="8" t="s">
        <v>26</v>
      </c>
      <c r="F3" s="10" t="s">
        <v>26</v>
      </c>
      <c r="G3" s="7" t="s">
        <v>22</v>
      </c>
      <c r="H3" s="7">
        <v>3</v>
      </c>
      <c r="I3" s="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DATFILE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VanVelsor</dc:creator>
  <cp:lastModifiedBy>Angela Birkner</cp:lastModifiedBy>
  <dcterms:created xsi:type="dcterms:W3CDTF">2019-12-16T13:37:40Z</dcterms:created>
  <dcterms:modified xsi:type="dcterms:W3CDTF">2020-01-08T16:42:08Z</dcterms:modified>
</cp:coreProperties>
</file>