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4th_Year\Financial Modelling Course by CorpFin\"/>
    </mc:Choice>
  </mc:AlternateContent>
  <xr:revisionPtr revIDLastSave="0" documentId="13_ncr:1_{6A7C944C-66EA-464C-9867-91DE45AED9A1}" xr6:coauthVersionLast="47" xr6:coauthVersionMax="47" xr10:uidLastSave="{00000000-0000-0000-0000-000000000000}"/>
  <bookViews>
    <workbookView xWindow="28680" yWindow="-120" windowWidth="29040" windowHeight="15840" firstSheet="2" activeTab="2" xr2:uid="{E9BF018F-DFCB-4FBE-85C3-4D0C077937EF}"/>
  </bookViews>
  <sheets>
    <sheet name="Intro" sheetId="4" r:id="rId1"/>
    <sheet name="Stage 1 &gt;&gt;&gt;" sheetId="12" r:id="rId2"/>
    <sheet name="BS" sheetId="2" r:id="rId3"/>
    <sheet name="IS" sheetId="3" r:id="rId4"/>
    <sheet name="CF" sheetId="1" r:id="rId5"/>
    <sheet name="DCF - FCFirm" sheetId="10" r:id="rId6"/>
    <sheet name="DCF - FCFEquity" sheetId="11" r:id="rId7"/>
    <sheet name="OM (Op. Model)" sheetId="5" r:id="rId8"/>
    <sheet name="Financing" sheetId="9" r:id="rId9"/>
    <sheet name="Taxes" sheetId="7" r:id="rId10"/>
    <sheet name="OC (Other Calc)" sheetId="8" r:id="rId11"/>
    <sheet name="Consensus" sheetId="6" r:id="rId12"/>
    <sheet name="Stage 2 &gt;&gt;&gt;" sheetId="13" r:id="rId13"/>
    <sheet name="Enhancements" sheetId="14" r:id="rId14"/>
  </sheets>
  <externalReferences>
    <externalReference r:id="rId15"/>
    <externalReference r:id="rId16"/>
  </externalReferences>
  <definedNames>
    <definedName name="factors">[1]Methods!$B$2:$B$7</definedName>
    <definedName name="methods">[1]Methods!$A$2:$A$7</definedName>
    <definedName name="noswitch">[1]Methods!$C$2:$C$7</definedName>
    <definedName name="Switch">Intro!$B$6</definedName>
    <definedName name="swt" localSheetId="11">[2]Intro!$B$7</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1" l="1"/>
  <c r="M50" i="11" s="1"/>
  <c r="C14" i="11"/>
  <c r="Q24" i="11" s="1"/>
  <c r="C13" i="10"/>
  <c r="C14" i="10"/>
  <c r="C301" i="14"/>
  <c r="C308" i="14"/>
  <c r="C309" i="14"/>
  <c r="I185" i="5"/>
  <c r="F30" i="2"/>
  <c r="E30" i="2"/>
  <c r="G28" i="9"/>
  <c r="F48" i="9"/>
  <c r="G48" i="9"/>
  <c r="H48" i="9"/>
  <c r="I48" i="9"/>
  <c r="J48" i="9"/>
  <c r="K48" i="9"/>
  <c r="L48" i="9"/>
  <c r="M48" i="9"/>
  <c r="N48" i="9"/>
  <c r="O48" i="9"/>
  <c r="P48" i="9"/>
  <c r="E48" i="9"/>
  <c r="F47" i="9"/>
  <c r="G47" i="9"/>
  <c r="H47" i="9"/>
  <c r="I47" i="9"/>
  <c r="J47" i="9"/>
  <c r="K47" i="9"/>
  <c r="L47" i="9"/>
  <c r="M47" i="9"/>
  <c r="N47" i="9"/>
  <c r="O47" i="9"/>
  <c r="P47" i="9"/>
  <c r="E47" i="9"/>
  <c r="G21" i="9"/>
  <c r="H21" i="9"/>
  <c r="I21" i="9"/>
  <c r="J21" i="9"/>
  <c r="K21" i="9"/>
  <c r="L21" i="9"/>
  <c r="M21" i="9"/>
  <c r="N21" i="9"/>
  <c r="O21" i="9"/>
  <c r="P21" i="9"/>
  <c r="H20" i="9"/>
  <c r="I20" i="9"/>
  <c r="J20" i="9"/>
  <c r="K20" i="9"/>
  <c r="L20" i="9"/>
  <c r="M20" i="9"/>
  <c r="N20" i="9"/>
  <c r="O20" i="9"/>
  <c r="P20" i="9"/>
  <c r="G20" i="9"/>
  <c r="G287" i="14"/>
  <c r="H284" i="14" s="1"/>
  <c r="H287" i="14" s="1"/>
  <c r="H276" i="14"/>
  <c r="I276" i="14"/>
  <c r="J276" i="14"/>
  <c r="K276" i="14"/>
  <c r="L276" i="14"/>
  <c r="M276" i="14"/>
  <c r="N276" i="14"/>
  <c r="O276" i="14"/>
  <c r="P276" i="14"/>
  <c r="G276" i="14"/>
  <c r="G273" i="14"/>
  <c r="G19" i="9" s="1"/>
  <c r="H260" i="14"/>
  <c r="I260" i="14"/>
  <c r="J260" i="14"/>
  <c r="K260" i="14"/>
  <c r="L260" i="14"/>
  <c r="M260" i="14"/>
  <c r="N260" i="14"/>
  <c r="O260" i="14"/>
  <c r="P260" i="14"/>
  <c r="G260" i="14"/>
  <c r="B249" i="14"/>
  <c r="E249" i="14"/>
  <c r="F249" i="14"/>
  <c r="F243" i="14"/>
  <c r="E243" i="14"/>
  <c r="E239" i="14"/>
  <c r="F242" i="14"/>
  <c r="E242" i="14"/>
  <c r="H244" i="14"/>
  <c r="F238" i="14"/>
  <c r="E238" i="14"/>
  <c r="F239" i="14"/>
  <c r="H240" i="14"/>
  <c r="I240" i="14" s="1"/>
  <c r="H236" i="14"/>
  <c r="I236" i="14" s="1"/>
  <c r="J236" i="14" s="1"/>
  <c r="K236" i="14" s="1"/>
  <c r="L236" i="14" s="1"/>
  <c r="M236" i="14" s="1"/>
  <c r="N236" i="14" s="1"/>
  <c r="O236" i="14" s="1"/>
  <c r="P236" i="14" s="1"/>
  <c r="F235" i="14"/>
  <c r="E235" i="14"/>
  <c r="F234" i="14"/>
  <c r="E234" i="14"/>
  <c r="G160" i="14"/>
  <c r="H160" i="14" s="1"/>
  <c r="I160" i="14" s="1"/>
  <c r="J160" i="14" s="1"/>
  <c r="K160" i="14" s="1"/>
  <c r="L160" i="14" s="1"/>
  <c r="M160" i="14" s="1"/>
  <c r="N160" i="14" s="1"/>
  <c r="O160" i="14" s="1"/>
  <c r="P160" i="14" s="1"/>
  <c r="G157" i="14"/>
  <c r="H157" i="14" s="1"/>
  <c r="C148" i="14"/>
  <c r="G151" i="14" s="1"/>
  <c r="H151" i="14" s="1"/>
  <c r="I151" i="14" s="1"/>
  <c r="F141" i="14"/>
  <c r="E141" i="14"/>
  <c r="H136" i="14"/>
  <c r="H10" i="3" s="1"/>
  <c r="I136" i="14"/>
  <c r="I10" i="3" s="1"/>
  <c r="J136" i="14"/>
  <c r="J10" i="3" s="1"/>
  <c r="K136" i="14"/>
  <c r="K10" i="3" s="1"/>
  <c r="L136" i="14"/>
  <c r="L10" i="3" s="1"/>
  <c r="M136" i="14"/>
  <c r="M10" i="3" s="1"/>
  <c r="N136" i="14"/>
  <c r="N10" i="3" s="1"/>
  <c r="O136" i="14"/>
  <c r="O10" i="3" s="1"/>
  <c r="P136" i="14"/>
  <c r="P10" i="3" s="1"/>
  <c r="G136" i="14"/>
  <c r="G10" i="3" s="1"/>
  <c r="H134" i="14"/>
  <c r="I134" i="14" s="1"/>
  <c r="J134" i="14" s="1"/>
  <c r="K134" i="14" s="1"/>
  <c r="L134" i="14" s="1"/>
  <c r="M134" i="14" s="1"/>
  <c r="N134" i="14" s="1"/>
  <c r="O134" i="14" s="1"/>
  <c r="P134" i="14" s="1"/>
  <c r="G133" i="14"/>
  <c r="G9" i="3" s="1"/>
  <c r="F134" i="14"/>
  <c r="I131" i="14"/>
  <c r="J131" i="14" s="1"/>
  <c r="K131" i="14" s="1"/>
  <c r="L131" i="14" s="1"/>
  <c r="M131" i="14" s="1"/>
  <c r="N131" i="14" s="1"/>
  <c r="O131" i="14" s="1"/>
  <c r="P131" i="14" s="1"/>
  <c r="H128" i="14"/>
  <c r="I128" i="14" s="1"/>
  <c r="J128" i="14" s="1"/>
  <c r="I123" i="14"/>
  <c r="J123" i="14" s="1"/>
  <c r="K123" i="14" s="1"/>
  <c r="L123" i="14" s="1"/>
  <c r="M123" i="14" s="1"/>
  <c r="N123" i="14" s="1"/>
  <c r="O123" i="14" s="1"/>
  <c r="P123" i="14" s="1"/>
  <c r="F113" i="14"/>
  <c r="F111" i="14" s="1"/>
  <c r="F109" i="14" s="1"/>
  <c r="H120" i="14"/>
  <c r="I120" i="14" s="1"/>
  <c r="J120" i="14" s="1"/>
  <c r="K120" i="14" s="1"/>
  <c r="L120" i="14" s="1"/>
  <c r="M120" i="14" s="1"/>
  <c r="N120" i="14" s="1"/>
  <c r="O120" i="14" s="1"/>
  <c r="P120" i="14" s="1"/>
  <c r="F120" i="14"/>
  <c r="E120" i="14"/>
  <c r="F117" i="14"/>
  <c r="E117" i="14"/>
  <c r="E113" i="14"/>
  <c r="E111" i="14" s="1"/>
  <c r="E109" i="14" s="1"/>
  <c r="H66" i="14"/>
  <c r="H63" i="14" s="1"/>
  <c r="I66" i="14"/>
  <c r="I63" i="14" s="1"/>
  <c r="J66" i="14"/>
  <c r="J63" i="14" s="1"/>
  <c r="K66" i="14"/>
  <c r="K63" i="14" s="1"/>
  <c r="L66" i="14"/>
  <c r="L63" i="14" s="1"/>
  <c r="M66" i="14"/>
  <c r="M63" i="14" s="1"/>
  <c r="N66" i="14"/>
  <c r="N63" i="14" s="1"/>
  <c r="O66" i="14"/>
  <c r="O63" i="14" s="1"/>
  <c r="P66" i="14"/>
  <c r="P63" i="14" s="1"/>
  <c r="G66" i="14"/>
  <c r="G63" i="14" s="1"/>
  <c r="H64" i="14"/>
  <c r="I64" i="14"/>
  <c r="J64" i="14"/>
  <c r="K64" i="14"/>
  <c r="L64" i="14"/>
  <c r="M64" i="14"/>
  <c r="N64" i="14"/>
  <c r="O64" i="14"/>
  <c r="P64" i="14"/>
  <c r="G64" i="14"/>
  <c r="E101" i="14"/>
  <c r="F101" i="14"/>
  <c r="G101" i="14" s="1"/>
  <c r="G18" i="14" s="1"/>
  <c r="I94" i="14"/>
  <c r="J94" i="14" s="1"/>
  <c r="K94" i="14" s="1"/>
  <c r="L94" i="14" s="1"/>
  <c r="M94" i="14" s="1"/>
  <c r="N94" i="14" s="1"/>
  <c r="O94" i="14" s="1"/>
  <c r="P94" i="14" s="1"/>
  <c r="H86" i="14"/>
  <c r="I86" i="14" s="1"/>
  <c r="J86" i="14" s="1"/>
  <c r="K86" i="14" s="1"/>
  <c r="L86" i="14" s="1"/>
  <c r="M86" i="14" s="1"/>
  <c r="G85" i="14"/>
  <c r="G88" i="14" s="1"/>
  <c r="F88" i="14"/>
  <c r="J82" i="14"/>
  <c r="K82" i="14" s="1"/>
  <c r="L82" i="14" s="1"/>
  <c r="M82" i="14" s="1"/>
  <c r="N82" i="14" s="1"/>
  <c r="O82" i="14" s="1"/>
  <c r="P82" i="14" s="1"/>
  <c r="H83" i="14"/>
  <c r="I83" i="14"/>
  <c r="G83" i="14"/>
  <c r="K79" i="14"/>
  <c r="L79" i="14" s="1"/>
  <c r="M79" i="14" s="1"/>
  <c r="N79" i="14" s="1"/>
  <c r="O79" i="14" s="1"/>
  <c r="P79" i="14" s="1"/>
  <c r="L71" i="14"/>
  <c r="M71" i="14" s="1"/>
  <c r="N71" i="14" s="1"/>
  <c r="O71" i="14" s="1"/>
  <c r="P71" i="14" s="1"/>
  <c r="F70" i="14"/>
  <c r="G70" i="14" s="1"/>
  <c r="F63" i="14"/>
  <c r="K60" i="14"/>
  <c r="L60" i="14" s="1"/>
  <c r="M60" i="14" s="1"/>
  <c r="N60" i="14" s="1"/>
  <c r="O60" i="14" s="1"/>
  <c r="P60" i="14" s="1"/>
  <c r="H61" i="14"/>
  <c r="I61" i="14"/>
  <c r="J61" i="14"/>
  <c r="G61" i="14"/>
  <c r="M51" i="14"/>
  <c r="N51" i="14" s="1"/>
  <c r="O51" i="14" s="1"/>
  <c r="P51" i="14" s="1"/>
  <c r="G48" i="14"/>
  <c r="H48" i="14" s="1"/>
  <c r="H53" i="14" s="1"/>
  <c r="F49" i="14"/>
  <c r="F53" i="14"/>
  <c r="G39" i="14"/>
  <c r="G13" i="14" s="1"/>
  <c r="G119" i="14" s="1"/>
  <c r="H37" i="14"/>
  <c r="H39" i="14" s="1"/>
  <c r="H13" i="14" s="1"/>
  <c r="F37" i="14"/>
  <c r="E37" i="14"/>
  <c r="F39" i="14"/>
  <c r="E39" i="14"/>
  <c r="G31" i="14"/>
  <c r="G12" i="14" s="1"/>
  <c r="G116" i="14" s="1"/>
  <c r="F31" i="14"/>
  <c r="E31" i="14"/>
  <c r="H29" i="14"/>
  <c r="I29" i="14" s="1"/>
  <c r="L26" i="14"/>
  <c r="M27" i="14"/>
  <c r="N27" i="14" s="1"/>
  <c r="O27" i="14" s="1"/>
  <c r="P27" i="14" s="1"/>
  <c r="G27" i="14"/>
  <c r="H27" i="14"/>
  <c r="I27" i="14"/>
  <c r="J27" i="14"/>
  <c r="K27" i="14"/>
  <c r="F27" i="14"/>
  <c r="F29" i="14"/>
  <c r="E29" i="14"/>
  <c r="F11" i="14"/>
  <c r="F15" i="14" s="1"/>
  <c r="F20" i="14" s="1"/>
  <c r="F123" i="14" s="1"/>
  <c r="E11" i="14"/>
  <c r="E15" i="14" s="1"/>
  <c r="E20" i="14" s="1"/>
  <c r="E123" i="14" s="1"/>
  <c r="F1" i="14"/>
  <c r="G1" i="14" s="1"/>
  <c r="H1" i="14" s="1"/>
  <c r="I1" i="14" s="1"/>
  <c r="J1" i="14" s="1"/>
  <c r="K1" i="14" s="1"/>
  <c r="L1" i="14" s="1"/>
  <c r="M1" i="14" s="1"/>
  <c r="N1" i="14" s="1"/>
  <c r="O1" i="14" s="1"/>
  <c r="P1" i="14" s="1"/>
  <c r="E47" i="11"/>
  <c r="Q45" i="11"/>
  <c r="F45" i="11"/>
  <c r="E45" i="11"/>
  <c r="F39" i="11"/>
  <c r="E39" i="11"/>
  <c r="E77" i="11"/>
  <c r="E76" i="11"/>
  <c r="E75" i="11"/>
  <c r="E74" i="11"/>
  <c r="E73" i="11"/>
  <c r="J72" i="11"/>
  <c r="I72" i="11"/>
  <c r="H72" i="11"/>
  <c r="G72" i="11"/>
  <c r="F72" i="11"/>
  <c r="Q43" i="11"/>
  <c r="F42" i="11"/>
  <c r="E42" i="11"/>
  <c r="F36" i="11"/>
  <c r="E36" i="11"/>
  <c r="Q31" i="11"/>
  <c r="F29" i="11"/>
  <c r="E29" i="11"/>
  <c r="F26" i="11"/>
  <c r="E26" i="11"/>
  <c r="F23" i="11"/>
  <c r="E23" i="11"/>
  <c r="E37" i="11" s="1"/>
  <c r="E4" i="11"/>
  <c r="E51" i="11" s="1"/>
  <c r="E3" i="11"/>
  <c r="E2" i="11"/>
  <c r="F1" i="11"/>
  <c r="F3" i="11" s="1"/>
  <c r="H57" i="10"/>
  <c r="G58" i="10"/>
  <c r="G59" i="10"/>
  <c r="G62" i="10"/>
  <c r="G61" i="10"/>
  <c r="G60" i="10"/>
  <c r="L57" i="10"/>
  <c r="K57" i="10"/>
  <c r="I57" i="10"/>
  <c r="J57" i="10"/>
  <c r="Q41" i="10"/>
  <c r="Q29" i="10"/>
  <c r="F40" i="10"/>
  <c r="E40" i="10"/>
  <c r="E24" i="10"/>
  <c r="E37" i="10" s="1"/>
  <c r="F34" i="10"/>
  <c r="E34" i="10"/>
  <c r="F27" i="10"/>
  <c r="E27" i="10"/>
  <c r="F24" i="10"/>
  <c r="F37" i="10" s="1"/>
  <c r="F21" i="10"/>
  <c r="E21" i="10"/>
  <c r="E4" i="10"/>
  <c r="E48" i="10" s="1"/>
  <c r="E3" i="10"/>
  <c r="E2" i="10"/>
  <c r="F1" i="10"/>
  <c r="G1" i="10" s="1"/>
  <c r="H1" i="10" s="1"/>
  <c r="I1" i="10" s="1"/>
  <c r="J1" i="10" s="1"/>
  <c r="K1" i="10" s="1"/>
  <c r="L1" i="10" s="1"/>
  <c r="M1" i="10" s="1"/>
  <c r="N1" i="10" s="1"/>
  <c r="O1" i="10" s="1"/>
  <c r="P1" i="10" s="1"/>
  <c r="P3" i="10" s="1"/>
  <c r="F39" i="7"/>
  <c r="E39" i="7"/>
  <c r="F41" i="7"/>
  <c r="E41" i="7"/>
  <c r="F38" i="7"/>
  <c r="E38" i="7"/>
  <c r="F35" i="9"/>
  <c r="G34" i="9" s="1"/>
  <c r="E35" i="9"/>
  <c r="F34" i="9" s="1"/>
  <c r="E46" i="1"/>
  <c r="E49" i="1" s="1"/>
  <c r="H43" i="1"/>
  <c r="I43" i="1"/>
  <c r="J43" i="1"/>
  <c r="K43" i="1"/>
  <c r="L43" i="1"/>
  <c r="M43" i="1"/>
  <c r="N43" i="1"/>
  <c r="O43" i="1"/>
  <c r="P43" i="1"/>
  <c r="H44" i="1"/>
  <c r="I44" i="1"/>
  <c r="J44" i="1"/>
  <c r="K44" i="1"/>
  <c r="L44" i="1"/>
  <c r="M44" i="1"/>
  <c r="N44" i="1"/>
  <c r="O44" i="1"/>
  <c r="P44" i="1"/>
  <c r="G44" i="1"/>
  <c r="G43" i="1"/>
  <c r="H35" i="1"/>
  <c r="I35" i="1"/>
  <c r="J35" i="1"/>
  <c r="K35" i="1"/>
  <c r="L35" i="1"/>
  <c r="M35" i="1"/>
  <c r="N35" i="1"/>
  <c r="O35" i="1"/>
  <c r="P35" i="1"/>
  <c r="G35" i="1"/>
  <c r="H32" i="1"/>
  <c r="I32" i="1"/>
  <c r="J32" i="1"/>
  <c r="K32" i="1"/>
  <c r="L32" i="1"/>
  <c r="M32" i="1"/>
  <c r="N32" i="1"/>
  <c r="O32" i="1"/>
  <c r="P32" i="1"/>
  <c r="H33" i="1"/>
  <c r="I33" i="1"/>
  <c r="J33" i="1"/>
  <c r="K33" i="1"/>
  <c r="L33" i="1"/>
  <c r="M33" i="1"/>
  <c r="N33" i="1"/>
  <c r="O33" i="1"/>
  <c r="P33" i="1"/>
  <c r="H34" i="1"/>
  <c r="I34" i="1"/>
  <c r="J34" i="1"/>
  <c r="K34" i="1"/>
  <c r="L34" i="1"/>
  <c r="M34" i="1"/>
  <c r="N34" i="1"/>
  <c r="O34" i="1"/>
  <c r="P34" i="1"/>
  <c r="G33" i="1"/>
  <c r="G34" i="1"/>
  <c r="H31" i="1"/>
  <c r="I31" i="1"/>
  <c r="J31" i="1"/>
  <c r="K31" i="1"/>
  <c r="L31" i="1"/>
  <c r="M31" i="1"/>
  <c r="N31" i="1"/>
  <c r="O31" i="1"/>
  <c r="P31" i="1"/>
  <c r="G32" i="1"/>
  <c r="G31" i="1"/>
  <c r="H30" i="1"/>
  <c r="I30" i="1"/>
  <c r="J30" i="1"/>
  <c r="K30" i="1"/>
  <c r="L30" i="1"/>
  <c r="M30" i="1"/>
  <c r="N30" i="1"/>
  <c r="O30" i="1"/>
  <c r="P30" i="1"/>
  <c r="G30" i="1"/>
  <c r="H29" i="1"/>
  <c r="I29" i="1"/>
  <c r="J29" i="1"/>
  <c r="K29" i="1"/>
  <c r="L29" i="1"/>
  <c r="M29" i="1"/>
  <c r="N29" i="1"/>
  <c r="O29" i="1"/>
  <c r="P29" i="1"/>
  <c r="G29" i="1"/>
  <c r="F26" i="8"/>
  <c r="G23" i="8" s="1"/>
  <c r="G26" i="8" s="1"/>
  <c r="E26" i="8"/>
  <c r="F23" i="8" s="1"/>
  <c r="K9" i="1"/>
  <c r="F91" i="9"/>
  <c r="F46" i="1" s="1"/>
  <c r="F49" i="1" s="1"/>
  <c r="F90" i="9"/>
  <c r="E90" i="9"/>
  <c r="E92" i="9" a="1"/>
  <c r="E92" i="9" s="1"/>
  <c r="F89" i="9" s="1"/>
  <c r="F82" i="9"/>
  <c r="G82" i="9" s="1"/>
  <c r="E82" i="9"/>
  <c r="H71" i="9"/>
  <c r="I71" i="9"/>
  <c r="J71" i="9"/>
  <c r="K71" i="9"/>
  <c r="G71" i="9"/>
  <c r="G63" i="9" s="1"/>
  <c r="G10" i="1" s="1"/>
  <c r="F71" i="9"/>
  <c r="E71" i="9"/>
  <c r="F72" i="9"/>
  <c r="E72" i="9"/>
  <c r="F60" i="9"/>
  <c r="F64" i="9" s="1"/>
  <c r="G62" i="9" s="1"/>
  <c r="E60" i="9"/>
  <c r="E64" i="9" s="1"/>
  <c r="F62" i="9" s="1"/>
  <c r="G50" i="2"/>
  <c r="H50" i="2"/>
  <c r="I50" i="2"/>
  <c r="J50" i="2"/>
  <c r="K50" i="2"/>
  <c r="L50" i="2"/>
  <c r="M50" i="2"/>
  <c r="N50" i="2"/>
  <c r="O50" i="2"/>
  <c r="P50" i="2"/>
  <c r="F227" i="5"/>
  <c r="E227" i="5"/>
  <c r="F228" i="5"/>
  <c r="E228" i="5"/>
  <c r="H229" i="5"/>
  <c r="F32" i="7"/>
  <c r="G32" i="7" s="1"/>
  <c r="H32" i="7" s="1"/>
  <c r="I32" i="7" s="1"/>
  <c r="J32" i="7" s="1"/>
  <c r="K32" i="7" s="1"/>
  <c r="L32" i="7" s="1"/>
  <c r="M32" i="7" s="1"/>
  <c r="N32" i="7" s="1"/>
  <c r="O32" i="7" s="1"/>
  <c r="P32" i="7" s="1"/>
  <c r="E32" i="7"/>
  <c r="F26" i="7"/>
  <c r="G26" i="7" s="1"/>
  <c r="H26" i="7" s="1"/>
  <c r="E26" i="7"/>
  <c r="J26" i="7"/>
  <c r="I26" i="7"/>
  <c r="F220" i="5"/>
  <c r="G220" i="5" s="1"/>
  <c r="E220" i="5"/>
  <c r="F12" i="9"/>
  <c r="G9" i="9" s="1"/>
  <c r="E12" i="9"/>
  <c r="F9" i="9" s="1"/>
  <c r="F1" i="9"/>
  <c r="G1" i="9" s="1"/>
  <c r="H1" i="9" s="1"/>
  <c r="I1" i="9" s="1"/>
  <c r="J1" i="9" s="1"/>
  <c r="K1" i="9" s="1"/>
  <c r="L1" i="9" s="1"/>
  <c r="M1" i="9" s="1"/>
  <c r="N1" i="9" s="1"/>
  <c r="O1" i="9" s="1"/>
  <c r="P1" i="9" s="1"/>
  <c r="F19" i="7"/>
  <c r="G19" i="7" s="1"/>
  <c r="H19" i="7" s="1"/>
  <c r="I19" i="7" s="1"/>
  <c r="J19" i="7" s="1"/>
  <c r="K19" i="7" s="1"/>
  <c r="L19" i="7" s="1"/>
  <c r="M19" i="7" s="1"/>
  <c r="N19" i="7" s="1"/>
  <c r="O19" i="7" s="1"/>
  <c r="P19" i="7" s="1"/>
  <c r="P36" i="2" s="1"/>
  <c r="E19" i="7"/>
  <c r="F217" i="5"/>
  <c r="E217" i="5"/>
  <c r="F211" i="5"/>
  <c r="E211" i="5"/>
  <c r="F202" i="5"/>
  <c r="E202" i="5"/>
  <c r="F195" i="5"/>
  <c r="E195" i="5"/>
  <c r="H171" i="5"/>
  <c r="I171" i="5" s="1"/>
  <c r="J171" i="5" s="1"/>
  <c r="K171" i="5" s="1"/>
  <c r="L171" i="5" s="1"/>
  <c r="M171" i="5" s="1"/>
  <c r="N171" i="5" s="1"/>
  <c r="O171" i="5" s="1"/>
  <c r="P171" i="5" s="1"/>
  <c r="F170" i="5"/>
  <c r="E170" i="5"/>
  <c r="E82" i="5"/>
  <c r="E87" i="5" s="1"/>
  <c r="F82" i="5"/>
  <c r="F87" i="5" s="1"/>
  <c r="K87" i="5"/>
  <c r="J87" i="5"/>
  <c r="I87" i="5"/>
  <c r="H87" i="5"/>
  <c r="G87" i="5"/>
  <c r="F17" i="8"/>
  <c r="G17" i="8" s="1"/>
  <c r="E17" i="8"/>
  <c r="F11" i="8"/>
  <c r="G11" i="8" s="1"/>
  <c r="H11" i="8" s="1"/>
  <c r="I11" i="8" s="1"/>
  <c r="J11" i="8" s="1"/>
  <c r="K11" i="8" s="1"/>
  <c r="L11" i="8" s="1"/>
  <c r="M11" i="8" s="1"/>
  <c r="N11" i="8" s="1"/>
  <c r="O11" i="8" s="1"/>
  <c r="P11" i="8" s="1"/>
  <c r="P20" i="2" s="1"/>
  <c r="E11" i="8"/>
  <c r="F161" i="5"/>
  <c r="F143" i="5" s="1"/>
  <c r="E161" i="5"/>
  <c r="E143" i="5" s="1"/>
  <c r="G142" i="5"/>
  <c r="H142" i="5"/>
  <c r="I142" i="5"/>
  <c r="J142" i="5"/>
  <c r="K142" i="5"/>
  <c r="L142" i="5"/>
  <c r="M142" i="5"/>
  <c r="N142" i="5"/>
  <c r="O142" i="5"/>
  <c r="P142" i="5"/>
  <c r="F142" i="5"/>
  <c r="F144" i="5"/>
  <c r="G141" i="5" s="1"/>
  <c r="E144" i="5"/>
  <c r="F141" i="5" s="1"/>
  <c r="I161" i="5"/>
  <c r="I157" i="5" s="1"/>
  <c r="H161" i="5"/>
  <c r="H143" i="5" s="1"/>
  <c r="G161" i="5"/>
  <c r="G143" i="5" s="1"/>
  <c r="F131" i="5"/>
  <c r="E131" i="5"/>
  <c r="E106" i="5" s="1"/>
  <c r="M131" i="5"/>
  <c r="L131" i="5"/>
  <c r="L106" i="5" s="1"/>
  <c r="K131" i="5"/>
  <c r="K127" i="5" s="1"/>
  <c r="K8" i="1" s="1"/>
  <c r="J131" i="5"/>
  <c r="I131" i="5"/>
  <c r="I106" i="5" s="1"/>
  <c r="H131" i="5"/>
  <c r="G131" i="5"/>
  <c r="O118" i="5"/>
  <c r="P118" i="5"/>
  <c r="N118" i="5"/>
  <c r="L117" i="5"/>
  <c r="L105" i="5" s="1"/>
  <c r="M117" i="5"/>
  <c r="M105" i="5" s="1"/>
  <c r="F12" i="7"/>
  <c r="G12" i="7" s="1"/>
  <c r="H12" i="7" s="1"/>
  <c r="I12" i="7" s="1"/>
  <c r="J12" i="7" s="1"/>
  <c r="K12" i="7" s="1"/>
  <c r="L12" i="7" s="1"/>
  <c r="M12" i="7" s="1"/>
  <c r="N12" i="7" s="1"/>
  <c r="O12" i="7" s="1"/>
  <c r="P12" i="7" s="1"/>
  <c r="P17" i="2" s="1"/>
  <c r="E12" i="7"/>
  <c r="F5" i="8"/>
  <c r="G5" i="8" s="1"/>
  <c r="G117" i="5"/>
  <c r="G105" i="5" s="1"/>
  <c r="F117" i="5"/>
  <c r="F105" i="5" s="1"/>
  <c r="E117" i="5"/>
  <c r="E105" i="5" s="1"/>
  <c r="K117" i="5"/>
  <c r="K105" i="5" s="1"/>
  <c r="J117" i="5"/>
  <c r="I117" i="5"/>
  <c r="H117" i="5"/>
  <c r="H105" i="5" s="1"/>
  <c r="F113" i="5"/>
  <c r="E113" i="5"/>
  <c r="F107" i="5"/>
  <c r="G104" i="5" s="1"/>
  <c r="E107" i="5"/>
  <c r="F104" i="5" s="1"/>
  <c r="E5" i="8"/>
  <c r="F1" i="8"/>
  <c r="G1" i="8" s="1"/>
  <c r="H1" i="8" s="1"/>
  <c r="I1" i="8" s="1"/>
  <c r="J1" i="8" s="1"/>
  <c r="K1" i="8" s="1"/>
  <c r="L1" i="8" s="1"/>
  <c r="M1" i="8" s="1"/>
  <c r="N1" i="8" s="1"/>
  <c r="O1" i="8" s="1"/>
  <c r="P1" i="8" s="1"/>
  <c r="H98" i="5"/>
  <c r="I98" i="5" s="1"/>
  <c r="J98" i="5" s="1"/>
  <c r="K98" i="5" s="1"/>
  <c r="L98" i="5" s="1"/>
  <c r="M98" i="5" s="1"/>
  <c r="N98" i="5" s="1"/>
  <c r="O98" i="5" s="1"/>
  <c r="P98" i="5" s="1"/>
  <c r="F97" i="5"/>
  <c r="E97" i="5"/>
  <c r="F72" i="5"/>
  <c r="E72" i="5"/>
  <c r="E67" i="5"/>
  <c r="F67" i="5"/>
  <c r="K72" i="5"/>
  <c r="K67" i="5" s="1"/>
  <c r="K11" i="2" s="1"/>
  <c r="J72" i="5"/>
  <c r="I72" i="5"/>
  <c r="H72" i="5"/>
  <c r="G72" i="5"/>
  <c r="G67" i="5" s="1"/>
  <c r="G11" i="2" s="1"/>
  <c r="F5" i="7"/>
  <c r="G5" i="7" s="1"/>
  <c r="E5" i="7"/>
  <c r="F1" i="7"/>
  <c r="G1" i="7" s="1"/>
  <c r="H1" i="7" s="1"/>
  <c r="I1" i="7" s="1"/>
  <c r="J1" i="7" s="1"/>
  <c r="K1" i="7" s="1"/>
  <c r="L1" i="7" s="1"/>
  <c r="M1" i="7" s="1"/>
  <c r="N1" i="7" s="1"/>
  <c r="O1" i="7" s="1"/>
  <c r="P1" i="7" s="1"/>
  <c r="I58" i="5"/>
  <c r="G58" i="5"/>
  <c r="E5" i="1"/>
  <c r="F5" i="1"/>
  <c r="E7" i="1"/>
  <c r="F7" i="1"/>
  <c r="K58" i="5"/>
  <c r="H58" i="5"/>
  <c r="J58" i="5"/>
  <c r="J53" i="5" s="1"/>
  <c r="J9" i="2" s="1"/>
  <c r="F58" i="5"/>
  <c r="F59" i="5" s="1"/>
  <c r="E58" i="5"/>
  <c r="E59" i="5" s="1"/>
  <c r="F53" i="5"/>
  <c r="E53" i="5"/>
  <c r="N43" i="5"/>
  <c r="N28" i="5"/>
  <c r="J27" i="5"/>
  <c r="M27" i="5"/>
  <c r="L27" i="5"/>
  <c r="I27" i="5"/>
  <c r="H27" i="5"/>
  <c r="E27" i="5"/>
  <c r="E28" i="5" s="1"/>
  <c r="K27" i="5"/>
  <c r="G27" i="5"/>
  <c r="F7" i="5"/>
  <c r="E7" i="5"/>
  <c r="N13" i="5"/>
  <c r="F13" i="5"/>
  <c r="H12" i="5"/>
  <c r="I12" i="5"/>
  <c r="J12" i="5"/>
  <c r="K12" i="5"/>
  <c r="L12" i="5"/>
  <c r="M12" i="5"/>
  <c r="G12" i="5"/>
  <c r="G13" i="5" s="1"/>
  <c r="I57" i="6"/>
  <c r="H57" i="6"/>
  <c r="G57" i="6"/>
  <c r="M56" i="6"/>
  <c r="L56" i="6"/>
  <c r="K56" i="6"/>
  <c r="J56" i="6"/>
  <c r="I56" i="6"/>
  <c r="H56" i="6"/>
  <c r="G56" i="6"/>
  <c r="M50" i="6"/>
  <c r="L50" i="6"/>
  <c r="K50" i="6"/>
  <c r="J50" i="6"/>
  <c r="I50" i="6"/>
  <c r="H50" i="6"/>
  <c r="G50" i="6"/>
  <c r="I45" i="6"/>
  <c r="H45" i="6"/>
  <c r="G45" i="6"/>
  <c r="M44" i="6"/>
  <c r="L44" i="6"/>
  <c r="K44" i="6"/>
  <c r="J44" i="6"/>
  <c r="I44" i="6"/>
  <c r="H44" i="6"/>
  <c r="G44" i="6"/>
  <c r="K40" i="6"/>
  <c r="J40" i="6"/>
  <c r="I40" i="6"/>
  <c r="H40" i="6"/>
  <c r="G40" i="6"/>
  <c r="I39" i="6"/>
  <c r="H39" i="6"/>
  <c r="G39" i="6"/>
  <c r="M38" i="6"/>
  <c r="L38" i="6"/>
  <c r="K38" i="6"/>
  <c r="J38" i="6"/>
  <c r="I38" i="6"/>
  <c r="H38" i="6"/>
  <c r="G38" i="6"/>
  <c r="I33" i="6"/>
  <c r="H33" i="6"/>
  <c r="G33" i="6"/>
  <c r="K32" i="6"/>
  <c r="J32" i="6"/>
  <c r="I32" i="6"/>
  <c r="H32" i="6"/>
  <c r="G32" i="6"/>
  <c r="K26" i="6"/>
  <c r="J26" i="6"/>
  <c r="I26" i="6"/>
  <c r="H26" i="6"/>
  <c r="G26" i="6"/>
  <c r="I21" i="6"/>
  <c r="H21" i="6"/>
  <c r="G21" i="6"/>
  <c r="K20" i="6"/>
  <c r="J20" i="6"/>
  <c r="I20" i="6"/>
  <c r="H20" i="6"/>
  <c r="G20" i="6"/>
  <c r="K14" i="6"/>
  <c r="J14" i="6"/>
  <c r="I14" i="6"/>
  <c r="H14" i="6"/>
  <c r="G14" i="6"/>
  <c r="I13" i="6"/>
  <c r="H13" i="6"/>
  <c r="G13" i="6"/>
  <c r="M12" i="6"/>
  <c r="L12" i="6"/>
  <c r="K12" i="6"/>
  <c r="J12" i="6"/>
  <c r="I12" i="6"/>
  <c r="H12" i="6"/>
  <c r="G12" i="6"/>
  <c r="K8" i="6"/>
  <c r="J8" i="6"/>
  <c r="I8" i="6"/>
  <c r="H8" i="6"/>
  <c r="G8" i="6"/>
  <c r="I7" i="6"/>
  <c r="H7" i="6"/>
  <c r="G7" i="6"/>
  <c r="M6" i="6"/>
  <c r="L6" i="6"/>
  <c r="K6" i="6"/>
  <c r="J6" i="6"/>
  <c r="I6" i="6"/>
  <c r="H6" i="6"/>
  <c r="G6" i="6"/>
  <c r="G1" i="6"/>
  <c r="H1" i="6" s="1"/>
  <c r="I1" i="6" s="1"/>
  <c r="J1" i="6" s="1"/>
  <c r="K1" i="6" s="1"/>
  <c r="L1" i="6" s="1"/>
  <c r="M1" i="6" s="1"/>
  <c r="N1" i="6" s="1"/>
  <c r="O1" i="6" s="1"/>
  <c r="P1" i="6" s="1"/>
  <c r="C312" i="14" l="1"/>
  <c r="H270" i="14"/>
  <c r="H273" i="14" s="1"/>
  <c r="H19" i="9" s="1"/>
  <c r="F47" i="11"/>
  <c r="E46" i="9"/>
  <c r="F46" i="9"/>
  <c r="H289" i="14"/>
  <c r="I284" i="14"/>
  <c r="I287" i="14" s="1"/>
  <c r="E240" i="14"/>
  <c r="F236" i="14"/>
  <c r="F244" i="14"/>
  <c r="H133" i="14"/>
  <c r="H9" i="3" s="1"/>
  <c r="E244" i="14"/>
  <c r="E236" i="14"/>
  <c r="F240" i="14"/>
  <c r="B213" i="14" a="1"/>
  <c r="B175" i="14" a="1"/>
  <c r="B175" i="14" s="1"/>
  <c r="B194" i="14" a="1"/>
  <c r="B194" i="14" s="1"/>
  <c r="I244" i="14"/>
  <c r="J240" i="14"/>
  <c r="I157" i="14"/>
  <c r="H163" i="14"/>
  <c r="G163" i="14"/>
  <c r="J151" i="14"/>
  <c r="F229" i="5"/>
  <c r="G9" i="1"/>
  <c r="E218" i="5"/>
  <c r="K29" i="11"/>
  <c r="K27" i="10"/>
  <c r="E212" i="5"/>
  <c r="E229" i="5"/>
  <c r="F212" i="5"/>
  <c r="I9" i="1"/>
  <c r="H9" i="1"/>
  <c r="H119" i="14"/>
  <c r="E128" i="14"/>
  <c r="F131" i="14"/>
  <c r="F128" i="14"/>
  <c r="E131" i="14"/>
  <c r="K128" i="14"/>
  <c r="L128" i="14" s="1"/>
  <c r="G113" i="14"/>
  <c r="E114" i="14"/>
  <c r="F114" i="14"/>
  <c r="P68" i="14"/>
  <c r="H68" i="14"/>
  <c r="G68" i="14"/>
  <c r="G73" i="14" s="1"/>
  <c r="H85" i="14"/>
  <c r="H88" i="14" s="1"/>
  <c r="F102" i="14"/>
  <c r="F73" i="14"/>
  <c r="F93" i="14" s="1"/>
  <c r="H70" i="14"/>
  <c r="O68" i="14"/>
  <c r="N68" i="14"/>
  <c r="G53" i="14"/>
  <c r="I48" i="14"/>
  <c r="I53" i="14" s="1"/>
  <c r="M26" i="14"/>
  <c r="N26" i="14" s="1"/>
  <c r="O26" i="14" s="1"/>
  <c r="P26" i="14" s="1"/>
  <c r="J29" i="14"/>
  <c r="I31" i="14"/>
  <c r="I12" i="14" s="1"/>
  <c r="I116" i="14" s="1"/>
  <c r="H31" i="14"/>
  <c r="H12" i="14" s="1"/>
  <c r="H116" i="14" s="1"/>
  <c r="I37" i="14"/>
  <c r="F37" i="11"/>
  <c r="F31" i="11"/>
  <c r="G1" i="11"/>
  <c r="H1" i="11" s="1"/>
  <c r="H3" i="11" s="1"/>
  <c r="F2" i="11"/>
  <c r="F30" i="11"/>
  <c r="K50" i="11"/>
  <c r="L50" i="11"/>
  <c r="F43" i="11"/>
  <c r="F4" i="11"/>
  <c r="F51" i="11" s="1"/>
  <c r="E27" i="11"/>
  <c r="F27" i="11"/>
  <c r="E30" i="11"/>
  <c r="E43" i="11"/>
  <c r="E50" i="11"/>
  <c r="J50" i="11"/>
  <c r="E52" i="11"/>
  <c r="F50" i="11"/>
  <c r="N50" i="11"/>
  <c r="E31" i="11"/>
  <c r="G50" i="11"/>
  <c r="O50" i="11"/>
  <c r="F33" i="11"/>
  <c r="F34" i="11" s="1"/>
  <c r="F24" i="11"/>
  <c r="H50" i="11"/>
  <c r="P50" i="11"/>
  <c r="E33" i="11"/>
  <c r="E34" i="11" s="1"/>
  <c r="I50" i="11"/>
  <c r="M46" i="10"/>
  <c r="F46" i="10"/>
  <c r="Q22" i="10"/>
  <c r="L46" i="10"/>
  <c r="K46" i="10"/>
  <c r="J46" i="10"/>
  <c r="E46" i="10"/>
  <c r="E49" i="10" s="1"/>
  <c r="I46" i="10"/>
  <c r="P46" i="10"/>
  <c r="H46" i="10"/>
  <c r="O46" i="10"/>
  <c r="G46" i="10"/>
  <c r="N46" i="10"/>
  <c r="F22" i="10"/>
  <c r="E47" i="10"/>
  <c r="E41" i="10"/>
  <c r="F41" i="10"/>
  <c r="E38" i="10"/>
  <c r="E43" i="10"/>
  <c r="F43" i="10"/>
  <c r="F38" i="10"/>
  <c r="F29" i="10"/>
  <c r="F2" i="10"/>
  <c r="F4" i="10"/>
  <c r="O3" i="10"/>
  <c r="K3" i="10"/>
  <c r="J2" i="10"/>
  <c r="E25" i="10"/>
  <c r="H3" i="10"/>
  <c r="O2" i="10"/>
  <c r="G3" i="10"/>
  <c r="N2" i="10"/>
  <c r="N4" i="10"/>
  <c r="M2" i="10"/>
  <c r="K4" i="10"/>
  <c r="L2" i="10"/>
  <c r="H4" i="10"/>
  <c r="E28" i="10"/>
  <c r="H2" i="10"/>
  <c r="M4" i="10"/>
  <c r="N3" i="10"/>
  <c r="E29" i="10"/>
  <c r="P2" i="10"/>
  <c r="G2" i="10"/>
  <c r="L4" i="10"/>
  <c r="L3" i="10"/>
  <c r="F28" i="10"/>
  <c r="I4" i="10"/>
  <c r="I3" i="10"/>
  <c r="E31" i="10"/>
  <c r="E32" i="10" s="1"/>
  <c r="E35" i="10"/>
  <c r="K2" i="10"/>
  <c r="P4" i="10"/>
  <c r="F3" i="10"/>
  <c r="F31" i="10"/>
  <c r="F32" i="10" s="1"/>
  <c r="F25" i="10"/>
  <c r="F35" i="10"/>
  <c r="J4" i="10"/>
  <c r="M3" i="10"/>
  <c r="I2" i="10"/>
  <c r="O4" i="10"/>
  <c r="G4" i="10"/>
  <c r="J3" i="10"/>
  <c r="G17" i="2"/>
  <c r="G11" i="1" s="1"/>
  <c r="F73" i="9"/>
  <c r="K63" i="9"/>
  <c r="K10" i="1" s="1"/>
  <c r="J63" i="9"/>
  <c r="J10" i="1" s="1"/>
  <c r="I63" i="9"/>
  <c r="I10" i="1" s="1"/>
  <c r="H63" i="9"/>
  <c r="H10" i="1" s="1"/>
  <c r="G64" i="9"/>
  <c r="H62" i="9" s="1"/>
  <c r="G91" i="9"/>
  <c r="G52" i="2"/>
  <c r="H82" i="9"/>
  <c r="G41" i="2"/>
  <c r="H220" i="5"/>
  <c r="I220" i="5" s="1"/>
  <c r="J220" i="5" s="1"/>
  <c r="K220" i="5" s="1"/>
  <c r="L220" i="5" s="1"/>
  <c r="H23" i="8"/>
  <c r="H26" i="8" s="1"/>
  <c r="G8" i="2"/>
  <c r="K36" i="2"/>
  <c r="J36" i="2"/>
  <c r="G89" i="9"/>
  <c r="E73" i="9"/>
  <c r="N20" i="2"/>
  <c r="I36" i="2"/>
  <c r="H36" i="2"/>
  <c r="O36" i="2"/>
  <c r="N36" i="2"/>
  <c r="M36" i="2"/>
  <c r="G36" i="2"/>
  <c r="L36" i="2"/>
  <c r="G12" i="9"/>
  <c r="F218" i="5"/>
  <c r="I229" i="5"/>
  <c r="K26" i="7"/>
  <c r="L26" i="7" s="1"/>
  <c r="M26" i="7" s="1"/>
  <c r="N26" i="7" s="1"/>
  <c r="O26" i="7" s="1"/>
  <c r="P26" i="7" s="1"/>
  <c r="I82" i="5"/>
  <c r="I31" i="2" s="1"/>
  <c r="G82" i="5"/>
  <c r="G31" i="2" s="1"/>
  <c r="G19" i="1" s="1"/>
  <c r="J82" i="5"/>
  <c r="J31" i="2" s="1"/>
  <c r="K82" i="5"/>
  <c r="K31" i="2" s="1"/>
  <c r="H82" i="5"/>
  <c r="H31" i="2" s="1"/>
  <c r="F118" i="5"/>
  <c r="I127" i="5"/>
  <c r="I8" i="1" s="1"/>
  <c r="M132" i="5"/>
  <c r="F132" i="5"/>
  <c r="E157" i="5"/>
  <c r="F106" i="5"/>
  <c r="F157" i="5"/>
  <c r="G157" i="5"/>
  <c r="I143" i="5"/>
  <c r="G10" i="2"/>
  <c r="H5" i="7"/>
  <c r="H17" i="8"/>
  <c r="G21" i="2"/>
  <c r="O17" i="2"/>
  <c r="H20" i="2"/>
  <c r="N17" i="2"/>
  <c r="I17" i="2"/>
  <c r="H17" i="2"/>
  <c r="H11" i="1" s="1"/>
  <c r="M17" i="2"/>
  <c r="L17" i="2"/>
  <c r="K17" i="2"/>
  <c r="J17" i="2"/>
  <c r="G16" i="2"/>
  <c r="H5" i="8"/>
  <c r="M20" i="2"/>
  <c r="L20" i="2"/>
  <c r="K20" i="2"/>
  <c r="J20" i="2"/>
  <c r="I20" i="2"/>
  <c r="O20" i="2"/>
  <c r="G20" i="2"/>
  <c r="G144" i="5"/>
  <c r="H141" i="5" s="1"/>
  <c r="G19" i="2" s="1"/>
  <c r="H157" i="5"/>
  <c r="L127" i="5"/>
  <c r="L8" i="1" s="1"/>
  <c r="H132" i="5"/>
  <c r="H106" i="5"/>
  <c r="E118" i="5"/>
  <c r="G132" i="5"/>
  <c r="G106" i="5"/>
  <c r="G107" i="5" s="1"/>
  <c r="I132" i="5"/>
  <c r="M106" i="5"/>
  <c r="J132" i="5"/>
  <c r="J105" i="5"/>
  <c r="K132" i="5"/>
  <c r="K106" i="5"/>
  <c r="I105" i="5"/>
  <c r="J127" i="5"/>
  <c r="J8" i="1" s="1"/>
  <c r="L132" i="5"/>
  <c r="E132" i="5"/>
  <c r="J106" i="5"/>
  <c r="M127" i="5"/>
  <c r="M8" i="1" s="1"/>
  <c r="G127" i="5"/>
  <c r="G8" i="1" s="1"/>
  <c r="H127" i="5"/>
  <c r="H8" i="1" s="1"/>
  <c r="G113" i="5"/>
  <c r="G27" i="1" s="1"/>
  <c r="G141" i="14" s="1"/>
  <c r="G159" i="14" s="1"/>
  <c r="E98" i="5"/>
  <c r="F98" i="5"/>
  <c r="N12" i="5"/>
  <c r="N27" i="5" s="1"/>
  <c r="N42" i="5" s="1"/>
  <c r="K113" i="5"/>
  <c r="K27" i="1" s="1"/>
  <c r="H13" i="5"/>
  <c r="H113" i="5"/>
  <c r="H27" i="1" s="1"/>
  <c r="I113" i="5"/>
  <c r="I27" i="1" s="1"/>
  <c r="J113" i="5"/>
  <c r="J27" i="1" s="1"/>
  <c r="H67" i="5"/>
  <c r="H11" i="2" s="1"/>
  <c r="I67" i="5"/>
  <c r="I11" i="2" s="1"/>
  <c r="J67" i="5"/>
  <c r="J11" i="2" s="1"/>
  <c r="L42" i="5"/>
  <c r="L72" i="5" s="1"/>
  <c r="L67" i="5" s="1"/>
  <c r="L11" i="2" s="1"/>
  <c r="M42" i="5"/>
  <c r="I13" i="5"/>
  <c r="G42" i="5"/>
  <c r="J28" i="5"/>
  <c r="K42" i="5"/>
  <c r="K13" i="5"/>
  <c r="E42" i="5"/>
  <c r="E37" i="5" s="1"/>
  <c r="E171" i="5" s="1"/>
  <c r="J42" i="5"/>
  <c r="K59" i="5"/>
  <c r="I42" i="5"/>
  <c r="L13" i="5"/>
  <c r="H42" i="5"/>
  <c r="H73" i="5" s="1"/>
  <c r="K53" i="5"/>
  <c r="K9" i="2" s="1"/>
  <c r="K16" i="1" s="1"/>
  <c r="H53" i="5"/>
  <c r="H9" i="2" s="1"/>
  <c r="H59" i="5"/>
  <c r="I53" i="5"/>
  <c r="I9" i="2" s="1"/>
  <c r="I59" i="5"/>
  <c r="G59" i="5"/>
  <c r="G53" i="5"/>
  <c r="G9" i="2" s="1"/>
  <c r="G16" i="1" s="1"/>
  <c r="J59" i="5"/>
  <c r="J13" i="5"/>
  <c r="H28" i="5"/>
  <c r="I28" i="5"/>
  <c r="M13" i="5"/>
  <c r="G28" i="5"/>
  <c r="L28" i="5"/>
  <c r="K28" i="5"/>
  <c r="M28" i="5"/>
  <c r="F1" i="5"/>
  <c r="G1" i="5" s="1"/>
  <c r="H1" i="5" s="1"/>
  <c r="I1" i="5" s="1"/>
  <c r="J1" i="5" s="1"/>
  <c r="K1" i="5" s="1"/>
  <c r="L1" i="5" s="1"/>
  <c r="M1" i="5" s="1"/>
  <c r="N1" i="5" s="1"/>
  <c r="O1" i="5" s="1"/>
  <c r="P1" i="5" s="1"/>
  <c r="F1" i="1"/>
  <c r="G1" i="1" s="1"/>
  <c r="H1" i="1" s="1"/>
  <c r="I1" i="1" s="1"/>
  <c r="J1" i="1" s="1"/>
  <c r="K1" i="1" s="1"/>
  <c r="L1" i="1" s="1"/>
  <c r="M1" i="1" s="1"/>
  <c r="N1" i="1" s="1"/>
  <c r="O1" i="1" s="1"/>
  <c r="P1" i="1" s="1"/>
  <c r="E6" i="2"/>
  <c r="E13" i="2" s="1"/>
  <c r="F38" i="1"/>
  <c r="E38" i="1"/>
  <c r="F15" i="1"/>
  <c r="F24" i="1" s="1"/>
  <c r="E15" i="1"/>
  <c r="E24" i="1" s="1"/>
  <c r="F5" i="3"/>
  <c r="F12" i="3" s="1"/>
  <c r="E5" i="3"/>
  <c r="E12" i="3" s="1"/>
  <c r="E15" i="3" s="1"/>
  <c r="F55" i="2"/>
  <c r="E55" i="2"/>
  <c r="F45" i="2"/>
  <c r="E45" i="2"/>
  <c r="F22" i="2"/>
  <c r="E22" i="2"/>
  <c r="F6" i="2"/>
  <c r="F13" i="2" s="1"/>
  <c r="F1" i="2"/>
  <c r="G1" i="2" s="1"/>
  <c r="H1" i="2" s="1"/>
  <c r="I1" i="2" s="1"/>
  <c r="J1" i="2" s="1"/>
  <c r="K1" i="2" s="1"/>
  <c r="L1" i="2" s="1"/>
  <c r="M1" i="2" s="1"/>
  <c r="N1" i="2" s="1"/>
  <c r="O1" i="2" s="1"/>
  <c r="P1" i="2" s="1"/>
  <c r="F1" i="3"/>
  <c r="G1" i="3" s="1"/>
  <c r="H1" i="3" s="1"/>
  <c r="I1" i="3" s="1"/>
  <c r="J1" i="3" s="1"/>
  <c r="K1" i="3" s="1"/>
  <c r="L1" i="3" s="1"/>
  <c r="M1" i="3" s="1"/>
  <c r="N1" i="3" s="1"/>
  <c r="O1" i="3" s="1"/>
  <c r="P1" i="3" s="1"/>
  <c r="H275" i="14" l="1"/>
  <c r="H28" i="9" s="1"/>
  <c r="I270" i="14"/>
  <c r="I273" i="14" s="1"/>
  <c r="I133" i="14"/>
  <c r="G156" i="14"/>
  <c r="G162" i="14"/>
  <c r="K38" i="1"/>
  <c r="K141" i="14"/>
  <c r="K159" i="14" s="1"/>
  <c r="J38" i="1"/>
  <c r="J141" i="14"/>
  <c r="J159" i="14" s="1"/>
  <c r="I38" i="1"/>
  <c r="I141" i="14"/>
  <c r="I159" i="14" s="1"/>
  <c r="H38" i="1"/>
  <c r="H141" i="14"/>
  <c r="H162" i="14" s="1"/>
  <c r="G25" i="9"/>
  <c r="G46" i="9"/>
  <c r="G40" i="2" s="1"/>
  <c r="G60" i="9"/>
  <c r="G51" i="2" s="1"/>
  <c r="I289" i="14"/>
  <c r="J284" i="14"/>
  <c r="H196" i="14"/>
  <c r="G199" i="14"/>
  <c r="J200" i="14"/>
  <c r="L201" i="14"/>
  <c r="M202" i="14"/>
  <c r="M203" i="14"/>
  <c r="G197" i="14"/>
  <c r="H199" i="14"/>
  <c r="K200" i="14"/>
  <c r="M201" i="14"/>
  <c r="N202" i="14"/>
  <c r="N203" i="14"/>
  <c r="H197" i="14"/>
  <c r="I199" i="14"/>
  <c r="L200" i="14"/>
  <c r="G202" i="14"/>
  <c r="G203" i="14"/>
  <c r="O203" i="14"/>
  <c r="I197" i="14"/>
  <c r="J199" i="14"/>
  <c r="G201" i="14"/>
  <c r="H202" i="14"/>
  <c r="H203" i="14"/>
  <c r="K201" i="14"/>
  <c r="G198" i="14"/>
  <c r="K199" i="14"/>
  <c r="H201" i="14"/>
  <c r="I202" i="14"/>
  <c r="I203" i="14"/>
  <c r="H198" i="14"/>
  <c r="G200" i="14"/>
  <c r="I201" i="14"/>
  <c r="J202" i="14"/>
  <c r="J203" i="14"/>
  <c r="G195" i="14"/>
  <c r="I198" i="14"/>
  <c r="H200" i="14"/>
  <c r="J201" i="14"/>
  <c r="K202" i="14"/>
  <c r="K203" i="14"/>
  <c r="G196" i="14"/>
  <c r="J198" i="14"/>
  <c r="I200" i="14"/>
  <c r="L202" i="14"/>
  <c r="L203" i="14"/>
  <c r="G214" i="14"/>
  <c r="I217" i="14"/>
  <c r="H219" i="14"/>
  <c r="J220" i="14"/>
  <c r="K221" i="14"/>
  <c r="K222" i="14"/>
  <c r="J221" i="14"/>
  <c r="G215" i="14"/>
  <c r="J217" i="14"/>
  <c r="I219" i="14"/>
  <c r="K220" i="14"/>
  <c r="L221" i="14"/>
  <c r="L222" i="14"/>
  <c r="I220" i="14"/>
  <c r="H215" i="14"/>
  <c r="G218" i="14"/>
  <c r="J219" i="14"/>
  <c r="L220" i="14"/>
  <c r="M221" i="14"/>
  <c r="M222" i="14"/>
  <c r="G216" i="14"/>
  <c r="H218" i="14"/>
  <c r="K219" i="14"/>
  <c r="M220" i="14"/>
  <c r="N221" i="14"/>
  <c r="N222" i="14"/>
  <c r="H216" i="14"/>
  <c r="I218" i="14"/>
  <c r="L219" i="14"/>
  <c r="G221" i="14"/>
  <c r="G222" i="14"/>
  <c r="O222" i="14"/>
  <c r="H217" i="14"/>
  <c r="I216" i="14"/>
  <c r="J218" i="14"/>
  <c r="G220" i="14"/>
  <c r="H221" i="14"/>
  <c r="H222" i="14"/>
  <c r="G217" i="14"/>
  <c r="K218" i="14"/>
  <c r="H220" i="14"/>
  <c r="I221" i="14"/>
  <c r="I222" i="14"/>
  <c r="G219" i="14"/>
  <c r="J222" i="14"/>
  <c r="B213" i="14"/>
  <c r="J244" i="14"/>
  <c r="K240" i="14"/>
  <c r="H113" i="14"/>
  <c r="J157" i="14"/>
  <c r="I163" i="14"/>
  <c r="G178" i="14"/>
  <c r="G181" i="14"/>
  <c r="H182" i="14"/>
  <c r="H183" i="14"/>
  <c r="G184" i="14"/>
  <c r="O184" i="14"/>
  <c r="H178" i="14"/>
  <c r="G180" i="14"/>
  <c r="H181" i="14"/>
  <c r="I182" i="14"/>
  <c r="I183" i="14"/>
  <c r="H184" i="14"/>
  <c r="G176" i="14"/>
  <c r="I178" i="14"/>
  <c r="H180" i="14"/>
  <c r="I181" i="14"/>
  <c r="J182" i="14"/>
  <c r="J183" i="14"/>
  <c r="I184" i="14"/>
  <c r="G183" i="14"/>
  <c r="I180" i="14"/>
  <c r="J181" i="14"/>
  <c r="K182" i="14"/>
  <c r="K183" i="14"/>
  <c r="J184" i="14"/>
  <c r="J179" i="14"/>
  <c r="G179" i="14"/>
  <c r="J180" i="14"/>
  <c r="K181" i="14"/>
  <c r="L182" i="14"/>
  <c r="L183" i="14"/>
  <c r="K184" i="14"/>
  <c r="G182" i="14"/>
  <c r="G177" i="14"/>
  <c r="H179" i="14"/>
  <c r="K180" i="14"/>
  <c r="L181" i="14"/>
  <c r="M182" i="14"/>
  <c r="M183" i="14"/>
  <c r="L184" i="14"/>
  <c r="N184" i="14"/>
  <c r="H177" i="14"/>
  <c r="I179" i="14"/>
  <c r="N183" i="14"/>
  <c r="M184" i="14"/>
  <c r="K151" i="14"/>
  <c r="H19" i="1"/>
  <c r="K34" i="10"/>
  <c r="K36" i="11"/>
  <c r="G36" i="11"/>
  <c r="G34" i="10"/>
  <c r="H27" i="10"/>
  <c r="H29" i="11"/>
  <c r="G27" i="10"/>
  <c r="G29" i="11"/>
  <c r="G38" i="1"/>
  <c r="I36" i="11"/>
  <c r="I34" i="10"/>
  <c r="J36" i="11"/>
  <c r="J34" i="10"/>
  <c r="G7" i="1"/>
  <c r="H34" i="10"/>
  <c r="H36" i="11"/>
  <c r="I29" i="11"/>
  <c r="I27" i="10"/>
  <c r="M128" i="14"/>
  <c r="I85" i="14"/>
  <c r="J85" i="14" s="1"/>
  <c r="G93" i="14"/>
  <c r="F96" i="14"/>
  <c r="I70" i="14"/>
  <c r="H73" i="14"/>
  <c r="I68" i="14"/>
  <c r="J48" i="14"/>
  <c r="J53" i="14" s="1"/>
  <c r="J37" i="14"/>
  <c r="I39" i="14"/>
  <c r="I13" i="14" s="1"/>
  <c r="I119" i="14" s="1"/>
  <c r="I113" i="14" s="1"/>
  <c r="K29" i="14"/>
  <c r="J31" i="14"/>
  <c r="J12" i="14" s="1"/>
  <c r="J116" i="14" s="1"/>
  <c r="G4" i="11"/>
  <c r="H2" i="11"/>
  <c r="I1" i="11"/>
  <c r="J1" i="11" s="1"/>
  <c r="H4" i="11"/>
  <c r="H52" i="11" s="1"/>
  <c r="H53" i="11" s="1"/>
  <c r="G2" i="11"/>
  <c r="G51" i="11" s="1"/>
  <c r="G3" i="11"/>
  <c r="F52" i="11"/>
  <c r="F53" i="11" s="1"/>
  <c r="J19" i="1"/>
  <c r="J41" i="2"/>
  <c r="I16" i="1"/>
  <c r="N11" i="1"/>
  <c r="M11" i="1"/>
  <c r="C67" i="11"/>
  <c r="C63" i="10"/>
  <c r="K19" i="1"/>
  <c r="E53" i="11"/>
  <c r="F40" i="11"/>
  <c r="E40" i="11"/>
  <c r="I2" i="11"/>
  <c r="I4" i="11"/>
  <c r="I3" i="11"/>
  <c r="H51" i="11"/>
  <c r="K47" i="10"/>
  <c r="K48" i="10"/>
  <c r="K49" i="10" s="1"/>
  <c r="G47" i="10"/>
  <c r="G48" i="10"/>
  <c r="G49" i="10" s="1"/>
  <c r="L47" i="10"/>
  <c r="L48" i="10"/>
  <c r="L49" i="10" s="1"/>
  <c r="H48" i="10"/>
  <c r="H49" i="10" s="1"/>
  <c r="H47" i="10"/>
  <c r="I48" i="10"/>
  <c r="I49" i="10" s="1"/>
  <c r="I47" i="10"/>
  <c r="F48" i="10"/>
  <c r="F49" i="10" s="1"/>
  <c r="F47" i="10"/>
  <c r="E44" i="10"/>
  <c r="E51" i="10"/>
  <c r="J48" i="10"/>
  <c r="J49" i="10" s="1"/>
  <c r="J47" i="10"/>
  <c r="F44" i="10"/>
  <c r="O47" i="10"/>
  <c r="O48" i="10"/>
  <c r="O49" i="10" s="1"/>
  <c r="P48" i="10"/>
  <c r="P49" i="10" s="1"/>
  <c r="P47" i="10"/>
  <c r="N47" i="10"/>
  <c r="N48" i="10"/>
  <c r="N49" i="10" s="1"/>
  <c r="M48" i="10"/>
  <c r="M49" i="10" s="1"/>
  <c r="M47" i="10"/>
  <c r="K11" i="1"/>
  <c r="K7" i="1" s="1"/>
  <c r="G17" i="1"/>
  <c r="J16" i="1"/>
  <c r="H64" i="9"/>
  <c r="H60" i="9" s="1"/>
  <c r="H51" i="2" s="1"/>
  <c r="H7" i="1"/>
  <c r="H91" i="9"/>
  <c r="G46" i="1"/>
  <c r="I41" i="2"/>
  <c r="I23" i="8"/>
  <c r="I26" i="8" s="1"/>
  <c r="H8" i="2"/>
  <c r="I11" i="1"/>
  <c r="I7" i="1" s="1"/>
  <c r="H16" i="1"/>
  <c r="J11" i="1"/>
  <c r="O11" i="1"/>
  <c r="K41" i="2"/>
  <c r="H41" i="2"/>
  <c r="P11" i="1"/>
  <c r="M220" i="5"/>
  <c r="L41" i="2"/>
  <c r="L11" i="1"/>
  <c r="I19" i="1"/>
  <c r="I82" i="9"/>
  <c r="H52" i="2"/>
  <c r="F53" i="1"/>
  <c r="H9" i="9"/>
  <c r="E203" i="5"/>
  <c r="E196" i="5"/>
  <c r="J229" i="5"/>
  <c r="E88" i="5"/>
  <c r="H144" i="5"/>
  <c r="I141" i="5" s="1"/>
  <c r="I17" i="8"/>
  <c r="H21" i="2"/>
  <c r="I5" i="7"/>
  <c r="H10" i="2"/>
  <c r="H17" i="1" s="1"/>
  <c r="I5" i="8"/>
  <c r="H16" i="2"/>
  <c r="G73" i="5"/>
  <c r="G18" i="2"/>
  <c r="G22" i="2" s="1"/>
  <c r="H104" i="5"/>
  <c r="H107" i="5" s="1"/>
  <c r="F24" i="2"/>
  <c r="M43" i="5"/>
  <c r="O12" i="5"/>
  <c r="I43" i="5"/>
  <c r="N72" i="5"/>
  <c r="N67" i="5" s="1"/>
  <c r="N11" i="2" s="1"/>
  <c r="K73" i="5"/>
  <c r="J73" i="5"/>
  <c r="M72" i="5"/>
  <c r="M67" i="5" s="1"/>
  <c r="M11" i="2" s="1"/>
  <c r="I73" i="5"/>
  <c r="J43" i="5"/>
  <c r="E73" i="5"/>
  <c r="K43" i="5"/>
  <c r="L43" i="5"/>
  <c r="H43" i="5"/>
  <c r="F15" i="3"/>
  <c r="F27" i="5"/>
  <c r="E53" i="1"/>
  <c r="E56" i="1" s="1"/>
  <c r="F55" i="1" s="1"/>
  <c r="E24" i="2"/>
  <c r="J270" i="14" l="1"/>
  <c r="J273" i="14" s="1"/>
  <c r="I19" i="9"/>
  <c r="I275" i="14"/>
  <c r="I28" i="9" s="1"/>
  <c r="I162" i="14"/>
  <c r="J133" i="14"/>
  <c r="I9" i="3"/>
  <c r="J289" i="14"/>
  <c r="J287" i="14"/>
  <c r="J19" i="9" s="1"/>
  <c r="H159" i="14"/>
  <c r="H156" i="14"/>
  <c r="I156" i="14"/>
  <c r="F56" i="1"/>
  <c r="G55" i="1" s="1"/>
  <c r="K244" i="14"/>
  <c r="L240" i="14"/>
  <c r="K157" i="14"/>
  <c r="J156" i="14"/>
  <c r="J163" i="14"/>
  <c r="J162" i="14" s="1"/>
  <c r="L151" i="14"/>
  <c r="G31" i="11"/>
  <c r="K31" i="11"/>
  <c r="I29" i="10"/>
  <c r="G29" i="10"/>
  <c r="K29" i="10"/>
  <c r="I31" i="11"/>
  <c r="H31" i="11"/>
  <c r="H29" i="10"/>
  <c r="N128" i="14"/>
  <c r="I88" i="14"/>
  <c r="H93" i="14"/>
  <c r="G96" i="14"/>
  <c r="J88" i="14"/>
  <c r="K85" i="14"/>
  <c r="J70" i="14"/>
  <c r="I73" i="14"/>
  <c r="J68" i="14"/>
  <c r="K48" i="14"/>
  <c r="K53" i="14" s="1"/>
  <c r="K37" i="14"/>
  <c r="J39" i="14"/>
  <c r="J13" i="14" s="1"/>
  <c r="J119" i="14" s="1"/>
  <c r="J113" i="14" s="1"/>
  <c r="L29" i="14"/>
  <c r="K31" i="14"/>
  <c r="K12" i="14" s="1"/>
  <c r="K116" i="14" s="1"/>
  <c r="G52" i="11"/>
  <c r="G53" i="11" s="1"/>
  <c r="G45" i="2"/>
  <c r="K1" i="11"/>
  <c r="J3" i="11"/>
  <c r="J4" i="11"/>
  <c r="J2" i="11"/>
  <c r="E48" i="11"/>
  <c r="E55" i="11"/>
  <c r="I52" i="11"/>
  <c r="I53" i="11" s="1"/>
  <c r="I51" i="11"/>
  <c r="F48" i="11"/>
  <c r="F55" i="11"/>
  <c r="F51" i="10"/>
  <c r="I62" i="9"/>
  <c r="I64" i="9" s="1"/>
  <c r="J62" i="9" s="1"/>
  <c r="J64" i="9" s="1"/>
  <c r="I91" i="9"/>
  <c r="H46" i="1"/>
  <c r="J82" i="9"/>
  <c r="I52" i="2"/>
  <c r="J23" i="8"/>
  <c r="J26" i="8" s="1"/>
  <c r="I8" i="2"/>
  <c r="N220" i="5"/>
  <c r="M41" i="2"/>
  <c r="H12" i="9"/>
  <c r="K229" i="5"/>
  <c r="O27" i="5"/>
  <c r="O42" i="5" s="1"/>
  <c r="P12" i="5"/>
  <c r="J5" i="7"/>
  <c r="I10" i="2"/>
  <c r="I17" i="1" s="1"/>
  <c r="J17" i="8"/>
  <c r="I21" i="2"/>
  <c r="I144" i="5"/>
  <c r="H19" i="2"/>
  <c r="J5" i="8"/>
  <c r="I16" i="2"/>
  <c r="H18" i="2"/>
  <c r="I104" i="5"/>
  <c r="I107" i="5" s="1"/>
  <c r="F28" i="5"/>
  <c r="F42" i="5"/>
  <c r="F73" i="5" s="1"/>
  <c r="K270" i="14" l="1"/>
  <c r="K273" i="14" s="1"/>
  <c r="J275" i="14"/>
  <c r="J28" i="9" s="1"/>
  <c r="K284" i="14"/>
  <c r="K287" i="14"/>
  <c r="K19" i="9" s="1"/>
  <c r="K289" i="14"/>
  <c r="K133" i="14"/>
  <c r="J9" i="3"/>
  <c r="H25" i="9"/>
  <c r="H46" i="9"/>
  <c r="H40" i="2" s="1"/>
  <c r="L244" i="14"/>
  <c r="M240" i="14"/>
  <c r="L157" i="14"/>
  <c r="K163" i="14"/>
  <c r="K162" i="14" s="1"/>
  <c r="K156" i="14"/>
  <c r="M151" i="14"/>
  <c r="L229" i="5"/>
  <c r="O128" i="14"/>
  <c r="G14" i="14"/>
  <c r="G97" i="14"/>
  <c r="H96" i="14"/>
  <c r="I93" i="14"/>
  <c r="K88" i="14"/>
  <c r="L85" i="14"/>
  <c r="K70" i="14"/>
  <c r="J73" i="14"/>
  <c r="K68" i="14"/>
  <c r="L48" i="14"/>
  <c r="L53" i="14" s="1"/>
  <c r="L37" i="14"/>
  <c r="K39" i="14"/>
  <c r="K13" i="14" s="1"/>
  <c r="K119" i="14" s="1"/>
  <c r="K113" i="14" s="1"/>
  <c r="M29" i="14"/>
  <c r="L31" i="14"/>
  <c r="L12" i="14" s="1"/>
  <c r="L116" i="14" s="1"/>
  <c r="I60" i="9"/>
  <c r="I51" i="2" s="1"/>
  <c r="J52" i="11"/>
  <c r="J53" i="11" s="1"/>
  <c r="J51" i="11"/>
  <c r="K4" i="11"/>
  <c r="K3" i="11"/>
  <c r="K2" i="11"/>
  <c r="L1" i="11"/>
  <c r="I46" i="1"/>
  <c r="J91" i="9"/>
  <c r="O220" i="5"/>
  <c r="N41" i="2"/>
  <c r="K62" i="9"/>
  <c r="K64" i="9" s="1"/>
  <c r="J60" i="9"/>
  <c r="J51" i="2" s="1"/>
  <c r="K82" i="9"/>
  <c r="J52" i="2"/>
  <c r="K23" i="8"/>
  <c r="K26" i="8" s="1"/>
  <c r="J8" i="2"/>
  <c r="I9" i="9"/>
  <c r="M229" i="5"/>
  <c r="O72" i="5"/>
  <c r="O67" i="5" s="1"/>
  <c r="O11" i="2" s="1"/>
  <c r="P27" i="5"/>
  <c r="P42" i="5" s="1"/>
  <c r="P72" i="5" s="1"/>
  <c r="P67" i="5" s="1"/>
  <c r="P11" i="2" s="1"/>
  <c r="J141" i="5"/>
  <c r="I19" i="2" s="1"/>
  <c r="J161" i="5"/>
  <c r="J9" i="1" s="1"/>
  <c r="K17" i="8"/>
  <c r="J21" i="2"/>
  <c r="H22" i="2"/>
  <c r="K5" i="7"/>
  <c r="J10" i="2"/>
  <c r="J17" i="1" s="1"/>
  <c r="K5" i="8"/>
  <c r="J16" i="2"/>
  <c r="I18" i="2"/>
  <c r="J104" i="5"/>
  <c r="J107" i="5" s="1"/>
  <c r="F37" i="5"/>
  <c r="F43" i="5"/>
  <c r="G43" i="5"/>
  <c r="L284" i="14" l="1"/>
  <c r="L270" i="14"/>
  <c r="K275" i="14"/>
  <c r="K28" i="9" s="1"/>
  <c r="L289" i="14"/>
  <c r="L287" i="14"/>
  <c r="L133" i="14"/>
  <c r="K9" i="3"/>
  <c r="M244" i="14"/>
  <c r="N240" i="14"/>
  <c r="N151" i="14"/>
  <c r="O151" i="14" s="1"/>
  <c r="M157" i="14"/>
  <c r="L163" i="14"/>
  <c r="P128" i="14"/>
  <c r="J93" i="14"/>
  <c r="I96" i="14"/>
  <c r="H14" i="14"/>
  <c r="H97" i="14"/>
  <c r="M85" i="14"/>
  <c r="L88" i="14"/>
  <c r="L70" i="14"/>
  <c r="K73" i="14"/>
  <c r="M68" i="14"/>
  <c r="L68" i="14"/>
  <c r="M48" i="14"/>
  <c r="M53" i="14" s="1"/>
  <c r="M37" i="14"/>
  <c r="L39" i="14"/>
  <c r="L13" i="14" s="1"/>
  <c r="L119" i="14" s="1"/>
  <c r="L113" i="14" s="1"/>
  <c r="N29" i="14"/>
  <c r="M31" i="14"/>
  <c r="M12" i="14" s="1"/>
  <c r="M116" i="14" s="1"/>
  <c r="J7" i="1"/>
  <c r="J29" i="11"/>
  <c r="J27" i="10"/>
  <c r="H45" i="2"/>
  <c r="L4" i="11"/>
  <c r="L2" i="11"/>
  <c r="M1" i="11"/>
  <c r="L3" i="11"/>
  <c r="K51" i="11"/>
  <c r="K52" i="11"/>
  <c r="K53" i="11" s="1"/>
  <c r="J46" i="1"/>
  <c r="K91" i="9"/>
  <c r="L62" i="9"/>
  <c r="K60" i="9"/>
  <c r="K51" i="2" s="1"/>
  <c r="L23" i="8"/>
  <c r="L26" i="8" s="1"/>
  <c r="K8" i="2"/>
  <c r="P220" i="5"/>
  <c r="P41" i="2" s="1"/>
  <c r="O41" i="2"/>
  <c r="L82" i="9"/>
  <c r="K52" i="2"/>
  <c r="I12" i="9"/>
  <c r="F203" i="5"/>
  <c r="F196" i="5"/>
  <c r="F88" i="5"/>
  <c r="F171" i="5"/>
  <c r="N229" i="5"/>
  <c r="I22" i="2"/>
  <c r="L5" i="7"/>
  <c r="K10" i="2"/>
  <c r="L17" i="8"/>
  <c r="K21" i="2"/>
  <c r="L5" i="8"/>
  <c r="K16" i="2"/>
  <c r="J18" i="2"/>
  <c r="J22" i="2" s="1"/>
  <c r="K104" i="5"/>
  <c r="K107" i="5" s="1"/>
  <c r="L273" i="14" l="1"/>
  <c r="M270" i="14" s="1"/>
  <c r="M273" i="14" s="1"/>
  <c r="L275" i="14"/>
  <c r="L28" i="9" s="1"/>
  <c r="M284" i="14"/>
  <c r="M287" i="14" s="1"/>
  <c r="M19" i="9" s="1"/>
  <c r="M133" i="14"/>
  <c r="L9" i="3"/>
  <c r="I25" i="9"/>
  <c r="I46" i="9"/>
  <c r="I40" i="2" s="1"/>
  <c r="N244" i="14"/>
  <c r="O240" i="14"/>
  <c r="P151" i="14"/>
  <c r="N157" i="14"/>
  <c r="M163" i="14"/>
  <c r="I97" i="14"/>
  <c r="I14" i="14"/>
  <c r="K93" i="14"/>
  <c r="J96" i="14"/>
  <c r="M88" i="14"/>
  <c r="N85" i="14"/>
  <c r="M70" i="14"/>
  <c r="L73" i="14"/>
  <c r="N48" i="14"/>
  <c r="N53" i="14" s="1"/>
  <c r="N37" i="14"/>
  <c r="M39" i="14"/>
  <c r="M13" i="14" s="1"/>
  <c r="M119" i="14" s="1"/>
  <c r="M113" i="14" s="1"/>
  <c r="O29" i="14"/>
  <c r="N31" i="14"/>
  <c r="N12" i="14" s="1"/>
  <c r="N116" i="14" s="1"/>
  <c r="J29" i="10"/>
  <c r="J31" i="11"/>
  <c r="N1" i="11"/>
  <c r="M3" i="11"/>
  <c r="M4" i="11"/>
  <c r="M2" i="11"/>
  <c r="L52" i="11"/>
  <c r="L53" i="11" s="1"/>
  <c r="L51" i="11"/>
  <c r="K46" i="1"/>
  <c r="L91" i="9"/>
  <c r="M23" i="8"/>
  <c r="M26" i="8" s="1"/>
  <c r="L8" i="2"/>
  <c r="K17" i="1"/>
  <c r="M82" i="9"/>
  <c r="L52" i="2"/>
  <c r="J9" i="9"/>
  <c r="O229" i="5"/>
  <c r="M17" i="8"/>
  <c r="L21" i="2"/>
  <c r="M5" i="7"/>
  <c r="L10" i="2"/>
  <c r="M5" i="8"/>
  <c r="L16" i="2"/>
  <c r="K18" i="2"/>
  <c r="K22" i="2" s="1"/>
  <c r="L104" i="5"/>
  <c r="L107" i="5" s="1"/>
  <c r="N284" i="14" l="1"/>
  <c r="N287" i="14" s="1"/>
  <c r="N270" i="14"/>
  <c r="N273" i="14" s="1"/>
  <c r="M275" i="14"/>
  <c r="M289" i="14"/>
  <c r="M28" i="9" s="1"/>
  <c r="L19" i="9"/>
  <c r="N133" i="14"/>
  <c r="M9" i="3"/>
  <c r="O284" i="14"/>
  <c r="O287" i="14" s="1"/>
  <c r="N289" i="14"/>
  <c r="O244" i="14"/>
  <c r="P240" i="14"/>
  <c r="O157" i="14"/>
  <c r="N163" i="14"/>
  <c r="J97" i="14"/>
  <c r="J14" i="14"/>
  <c r="L93" i="14"/>
  <c r="K96" i="14"/>
  <c r="N88" i="14"/>
  <c r="O85" i="14"/>
  <c r="N70" i="14"/>
  <c r="M73" i="14"/>
  <c r="O48" i="14"/>
  <c r="O53" i="14" s="1"/>
  <c r="O37" i="14"/>
  <c r="N39" i="14"/>
  <c r="N13" i="14" s="1"/>
  <c r="N119" i="14" s="1"/>
  <c r="N113" i="14" s="1"/>
  <c r="P29" i="14"/>
  <c r="P31" i="14" s="1"/>
  <c r="P12" i="14" s="1"/>
  <c r="P116" i="14" s="1"/>
  <c r="O31" i="14"/>
  <c r="O12" i="14" s="1"/>
  <c r="O116" i="14" s="1"/>
  <c r="I45" i="2"/>
  <c r="M51" i="11"/>
  <c r="M52" i="11"/>
  <c r="M53" i="11" s="1"/>
  <c r="O1" i="11"/>
  <c r="N3" i="11"/>
  <c r="N4" i="11"/>
  <c r="N2" i="11"/>
  <c r="L46" i="1"/>
  <c r="M91" i="9"/>
  <c r="L17" i="1"/>
  <c r="N23" i="8"/>
  <c r="N26" i="8" s="1"/>
  <c r="M8" i="2"/>
  <c r="N82" i="9"/>
  <c r="M52" i="2"/>
  <c r="J12" i="9"/>
  <c r="P229" i="5"/>
  <c r="N5" i="7"/>
  <c r="M10" i="2"/>
  <c r="N17" i="8"/>
  <c r="M21" i="2"/>
  <c r="N5" i="8"/>
  <c r="M16" i="2"/>
  <c r="L18" i="2"/>
  <c r="L22" i="2" s="1"/>
  <c r="M104" i="5"/>
  <c r="M107" i="5" s="1"/>
  <c r="N19" i="9" l="1"/>
  <c r="O270" i="14"/>
  <c r="O273" i="14" s="1"/>
  <c r="N275" i="14"/>
  <c r="N28" i="9"/>
  <c r="O133" i="14"/>
  <c r="N9" i="3"/>
  <c r="J25" i="9"/>
  <c r="J46" i="9"/>
  <c r="J40" i="2" s="1"/>
  <c r="O289" i="14"/>
  <c r="P284" i="14"/>
  <c r="P287" i="14" s="1"/>
  <c r="P244" i="14"/>
  <c r="P157" i="14"/>
  <c r="P163" i="14" s="1"/>
  <c r="O163" i="14"/>
  <c r="K97" i="14"/>
  <c r="K14" i="14"/>
  <c r="M93" i="14"/>
  <c r="L96" i="14"/>
  <c r="P85" i="14"/>
  <c r="P88" i="14" s="1"/>
  <c r="O88" i="14"/>
  <c r="O70" i="14"/>
  <c r="N73" i="14"/>
  <c r="P48" i="14"/>
  <c r="P53" i="14" s="1"/>
  <c r="P37" i="14"/>
  <c r="P39" i="14" s="1"/>
  <c r="P13" i="14" s="1"/>
  <c r="P119" i="14" s="1"/>
  <c r="P113" i="14" s="1"/>
  <c r="O39" i="14"/>
  <c r="O13" i="14" s="1"/>
  <c r="O119" i="14" s="1"/>
  <c r="O113" i="14" s="1"/>
  <c r="N51" i="11"/>
  <c r="N52" i="11"/>
  <c r="N53" i="11" s="1"/>
  <c r="P1" i="11"/>
  <c r="O3" i="11"/>
  <c r="O4" i="11"/>
  <c r="O2" i="11"/>
  <c r="N91" i="9"/>
  <c r="M46" i="1"/>
  <c r="O23" i="8"/>
  <c r="O26" i="8" s="1"/>
  <c r="N8" i="2"/>
  <c r="M17" i="1"/>
  <c r="O82" i="9"/>
  <c r="N52" i="2"/>
  <c r="K9" i="9"/>
  <c r="O17" i="8"/>
  <c r="N21" i="2"/>
  <c r="O5" i="7"/>
  <c r="N10" i="2"/>
  <c r="O5" i="8"/>
  <c r="N16" i="2"/>
  <c r="M18" i="2"/>
  <c r="M22" i="2" s="1"/>
  <c r="N104" i="5"/>
  <c r="P270" i="14" l="1"/>
  <c r="P273" i="14" s="1"/>
  <c r="P275" i="14" s="1"/>
  <c r="O275" i="14"/>
  <c r="O28" i="9" s="1"/>
  <c r="O19" i="9"/>
  <c r="P289" i="14"/>
  <c r="P28" i="9" s="1"/>
  <c r="P19" i="9"/>
  <c r="P133" i="14"/>
  <c r="P9" i="3" s="1"/>
  <c r="O9" i="3"/>
  <c r="N93" i="14"/>
  <c r="M96" i="14"/>
  <c r="L97" i="14"/>
  <c r="L14" i="14"/>
  <c r="P70" i="14"/>
  <c r="P73" i="14" s="1"/>
  <c r="O73" i="14"/>
  <c r="J45" i="2"/>
  <c r="O52" i="11"/>
  <c r="O53" i="11" s="1"/>
  <c r="O51" i="11"/>
  <c r="P3" i="11"/>
  <c r="P4" i="11"/>
  <c r="P2" i="11"/>
  <c r="O91" i="9"/>
  <c r="N46" i="1"/>
  <c r="P82" i="9"/>
  <c r="P52" i="2" s="1"/>
  <c r="O52" i="2"/>
  <c r="P23" i="8"/>
  <c r="P26" i="8" s="1"/>
  <c r="P8" i="2" s="1"/>
  <c r="O8" i="2"/>
  <c r="N17" i="1"/>
  <c r="K12" i="9"/>
  <c r="P5" i="7"/>
  <c r="P10" i="2" s="1"/>
  <c r="O10" i="2"/>
  <c r="P17" i="8"/>
  <c r="P21" i="2" s="1"/>
  <c r="O21" i="2"/>
  <c r="P5" i="8"/>
  <c r="P16" i="2" s="1"/>
  <c r="O16" i="2"/>
  <c r="L113" i="5"/>
  <c r="L27" i="1" s="1"/>
  <c r="L141" i="14" s="1"/>
  <c r="M113" i="5"/>
  <c r="M27" i="1" s="1"/>
  <c r="M141" i="14" s="1"/>
  <c r="M159" i="14" l="1"/>
  <c r="M156" i="14"/>
  <c r="M162" i="14"/>
  <c r="L159" i="14"/>
  <c r="L156" i="14"/>
  <c r="L162" i="14"/>
  <c r="K25" i="9"/>
  <c r="K46" i="9"/>
  <c r="K40" i="2" s="1"/>
  <c r="L34" i="10"/>
  <c r="L36" i="11"/>
  <c r="L38" i="1"/>
  <c r="M36" i="11"/>
  <c r="M34" i="10"/>
  <c r="M38" i="1"/>
  <c r="M14" i="14"/>
  <c r="M97" i="14"/>
  <c r="O93" i="14"/>
  <c r="N96" i="14"/>
  <c r="P51" i="11"/>
  <c r="P52" i="11"/>
  <c r="P53" i="11" s="1"/>
  <c r="P91" i="9"/>
  <c r="P46" i="1" s="1"/>
  <c r="O46" i="1"/>
  <c r="P17" i="1"/>
  <c r="O17" i="1"/>
  <c r="L9" i="9"/>
  <c r="J157" i="5"/>
  <c r="J143" i="5"/>
  <c r="J144" i="5" s="1"/>
  <c r="P93" i="14" l="1"/>
  <c r="P96" i="14" s="1"/>
  <c r="O96" i="14"/>
  <c r="N14" i="14"/>
  <c r="N97" i="14"/>
  <c r="K45" i="2"/>
  <c r="L12" i="9"/>
  <c r="K141" i="5"/>
  <c r="L25" i="9" l="1"/>
  <c r="L46" i="9"/>
  <c r="L40" i="2" s="1"/>
  <c r="O14" i="14"/>
  <c r="O97" i="14"/>
  <c r="P14" i="14"/>
  <c r="P97" i="14"/>
  <c r="M9" i="9"/>
  <c r="K157" i="5"/>
  <c r="K143" i="5"/>
  <c r="K144" i="5" s="1"/>
  <c r="L45" i="2" l="1"/>
  <c r="M12" i="9"/>
  <c r="L9" i="1"/>
  <c r="L141" i="5"/>
  <c r="M25" i="9" l="1"/>
  <c r="M46" i="9"/>
  <c r="M40" i="2" s="1"/>
  <c r="L29" i="11"/>
  <c r="L27" i="10"/>
  <c r="N9" i="9"/>
  <c r="L157" i="5"/>
  <c r="L143" i="5"/>
  <c r="L144" i="5" s="1"/>
  <c r="L29" i="10" l="1"/>
  <c r="L31" i="11"/>
  <c r="M45" i="2"/>
  <c r="N12" i="9"/>
  <c r="M9" i="1"/>
  <c r="M141" i="5"/>
  <c r="N25" i="9" l="1"/>
  <c r="N46" i="9"/>
  <c r="N40" i="2" s="1"/>
  <c r="M29" i="11"/>
  <c r="M27" i="10"/>
  <c r="O9" i="9"/>
  <c r="M143" i="5"/>
  <c r="M144" i="5" s="1"/>
  <c r="M157" i="5"/>
  <c r="M29" i="10" l="1"/>
  <c r="M31" i="11"/>
  <c r="N45" i="2"/>
  <c r="O12" i="9"/>
  <c r="O46" i="9" s="1"/>
  <c r="N9" i="1"/>
  <c r="N141" i="5"/>
  <c r="P9" i="9" l="1"/>
  <c r="O40" i="2"/>
  <c r="O25" i="9"/>
  <c r="N143" i="5"/>
  <c r="N144" i="5" s="1"/>
  <c r="N157" i="5"/>
  <c r="O45" i="2" l="1"/>
  <c r="P12" i="9"/>
  <c r="O141" i="5"/>
  <c r="O9" i="1"/>
  <c r="P46" i="9" l="1"/>
  <c r="P40" i="2" s="1"/>
  <c r="P25" i="9"/>
  <c r="O157" i="5"/>
  <c r="O143" i="5"/>
  <c r="O144" i="5" s="1"/>
  <c r="P45" i="2" l="1"/>
  <c r="P141" i="5"/>
  <c r="P9" i="1"/>
  <c r="P157" i="5" l="1"/>
  <c r="P143" i="5"/>
  <c r="P144" i="5" s="1"/>
  <c r="I189" i="5"/>
  <c r="F180" i="5"/>
  <c r="F33" i="2" s="1"/>
  <c r="F37" i="2" s="1"/>
  <c r="F47" i="2" s="1"/>
  <c r="F58" i="2" s="1"/>
  <c r="E180" i="5"/>
  <c r="E33" i="2" s="1"/>
  <c r="E37" i="2" s="1"/>
  <c r="E47" i="2" s="1"/>
  <c r="E58" i="2" s="1"/>
  <c r="F189" i="5"/>
  <c r="G185" i="5" s="1"/>
  <c r="G189" i="5" s="1"/>
  <c r="E189" i="5"/>
  <c r="F185" i="5" s="1"/>
  <c r="I177" i="5" l="1"/>
  <c r="J185" i="5"/>
  <c r="J189" i="5" s="1"/>
  <c r="J177" i="5" s="1"/>
  <c r="H185" i="5"/>
  <c r="H188" i="5" s="1"/>
  <c r="H189" i="5" s="1"/>
  <c r="H177" i="5" s="1"/>
  <c r="G177" i="5"/>
  <c r="E60" i="2"/>
  <c r="E127" i="5"/>
  <c r="F127" i="5"/>
  <c r="F60" i="2"/>
  <c r="K185" i="5" l="1"/>
  <c r="K189" i="5" s="1"/>
  <c r="K177" i="5" s="1"/>
  <c r="L185" i="5"/>
  <c r="L189" i="5" s="1"/>
  <c r="L177" i="5" l="1"/>
  <c r="M185" i="5"/>
  <c r="M189" i="5" s="1"/>
  <c r="G11" i="14"/>
  <c r="H11" i="14"/>
  <c r="I11" i="14"/>
  <c r="J11" i="14"/>
  <c r="K11" i="14"/>
  <c r="L11" i="14"/>
  <c r="M11" i="14"/>
  <c r="N11" i="14"/>
  <c r="O11" i="14"/>
  <c r="P11" i="14"/>
  <c r="H101" i="14"/>
  <c r="M177" i="5" l="1"/>
  <c r="N185" i="5"/>
  <c r="N189" i="5" s="1"/>
  <c r="K15" i="14"/>
  <c r="K114" i="14"/>
  <c r="O15" i="14"/>
  <c r="O114" i="14"/>
  <c r="I15" i="14"/>
  <c r="I114" i="14"/>
  <c r="P15" i="14"/>
  <c r="P114" i="14"/>
  <c r="H15" i="14"/>
  <c r="H114" i="14"/>
  <c r="G15" i="14"/>
  <c r="G20" i="14" s="1"/>
  <c r="G21" i="5" s="1"/>
  <c r="G7" i="5" s="1"/>
  <c r="G114" i="14"/>
  <c r="N15" i="14"/>
  <c r="N114" i="14"/>
  <c r="M15" i="14"/>
  <c r="M114" i="14"/>
  <c r="J15" i="14"/>
  <c r="J114" i="14"/>
  <c r="L15" i="14"/>
  <c r="L114" i="14"/>
  <c r="I101" i="14"/>
  <c r="H18" i="14"/>
  <c r="O185" i="5" l="1"/>
  <c r="O189" i="5" s="1"/>
  <c r="N177" i="5"/>
  <c r="G217" i="5"/>
  <c r="G35" i="2" s="1"/>
  <c r="G22" i="1" s="1"/>
  <c r="G211" i="5"/>
  <c r="G34" i="2" s="1"/>
  <c r="G21" i="1" s="1"/>
  <c r="G3" i="3"/>
  <c r="G97" i="5"/>
  <c r="G12" i="2" s="1"/>
  <c r="G18" i="1" s="1"/>
  <c r="G118" i="5"/>
  <c r="G127" i="14"/>
  <c r="G7" i="3" s="1"/>
  <c r="G130" i="14"/>
  <c r="G8" i="3" s="1"/>
  <c r="H20" i="14"/>
  <c r="H21" i="5" s="1"/>
  <c r="H7" i="5" s="1"/>
  <c r="J101" i="14"/>
  <c r="I18" i="14"/>
  <c r="I20" i="14" s="1"/>
  <c r="I21" i="5" s="1"/>
  <c r="I7" i="5" s="1"/>
  <c r="O177" i="5" l="1"/>
  <c r="P185" i="5"/>
  <c r="P189" i="5" s="1"/>
  <c r="P177" i="5" s="1"/>
  <c r="G235" i="14"/>
  <c r="G63" i="1"/>
  <c r="G23" i="11"/>
  <c r="G21" i="10"/>
  <c r="I211" i="5"/>
  <c r="I34" i="2" s="1"/>
  <c r="I118" i="5"/>
  <c r="I217" i="5"/>
  <c r="I35" i="2" s="1"/>
  <c r="I97" i="5"/>
  <c r="I12" i="2" s="1"/>
  <c r="I3" i="3"/>
  <c r="H118" i="5"/>
  <c r="H211" i="5"/>
  <c r="H34" i="2" s="1"/>
  <c r="H21" i="1" s="1"/>
  <c r="H217" i="5"/>
  <c r="H35" i="2" s="1"/>
  <c r="H22" i="1" s="1"/>
  <c r="H97" i="5"/>
  <c r="H12" i="2" s="1"/>
  <c r="H18" i="1" s="1"/>
  <c r="H3" i="3"/>
  <c r="I127" i="14"/>
  <c r="I7" i="3" s="1"/>
  <c r="I130" i="14"/>
  <c r="I8" i="3" s="1"/>
  <c r="H130" i="14"/>
  <c r="H8" i="3" s="1"/>
  <c r="H127" i="14"/>
  <c r="H7" i="3" s="1"/>
  <c r="K101" i="14"/>
  <c r="J18" i="14"/>
  <c r="J20" i="14" s="1"/>
  <c r="J21" i="5" s="1"/>
  <c r="J7" i="5" s="1"/>
  <c r="H235" i="14" l="1"/>
  <c r="H63" i="1"/>
  <c r="I235" i="14"/>
  <c r="I63" i="1"/>
  <c r="I21" i="1"/>
  <c r="G22" i="10"/>
  <c r="G28" i="10"/>
  <c r="G35" i="10"/>
  <c r="G24" i="11"/>
  <c r="G30" i="11"/>
  <c r="G37" i="11"/>
  <c r="J118" i="5"/>
  <c r="J97" i="5"/>
  <c r="J12" i="2" s="1"/>
  <c r="J18" i="1" s="1"/>
  <c r="J3" i="3"/>
  <c r="J217" i="5"/>
  <c r="J35" i="2" s="1"/>
  <c r="J22" i="1" s="1"/>
  <c r="J211" i="5"/>
  <c r="J34" i="2" s="1"/>
  <c r="J21" i="1" s="1"/>
  <c r="I21" i="10"/>
  <c r="I23" i="11"/>
  <c r="I18" i="1"/>
  <c r="H21" i="10"/>
  <c r="H23" i="11"/>
  <c r="I22" i="1"/>
  <c r="J127" i="14"/>
  <c r="J7" i="3" s="1"/>
  <c r="J130" i="14"/>
  <c r="J8" i="3" s="1"/>
  <c r="L101" i="14"/>
  <c r="K18" i="14"/>
  <c r="K20" i="14" s="1"/>
  <c r="K21" i="5" s="1"/>
  <c r="K7" i="5" s="1"/>
  <c r="J235" i="14" l="1"/>
  <c r="J63" i="1"/>
  <c r="H35" i="10"/>
  <c r="H22" i="10"/>
  <c r="H28" i="10"/>
  <c r="J23" i="11"/>
  <c r="J21" i="10"/>
  <c r="H37" i="11"/>
  <c r="H30" i="11"/>
  <c r="H24" i="11"/>
  <c r="K3" i="3"/>
  <c r="K97" i="5"/>
  <c r="K12" i="2" s="1"/>
  <c r="K18" i="1" s="1"/>
  <c r="K211" i="5"/>
  <c r="K34" i="2" s="1"/>
  <c r="K21" i="1" s="1"/>
  <c r="K118" i="5"/>
  <c r="K217" i="5"/>
  <c r="K35" i="2" s="1"/>
  <c r="K22" i="1" s="1"/>
  <c r="I37" i="11"/>
  <c r="I30" i="11"/>
  <c r="I24" i="11"/>
  <c r="I35" i="10"/>
  <c r="I28" i="10"/>
  <c r="I22" i="10"/>
  <c r="K127" i="14"/>
  <c r="K7" i="3" s="1"/>
  <c r="K130" i="14"/>
  <c r="K8" i="3" s="1"/>
  <c r="M101" i="14"/>
  <c r="L18" i="14"/>
  <c r="L20" i="14" s="1"/>
  <c r="L21" i="5" s="1"/>
  <c r="L7" i="5" s="1"/>
  <c r="K235" i="14" l="1"/>
  <c r="K63" i="1"/>
  <c r="L211" i="5"/>
  <c r="L34" i="2" s="1"/>
  <c r="L21" i="1" s="1"/>
  <c r="L58" i="5"/>
  <c r="L53" i="5" s="1"/>
  <c r="L9" i="2" s="1"/>
  <c r="L16" i="1" s="1"/>
  <c r="L217" i="5"/>
  <c r="L35" i="2" s="1"/>
  <c r="L22" i="1" s="1"/>
  <c r="L3" i="3"/>
  <c r="L118" i="5"/>
  <c r="L97" i="5"/>
  <c r="L12" i="2" s="1"/>
  <c r="L18" i="1" s="1"/>
  <c r="K23" i="11"/>
  <c r="K21" i="10"/>
  <c r="J22" i="10"/>
  <c r="J35" i="10"/>
  <c r="J28" i="10"/>
  <c r="J24" i="11"/>
  <c r="J37" i="11"/>
  <c r="J30" i="11"/>
  <c r="L127" i="14"/>
  <c r="L7" i="3" s="1"/>
  <c r="L130" i="14"/>
  <c r="L8" i="3" s="1"/>
  <c r="N101" i="14"/>
  <c r="M18" i="14"/>
  <c r="M20" i="14" s="1"/>
  <c r="M21" i="5" s="1"/>
  <c r="M7" i="5" s="1"/>
  <c r="L235" i="14" l="1"/>
  <c r="L63" i="1"/>
  <c r="M211" i="5"/>
  <c r="M34" i="2" s="1"/>
  <c r="M21" i="1" s="1"/>
  <c r="M58" i="5"/>
  <c r="M53" i="5" s="1"/>
  <c r="M9" i="2" s="1"/>
  <c r="M16" i="1" s="1"/>
  <c r="M217" i="5"/>
  <c r="M35" i="2" s="1"/>
  <c r="M22" i="1" s="1"/>
  <c r="M3" i="3"/>
  <c r="M118" i="5"/>
  <c r="M97" i="5"/>
  <c r="M12" i="2" s="1"/>
  <c r="M18" i="1" s="1"/>
  <c r="L21" i="10"/>
  <c r="L23" i="11"/>
  <c r="K28" i="10"/>
  <c r="K22" i="10"/>
  <c r="K35" i="10"/>
  <c r="K30" i="11"/>
  <c r="K24" i="11"/>
  <c r="K37" i="11"/>
  <c r="M127" i="14"/>
  <c r="M7" i="3" s="1"/>
  <c r="M130" i="14"/>
  <c r="M8" i="3" s="1"/>
  <c r="O101" i="14"/>
  <c r="N18" i="14"/>
  <c r="N20" i="14" s="1"/>
  <c r="N21" i="5" s="1"/>
  <c r="N7" i="5" s="1"/>
  <c r="M235" i="14" l="1"/>
  <c r="M63" i="1"/>
  <c r="L24" i="11"/>
  <c r="L37" i="11"/>
  <c r="L30" i="11"/>
  <c r="L22" i="10"/>
  <c r="L35" i="10"/>
  <c r="L28" i="10"/>
  <c r="N58" i="5"/>
  <c r="N53" i="5" s="1"/>
  <c r="N9" i="2" s="1"/>
  <c r="N16" i="1" s="1"/>
  <c r="N97" i="5"/>
  <c r="N12" i="2" s="1"/>
  <c r="N18" i="1" s="1"/>
  <c r="N211" i="5"/>
  <c r="N34" i="2" s="1"/>
  <c r="N21" i="1" s="1"/>
  <c r="N217" i="5"/>
  <c r="N35" i="2" s="1"/>
  <c r="N22" i="1" s="1"/>
  <c r="N117" i="5"/>
  <c r="N3" i="3"/>
  <c r="M21" i="10"/>
  <c r="M23" i="11"/>
  <c r="N127" i="14"/>
  <c r="N7" i="3" s="1"/>
  <c r="N130" i="14"/>
  <c r="N8" i="3" s="1"/>
  <c r="P101" i="14"/>
  <c r="P18" i="14" s="1"/>
  <c r="P20" i="14" s="1"/>
  <c r="O18" i="14"/>
  <c r="O20" i="14" s="1"/>
  <c r="O21" i="5" s="1"/>
  <c r="O7" i="5" s="1"/>
  <c r="G122" i="14"/>
  <c r="G111" i="14" s="1"/>
  <c r="H122" i="14"/>
  <c r="H111" i="14" s="1"/>
  <c r="I122" i="14"/>
  <c r="I111" i="14" s="1"/>
  <c r="J122" i="14"/>
  <c r="J111" i="14" s="1"/>
  <c r="K122" i="14"/>
  <c r="K111" i="14" s="1"/>
  <c r="L122" i="14"/>
  <c r="L111" i="14" s="1"/>
  <c r="M122" i="14"/>
  <c r="M111" i="14" s="1"/>
  <c r="N122" i="14"/>
  <c r="N111" i="14" s="1"/>
  <c r="N6" i="3" s="1"/>
  <c r="N5" i="3" s="1"/>
  <c r="I109" i="14" l="1"/>
  <c r="I47" i="5" s="1"/>
  <c r="I37" i="5" s="1"/>
  <c r="I6" i="3"/>
  <c r="I5" i="3" s="1"/>
  <c r="M109" i="14"/>
  <c r="M47" i="5" s="1"/>
  <c r="M37" i="5" s="1"/>
  <c r="M6" i="3"/>
  <c r="M5" i="3" s="1"/>
  <c r="G109" i="14"/>
  <c r="G47" i="5" s="1"/>
  <c r="G37" i="5" s="1"/>
  <c r="G195" i="5" s="1"/>
  <c r="G178" i="5" s="1"/>
  <c r="G6" i="3"/>
  <c r="G5" i="3" s="1"/>
  <c r="H109" i="14"/>
  <c r="H47" i="5" s="1"/>
  <c r="H37" i="5" s="1"/>
  <c r="H195" i="5" s="1"/>
  <c r="H178" i="5" s="1"/>
  <c r="H6" i="3"/>
  <c r="H5" i="3" s="1"/>
  <c r="L109" i="14"/>
  <c r="L47" i="5" s="1"/>
  <c r="L37" i="5" s="1"/>
  <c r="L6" i="3"/>
  <c r="L5" i="3" s="1"/>
  <c r="K109" i="14"/>
  <c r="K47" i="5" s="1"/>
  <c r="K37" i="5" s="1"/>
  <c r="K6" i="3"/>
  <c r="K5" i="3" s="1"/>
  <c r="N243" i="14"/>
  <c r="N242" i="14" s="1"/>
  <c r="N239" i="14"/>
  <c r="N238" i="14" s="1"/>
  <c r="N228" i="5"/>
  <c r="N227" i="5" s="1"/>
  <c r="N72" i="9"/>
  <c r="N71" i="9" s="1"/>
  <c r="N63" i="9" s="1"/>
  <c r="N10" i="1" s="1"/>
  <c r="J109" i="14"/>
  <c r="J47" i="5" s="1"/>
  <c r="J37" i="5" s="1"/>
  <c r="J170" i="5" s="1"/>
  <c r="J32" i="2" s="1"/>
  <c r="J6" i="3"/>
  <c r="J5" i="3" s="1"/>
  <c r="N235" i="14"/>
  <c r="N63" i="1"/>
  <c r="N109" i="14"/>
  <c r="N47" i="5" s="1"/>
  <c r="N37" i="5" s="1"/>
  <c r="N170" i="5" s="1"/>
  <c r="N32" i="2" s="1"/>
  <c r="M202" i="5"/>
  <c r="M179" i="5" s="1"/>
  <c r="M195" i="5"/>
  <c r="M178" i="5" s="1"/>
  <c r="M170" i="5"/>
  <c r="M32" i="2" s="1"/>
  <c r="P122" i="14"/>
  <c r="P111" i="14" s="1"/>
  <c r="P6" i="3" s="1"/>
  <c r="P21" i="5"/>
  <c r="P7" i="5" s="1"/>
  <c r="L202" i="5"/>
  <c r="L179" i="5" s="1"/>
  <c r="L195" i="5"/>
  <c r="L178" i="5" s="1"/>
  <c r="L170" i="5"/>
  <c r="L32" i="2" s="1"/>
  <c r="N131" i="5"/>
  <c r="N105" i="5"/>
  <c r="N113" i="5"/>
  <c r="N27" i="1" s="1"/>
  <c r="O217" i="5"/>
  <c r="O35" i="2" s="1"/>
  <c r="O22" i="1" s="1"/>
  <c r="O211" i="5"/>
  <c r="O34" i="2" s="1"/>
  <c r="O21" i="1" s="1"/>
  <c r="O97" i="5"/>
  <c r="O12" i="2" s="1"/>
  <c r="O18" i="1" s="1"/>
  <c r="O3" i="3"/>
  <c r="O58" i="5"/>
  <c r="O53" i="5" s="1"/>
  <c r="O9" i="2" s="1"/>
  <c r="O16" i="1" s="1"/>
  <c r="O117" i="5"/>
  <c r="J202" i="5"/>
  <c r="J179" i="5" s="1"/>
  <c r="J195" i="5"/>
  <c r="J178" i="5" s="1"/>
  <c r="J88" i="5"/>
  <c r="M22" i="10"/>
  <c r="M35" i="10"/>
  <c r="M28" i="10"/>
  <c r="N12" i="3"/>
  <c r="N23" i="11"/>
  <c r="N24" i="11" s="1"/>
  <c r="N21" i="10"/>
  <c r="N22" i="10" s="1"/>
  <c r="I195" i="5"/>
  <c r="I178" i="5" s="1"/>
  <c r="I88" i="5"/>
  <c r="I202" i="5"/>
  <c r="I179" i="5" s="1"/>
  <c r="I170" i="5"/>
  <c r="I32" i="2" s="1"/>
  <c r="K195" i="5"/>
  <c r="K178" i="5" s="1"/>
  <c r="K88" i="5"/>
  <c r="K202" i="5"/>
  <c r="K179" i="5" s="1"/>
  <c r="K170" i="5"/>
  <c r="K32" i="2" s="1"/>
  <c r="M24" i="11"/>
  <c r="M37" i="11"/>
  <c r="M30" i="11"/>
  <c r="O122" i="14"/>
  <c r="O111" i="14" s="1"/>
  <c r="O6" i="3" s="1"/>
  <c r="O127" i="14"/>
  <c r="O7" i="3" s="1"/>
  <c r="O130" i="14"/>
  <c r="O8" i="3" s="1"/>
  <c r="P127" i="14"/>
  <c r="P7" i="3" s="1"/>
  <c r="P130" i="14"/>
  <c r="P8" i="3" s="1"/>
  <c r="G170" i="5" l="1"/>
  <c r="G32" i="2" s="1"/>
  <c r="G202" i="5"/>
  <c r="G179" i="5" s="1"/>
  <c r="H170" i="5"/>
  <c r="H32" i="2" s="1"/>
  <c r="G88" i="5"/>
  <c r="H239" i="14"/>
  <c r="H238" i="14" s="1"/>
  <c r="H243" i="14"/>
  <c r="H242" i="14" s="1"/>
  <c r="H72" i="9"/>
  <c r="H73" i="9" s="1"/>
  <c r="H228" i="5"/>
  <c r="H227" i="5" s="1"/>
  <c r="H12" i="3"/>
  <c r="H202" i="5"/>
  <c r="H179" i="5" s="1"/>
  <c r="H180" i="5" s="1"/>
  <c r="H33" i="2" s="1"/>
  <c r="H37" i="2" s="1"/>
  <c r="H47" i="2" s="1"/>
  <c r="H88" i="5"/>
  <c r="G243" i="14"/>
  <c r="G242" i="14" s="1"/>
  <c r="G239" i="14"/>
  <c r="G238" i="14" s="1"/>
  <c r="G72" i="9"/>
  <c r="G73" i="9" s="1"/>
  <c r="G228" i="5"/>
  <c r="G227" i="5" s="1"/>
  <c r="G12" i="3"/>
  <c r="O5" i="3"/>
  <c r="K239" i="14"/>
  <c r="K238" i="14" s="1"/>
  <c r="K243" i="14"/>
  <c r="K242" i="14" s="1"/>
  <c r="K228" i="5"/>
  <c r="K227" i="5" s="1"/>
  <c r="K72" i="9"/>
  <c r="K73" i="9" s="1"/>
  <c r="K12" i="3"/>
  <c r="M243" i="14"/>
  <c r="M242" i="14" s="1"/>
  <c r="M239" i="14"/>
  <c r="M238" i="14" s="1"/>
  <c r="M228" i="5"/>
  <c r="M227" i="5" s="1"/>
  <c r="M72" i="9"/>
  <c r="M71" i="9" s="1"/>
  <c r="M63" i="9" s="1"/>
  <c r="M10" i="1" s="1"/>
  <c r="M7" i="1" s="1"/>
  <c r="M12" i="3"/>
  <c r="J239" i="14"/>
  <c r="J238" i="14" s="1"/>
  <c r="J72" i="9"/>
  <c r="J73" i="9" s="1"/>
  <c r="J228" i="5"/>
  <c r="J227" i="5" s="1"/>
  <c r="J243" i="14"/>
  <c r="J242" i="14" s="1"/>
  <c r="J12" i="3"/>
  <c r="L239" i="14"/>
  <c r="L238" i="14" s="1"/>
  <c r="L243" i="14"/>
  <c r="L242" i="14" s="1"/>
  <c r="L228" i="5"/>
  <c r="L227" i="5" s="1"/>
  <c r="L72" i="9"/>
  <c r="L71" i="9" s="1"/>
  <c r="L63" i="9" s="1"/>
  <c r="L12" i="3"/>
  <c r="I239" i="14"/>
  <c r="I238" i="14" s="1"/>
  <c r="I243" i="14"/>
  <c r="I242" i="14" s="1"/>
  <c r="I72" i="9"/>
  <c r="I73" i="9" s="1"/>
  <c r="I228" i="5"/>
  <c r="I227" i="5" s="1"/>
  <c r="I12" i="3"/>
  <c r="P5" i="3"/>
  <c r="O235" i="14"/>
  <c r="O63" i="1"/>
  <c r="K180" i="5"/>
  <c r="K33" i="2" s="1"/>
  <c r="K37" i="2" s="1"/>
  <c r="K47" i="2" s="1"/>
  <c r="N195" i="5"/>
  <c r="N178" i="5" s="1"/>
  <c r="L88" i="5"/>
  <c r="L87" i="5" s="1"/>
  <c r="L82" i="5" s="1"/>
  <c r="L31" i="2" s="1"/>
  <c r="N202" i="5"/>
  <c r="N179" i="5" s="1"/>
  <c r="P109" i="14"/>
  <c r="P47" i="5" s="1"/>
  <c r="P37" i="5" s="1"/>
  <c r="P202" i="5" s="1"/>
  <c r="P179" i="5" s="1"/>
  <c r="M180" i="5"/>
  <c r="M33" i="2" s="1"/>
  <c r="J180" i="5"/>
  <c r="J33" i="2" s="1"/>
  <c r="N141" i="14"/>
  <c r="N34" i="10"/>
  <c r="N35" i="10" s="1"/>
  <c r="N38" i="1"/>
  <c r="N36" i="11"/>
  <c r="N37" i="11" s="1"/>
  <c r="P211" i="5"/>
  <c r="P34" i="2" s="1"/>
  <c r="P21" i="1" s="1"/>
  <c r="P3" i="3"/>
  <c r="P97" i="5"/>
  <c r="P12" i="2" s="1"/>
  <c r="P18" i="1" s="1"/>
  <c r="P58" i="5"/>
  <c r="P53" i="5" s="1"/>
  <c r="P9" i="2" s="1"/>
  <c r="P16" i="1" s="1"/>
  <c r="P117" i="5"/>
  <c r="P217" i="5"/>
  <c r="P35" i="2" s="1"/>
  <c r="P22" i="1" s="1"/>
  <c r="O131" i="5"/>
  <c r="O105" i="5"/>
  <c r="O113" i="5"/>
  <c r="O27" i="1" s="1"/>
  <c r="N106" i="5"/>
  <c r="N107" i="5" s="1"/>
  <c r="N127" i="5"/>
  <c r="N8" i="1" s="1"/>
  <c r="I180" i="5"/>
  <c r="I33" i="2" s="1"/>
  <c r="I37" i="2" s="1"/>
  <c r="I47" i="2" s="1"/>
  <c r="O21" i="10"/>
  <c r="O22" i="10" s="1"/>
  <c r="O23" i="11"/>
  <c r="O24" i="11" s="1"/>
  <c r="O12" i="3"/>
  <c r="L180" i="5"/>
  <c r="L33" i="2" s="1"/>
  <c r="G180" i="5"/>
  <c r="G33" i="2" s="1"/>
  <c r="N26" i="11"/>
  <c r="N24" i="10"/>
  <c r="O109" i="14"/>
  <c r="O47" i="5" s="1"/>
  <c r="O37" i="5" s="1"/>
  <c r="I26" i="11" l="1"/>
  <c r="I24" i="10"/>
  <c r="O243" i="14"/>
  <c r="O242" i="14" s="1"/>
  <c r="O239" i="14"/>
  <c r="O238" i="14" s="1"/>
  <c r="O72" i="9"/>
  <c r="O71" i="9" s="1"/>
  <c r="O63" i="9" s="1"/>
  <c r="O10" i="1" s="1"/>
  <c r="O228" i="5"/>
  <c r="O227" i="5" s="1"/>
  <c r="H26" i="11"/>
  <c r="H24" i="10"/>
  <c r="L10" i="1"/>
  <c r="L7" i="1" s="1"/>
  <c r="L64" i="9"/>
  <c r="J26" i="11"/>
  <c r="J24" i="10"/>
  <c r="G26" i="11"/>
  <c r="G24" i="10"/>
  <c r="M26" i="11"/>
  <c r="M24" i="10"/>
  <c r="K24" i="10"/>
  <c r="K26" i="11"/>
  <c r="P243" i="14"/>
  <c r="P242" i="14" s="1"/>
  <c r="P239" i="14"/>
  <c r="P238" i="14" s="1"/>
  <c r="P228" i="5"/>
  <c r="P227" i="5" s="1"/>
  <c r="P72" i="9"/>
  <c r="P71" i="9" s="1"/>
  <c r="P63" i="9" s="1"/>
  <c r="P10" i="1" s="1"/>
  <c r="L24" i="10"/>
  <c r="L26" i="11"/>
  <c r="L20" i="1"/>
  <c r="P235" i="14"/>
  <c r="P63" i="1"/>
  <c r="K20" i="1"/>
  <c r="M88" i="5"/>
  <c r="M87" i="5" s="1"/>
  <c r="M82" i="5" s="1"/>
  <c r="M31" i="2" s="1"/>
  <c r="J20" i="1"/>
  <c r="J15" i="1" s="1"/>
  <c r="P170" i="5"/>
  <c r="P32" i="2" s="1"/>
  <c r="J37" i="2"/>
  <c r="J47" i="2" s="1"/>
  <c r="P195" i="5"/>
  <c r="P178" i="5" s="1"/>
  <c r="P180" i="5" s="1"/>
  <c r="P33" i="2" s="1"/>
  <c r="N180" i="5"/>
  <c r="N33" i="2" s="1"/>
  <c r="N20" i="1" s="1"/>
  <c r="I20" i="1"/>
  <c r="I15" i="1" s="1"/>
  <c r="M20" i="1"/>
  <c r="H20" i="1"/>
  <c r="H15" i="1" s="1"/>
  <c r="L19" i="1"/>
  <c r="L37" i="2"/>
  <c r="L47" i="2" s="1"/>
  <c r="O104" i="5"/>
  <c r="N18" i="2"/>
  <c r="N22" i="2" s="1"/>
  <c r="O202" i="5"/>
  <c r="O179" i="5" s="1"/>
  <c r="O195" i="5"/>
  <c r="O178" i="5" s="1"/>
  <c r="O170" i="5"/>
  <c r="O32" i="2" s="1"/>
  <c r="P21" i="10"/>
  <c r="P22" i="10" s="1"/>
  <c r="P23" i="11"/>
  <c r="P24" i="11" s="1"/>
  <c r="P12" i="3"/>
  <c r="Q23" i="11"/>
  <c r="Q42" i="11" s="1"/>
  <c r="Q21" i="10"/>
  <c r="O24" i="10"/>
  <c r="O26" i="11"/>
  <c r="G20" i="1"/>
  <c r="O141" i="14"/>
  <c r="O34" i="10"/>
  <c r="O35" i="10" s="1"/>
  <c r="O38" i="1"/>
  <c r="O36" i="11"/>
  <c r="O37" i="11" s="1"/>
  <c r="N7" i="1"/>
  <c r="N29" i="11"/>
  <c r="N33" i="11" s="1"/>
  <c r="N34" i="11" s="1"/>
  <c r="N27" i="10"/>
  <c r="G37" i="2"/>
  <c r="G47" i="2" s="1"/>
  <c r="K40" i="10"/>
  <c r="K42" i="11"/>
  <c r="K43" i="11" s="1"/>
  <c r="K15" i="1"/>
  <c r="O127" i="5"/>
  <c r="O8" i="1" s="1"/>
  <c r="O106" i="5"/>
  <c r="N25" i="10"/>
  <c r="N37" i="10"/>
  <c r="P105" i="5"/>
  <c r="P131" i="5"/>
  <c r="P113" i="5"/>
  <c r="P27" i="1" s="1"/>
  <c r="N162" i="14"/>
  <c r="N156" i="14"/>
  <c r="N159" i="14"/>
  <c r="N27" i="11"/>
  <c r="H37" i="10" l="1"/>
  <c r="H38" i="10" s="1"/>
  <c r="H25" i="10"/>
  <c r="H31" i="10"/>
  <c r="H32" i="10" s="1"/>
  <c r="G25" i="10"/>
  <c r="G37" i="10"/>
  <c r="G38" i="10" s="1"/>
  <c r="G31" i="10"/>
  <c r="G32" i="10" s="1"/>
  <c r="G33" i="11"/>
  <c r="G34" i="11" s="1"/>
  <c r="G27" i="11"/>
  <c r="L27" i="11"/>
  <c r="L33" i="11"/>
  <c r="L34" i="11" s="1"/>
  <c r="L31" i="10"/>
  <c r="L32" i="10" s="1"/>
  <c r="L37" i="10"/>
  <c r="L38" i="10" s="1"/>
  <c r="L25" i="10"/>
  <c r="J37" i="10"/>
  <c r="J38" i="10" s="1"/>
  <c r="J31" i="10"/>
  <c r="J32" i="10" s="1"/>
  <c r="J25" i="10"/>
  <c r="M37" i="10"/>
  <c r="M38" i="10" s="1"/>
  <c r="M25" i="10"/>
  <c r="M31" i="10"/>
  <c r="M32" i="10" s="1"/>
  <c r="H33" i="11"/>
  <c r="H34" i="11" s="1"/>
  <c r="H27" i="11"/>
  <c r="J27" i="11"/>
  <c r="J33" i="11"/>
  <c r="J34" i="11" s="1"/>
  <c r="K27" i="11"/>
  <c r="K33" i="11"/>
  <c r="K34" i="11" s="1"/>
  <c r="M62" i="9"/>
  <c r="M64" i="9" s="1"/>
  <c r="L60" i="9"/>
  <c r="L51" i="2" s="1"/>
  <c r="I25" i="10"/>
  <c r="I31" i="10"/>
  <c r="I32" i="10" s="1"/>
  <c r="I37" i="10"/>
  <c r="I38" i="10" s="1"/>
  <c r="M27" i="11"/>
  <c r="M33" i="11"/>
  <c r="M34" i="11" s="1"/>
  <c r="K31" i="10"/>
  <c r="K32" i="10" s="1"/>
  <c r="K25" i="10"/>
  <c r="K37" i="10"/>
  <c r="K38" i="10" s="1"/>
  <c r="I27" i="11"/>
  <c r="I33" i="11"/>
  <c r="I34" i="11" s="1"/>
  <c r="N88" i="5"/>
  <c r="N87" i="5" s="1"/>
  <c r="N82" i="5" s="1"/>
  <c r="N31" i="2" s="1"/>
  <c r="J42" i="11"/>
  <c r="J43" i="11" s="1"/>
  <c r="J40" i="10"/>
  <c r="J41" i="10" s="1"/>
  <c r="I40" i="10"/>
  <c r="I41" i="10" s="1"/>
  <c r="I42" i="11"/>
  <c r="I43" i="11" s="1"/>
  <c r="H42" i="11"/>
  <c r="H43" i="11" s="1"/>
  <c r="H40" i="10"/>
  <c r="H41" i="10" s="1"/>
  <c r="O107" i="5"/>
  <c r="O18" i="2" s="1"/>
  <c r="O22" i="2" s="1"/>
  <c r="N38" i="10"/>
  <c r="O162" i="14"/>
  <c r="O159" i="14"/>
  <c r="O156" i="14"/>
  <c r="P141" i="14"/>
  <c r="P34" i="10"/>
  <c r="P35" i="10" s="1"/>
  <c r="C18" i="10" s="1"/>
  <c r="Q35" i="10" s="1"/>
  <c r="Q34" i="10" s="1"/>
  <c r="Q27" i="10" s="1"/>
  <c r="Q28" i="10" s="1"/>
  <c r="P36" i="11"/>
  <c r="P37" i="11" s="1"/>
  <c r="C18" i="11" s="1"/>
  <c r="Q37" i="11" s="1"/>
  <c r="Q36" i="11" s="1"/>
  <c r="Q29" i="11" s="1"/>
  <c r="Q30" i="11" s="1"/>
  <c r="P38" i="1"/>
  <c r="N29" i="10"/>
  <c r="N28" i="10"/>
  <c r="O27" i="11"/>
  <c r="O7" i="1"/>
  <c r="O29" i="11"/>
  <c r="O27" i="10"/>
  <c r="O31" i="10" s="1"/>
  <c r="O32" i="10" s="1"/>
  <c r="O37" i="10"/>
  <c r="O25" i="10"/>
  <c r="L15" i="1"/>
  <c r="L42" i="11"/>
  <c r="L43" i="11" s="1"/>
  <c r="L40" i="10"/>
  <c r="N31" i="11"/>
  <c r="N30" i="11"/>
  <c r="Q40" i="10"/>
  <c r="G15" i="1"/>
  <c r="G42" i="11"/>
  <c r="G43" i="11" s="1"/>
  <c r="G40" i="10"/>
  <c r="M19" i="1"/>
  <c r="M37" i="2"/>
  <c r="M47" i="2" s="1"/>
  <c r="O180" i="5"/>
  <c r="O33" i="2" s="1"/>
  <c r="O20" i="1" s="1"/>
  <c r="P106" i="5"/>
  <c r="P127" i="5"/>
  <c r="P8" i="1" s="1"/>
  <c r="K41" i="10"/>
  <c r="K43" i="10"/>
  <c r="P26" i="11"/>
  <c r="P24" i="10"/>
  <c r="N31" i="10"/>
  <c r="N32" i="10" s="1"/>
  <c r="O88" i="5" l="1"/>
  <c r="I43" i="10"/>
  <c r="N62" i="9"/>
  <c r="N64" i="9" s="1"/>
  <c r="M60" i="9"/>
  <c r="M51" i="2" s="1"/>
  <c r="J43" i="10"/>
  <c r="J44" i="10" s="1"/>
  <c r="H43" i="10"/>
  <c r="H51" i="10" s="1"/>
  <c r="P20" i="1"/>
  <c r="P104" i="5"/>
  <c r="P107" i="5" s="1"/>
  <c r="P18" i="2" s="1"/>
  <c r="P22" i="2" s="1"/>
  <c r="L41" i="10"/>
  <c r="L43" i="10"/>
  <c r="P159" i="14"/>
  <c r="C194" i="14" s="1" a="1"/>
  <c r="P156" i="14"/>
  <c r="P162" i="14"/>
  <c r="C213" i="14" s="1" a="1"/>
  <c r="O31" i="11"/>
  <c r="O30" i="11"/>
  <c r="O33" i="11"/>
  <c r="O34" i="11" s="1"/>
  <c r="P25" i="10"/>
  <c r="P37" i="10"/>
  <c r="M40" i="10"/>
  <c r="M42" i="11"/>
  <c r="M43" i="11" s="1"/>
  <c r="M15" i="1"/>
  <c r="O87" i="5"/>
  <c r="O82" i="5" s="1"/>
  <c r="O31" i="2" s="1"/>
  <c r="O19" i="1" s="1"/>
  <c r="P88" i="5"/>
  <c r="P87" i="5" s="1"/>
  <c r="P82" i="5" s="1"/>
  <c r="P31" i="2" s="1"/>
  <c r="N19" i="1"/>
  <c r="N37" i="2"/>
  <c r="N47" i="2" s="1"/>
  <c r="P27" i="11"/>
  <c r="P7" i="1"/>
  <c r="P29" i="11"/>
  <c r="P33" i="11" s="1"/>
  <c r="P34" i="11" s="1"/>
  <c r="C17" i="11" s="1"/>
  <c r="Q34" i="11" s="1"/>
  <c r="Q33" i="11" s="1"/>
  <c r="Q26" i="11" s="1"/>
  <c r="P27" i="10"/>
  <c r="H44" i="10"/>
  <c r="I44" i="10"/>
  <c r="I51" i="10"/>
  <c r="K44" i="10"/>
  <c r="K51" i="10"/>
  <c r="O38" i="10"/>
  <c r="G41" i="10"/>
  <c r="G43" i="10"/>
  <c r="O29" i="10"/>
  <c r="O28" i="10"/>
  <c r="N60" i="9" l="1"/>
  <c r="N51" i="2" s="1"/>
  <c r="O62" i="9"/>
  <c r="O64" i="9" s="1"/>
  <c r="J51" i="10"/>
  <c r="C213" i="14"/>
  <c r="I215" i="14"/>
  <c r="J215" i="14" s="1"/>
  <c r="O221" i="14"/>
  <c r="P221" i="14" s="1"/>
  <c r="N220" i="14"/>
  <c r="O220" i="14" s="1"/>
  <c r="P220" i="14" s="1"/>
  <c r="K217" i="14"/>
  <c r="L217" i="14" s="1"/>
  <c r="M217" i="14" s="1"/>
  <c r="M219" i="14"/>
  <c r="N219" i="14" s="1"/>
  <c r="O219" i="14" s="1"/>
  <c r="P219" i="14" s="1"/>
  <c r="P222" i="14"/>
  <c r="H214" i="14"/>
  <c r="I214" i="14" s="1"/>
  <c r="J214" i="14" s="1"/>
  <c r="J216" i="14"/>
  <c r="K216" i="14" s="1"/>
  <c r="L218" i="14"/>
  <c r="M218" i="14" s="1"/>
  <c r="N218" i="14" s="1"/>
  <c r="O218" i="14" s="1"/>
  <c r="P218" i="14" s="1"/>
  <c r="C194" i="14"/>
  <c r="H195" i="14"/>
  <c r="J197" i="14"/>
  <c r="K197" i="14" s="1"/>
  <c r="L197" i="14" s="1"/>
  <c r="I196" i="14"/>
  <c r="J196" i="14" s="1"/>
  <c r="L199" i="14"/>
  <c r="M199" i="14" s="1"/>
  <c r="N199" i="14" s="1"/>
  <c r="O199" i="14" s="1"/>
  <c r="P199" i="14" s="1"/>
  <c r="M200" i="14"/>
  <c r="N200" i="14" s="1"/>
  <c r="O200" i="14" s="1"/>
  <c r="P200" i="14" s="1"/>
  <c r="N201" i="14"/>
  <c r="O201" i="14" s="1"/>
  <c r="P201" i="14" s="1"/>
  <c r="O202" i="14"/>
  <c r="P202" i="14" s="1"/>
  <c r="K198" i="14"/>
  <c r="L198" i="14" s="1"/>
  <c r="M198" i="14" s="1"/>
  <c r="P203" i="14"/>
  <c r="C175" i="14" a="1"/>
  <c r="C175" i="14" s="1"/>
  <c r="O40" i="10"/>
  <c r="O42" i="11"/>
  <c r="O43" i="11" s="1"/>
  <c r="O15" i="1"/>
  <c r="M41" i="10"/>
  <c r="M43" i="10"/>
  <c r="P28" i="10"/>
  <c r="P29" i="10"/>
  <c r="P30" i="11"/>
  <c r="P31" i="11"/>
  <c r="P38" i="10"/>
  <c r="G44" i="10"/>
  <c r="G51" i="10"/>
  <c r="N42" i="11"/>
  <c r="N43" i="11" s="1"/>
  <c r="N15" i="1"/>
  <c r="N40" i="10"/>
  <c r="L44" i="10"/>
  <c r="L51" i="10"/>
  <c r="P31" i="10"/>
  <c r="P32" i="10" s="1"/>
  <c r="C17" i="10" s="1"/>
  <c r="Q32" i="10" s="1"/>
  <c r="Q31" i="10" s="1"/>
  <c r="Q24" i="10" s="1"/>
  <c r="Q37" i="10" s="1"/>
  <c r="O37" i="2"/>
  <c r="O47" i="2" s="1"/>
  <c r="P19" i="1"/>
  <c r="P37" i="2"/>
  <c r="P47" i="2" s="1"/>
  <c r="O60" i="9" l="1"/>
  <c r="O51" i="2" s="1"/>
  <c r="P62" i="9"/>
  <c r="P64" i="9" s="1"/>
  <c r="P60" i="9" s="1"/>
  <c r="P51" i="2" s="1"/>
  <c r="K215" i="14"/>
  <c r="L215" i="14" s="1"/>
  <c r="M181" i="14"/>
  <c r="N181" i="14" s="1"/>
  <c r="L180" i="14"/>
  <c r="M180" i="14" s="1"/>
  <c r="N180" i="14" s="1"/>
  <c r="K179" i="14"/>
  <c r="L179" i="14" s="1"/>
  <c r="J178" i="14"/>
  <c r="K178" i="14" s="1"/>
  <c r="L178" i="14" s="1"/>
  <c r="H176" i="14"/>
  <c r="I176" i="14" s="1"/>
  <c r="K196" i="14"/>
  <c r="L196" i="14" s="1"/>
  <c r="N217" i="14"/>
  <c r="O217" i="14" s="1"/>
  <c r="P217" i="14" s="1"/>
  <c r="K214" i="14"/>
  <c r="L214" i="14" s="1"/>
  <c r="L216" i="14"/>
  <c r="M216" i="14" s="1"/>
  <c r="M197" i="14"/>
  <c r="N197" i="14" s="1"/>
  <c r="G194" i="14"/>
  <c r="H194" i="14" s="1"/>
  <c r="N198" i="14"/>
  <c r="O198" i="14" s="1"/>
  <c r="P198" i="14" s="1"/>
  <c r="I177" i="14"/>
  <c r="J177" i="14" s="1"/>
  <c r="O183" i="14"/>
  <c r="P183" i="14" s="1"/>
  <c r="I195" i="14"/>
  <c r="N182" i="14"/>
  <c r="O182" i="14" s="1"/>
  <c r="P182" i="14" s="1"/>
  <c r="P184" i="14"/>
  <c r="G213" i="14"/>
  <c r="G224" i="14" s="1"/>
  <c r="O181" i="14"/>
  <c r="P181" i="14" s="1"/>
  <c r="N41" i="10"/>
  <c r="N43" i="10"/>
  <c r="G175" i="14"/>
  <c r="P42" i="11"/>
  <c r="P43" i="11" s="1"/>
  <c r="P40" i="10"/>
  <c r="P15" i="1"/>
  <c r="M44" i="10"/>
  <c r="M51" i="10"/>
  <c r="Q43" i="10"/>
  <c r="C55" i="10" s="1"/>
  <c r="C56" i="10" s="1"/>
  <c r="Q38" i="10"/>
  <c r="O41" i="10"/>
  <c r="O43" i="10"/>
  <c r="M179" i="14" l="1"/>
  <c r="N179" i="14" s="1"/>
  <c r="M215" i="14"/>
  <c r="N215" i="14" s="1"/>
  <c r="O215" i="14" s="1"/>
  <c r="P215" i="14" s="1"/>
  <c r="M178" i="14"/>
  <c r="N178" i="14" s="1"/>
  <c r="O178" i="14" s="1"/>
  <c r="P178" i="14" s="1"/>
  <c r="J176" i="14"/>
  <c r="K176" i="14" s="1"/>
  <c r="L176" i="14" s="1"/>
  <c r="M176" i="14" s="1"/>
  <c r="N176" i="14" s="1"/>
  <c r="O176" i="14" s="1"/>
  <c r="P176" i="14" s="1"/>
  <c r="H213" i="14"/>
  <c r="I213" i="14" s="1"/>
  <c r="M214" i="14"/>
  <c r="N214" i="14" s="1"/>
  <c r="K177" i="14"/>
  <c r="L177" i="14" s="1"/>
  <c r="M196" i="14"/>
  <c r="N196" i="14" s="1"/>
  <c r="O196" i="14" s="1"/>
  <c r="P196" i="14" s="1"/>
  <c r="N216" i="14"/>
  <c r="O216" i="14" s="1"/>
  <c r="P216" i="14" s="1"/>
  <c r="I194" i="14"/>
  <c r="J194" i="14" s="1"/>
  <c r="K194" i="14" s="1"/>
  <c r="J195" i="14"/>
  <c r="K195" i="14" s="1"/>
  <c r="L195" i="14" s="1"/>
  <c r="O197" i="14"/>
  <c r="P197" i="14" s="1"/>
  <c r="G186" i="14"/>
  <c r="O180" i="14"/>
  <c r="P180" i="14" s="1"/>
  <c r="O44" i="10"/>
  <c r="O51" i="10"/>
  <c r="P41" i="10"/>
  <c r="P43" i="10"/>
  <c r="H175" i="14"/>
  <c r="H186" i="14" s="1"/>
  <c r="O179" i="14"/>
  <c r="P179" i="14" s="1"/>
  <c r="N51" i="10"/>
  <c r="N44" i="10"/>
  <c r="M177" i="14" l="1"/>
  <c r="N177" i="14" s="1"/>
  <c r="O177" i="14" s="1"/>
  <c r="P177" i="14" s="1"/>
  <c r="O214" i="14"/>
  <c r="P214" i="14" s="1"/>
  <c r="H224" i="14"/>
  <c r="I224" i="14"/>
  <c r="J213" i="14"/>
  <c r="J224" i="14" s="1"/>
  <c r="L194" i="14"/>
  <c r="M194" i="14" s="1"/>
  <c r="N194" i="14" s="1"/>
  <c r="O194" i="14" s="1"/>
  <c r="P194" i="14" s="1"/>
  <c r="M195" i="14"/>
  <c r="N195" i="14" s="1"/>
  <c r="O195" i="14" s="1"/>
  <c r="P195" i="14" s="1"/>
  <c r="P44" i="10"/>
  <c r="P51" i="10"/>
  <c r="C53" i="10" s="1"/>
  <c r="C58" i="10" s="1"/>
  <c r="I175" i="14"/>
  <c r="K213" i="14" l="1"/>
  <c r="K224" i="14" s="1"/>
  <c r="J175" i="14"/>
  <c r="J186" i="14" s="1"/>
  <c r="I186" i="14"/>
  <c r="G57" i="10"/>
  <c r="L213" i="14" l="1"/>
  <c r="L224" i="14" s="1"/>
  <c r="K175" i="14"/>
  <c r="M213" i="14" l="1"/>
  <c r="K186" i="14"/>
  <c r="L175" i="14"/>
  <c r="L186" i="14" s="1"/>
  <c r="N213" i="14" l="1"/>
  <c r="M224" i="14"/>
  <c r="M175" i="14"/>
  <c r="M186" i="14" s="1"/>
  <c r="N175" i="14" l="1"/>
  <c r="O175" i="14" s="1"/>
  <c r="O186" i="14" s="1"/>
  <c r="N224" i="14"/>
  <c r="O213" i="14"/>
  <c r="N186" i="14" l="1"/>
  <c r="P213" i="14"/>
  <c r="P224" i="14" s="1"/>
  <c r="O224" i="14"/>
  <c r="P175" i="14"/>
  <c r="P186" i="14" l="1"/>
  <c r="G205" i="14" l="1"/>
  <c r="G226" i="14" s="1"/>
  <c r="G229" i="14" s="1"/>
  <c r="H205" i="14"/>
  <c r="H226" i="14" s="1"/>
  <c r="H229" i="14" s="1"/>
  <c r="I205" i="14" l="1"/>
  <c r="I226" i="14" s="1"/>
  <c r="I229" i="14" s="1"/>
  <c r="J205" i="14" l="1"/>
  <c r="J226" i="14" s="1"/>
  <c r="J229" i="14" s="1"/>
  <c r="K205" i="14" l="1"/>
  <c r="K226" i="14" s="1"/>
  <c r="K229" i="14" s="1"/>
  <c r="L205" i="14"/>
  <c r="L226" i="14" s="1"/>
  <c r="L229" i="14" s="1"/>
  <c r="M205" i="14"/>
  <c r="M226" i="14" s="1"/>
  <c r="M229" i="14" s="1"/>
  <c r="N205" i="14" l="1"/>
  <c r="N226" i="14" s="1"/>
  <c r="N229" i="14" s="1"/>
  <c r="O205" i="14" l="1"/>
  <c r="O226" i="14" s="1"/>
  <c r="O229" i="14" s="1"/>
  <c r="P205" i="14" l="1"/>
  <c r="P226" i="14" s="1"/>
  <c r="P229" i="14" s="1"/>
  <c r="G234" i="14"/>
  <c r="H234" i="14"/>
  <c r="I234" i="14"/>
  <c r="J234" i="14"/>
  <c r="K234" i="14"/>
  <c r="L234" i="14"/>
  <c r="M234" i="14"/>
  <c r="N234" i="14"/>
  <c r="O234" i="14"/>
  <c r="P234" i="14"/>
  <c r="G6" i="2"/>
  <c r="H6" i="2"/>
  <c r="I6" i="2"/>
  <c r="J6" i="2"/>
  <c r="K6" i="2"/>
  <c r="L6" i="2"/>
  <c r="M6" i="2"/>
  <c r="N6" i="2"/>
  <c r="O6" i="2"/>
  <c r="P6" i="2"/>
  <c r="G7" i="2"/>
  <c r="H7" i="2"/>
  <c r="I7" i="2"/>
  <c r="J7" i="2"/>
  <c r="K7" i="2"/>
  <c r="L7" i="2"/>
  <c r="M7" i="2"/>
  <c r="N7" i="2"/>
  <c r="O7" i="2"/>
  <c r="P7" i="2"/>
  <c r="G13" i="2"/>
  <c r="H13" i="2"/>
  <c r="I13" i="2"/>
  <c r="J13" i="2"/>
  <c r="K13" i="2"/>
  <c r="L13" i="2"/>
  <c r="M13" i="2"/>
  <c r="N13" i="2"/>
  <c r="O13" i="2"/>
  <c r="P13" i="2"/>
  <c r="G24" i="2"/>
  <c r="H24" i="2"/>
  <c r="I24" i="2"/>
  <c r="J24" i="2"/>
  <c r="K24" i="2"/>
  <c r="L24" i="2"/>
  <c r="M24" i="2"/>
  <c r="N24" i="2"/>
  <c r="O24" i="2"/>
  <c r="P24" i="2"/>
  <c r="G30" i="2"/>
  <c r="H30" i="2"/>
  <c r="I30" i="2"/>
  <c r="J30" i="2"/>
  <c r="K30" i="2"/>
  <c r="L30" i="2"/>
  <c r="M30" i="2"/>
  <c r="N30" i="2"/>
  <c r="O30" i="2"/>
  <c r="P30" i="2"/>
  <c r="G53" i="2"/>
  <c r="H53" i="2"/>
  <c r="I53" i="2"/>
  <c r="J53" i="2"/>
  <c r="K53" i="2"/>
  <c r="L53" i="2"/>
  <c r="M53" i="2"/>
  <c r="N53" i="2"/>
  <c r="O53" i="2"/>
  <c r="P53" i="2"/>
  <c r="G55" i="2"/>
  <c r="H55" i="2"/>
  <c r="I55" i="2"/>
  <c r="J55" i="2"/>
  <c r="K55" i="2"/>
  <c r="L55" i="2"/>
  <c r="M55" i="2"/>
  <c r="N55" i="2"/>
  <c r="O55" i="2"/>
  <c r="P55" i="2"/>
  <c r="G58" i="2"/>
  <c r="H58" i="2"/>
  <c r="I58" i="2"/>
  <c r="J58" i="2"/>
  <c r="K58" i="2"/>
  <c r="L58" i="2"/>
  <c r="M58" i="2"/>
  <c r="N58" i="2"/>
  <c r="O58" i="2"/>
  <c r="P58" i="2"/>
  <c r="G60" i="2"/>
  <c r="H60" i="2"/>
  <c r="I60" i="2"/>
  <c r="J60" i="2"/>
  <c r="K60" i="2"/>
  <c r="L60" i="2"/>
  <c r="M60" i="2"/>
  <c r="N60" i="2"/>
  <c r="O60" i="2"/>
  <c r="P60" i="2"/>
  <c r="G5" i="1"/>
  <c r="H5" i="1"/>
  <c r="I5" i="1"/>
  <c r="J5" i="1"/>
  <c r="K5" i="1"/>
  <c r="L5" i="1"/>
  <c r="M5" i="1"/>
  <c r="N5" i="1"/>
  <c r="O5" i="1"/>
  <c r="P5" i="1"/>
  <c r="G24" i="1"/>
  <c r="H24" i="1"/>
  <c r="I24" i="1"/>
  <c r="J24" i="1"/>
  <c r="K24" i="1"/>
  <c r="L24" i="1"/>
  <c r="M24" i="1"/>
  <c r="N24" i="1"/>
  <c r="O24" i="1"/>
  <c r="P24" i="1"/>
  <c r="G47" i="1"/>
  <c r="H47" i="1"/>
  <c r="I47" i="1"/>
  <c r="J47" i="1"/>
  <c r="K47" i="1"/>
  <c r="L47" i="1"/>
  <c r="M47" i="1"/>
  <c r="N47" i="1"/>
  <c r="O47" i="1"/>
  <c r="P47" i="1"/>
  <c r="G49" i="1"/>
  <c r="H49" i="1"/>
  <c r="I49" i="1"/>
  <c r="J49" i="1"/>
  <c r="K49" i="1"/>
  <c r="L49" i="1"/>
  <c r="M49" i="1"/>
  <c r="N49" i="1"/>
  <c r="O49" i="1"/>
  <c r="P49" i="1"/>
  <c r="G53" i="1"/>
  <c r="H53" i="1"/>
  <c r="I53" i="1"/>
  <c r="J53" i="1"/>
  <c r="K53" i="1"/>
  <c r="L53" i="1"/>
  <c r="M53" i="1"/>
  <c r="N53" i="1"/>
  <c r="O53" i="1"/>
  <c r="P53" i="1"/>
  <c r="H55" i="1"/>
  <c r="I55" i="1"/>
  <c r="J55" i="1"/>
  <c r="K55" i="1"/>
  <c r="L55" i="1"/>
  <c r="M55" i="1"/>
  <c r="N55" i="1"/>
  <c r="O55" i="1"/>
  <c r="P55" i="1"/>
  <c r="G56" i="1"/>
  <c r="H56" i="1"/>
  <c r="I56" i="1"/>
  <c r="J56" i="1"/>
  <c r="K56" i="1"/>
  <c r="L56" i="1"/>
  <c r="M56" i="1"/>
  <c r="N56" i="1"/>
  <c r="O56" i="1"/>
  <c r="P56" i="1"/>
  <c r="G66" i="1"/>
  <c r="H66" i="1"/>
  <c r="I66" i="1"/>
  <c r="J66" i="1"/>
  <c r="K66" i="1"/>
  <c r="L66" i="1"/>
  <c r="M66" i="1"/>
  <c r="N66" i="1"/>
  <c r="O66" i="1"/>
  <c r="P66" i="1"/>
  <c r="H70" i="1"/>
  <c r="I70" i="1"/>
  <c r="J70" i="1"/>
  <c r="K70" i="1"/>
  <c r="L70" i="1"/>
  <c r="M70" i="1"/>
  <c r="N70" i="1"/>
  <c r="O70" i="1"/>
  <c r="P70" i="1"/>
  <c r="G71" i="1"/>
  <c r="H71" i="1"/>
  <c r="I71" i="1"/>
  <c r="J71" i="1"/>
  <c r="K71" i="1"/>
  <c r="L71" i="1"/>
  <c r="M71" i="1"/>
  <c r="N71" i="1"/>
  <c r="O71" i="1"/>
  <c r="P71" i="1"/>
  <c r="G72" i="1"/>
  <c r="H72" i="1"/>
  <c r="I72" i="1"/>
  <c r="J72" i="1"/>
  <c r="K72" i="1"/>
  <c r="L72" i="1"/>
  <c r="M72" i="1"/>
  <c r="N72" i="1"/>
  <c r="O72" i="1"/>
  <c r="P72" i="1"/>
  <c r="G73" i="1"/>
  <c r="H73" i="1"/>
  <c r="I73" i="1"/>
  <c r="J73" i="1"/>
  <c r="K73" i="1"/>
  <c r="L73" i="1"/>
  <c r="M73" i="1"/>
  <c r="N73" i="1"/>
  <c r="O73" i="1"/>
  <c r="P73" i="1"/>
  <c r="G77" i="1"/>
  <c r="H77" i="1"/>
  <c r="I77" i="1"/>
  <c r="J77" i="1"/>
  <c r="K77" i="1"/>
  <c r="L77" i="1"/>
  <c r="M77" i="1"/>
  <c r="N77" i="1"/>
  <c r="O77" i="1"/>
  <c r="P77" i="1"/>
  <c r="C20" i="11"/>
  <c r="G39" i="11"/>
  <c r="H39" i="11"/>
  <c r="I39" i="11"/>
  <c r="J39" i="11"/>
  <c r="K39" i="11"/>
  <c r="L39" i="11"/>
  <c r="M39" i="11"/>
  <c r="N39" i="11"/>
  <c r="O39" i="11"/>
  <c r="P39" i="11"/>
  <c r="Q39" i="11"/>
  <c r="G40" i="11"/>
  <c r="H40" i="11"/>
  <c r="I40" i="11"/>
  <c r="J40" i="11"/>
  <c r="K40" i="11"/>
  <c r="L40" i="11"/>
  <c r="M40" i="11"/>
  <c r="N40" i="11"/>
  <c r="O40" i="11"/>
  <c r="P40" i="11"/>
  <c r="Q40" i="11"/>
  <c r="G45" i="11"/>
  <c r="H45" i="11"/>
  <c r="I45" i="11"/>
  <c r="J45" i="11"/>
  <c r="K45" i="11"/>
  <c r="L45" i="11"/>
  <c r="M45" i="11"/>
  <c r="N45" i="11"/>
  <c r="O45" i="11"/>
  <c r="P45" i="11"/>
  <c r="G47" i="11"/>
  <c r="H47" i="11"/>
  <c r="I47" i="11"/>
  <c r="J47" i="11"/>
  <c r="K47" i="11"/>
  <c r="L47" i="11"/>
  <c r="M47" i="11"/>
  <c r="N47" i="11"/>
  <c r="O47" i="11"/>
  <c r="P47" i="11"/>
  <c r="Q47" i="11"/>
  <c r="G48" i="11"/>
  <c r="H48" i="11"/>
  <c r="I48" i="11"/>
  <c r="J48" i="11"/>
  <c r="K48" i="11"/>
  <c r="L48" i="11"/>
  <c r="M48" i="11"/>
  <c r="N48" i="11"/>
  <c r="O48" i="11"/>
  <c r="P48" i="11"/>
  <c r="G55" i="11"/>
  <c r="H55" i="11"/>
  <c r="I55" i="11"/>
  <c r="J55" i="11"/>
  <c r="K55" i="11"/>
  <c r="L55" i="11"/>
  <c r="M55" i="11"/>
  <c r="N55" i="11"/>
  <c r="O55" i="11"/>
  <c r="P55" i="11"/>
  <c r="C57" i="11"/>
  <c r="C59" i="11"/>
  <c r="C60" i="11"/>
  <c r="C62" i="11"/>
  <c r="C64" i="11"/>
  <c r="C69" i="11"/>
  <c r="E72" i="11"/>
  <c r="C60" i="10"/>
  <c r="C65" i="10"/>
  <c r="G249" i="14"/>
  <c r="H249" i="14"/>
  <c r="I249" i="14"/>
  <c r="J249" i="14"/>
  <c r="K249" i="14"/>
  <c r="L249" i="14"/>
  <c r="M249" i="14"/>
  <c r="N249" i="14"/>
  <c r="O249" i="14"/>
  <c r="P249" i="14"/>
  <c r="H253" i="14"/>
  <c r="I253" i="14"/>
  <c r="J253" i="14"/>
  <c r="K253" i="14"/>
  <c r="L253" i="14"/>
  <c r="M253" i="14"/>
  <c r="N253" i="14"/>
  <c r="O253" i="14"/>
  <c r="P253" i="14"/>
  <c r="G254" i="14"/>
  <c r="H254" i="14"/>
  <c r="I254" i="14"/>
  <c r="J254" i="14"/>
  <c r="K254" i="14"/>
  <c r="L254" i="14"/>
  <c r="M254" i="14"/>
  <c r="N254" i="14"/>
  <c r="O254" i="14"/>
  <c r="P254" i="14"/>
  <c r="G255" i="14"/>
  <c r="H255" i="14"/>
  <c r="I255" i="14"/>
  <c r="J255" i="14"/>
  <c r="K255" i="14"/>
  <c r="L255" i="14"/>
  <c r="M255" i="14"/>
  <c r="N255" i="14"/>
  <c r="O255" i="14"/>
  <c r="P255" i="14"/>
  <c r="G256" i="14"/>
  <c r="H256" i="14"/>
  <c r="I256" i="14"/>
  <c r="J256" i="14"/>
  <c r="K256" i="14"/>
  <c r="L256" i="14"/>
  <c r="M256" i="14"/>
  <c r="N256" i="14"/>
  <c r="O256" i="14"/>
  <c r="P256" i="14"/>
  <c r="G258" i="14"/>
  <c r="H258" i="14"/>
  <c r="I258" i="14"/>
  <c r="J258" i="14"/>
  <c r="K258" i="14"/>
  <c r="L258" i="14"/>
  <c r="M258" i="14"/>
  <c r="N258" i="14"/>
  <c r="O258" i="14"/>
  <c r="P258" i="14"/>
  <c r="G262" i="14"/>
  <c r="H262" i="14"/>
  <c r="I262" i="14"/>
  <c r="J262" i="14"/>
  <c r="K262" i="14"/>
  <c r="L262" i="14"/>
  <c r="M262" i="14"/>
  <c r="N262" i="14"/>
  <c r="O262" i="14"/>
  <c r="P262" i="14"/>
  <c r="G30" i="9"/>
  <c r="H30" i="9"/>
  <c r="I30" i="9"/>
  <c r="J30" i="9"/>
  <c r="K30" i="9"/>
  <c r="L30" i="9"/>
  <c r="M30" i="9"/>
  <c r="N30" i="9"/>
  <c r="O30" i="9"/>
  <c r="P30" i="9"/>
  <c r="H34" i="9"/>
  <c r="I34" i="9"/>
  <c r="J34" i="9"/>
  <c r="K34" i="9"/>
  <c r="L34" i="9"/>
  <c r="M34" i="9"/>
  <c r="N34" i="9"/>
  <c r="O34" i="9"/>
  <c r="P34" i="9"/>
  <c r="G35" i="9"/>
  <c r="H35" i="9"/>
  <c r="I35" i="9"/>
  <c r="J35" i="9"/>
  <c r="K35" i="9"/>
  <c r="L35" i="9"/>
  <c r="M35" i="9"/>
  <c r="N35" i="9"/>
  <c r="O35" i="9"/>
  <c r="P35" i="9"/>
  <c r="G39" i="9"/>
  <c r="H39" i="9"/>
  <c r="I39" i="9"/>
  <c r="J39" i="9"/>
  <c r="K39" i="9"/>
  <c r="L39" i="9"/>
  <c r="M39" i="9"/>
  <c r="N39" i="9"/>
  <c r="O39" i="9"/>
  <c r="P39" i="9"/>
  <c r="G43" i="9"/>
  <c r="H43" i="9"/>
  <c r="I43" i="9"/>
  <c r="J43" i="9"/>
  <c r="K43" i="9"/>
  <c r="L43" i="9"/>
  <c r="M43" i="9"/>
  <c r="N43" i="9"/>
  <c r="O43" i="9"/>
  <c r="P43" i="9"/>
  <c r="G44" i="9"/>
  <c r="H44" i="9"/>
  <c r="I44" i="9"/>
  <c r="J44" i="9"/>
  <c r="K44" i="9"/>
  <c r="L44" i="9"/>
  <c r="M44" i="9"/>
  <c r="N44" i="9"/>
  <c r="O44" i="9"/>
  <c r="P44" i="9"/>
  <c r="H89" i="9"/>
  <c r="I89" i="9"/>
  <c r="J89" i="9"/>
  <c r="K89" i="9"/>
  <c r="L89" i="9"/>
  <c r="M89" i="9"/>
  <c r="N89" i="9"/>
  <c r="O89" i="9"/>
  <c r="P89" i="9"/>
  <c r="G90" i="9"/>
  <c r="H90" i="9"/>
  <c r="I90" i="9"/>
  <c r="J90" i="9"/>
  <c r="K90" i="9"/>
  <c r="L90" i="9"/>
  <c r="M90" i="9"/>
  <c r="N90" i="9"/>
  <c r="O90" i="9"/>
  <c r="P90" i="9"/>
  <c r="G92" i="9"/>
  <c r="H92" i="9"/>
  <c r="I92" i="9"/>
  <c r="J92" i="9"/>
  <c r="K92" i="9"/>
  <c r="L92" i="9"/>
  <c r="M92" i="9"/>
  <c r="N92" i="9"/>
  <c r="O92" i="9"/>
  <c r="P92" i="9"/>
  <c r="G14" i="3"/>
  <c r="H14" i="3"/>
  <c r="I14" i="3"/>
  <c r="J14" i="3"/>
  <c r="K14" i="3"/>
  <c r="L14" i="3"/>
  <c r="M14" i="3"/>
  <c r="N14" i="3"/>
  <c r="O14" i="3"/>
  <c r="P14" i="3"/>
  <c r="G15" i="3"/>
  <c r="H15" i="3"/>
  <c r="I15" i="3"/>
  <c r="J15" i="3"/>
  <c r="K15" i="3"/>
  <c r="L15" i="3"/>
  <c r="M15" i="3"/>
  <c r="N15" i="3"/>
  <c r="O15" i="3"/>
  <c r="P15" i="3"/>
  <c r="G17" i="3"/>
  <c r="H17" i="3"/>
  <c r="I17" i="3"/>
  <c r="J17" i="3"/>
  <c r="K17" i="3"/>
  <c r="L17" i="3"/>
  <c r="M17" i="3"/>
  <c r="N17" i="3"/>
  <c r="O17" i="3"/>
  <c r="P17" i="3"/>
  <c r="G18" i="3"/>
  <c r="H18" i="3"/>
  <c r="I18" i="3"/>
  <c r="J18" i="3"/>
  <c r="K18" i="3"/>
  <c r="L18" i="3"/>
  <c r="M18" i="3"/>
  <c r="N18" i="3"/>
  <c r="O18" i="3"/>
  <c r="P18" i="3"/>
  <c r="G38" i="7"/>
  <c r="H38" i="7"/>
  <c r="I38" i="7"/>
  <c r="J38" i="7"/>
  <c r="K38" i="7"/>
  <c r="L38" i="7"/>
  <c r="M38" i="7"/>
  <c r="N38" i="7"/>
  <c r="O38" i="7"/>
  <c r="P38" i="7"/>
  <c r="G41" i="7"/>
  <c r="H41" i="7"/>
  <c r="I41" i="7"/>
  <c r="J41" i="7"/>
  <c r="K41" i="7"/>
  <c r="L41" i="7"/>
  <c r="M41" i="7"/>
  <c r="N41" i="7"/>
  <c r="O41" i="7"/>
  <c r="P4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Harry</author>
  </authors>
  <commentList>
    <comment ref="D40" authorId="0" shapeId="0" xr:uid="{D7D71849-ADB0-4433-B562-F6EC1AA04AC2}">
      <text>
        <r>
          <rPr>
            <b/>
            <sz val="9"/>
            <color indexed="81"/>
            <rFont val="Tahoma"/>
            <family val="2"/>
          </rPr>
          <t xml:space="preserve">Long term debt in 2016 Q4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<sst xmlns="http://schemas.openxmlformats.org/spreadsheetml/2006/main" count="928" uniqueCount="552">
  <si>
    <t>Operating activities</t>
  </si>
  <si>
    <t>Net income</t>
  </si>
  <si>
    <t>Adjustments:</t>
  </si>
  <si>
    <t>Depreciation and impairment of property and equipment</t>
  </si>
  <si>
    <t>Amortization and impairment of intangible assets</t>
  </si>
  <si>
    <t>Stock-based compensation expense</t>
  </si>
  <si>
    <t>Deferred income taxes</t>
  </si>
  <si>
    <t>(Gain) loss on debt and equity securities, net</t>
  </si>
  <si>
    <t>Other</t>
  </si>
  <si>
    <t>Changes in assets and liabilities, net of effects of acquisitions:</t>
  </si>
  <si>
    <t>Accounts receivable</t>
  </si>
  <si>
    <t>Income taxes, net</t>
  </si>
  <si>
    <t>Other assets</t>
  </si>
  <si>
    <t>Accounts payable</t>
  </si>
  <si>
    <t>Accrued expenses and other liabilities</t>
  </si>
  <si>
    <t>Accrued revenue share</t>
  </si>
  <si>
    <t>Deferred revenue</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</si>
  <si>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</si>
  <si>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</si>
  <si>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</si>
  <si>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</si>
  <si>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</si>
  <si>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</si>
  <si>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</si>
  <si>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</si>
  <si>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</si>
  <si>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</si>
  <si>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</si>
  <si>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</si>
  <si>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</si>
  <si>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</si>
  <si>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</si>
  <si>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</si>
  <si>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</si>
  <si>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</si>
  <si>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</si>
  <si>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</si>
  <si>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</si>
  <si>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</si>
  <si>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</si>
  <si>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</si>
  <si>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Current assets:</t>
  </si>
  <si>
    <t>Cash and cash equivalents</t>
  </si>
  <si>
    <t>Marketable securities</t>
  </si>
  <si>
    <t>Total cash, cash equivalents, and marketable securities</t>
  </si>
  <si>
    <t>Income taxes receivable, net</t>
  </si>
  <si>
    <t>Inventory</t>
  </si>
  <si>
    <t>Other current assets</t>
  </si>
  <si>
    <t>Total current assets</t>
  </si>
  <si>
    <t>Non-marketable investments</t>
  </si>
  <si>
    <t>Property and equipment, net</t>
  </si>
  <si>
    <t>Intangible assets, net</t>
  </si>
  <si>
    <t>Goodwill</t>
  </si>
  <si>
    <t>Other non-current assets</t>
  </si>
  <si>
    <t>Total assets</t>
  </si>
  <si>
    <t>Current liabilities:</t>
  </si>
  <si>
    <t>Accrued compensation and benefits</t>
  </si>
  <si>
    <t>Accrued expenses and other current liabilities</t>
  </si>
  <si>
    <t>Income taxes payable, net</t>
  </si>
  <si>
    <t>Total current liabilities</t>
  </si>
  <si>
    <t>Long-term debt</t>
  </si>
  <si>
    <t>Deferred revenue, non-current</t>
  </si>
  <si>
    <t>Income taxes payable, non-current</t>
  </si>
  <si>
    <t>Other long-term liabilities</t>
  </si>
  <si>
    <t>Total liabilities</t>
  </si>
  <si>
    <t>Stockholders’ equity:</t>
  </si>
  <si>
    <t>Accumulated other comprehensive loss</t>
  </si>
  <si>
    <t>Retained earnings</t>
  </si>
  <si>
    <t>Total stockholders’ equity</t>
  </si>
  <si>
    <t>Total liabilities and stockholders’ equity</t>
  </si>
  <si>
    <t>Revenues</t>
  </si>
  <si>
    <t>Costs and expenses:</t>
  </si>
  <si>
    <t>Cost of revenues</t>
  </si>
  <si>
    <t>Research and development</t>
  </si>
  <si>
    <t>Sales and marketing</t>
  </si>
  <si>
    <t>General and administrative</t>
  </si>
  <si>
    <t>European Commission fines</t>
  </si>
  <si>
    <t>Income from operations</t>
  </si>
  <si>
    <t>Other income (expense), net</t>
  </si>
  <si>
    <t>Income before income taxes</t>
  </si>
  <si>
    <t>Provision for income taxes</t>
  </si>
  <si>
    <t>YE-31-Dec; $m unless otherwise stated</t>
  </si>
  <si>
    <t>Assets</t>
  </si>
  <si>
    <t>Non-current assets:</t>
  </si>
  <si>
    <t>Total non-current assets</t>
  </si>
  <si>
    <t>Liabilities and equity</t>
  </si>
  <si>
    <t>Non current liabilities</t>
  </si>
  <si>
    <t>Total non-current liabilities</t>
  </si>
  <si>
    <t>Convertible preferred stock</t>
  </si>
  <si>
    <t>Note: (1) - net of allowance of $674 and $729 in 2018 and 2017, (2) - $0.001 par value per share, 100,000 shares authorized; no shares issued and outstanding, (3) - $0.001 par value per share: 15,000,000 shares authorized (Class A 9,000,000, Class B 3,000,000, Class C 3,000,000); 694,783 (Class A 298,470, Class B 46,972, Class C 349,341) and 695,556 (Class A 299,242, Class B 46,636, Class C 349,678) shares issued and outstanding</t>
  </si>
  <si>
    <t xml:space="preserve">ABC stock and additional paid-in capital </t>
  </si>
  <si>
    <t>(2)</t>
  </si>
  <si>
    <t>(3)</t>
  </si>
  <si>
    <t>(1)</t>
  </si>
  <si>
    <t>x</t>
  </si>
  <si>
    <t>Revenue</t>
  </si>
  <si>
    <t>Financial model</t>
  </si>
  <si>
    <t>Company</t>
  </si>
  <si>
    <t>Switch</t>
  </si>
  <si>
    <t>Legend</t>
  </si>
  <si>
    <t>Type of cells</t>
  </si>
  <si>
    <t>Color</t>
  </si>
  <si>
    <t>Example</t>
  </si>
  <si>
    <t>Inputs (hard-coded)</t>
  </si>
  <si>
    <t>Blue</t>
  </si>
  <si>
    <t>Formulas</t>
  </si>
  <si>
    <t>Black</t>
  </si>
  <si>
    <t>=A1*A2</t>
  </si>
  <si>
    <t>Links to other worksheets</t>
  </si>
  <si>
    <t>Green</t>
  </si>
  <si>
    <t>=BS!A1</t>
  </si>
  <si>
    <t>Links to external sources (systems, files)</t>
  </si>
  <si>
    <t>Red</t>
  </si>
  <si>
    <t>=[Consensus]Broker1!$A$1</t>
  </si>
  <si>
    <t>Other variations of the legend (not used in the current system)</t>
  </si>
  <si>
    <r>
      <t xml:space="preserve">Data from external providers (e.g. Bloomberg, Thomson, Factset, CapitalIQ, etc.) - usually </t>
    </r>
    <r>
      <rPr>
        <b/>
        <sz val="9"/>
        <color rgb="FF8A0000"/>
        <rFont val="Arial"/>
        <family val="2"/>
        <charset val="204"/>
      </rPr>
      <t>dark red</t>
    </r>
  </si>
  <si>
    <r>
      <t xml:space="preserve">Links to cells within the page - usually </t>
    </r>
    <r>
      <rPr>
        <b/>
        <sz val="9"/>
        <color theme="5"/>
        <rFont val="Arial"/>
        <family val="2"/>
        <charset val="204"/>
      </rPr>
      <t>orange</t>
    </r>
  </si>
  <si>
    <t>Disclaimer</t>
  </si>
  <si>
    <t>This is just a placeholder. Insert your own disclaimer here (if you need it).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</si>
  <si>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Broker Large</t>
  </si>
  <si>
    <t>Broker Medium</t>
  </si>
  <si>
    <t>Broker Small</t>
  </si>
  <si>
    <t>Working capital</t>
  </si>
  <si>
    <t>Account receivables (AR)</t>
  </si>
  <si>
    <t>Accounts payables (AP)</t>
  </si>
  <si>
    <t>Capex - tangible assets</t>
  </si>
  <si>
    <t>Depreciation</t>
  </si>
  <si>
    <t>Amortization</t>
  </si>
  <si>
    <t>Stock-based compensation</t>
  </si>
  <si>
    <t>Large broker</t>
  </si>
  <si>
    <t>Income statement</t>
  </si>
  <si>
    <t>Gross Revenue</t>
  </si>
  <si>
    <t>TAC</t>
  </si>
  <si>
    <t>Net Revenue</t>
  </si>
  <si>
    <t>Other Cost of Revenue</t>
  </si>
  <si>
    <t>Research and Development</t>
  </si>
  <si>
    <t>Sales and Marketing</t>
  </si>
  <si>
    <t>General and Administrative</t>
  </si>
  <si>
    <t>Total Operating Expenses</t>
  </si>
  <si>
    <t>Operating Income</t>
  </si>
  <si>
    <t>Interest Income and Other, Net</t>
  </si>
  <si>
    <t>Pretax Income</t>
  </si>
  <si>
    <t>Income Tax Expense (Benefit)</t>
  </si>
  <si>
    <t>Net Income</t>
  </si>
  <si>
    <t>Balance sheet</t>
  </si>
  <si>
    <t/>
  </si>
  <si>
    <t>Assets:</t>
  </si>
  <si>
    <t>Cash and Cash Equivalents</t>
  </si>
  <si>
    <t>Marketable Securities</t>
  </si>
  <si>
    <t>Accounts Receivable, Net of Allowance</t>
  </si>
  <si>
    <t>Inventories</t>
  </si>
  <si>
    <t>Receivable Under Reverse Repurchase Agreements</t>
  </si>
  <si>
    <t>Deferred Income Taxes, Net</t>
  </si>
  <si>
    <t>Income Taxes Receivable, Net</t>
  </si>
  <si>
    <t>Prepaid Revenue Share, Expenses and Other</t>
  </si>
  <si>
    <t>Total Current Assets</t>
  </si>
  <si>
    <t>Prepaid Revenue Share, Expenses, and Other</t>
  </si>
  <si>
    <t>Non-Marketable Equity Securities</t>
  </si>
  <si>
    <t>Property and Equipment, net</t>
  </si>
  <si>
    <t>Intangible Assets, Net</t>
  </si>
  <si>
    <t>Total Assets</t>
  </si>
  <si>
    <t>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</si>
  <si>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</si>
  <si>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</si>
  <si>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</si>
  <si>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</si>
  <si>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</si>
  <si>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</si>
  <si>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</si>
  <si>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</si>
  <si>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</si>
  <si>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</si>
  <si>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</si>
  <si>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</si>
  <si>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Deferred Income Taxes, Non-Current</t>
  </si>
  <si>
    <t>Other Long-Term Liabilities</t>
  </si>
  <si>
    <t>Total Liabilities</t>
  </si>
  <si>
    <t>Shareholder's Equity:</t>
  </si>
  <si>
    <t>Convertible Preferred Stock</t>
  </si>
  <si>
    <t>Common Stock</t>
  </si>
  <si>
    <t>Additional Paid-In Capital</t>
  </si>
  <si>
    <t>Accumulated Other Comprehensive Loss</t>
  </si>
  <si>
    <t>Retained Earnings</t>
  </si>
  <si>
    <t>Total Shareholder's Equity</t>
  </si>
  <si>
    <t>Total Liabilities and Shareholder's Equity</t>
  </si>
  <si>
    <t>Cash flow statement</t>
  </si>
  <si>
    <t>Operating Activities</t>
  </si>
  <si>
    <t>Depreciation and Amortization of Property and Equipment</t>
  </si>
  <si>
    <t>Amortization of Intangible and Other Assets</t>
  </si>
  <si>
    <t>Stock-based Compensation Expense</t>
  </si>
  <si>
    <t>Excess Tax Benefits from Stock-based Award Activities</t>
  </si>
  <si>
    <t>Deferred Income Taxes</t>
  </si>
  <si>
    <t>Accounts Receivable</t>
  </si>
  <si>
    <t>Income Taxes, Net</t>
  </si>
  <si>
    <t>Prepaid Revenue Share, Expenses and Other Assets</t>
  </si>
  <si>
    <t>Accrued Expenses and Other Liabilities</t>
  </si>
  <si>
    <t>Net Cash from Operating Activities</t>
  </si>
  <si>
    <t>Investing Activities</t>
  </si>
  <si>
    <t>Purchases of Property and Equipment</t>
  </si>
  <si>
    <t>Purchases of Marketable Securities</t>
  </si>
  <si>
    <t>Maturities and Sales of Marketable Securities</t>
  </si>
  <si>
    <t>Investments in Non-Marketable Equity Securities</t>
  </si>
  <si>
    <t>Cash Collateral Received from Securities Lending</t>
  </si>
  <si>
    <t>Investments in Reverse Repurchase Agreements</t>
  </si>
  <si>
    <t>Acquisitions, Net of Cash Acquired</t>
  </si>
  <si>
    <t>Net Cash Used in Investing Activities</t>
  </si>
  <si>
    <t>Financing Activities</t>
  </si>
  <si>
    <t>Net Proceeds (Payments) from Stock-based Award Activities</t>
  </si>
  <si>
    <t>Excess Tax Benefits From Stock-based Award Activities</t>
  </si>
  <si>
    <t>Repurchase of Common Stock in Connection With Acquisitions</t>
  </si>
  <si>
    <t>Proceeds from Issuance of Short-Term Debt</t>
  </si>
  <si>
    <t>Repayment of Short-Term Debt</t>
  </si>
  <si>
    <t>Net Cash Used in Financing Activities</t>
  </si>
  <si>
    <t>Effect of Exchange rate</t>
  </si>
  <si>
    <t>Net Increase (Decrease) in Cash and Equivalents</t>
  </si>
  <si>
    <t>Cash and Equivalents, Beginning of Period</t>
  </si>
  <si>
    <t>Cash and Equivalents, End of Period</t>
  </si>
  <si>
    <t>Medium broker</t>
  </si>
  <si>
    <t>Google</t>
  </si>
  <si>
    <t>Google properties</t>
  </si>
  <si>
    <t>Google Network Members' properties</t>
  </si>
  <si>
    <t>Google other</t>
  </si>
  <si>
    <t>Google segment revenues</t>
  </si>
  <si>
    <t>Other Bets</t>
  </si>
  <si>
    <t>Gross revenue</t>
  </si>
  <si>
    <t>TAC to Google Network Members</t>
  </si>
  <si>
    <t>TAC to distribution partners</t>
  </si>
  <si>
    <t>Revenue ex TAC</t>
  </si>
  <si>
    <t>Other costs of revenue (data centers, c.c. fees, etc.)</t>
  </si>
  <si>
    <t>Net revenue</t>
  </si>
  <si>
    <t>Operating expenses</t>
  </si>
  <si>
    <t>Research &amp; development</t>
  </si>
  <si>
    <t>Sales &amp; marketing</t>
  </si>
  <si>
    <t>General &amp; adminstrative</t>
  </si>
  <si>
    <t>Total operating costs</t>
  </si>
  <si>
    <t>Operating income/EBIT ex one-time items</t>
  </si>
  <si>
    <t>Reported operating income/EBIT</t>
  </si>
  <si>
    <t>Other (expenses)/income</t>
  </si>
  <si>
    <t>Interest income</t>
  </si>
  <si>
    <t>Interest expense</t>
  </si>
  <si>
    <t>FX losses, net</t>
  </si>
  <si>
    <t>Realized gain (loss)</t>
  </si>
  <si>
    <t>Interest and other income (expense), net</t>
  </si>
  <si>
    <t>Other one-time, pre-tax expense</t>
  </si>
  <si>
    <t>Pre-tax income ex one-time items</t>
  </si>
  <si>
    <t>Reported pre-tax income</t>
  </si>
  <si>
    <t>Cash taxes</t>
  </si>
  <si>
    <t>Non-cash taxes</t>
  </si>
  <si>
    <t>Reported taxes</t>
  </si>
  <si>
    <t>Tax effect of one-time items</t>
  </si>
  <si>
    <t>Taxes ex items</t>
  </si>
  <si>
    <t>Other one-time expense after tax</t>
  </si>
  <si>
    <t>Net income ex one-time items</t>
  </si>
  <si>
    <t>Reported GAAP net income</t>
  </si>
  <si>
    <t>Accounts receivable, net of allowance</t>
  </si>
  <si>
    <t>Receivable under reverse repurchase agreements</t>
  </si>
  <si>
    <t>Deferred income taxes, net</t>
  </si>
  <si>
    <t>Prepaid revenue share, expenses and other current assets</t>
  </si>
  <si>
    <t>Current assets</t>
  </si>
  <si>
    <t>Prepaid revenue share, expenses and other assets, non-current</t>
  </si>
  <si>
    <t>Plant &amp; equipment, net</t>
  </si>
  <si>
    <t>Liabilities</t>
  </si>
  <si>
    <t>Short-term debt</t>
  </si>
  <si>
    <t>Securities lending payable</t>
  </si>
  <si>
    <t>Current liabilities</t>
  </si>
  <si>
    <t>Non-convertible long term debt</t>
  </si>
  <si>
    <t>Convertible debt</t>
  </si>
  <si>
    <t>Income taxes payable and/or deferred taxes</t>
  </si>
  <si>
    <t>Other liabilities</t>
  </si>
  <si>
    <t>Preferred equity</t>
  </si>
  <si>
    <t>Minority interest</t>
  </si>
  <si>
    <t>Common stock &amp; additional paid-in capital</t>
  </si>
  <si>
    <t>Treasury stock, at cost</t>
  </si>
  <si>
    <t>Accumulated other comprehensive income</t>
  </si>
  <si>
    <t>Retained earnings (deficit)</t>
  </si>
  <si>
    <t>Liabilities &amp; Equity</t>
  </si>
  <si>
    <t>Cash from operations</t>
  </si>
  <si>
    <t>D &amp; A of property and equipment</t>
  </si>
  <si>
    <t>Amortization of intangible and other assets</t>
  </si>
  <si>
    <t>Depreciation &amp; amortization</t>
  </si>
  <si>
    <t>Changes in working capital</t>
  </si>
  <si>
    <t>Accounts receivables</t>
  </si>
  <si>
    <t>Other working capital</t>
  </si>
  <si>
    <t>Cash from operating activities</t>
  </si>
  <si>
    <t>Cash from investments</t>
  </si>
  <si>
    <t>Core CAPEX</t>
  </si>
  <si>
    <t>Other Bets CAPEX</t>
  </si>
  <si>
    <t>Reconciling items</t>
  </si>
  <si>
    <t>Total capital expenditures</t>
  </si>
  <si>
    <t>Investments in non-marketable equity securities</t>
  </si>
  <si>
    <t>Cash collateral received from securities lending</t>
  </si>
  <si>
    <t>Net acquisitions/other investing</t>
  </si>
  <si>
    <t>Cash from financing</t>
  </si>
  <si>
    <t>Debt</t>
  </si>
  <si>
    <t>Preferred/other financing</t>
  </si>
  <si>
    <t>Dividends</t>
  </si>
  <si>
    <t>Common equity</t>
  </si>
  <si>
    <t>Financing cash flow</t>
  </si>
  <si>
    <t>Currency effect</t>
  </si>
  <si>
    <t>Cash flow from discontinued operations</t>
  </si>
  <si>
    <t>Net change in cash</t>
  </si>
  <si>
    <t>Cash, beginning of period</t>
  </si>
  <si>
    <t>Cash, end of period</t>
  </si>
  <si>
    <t>Small broker</t>
  </si>
  <si>
    <t>Adjusted EBITDA</t>
  </si>
  <si>
    <t>Cash</t>
  </si>
  <si>
    <t>Current Assets</t>
  </si>
  <si>
    <t>Fixed Assets</t>
  </si>
  <si>
    <t>Current Liabilities</t>
  </si>
  <si>
    <t>Long-term Debt</t>
  </si>
  <si>
    <t>Total Equity</t>
  </si>
  <si>
    <t>Total Liabilities &amp; Equity</t>
  </si>
  <si>
    <t>Net Income from Continuing Ops</t>
  </si>
  <si>
    <t>D&amp;A</t>
  </si>
  <si>
    <t>Working Cap/Other</t>
  </si>
  <si>
    <t>Cash From Ops</t>
  </si>
  <si>
    <t>Capex</t>
  </si>
  <si>
    <t>Free Cash Flow</t>
  </si>
  <si>
    <t>Share Repurchases</t>
  </si>
  <si>
    <t>Revenue used in the model</t>
  </si>
  <si>
    <t>Approach #1 - Broker Consensus</t>
  </si>
  <si>
    <t xml:space="preserve">Revenue </t>
  </si>
  <si>
    <t>% growth</t>
  </si>
  <si>
    <t>Broker - Large</t>
  </si>
  <si>
    <t>Broker - Medium</t>
  </si>
  <si>
    <t>Broker - Small</t>
  </si>
  <si>
    <t>% margin</t>
  </si>
  <si>
    <t>Costs and Expenses</t>
  </si>
  <si>
    <t>C&amp;E used in the model</t>
  </si>
  <si>
    <t xml:space="preserve">C&amp;E  </t>
  </si>
  <si>
    <t>Working Capital</t>
  </si>
  <si>
    <t>Accounts receivable (A/R)</t>
  </si>
  <si>
    <t>A/R used in the model</t>
  </si>
  <si>
    <t>A/R</t>
  </si>
  <si>
    <t>as % of revenue</t>
  </si>
  <si>
    <t>Note: Not modelled, assumed at 2018 level</t>
  </si>
  <si>
    <t>Inventory used in the model</t>
  </si>
  <si>
    <t>as % of cost and expenses</t>
  </si>
  <si>
    <t>Other Current Assets</t>
  </si>
  <si>
    <t xml:space="preserve">Other current assets </t>
  </si>
  <si>
    <t>Note: Not modelled, assumed at 2018 level. If you model this line, please consider other financial statements (e.g. CF)</t>
  </si>
  <si>
    <t>Properties and equipment, net</t>
  </si>
  <si>
    <t>BOP</t>
  </si>
  <si>
    <t>EOP</t>
  </si>
  <si>
    <t>Capex (Cash outflow)</t>
  </si>
  <si>
    <t>Capex used in the model</t>
  </si>
  <si>
    <t>Depreciation used in the model</t>
  </si>
  <si>
    <t>as % of capex</t>
  </si>
  <si>
    <t>Capex intangible assets</t>
  </si>
  <si>
    <t>Amortization used in the model</t>
  </si>
  <si>
    <t>Note: Not modelled - assumed to be zero (no M and A / Investments)</t>
  </si>
  <si>
    <t>Check</t>
  </si>
  <si>
    <t>Accounts Payable (A/P)</t>
  </si>
  <si>
    <t>A/P used in the model</t>
  </si>
  <si>
    <t>A/P</t>
  </si>
  <si>
    <t>as % of C&amp;E</t>
  </si>
  <si>
    <t xml:space="preserve">Accrued customer liabilities </t>
  </si>
  <si>
    <t>Other accrued expenses and current liabilities</t>
  </si>
  <si>
    <t>Total</t>
  </si>
  <si>
    <t>New fines</t>
  </si>
  <si>
    <t>Reduction in fines</t>
  </si>
  <si>
    <t>Payment of fines</t>
  </si>
  <si>
    <t>Accrued customer liabilities</t>
  </si>
  <si>
    <t>LT debt</t>
  </si>
  <si>
    <t>New debt raised</t>
  </si>
  <si>
    <t>Debt paid</t>
  </si>
  <si>
    <t>Note: debt is carried forward</t>
  </si>
  <si>
    <t>Note: be careful with signs. Here expenses/outflows are shown with "+" sign.</t>
  </si>
  <si>
    <t>Interest on LT debt</t>
  </si>
  <si>
    <t>Interest rate</t>
  </si>
  <si>
    <t>Debt summaries</t>
  </si>
  <si>
    <t>LT debt EOP</t>
  </si>
  <si>
    <t>Deferred revenue - non current</t>
  </si>
  <si>
    <t>Deferred revenue - current</t>
  </si>
  <si>
    <t>Note: non-current portion is not modelled, assumed at 2018 level</t>
  </si>
  <si>
    <t>Costs &amp; Expenses</t>
  </si>
  <si>
    <t>Note: assumed at 0, if logic changes then check everything flows through CFS</t>
  </si>
  <si>
    <t>Note: assume no new stock issuance (make sure CFS reflects this if modelled)</t>
  </si>
  <si>
    <t>Stock based compensation (SBC)</t>
  </si>
  <si>
    <t>SBC</t>
  </si>
  <si>
    <t>Broker consensus</t>
  </si>
  <si>
    <t>Note: assumed at 2018 level, if this changes check everything flows through other statements.</t>
  </si>
  <si>
    <t>Note: be aware of signs. Here expenses/outflorws are shown with "+" sign (i.e. dividends written positive).</t>
  </si>
  <si>
    <t>Note: assumed that no securities are purchases. Be careful with "+/-" signs.</t>
  </si>
  <si>
    <t>Reminder: everything by default is modelled with a positive sign except cash flow sheet.</t>
  </si>
  <si>
    <t>&lt;&lt;&lt;Includes only purchases of intangible assets</t>
  </si>
  <si>
    <t>Cash BOP</t>
  </si>
  <si>
    <t>Cash EOP</t>
  </si>
  <si>
    <t>Interest rate on cash</t>
  </si>
  <si>
    <t>Interest on cash</t>
  </si>
  <si>
    <t>Deferred income taxes - liabilities</t>
  </si>
  <si>
    <t>Deferred income taxes liabilities</t>
  </si>
  <si>
    <t>Income taxes</t>
  </si>
  <si>
    <t>Pre-tax income</t>
  </si>
  <si>
    <t>Taxes charged</t>
  </si>
  <si>
    <t>Tax rate</t>
  </si>
  <si>
    <t>Note: tax loss carried forward is not modelled</t>
  </si>
  <si>
    <t>% growth rate</t>
  </si>
  <si>
    <t xml:space="preserve">EBIT </t>
  </si>
  <si>
    <t>margin</t>
  </si>
  <si>
    <t>as % of Capex</t>
  </si>
  <si>
    <t>as % of Revenue</t>
  </si>
  <si>
    <t>EBITDA</t>
  </si>
  <si>
    <t>&lt;&lt;&lt; Doesn't include acquisitions in future periods</t>
  </si>
  <si>
    <t>Key assumptions</t>
  </si>
  <si>
    <t>NOPAT</t>
  </si>
  <si>
    <t>Changes in working capital and other non-cash adjustments</t>
  </si>
  <si>
    <t>FCFF</t>
  </si>
  <si>
    <t>Valuation date</t>
  </si>
  <si>
    <t>Discount rate</t>
  </si>
  <si>
    <t>WACC</t>
  </si>
  <si>
    <t>Portion of the year taken into account</t>
  </si>
  <si>
    <t>Discount period</t>
  </si>
  <si>
    <t>Discount factor</t>
  </si>
  <si>
    <t>DFCFF</t>
  </si>
  <si>
    <t>Sum of forecasted discounted cash flows</t>
  </si>
  <si>
    <t>Normative year</t>
  </si>
  <si>
    <t>PGR</t>
  </si>
  <si>
    <t>D&amp;A as % of capex</t>
  </si>
  <si>
    <t>EBITDA margin</t>
  </si>
  <si>
    <t>Capex as % of revenue</t>
  </si>
  <si>
    <t>WC as % of revenue</t>
  </si>
  <si>
    <t>Normative year:</t>
  </si>
  <si>
    <t>Terminal value</t>
  </si>
  <si>
    <t>Present value of terminal value</t>
  </si>
  <si>
    <t xml:space="preserve">Enterprise value </t>
  </si>
  <si>
    <t>Net debt</t>
  </si>
  <si>
    <t>Investments in associates</t>
  </si>
  <si>
    <t>Equity value</t>
  </si>
  <si>
    <t>Preferred shares</t>
  </si>
  <si>
    <t>Net income margin</t>
  </si>
  <si>
    <t>Net borrowings and other changes</t>
  </si>
  <si>
    <t>Revolver</t>
  </si>
  <si>
    <t xml:space="preserve">Net borrowings and other changes </t>
  </si>
  <si>
    <t>FCFE</t>
  </si>
  <si>
    <t>DFCFE</t>
  </si>
  <si>
    <t>Enterprise value</t>
  </si>
  <si>
    <t>Enterprise Value Sensitivity</t>
  </si>
  <si>
    <t>Google segment</t>
  </si>
  <si>
    <t>Google advertising revenues</t>
  </si>
  <si>
    <t>Google properties revenues</t>
  </si>
  <si>
    <t>Google other revenues</t>
  </si>
  <si>
    <t>Other Bets revenues</t>
  </si>
  <si>
    <t>Digital ad spending (global)</t>
  </si>
  <si>
    <t>Market share</t>
  </si>
  <si>
    <t>Total Google properties revenue</t>
  </si>
  <si>
    <t>Source: https://www.emarketer.com/content/emarketer-total-media-ad-spending-worldwide-will-rise-7-4-in-2018</t>
  </si>
  <si>
    <t>Other revenue</t>
  </si>
  <si>
    <t>Google Play</t>
  </si>
  <si>
    <t>Google Cloud</t>
  </si>
  <si>
    <t>Hardware</t>
  </si>
  <si>
    <t>Source: https://www.androidauthority.com/google-play-store-revenue-2018-944201</t>
  </si>
  <si>
    <t>Cut-off rate</t>
  </si>
  <si>
    <t>Source: https://support.google.com/googleplay/android-developer/answer/112622?hl=en-GB</t>
  </si>
  <si>
    <t>Revenue (Total - before pay to developers)</t>
  </si>
  <si>
    <t>Source: https://www.gartner.com/en/newsroom/press-releases/2019-04-02-gartner-forecasts-worldwide-public-cloud-revenue-to-g</t>
  </si>
  <si>
    <t>Cloud market</t>
  </si>
  <si>
    <t>Google play revenue</t>
  </si>
  <si>
    <t>GCP</t>
  </si>
  <si>
    <t>GCP revenue</t>
  </si>
  <si>
    <t>Google Cloud revenue</t>
  </si>
  <si>
    <t>G Suite</t>
  </si>
  <si>
    <t>Pixel revenue</t>
  </si>
  <si>
    <t>Source: https://abc.xyz/investor/static/pdf/2018_Q4_Earnings_Transcript.pdf?cache=945e2ca</t>
  </si>
  <si>
    <t>Source: https://9to5google.com/2018/12/24/made-by-google-profit-2018-estimate/</t>
  </si>
  <si>
    <t>Nest revenue</t>
  </si>
  <si>
    <t>Other hardware</t>
  </si>
  <si>
    <t>Google Hardware revenue</t>
  </si>
  <si>
    <t>Scenario</t>
  </si>
  <si>
    <t>Bull</t>
  </si>
  <si>
    <t>Base</t>
  </si>
  <si>
    <t>Bear</t>
  </si>
  <si>
    <t>Summary</t>
  </si>
  <si>
    <t>Total Revenues</t>
  </si>
  <si>
    <t>as % of Google properties revenue</t>
  </si>
  <si>
    <t>Google Network Memebers' properties</t>
  </si>
  <si>
    <t>as % of Google NM revenue</t>
  </si>
  <si>
    <t>as % of advertising revenue</t>
  </si>
  <si>
    <t>1. Cost of revenues</t>
  </si>
  <si>
    <t>1.1. TAC</t>
  </si>
  <si>
    <t>1.1.1. TAC to distribution partners</t>
  </si>
  <si>
    <t>1.1.2. TAC to Google Network Members</t>
  </si>
  <si>
    <t>1.2. Other cost of revenues</t>
  </si>
  <si>
    <t>2. Research and development</t>
  </si>
  <si>
    <t>3. Sales and marketing</t>
  </si>
  <si>
    <t>4. General and administrative</t>
  </si>
  <si>
    <t>5. European Commission fines</t>
  </si>
  <si>
    <t>as % of  revenue</t>
  </si>
  <si>
    <t>Note: If you add numbers to 'reduction of fines' line make sure they flow through the statements</t>
  </si>
  <si>
    <t>Type of calculations taken into account</t>
  </si>
  <si>
    <t>Approach #2 - Enhanced calculations</t>
  </si>
  <si>
    <t>Enhanced</t>
  </si>
  <si>
    <t>C&amp;E</t>
  </si>
  <si>
    <t>Existing assets</t>
  </si>
  <si>
    <t>Value of the existing assets</t>
  </si>
  <si>
    <t>Remaining useful life of the existing assets</t>
  </si>
  <si>
    <t>Depreciation of the existing assets</t>
  </si>
  <si>
    <t>New assets</t>
  </si>
  <si>
    <t>Capex of Land and Buildings</t>
  </si>
  <si>
    <t>Capex of IT assets</t>
  </si>
  <si>
    <t>% of total capex</t>
  </si>
  <si>
    <t>Other Capex</t>
  </si>
  <si>
    <t>Useful life of Land (and Buildings)</t>
  </si>
  <si>
    <t>Useful life of IT assets</t>
  </si>
  <si>
    <t>Useful life of Other assets</t>
  </si>
  <si>
    <t>Depreciation schedule</t>
  </si>
  <si>
    <t>Year</t>
  </si>
  <si>
    <t>Amount</t>
  </si>
  <si>
    <t>Land and Buildings</t>
  </si>
  <si>
    <t>IT assets</t>
  </si>
  <si>
    <t>Depreciation of new assets</t>
  </si>
  <si>
    <t>Total depreciation</t>
  </si>
  <si>
    <t>AR</t>
  </si>
  <si>
    <t>DIO (days inventory outstanding)</t>
  </si>
  <si>
    <t>DPO (days payable outstanding)</t>
  </si>
  <si>
    <t>DSO (days receivable outstanding)</t>
  </si>
  <si>
    <t>Income tax</t>
  </si>
  <si>
    <t xml:space="preserve">Increase </t>
  </si>
  <si>
    <t>Decrease</t>
  </si>
  <si>
    <t>Tax base</t>
  </si>
  <si>
    <t>Taxes</t>
  </si>
  <si>
    <t>Tax losses accumulated:</t>
  </si>
  <si>
    <t xml:space="preserve">Debt paid </t>
  </si>
  <si>
    <t xml:space="preserve">EOP </t>
  </si>
  <si>
    <t>rate</t>
  </si>
  <si>
    <t>Loan 1 - $10bn for 5 years, raised start of 2020 (example) - LIBOR + 1%</t>
  </si>
  <si>
    <t>LIBOR</t>
  </si>
  <si>
    <t>Additional interest rate (bps)</t>
  </si>
  <si>
    <t xml:space="preserve">Loan 2 - $20bn for 3 years (half redeemed in 2022, half in 2023 - EOP), raised in the beginning of 2021 at 3.5% </t>
  </si>
  <si>
    <t>Debt from enhanced section</t>
  </si>
  <si>
    <t>EOP debt</t>
  </si>
  <si>
    <t>Include enhanced section</t>
  </si>
  <si>
    <t>No</t>
  </si>
  <si>
    <t>Interest from enhanced tab</t>
  </si>
  <si>
    <t>Minimum cash required</t>
  </si>
  <si>
    <t>Revlolver, net</t>
  </si>
  <si>
    <t>Cash available</t>
  </si>
  <si>
    <t>Raised</t>
  </si>
  <si>
    <t>Paid</t>
  </si>
  <si>
    <t>Interest on revolver</t>
  </si>
  <si>
    <t>Interest paid</t>
  </si>
  <si>
    <t>interest rate</t>
  </si>
  <si>
    <t xml:space="preserve">Cost of equity </t>
  </si>
  <si>
    <t>Cost of debt</t>
  </si>
  <si>
    <t>Cost of debt used in the calculations</t>
  </si>
  <si>
    <t>Share of debt financing in long-term</t>
  </si>
  <si>
    <t>Tax rate used in calculations</t>
  </si>
  <si>
    <t>Cost of equity</t>
  </si>
  <si>
    <t>Share of equity financing</t>
  </si>
  <si>
    <t>Risk free rate</t>
  </si>
  <si>
    <t>Beta</t>
  </si>
  <si>
    <t>Market risk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</si>
</sst>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quot;$ &quot;#,##0.00_);_(&quot;$ &quot;\(#,##0.00\)"/>
    <numFmt numFmtId="165" formatCode="0&quot;E&quot;"/>
    <numFmt numFmtId="166" formatCode="_-* #,##0_-;\-* #,##0_-;_-* &quot;-&quot;??_-;_-@_-"/>
    <numFmt numFmtId="167" formatCode="0;\ \(0\)"/>
    <numFmt numFmtId="168" formatCode="&quot;$&quot;#,##0_);[Red]\(&quot;$&quot;#,##0\)"/>
    <numFmt numFmtId="169" formatCode="_(* #,##0_);_(* \(#,##0\);_(* &quot;-&quot;??_);_(@_)"/>
    <numFmt numFmtId="170" formatCode="_(* #,##0.00_);_(* \(#,##0.00\);_(* &quot;-&quot;??_);_(@_)"/>
    <numFmt numFmtId="171" formatCode="[$-F800]dddd\,\ mmmm\ dd\,\ yyyy"/>
    <numFmt numFmtId="172" formatCode="#,###;\(#,###\)"/>
    <numFmt numFmtId="173" formatCode="0.0%"/>
    <numFmt numFmtId="174" formatCode="#,###;\ \(#,###\);\ 0"/>
    <numFmt numFmtId="175" formatCode="#,###;\ \(#,###\);\ \-#"/>
    <numFmt numFmtId="176" formatCode="0.0"/>
    <numFmt numFmtId="178" formatCode="#,###.0;\ \(#,###.0\);\ 0.0"/>
    <numFmt numFmtId="179" formatCode="0\ &quot;bps&quot;"/>
    <numFmt numFmtId="180" formatCode="0.000%"/>
  </numFmts>
  <fonts count="44" x14ac:knownFonts="1">
    <font>
      <sz val="11"/>
      <color theme="1"/>
      <name val="Calibri"/>
      <family val="2"/>
      <scheme val="minor"/>
    </font>
    <font>
      <sz val="11"/>
      <color theme="1"/>
      <name val="Calibri"/>
      <family val="2"/>
      <scheme val="minor"/>
    </font>
    <font>
      <b/>
      <sz val="9"/>
      <name val="Arial"/>
      <family val="2"/>
    </font>
    <font>
      <sz val="9"/>
      <name val="Arial"/>
      <family val="2"/>
    </font>
    <font>
      <sz val="9"/>
      <color theme="1"/>
      <name val="Arial"/>
      <family val="2"/>
    </font>
    <font>
      <b/>
      <sz val="9"/>
      <color theme="1"/>
      <name val="Arial"/>
      <family val="2"/>
    </font>
    <font>
      <i/>
      <sz val="9"/>
      <name val="Arial"/>
      <family val="2"/>
    </font>
    <font>
      <sz val="9"/>
      <color theme="4"/>
      <name val="Arial"/>
      <family val="2"/>
    </font>
    <font>
      <b/>
      <sz val="9"/>
      <color theme="4"/>
      <name val="Arial"/>
      <family val="2"/>
    </font>
    <font>
      <b/>
      <sz val="11"/>
      <color theme="1"/>
      <name val="Calibri"/>
      <family val="2"/>
      <scheme val="minor"/>
    </font>
    <font>
      <b/>
      <sz val="9"/>
      <color theme="9"/>
      <name val="Arial"/>
      <family val="2"/>
    </font>
    <font>
      <b/>
      <u/>
      <sz val="26"/>
      <color theme="6"/>
      <name val="Arial"/>
      <family val="2"/>
      <charset val="204"/>
    </font>
    <font>
      <sz val="9"/>
      <color theme="1"/>
      <name val="Arial"/>
      <family val="2"/>
      <charset val="204"/>
    </font>
    <font>
      <sz val="9"/>
      <name val="Arial"/>
      <family val="2"/>
      <charset val="204"/>
    </font>
    <font>
      <b/>
      <u/>
      <sz val="9"/>
      <color theme="6"/>
      <name val="Arial"/>
      <family val="2"/>
      <charset val="204"/>
    </font>
    <font>
      <b/>
      <sz val="9"/>
      <name val="Arial"/>
      <family val="2"/>
      <charset val="204"/>
    </font>
    <font>
      <sz val="9"/>
      <color theme="9"/>
      <name val="Arial"/>
      <family val="2"/>
      <charset val="204"/>
    </font>
    <font>
      <sz val="9"/>
      <color rgb="FF303030"/>
      <name val="Arial"/>
      <family val="2"/>
      <charset val="204"/>
    </font>
    <font>
      <sz val="9"/>
      <color theme="8"/>
      <name val="Arial"/>
      <family val="2"/>
      <charset val="204"/>
    </font>
    <font>
      <sz val="9"/>
      <color rgb="FFFF0000"/>
      <name val="Arial"/>
      <family val="2"/>
      <charset val="204"/>
    </font>
    <font>
      <b/>
      <sz val="9"/>
      <color theme="1"/>
      <name val="Arial"/>
      <family val="2"/>
      <charset val="204"/>
    </font>
    <font>
      <b/>
      <sz val="9"/>
      <color rgb="FF8A0000"/>
      <name val="Arial"/>
      <family val="2"/>
      <charset val="204"/>
    </font>
    <font>
      <b/>
      <sz val="9"/>
      <color theme="5"/>
      <name val="Arial"/>
      <family val="2"/>
      <charset val="204"/>
    </font>
    <font>
      <b/>
      <sz val="9"/>
      <color theme="0"/>
      <name val="Arial"/>
      <family val="2"/>
    </font>
    <font>
      <sz val="9"/>
      <color theme="0"/>
      <name val="Arial"/>
      <family val="2"/>
    </font>
    <font>
      <i/>
      <sz val="11"/>
      <color theme="1"/>
      <name val="Calibri"/>
      <family val="2"/>
      <scheme val="minor"/>
    </font>
    <font>
      <sz val="11"/>
      <color rgb="FF0000FF"/>
      <name val="Calibri"/>
      <family val="2"/>
      <scheme val="minor"/>
    </font>
    <font>
      <sz val="11"/>
      <name val="Calibri"/>
      <family val="2"/>
      <scheme val="minor"/>
    </font>
    <font>
      <b/>
      <sz val="9"/>
      <color rgb="FF00B050"/>
      <name val="Arial"/>
      <family val="2"/>
    </font>
    <font>
      <sz val="11"/>
      <color rgb="FF00B050"/>
      <name val="Calibri"/>
      <family val="2"/>
      <scheme val="minor"/>
    </font>
    <font>
      <i/>
      <sz val="9"/>
      <color rgb="FF0000FF"/>
      <name val="Arial"/>
      <family val="2"/>
    </font>
    <font>
      <b/>
      <sz val="9"/>
      <color rgb="FF0000FF"/>
      <name val="Arial"/>
      <family val="2"/>
    </font>
    <font>
      <sz val="9"/>
      <color rgb="FF00B050"/>
      <name val="Arial"/>
      <family val="2"/>
    </font>
    <font>
      <b/>
      <i/>
      <sz val="9"/>
      <color rgb="FF0000FF"/>
      <name val="Arial"/>
      <family val="2"/>
    </font>
    <font>
      <i/>
      <sz val="11"/>
      <color rgb="FF0000FF"/>
      <name val="Calibri"/>
      <family val="2"/>
      <scheme val="minor"/>
    </font>
    <font>
      <i/>
      <sz val="9"/>
      <color rgb="FF00B050"/>
      <name val="Arial"/>
      <family val="2"/>
    </font>
    <font>
      <b/>
      <sz val="11"/>
      <color rgb="FF00B050"/>
      <name val="Calibri"/>
      <family val="2"/>
      <scheme val="minor"/>
    </font>
    <font>
      <sz val="11"/>
      <color theme="0"/>
      <name val="Calibri"/>
      <family val="2"/>
      <scheme val="minor"/>
    </font>
    <font>
      <b/>
      <sz val="11"/>
      <name val="Calibri"/>
      <family val="2"/>
      <scheme val="minor"/>
    </font>
    <font>
      <sz val="14"/>
      <color theme="1"/>
      <name val="Calibri"/>
      <family val="2"/>
      <scheme val="minor"/>
    </font>
    <font>
      <b/>
      <sz val="9"/>
      <color indexed="81"/>
      <name val="Tahoma"/>
      <family val="2"/>
    </font>
    <font>
      <sz val="9"/>
      <color rgb="FF0000FF"/>
      <name val="Arial"/>
      <family val="2"/>
    </font>
    <font>
      <i/>
      <sz val="11"/>
      <name val="Calibri"/>
      <family val="2"/>
      <scheme val="minor"/>
    </font>
    <font>
      <b/>
      <u/>
      <sz val="11"/>
      <color theme="1"/>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FFFFFF"/>
        <bgColor indexed="64"/>
      </patternFill>
    </fill>
    <fill>
      <patternFill patternType="solid">
        <fgColor rgb="FFF9F9F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59999389629810485"/>
        <bgColor indexed="64"/>
      </patternFill>
    </fill>
  </fills>
  <borders count="45">
    <border>
      <left/>
      <right/>
      <top/>
      <bottom/>
      <diagonal/>
    </border>
    <border>
      <left/>
      <right/>
      <top style="thin">
        <color indexed="64"/>
      </top>
      <bottom/>
      <diagonal/>
    </border>
    <border>
      <left/>
      <right/>
      <top style="thin">
        <color indexed="64"/>
      </top>
      <bottom style="double">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medium">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xf numFmtId="0" fontId="1" fillId="0" borderId="0"/>
    <xf numFmtId="43" fontId="1" fillId="0" borderId="0" applyFont="0" applyFill="0" applyBorder="0" applyAlignment="0" applyProtection="0"/>
    <xf numFmtId="43" fontId="4" fillId="0" borderId="0" applyFont="0" applyFill="0" applyBorder="0" applyAlignment="0" applyProtection="0"/>
    <xf numFmtId="170"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0" fontId="1" fillId="0" borderId="0" applyFont="0" applyFill="0" applyBorder="0" applyAlignment="0" applyProtection="0"/>
    <xf numFmtId="170"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40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37" fontId="3" fillId="0" borderId="0" xfId="0" applyNumberFormat="1" applyFont="1" applyAlignment="1">
      <alignment horizontal="right" vertical="top"/>
    </xf>
    <xf numFmtId="164" fontId="3" fillId="0" borderId="0" xfId="0" applyNumberFormat="1" applyFont="1" applyAlignment="1">
      <alignment horizontal="right" vertical="top"/>
    </xf>
    <xf numFmtId="0" fontId="4" fillId="0" borderId="0" xfId="0" applyFont="1" applyAlignment="1"/>
    <xf numFmtId="0" fontId="2" fillId="0" borderId="0" xfId="0" applyFont="1" applyAlignment="1">
      <alignment vertical="center" wrapText="1"/>
    </xf>
    <xf numFmtId="0" fontId="5" fillId="0" borderId="0" xfId="0" applyFont="1" applyAlignment="1"/>
    <xf numFmtId="165" fontId="2" fillId="0" borderId="0" xfId="0" applyNumberFormat="1" applyFont="1" applyAlignment="1">
      <alignment vertical="center" wrapText="1"/>
    </xf>
    <xf numFmtId="166" fontId="3" fillId="0" borderId="0" xfId="1" applyNumberFormat="1" applyFont="1" applyAlignment="1">
      <alignment vertical="top" wrapText="1"/>
    </xf>
    <xf numFmtId="166" fontId="4" fillId="0" borderId="0" xfId="1" applyNumberFormat="1" applyFont="1"/>
    <xf numFmtId="166" fontId="0" fillId="0" borderId="0" xfId="1" applyNumberFormat="1" applyFont="1"/>
    <xf numFmtId="0" fontId="5" fillId="0" borderId="1" xfId="0" applyFont="1" applyBorder="1"/>
    <xf numFmtId="0" fontId="2" fillId="0" borderId="1" xfId="0" applyFont="1" applyBorder="1" applyAlignment="1">
      <alignment vertical="top" wrapText="1"/>
    </xf>
    <xf numFmtId="166" fontId="2" fillId="0" borderId="1" xfId="1" applyNumberFormat="1" applyFont="1" applyBorder="1" applyAlignment="1">
      <alignment vertical="top" wrapText="1"/>
    </xf>
    <xf numFmtId="166" fontId="5" fillId="0" borderId="1" xfId="1" applyNumberFormat="1" applyFont="1" applyBorder="1"/>
    <xf numFmtId="0" fontId="5" fillId="0" borderId="0" xfId="0" applyFont="1" applyBorder="1"/>
    <xf numFmtId="166" fontId="2" fillId="0" borderId="0" xfId="1" applyNumberFormat="1" applyFont="1" applyBorder="1" applyAlignment="1">
      <alignment vertical="top" wrapText="1"/>
    </xf>
    <xf numFmtId="166" fontId="5" fillId="0" borderId="0" xfId="1" applyNumberFormat="1" applyFont="1" applyBorder="1"/>
    <xf numFmtId="0" fontId="4" fillId="0" borderId="0" xfId="0" applyFont="1" applyBorder="1"/>
    <xf numFmtId="166" fontId="3" fillId="0" borderId="0" xfId="1" applyNumberFormat="1" applyFont="1" applyBorder="1" applyAlignment="1">
      <alignment vertical="top" wrapText="1"/>
    </xf>
    <xf numFmtId="166" fontId="4" fillId="0" borderId="0" xfId="1" applyNumberFormat="1" applyFont="1" applyBorder="1"/>
    <xf numFmtId="0" fontId="5" fillId="0" borderId="2" xfId="0" applyFont="1" applyBorder="1"/>
    <xf numFmtId="166" fontId="2" fillId="0" borderId="2" xfId="1" applyNumberFormat="1" applyFont="1" applyBorder="1" applyAlignment="1">
      <alignment vertical="top" wrapText="1"/>
    </xf>
    <xf numFmtId="166" fontId="5" fillId="0" borderId="2" xfId="1" applyNumberFormat="1" applyFont="1" applyBorder="1"/>
    <xf numFmtId="0" fontId="4" fillId="0" borderId="3" xfId="0" applyFont="1" applyBorder="1"/>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5" fillId="0" borderId="3" xfId="0" applyFont="1" applyBorder="1" applyAlignment="1"/>
    <xf numFmtId="165" fontId="2" fillId="0" borderId="3" xfId="0" applyNumberFormat="1" applyFont="1" applyBorder="1" applyAlignment="1">
      <alignment vertical="center" wrapText="1"/>
    </xf>
    <xf numFmtId="166" fontId="3" fillId="0" borderId="3" xfId="1" applyNumberFormat="1" applyFont="1" applyBorder="1" applyAlignment="1">
      <alignment vertical="top" wrapText="1"/>
    </xf>
    <xf numFmtId="166" fontId="4" fillId="0" borderId="3" xfId="1" applyNumberFormat="1" applyFont="1" applyBorder="1"/>
    <xf numFmtId="0" fontId="5" fillId="0" borderId="4" xfId="0" applyFont="1" applyBorder="1"/>
    <xf numFmtId="0" fontId="2" fillId="0" borderId="4" xfId="0" applyFont="1" applyBorder="1" applyAlignment="1">
      <alignment vertical="top" wrapText="1"/>
    </xf>
    <xf numFmtId="166" fontId="2" fillId="0" borderId="4" xfId="1" applyNumberFormat="1" applyFont="1" applyBorder="1" applyAlignment="1">
      <alignment vertical="top" wrapText="1"/>
    </xf>
    <xf numFmtId="166" fontId="5" fillId="0" borderId="4" xfId="1" applyNumberFormat="1" applyFont="1" applyBorder="1"/>
    <xf numFmtId="0" fontId="6" fillId="0" borderId="5"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indent="2"/>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9" xfId="0" applyFont="1" applyBorder="1" applyAlignment="1">
      <alignment vertical="top" wrapText="1"/>
    </xf>
    <xf numFmtId="0" fontId="4" fillId="0" borderId="5" xfId="0" applyFont="1" applyBorder="1"/>
    <xf numFmtId="0" fontId="4" fillId="0" borderId="5" xfId="0" applyFont="1" applyBorder="1" applyAlignment="1">
      <alignment wrapText="1"/>
    </xf>
    <xf numFmtId="0" fontId="3" fillId="0" borderId="0" xfId="0" quotePrefix="1" applyFont="1" applyAlignment="1">
      <alignment vertical="top" wrapText="1"/>
    </xf>
    <xf numFmtId="166" fontId="3" fillId="0" borderId="0" xfId="1" quotePrefix="1" applyNumberFormat="1" applyFont="1" applyAlignment="1">
      <alignment vertical="top" wrapText="1"/>
    </xf>
    <xf numFmtId="0" fontId="5" fillId="0" borderId="0" xfId="0" applyFont="1"/>
    <xf numFmtId="0" fontId="4" fillId="0" borderId="1" xfId="0" applyFont="1" applyBorder="1"/>
    <xf numFmtId="0" fontId="4" fillId="0" borderId="2" xfId="0" applyFont="1" applyBorder="1"/>
    <xf numFmtId="0" fontId="4" fillId="0" borderId="4" xfId="0" applyFont="1" applyBorder="1"/>
    <xf numFmtId="167" fontId="4" fillId="0" borderId="0" xfId="0" applyNumberFormat="1" applyFont="1"/>
    <xf numFmtId="0" fontId="6" fillId="0" borderId="3" xfId="0" applyFont="1" applyBorder="1" applyAlignment="1">
      <alignment vertical="center" wrapText="1"/>
    </xf>
    <xf numFmtId="0" fontId="2" fillId="0" borderId="11" xfId="0" applyFont="1" applyBorder="1" applyAlignment="1">
      <alignment horizontal="center" vertical="center" wrapText="1"/>
    </xf>
    <xf numFmtId="0" fontId="4" fillId="0" borderId="10" xfId="0" applyFont="1" applyBorder="1"/>
    <xf numFmtId="0" fontId="2" fillId="0" borderId="10" xfId="0" applyFont="1" applyBorder="1" applyAlignment="1">
      <alignment vertical="top" wrapText="1"/>
    </xf>
    <xf numFmtId="0" fontId="3" fillId="0" borderId="10" xfId="0" applyFont="1" applyBorder="1" applyAlignment="1">
      <alignment vertical="top" wrapText="1"/>
    </xf>
    <xf numFmtId="0" fontId="6" fillId="0" borderId="0" xfId="0" applyFont="1" applyAlignment="1">
      <alignment horizontal="left" vertical="top" wrapText="1" indent="2"/>
    </xf>
    <xf numFmtId="3" fontId="2" fillId="0" borderId="0" xfId="0" applyNumberFormat="1" applyFont="1" applyAlignment="1">
      <alignment horizontal="right" vertical="top"/>
    </xf>
    <xf numFmtId="0" fontId="2" fillId="0" borderId="12" xfId="0" applyFont="1" applyBorder="1" applyAlignment="1">
      <alignment vertical="top" wrapText="1"/>
    </xf>
    <xf numFmtId="37" fontId="2" fillId="0" borderId="1" xfId="0" applyNumberFormat="1" applyFont="1" applyBorder="1" applyAlignment="1">
      <alignment horizontal="right" vertical="top"/>
    </xf>
    <xf numFmtId="3" fontId="8" fillId="0" borderId="0" xfId="0" applyNumberFormat="1" applyFont="1" applyAlignment="1">
      <alignment horizontal="right" vertical="top"/>
    </xf>
    <xf numFmtId="3" fontId="3" fillId="0" borderId="0" xfId="0" applyNumberFormat="1" applyFont="1" applyAlignment="1">
      <alignment horizontal="center" vertical="center" wrapText="1"/>
    </xf>
    <xf numFmtId="3" fontId="4" fillId="0" borderId="0" xfId="0" applyNumberFormat="1" applyFont="1"/>
    <xf numFmtId="3" fontId="7" fillId="0" borderId="0" xfId="0" applyNumberFormat="1" applyFont="1" applyAlignment="1">
      <alignment horizontal="right" vertical="top"/>
    </xf>
    <xf numFmtId="3" fontId="2" fillId="0" borderId="1" xfId="0" applyNumberFormat="1" applyFont="1" applyBorder="1" applyAlignment="1">
      <alignment horizontal="right" vertical="top"/>
    </xf>
    <xf numFmtId="0" fontId="2" fillId="0" borderId="13" xfId="0" applyFont="1" applyBorder="1" applyAlignment="1">
      <alignment vertical="top" wrapText="1"/>
    </xf>
    <xf numFmtId="43" fontId="3" fillId="0" borderId="0" xfId="1" applyFont="1" applyAlignment="1">
      <alignment horizontal="center" vertical="center" wrapText="1"/>
    </xf>
    <xf numFmtId="43" fontId="4" fillId="0" borderId="0" xfId="1" applyFont="1"/>
    <xf numFmtId="43" fontId="2" fillId="0" borderId="4" xfId="1" applyFont="1" applyBorder="1" applyAlignment="1">
      <alignment horizontal="right" vertical="top"/>
    </xf>
    <xf numFmtId="0" fontId="3" fillId="0" borderId="0" xfId="0" applyFont="1" applyAlignment="1">
      <alignment horizontal="right" vertical="top"/>
    </xf>
    <xf numFmtId="0" fontId="4" fillId="0" borderId="0" xfId="0" applyFont="1"/>
    <xf numFmtId="43" fontId="2" fillId="0" borderId="0" xfId="1" applyFont="1" applyBorder="1" applyAlignment="1">
      <alignment horizontal="right" vertical="top"/>
    </xf>
    <xf numFmtId="43" fontId="2" fillId="0" borderId="2" xfId="1" applyFont="1" applyBorder="1" applyAlignment="1">
      <alignment horizontal="right" vertical="top"/>
    </xf>
    <xf numFmtId="0" fontId="3" fillId="0" borderId="0" xfId="0" applyFont="1" applyAlignment="1">
      <alignment horizontal="left" vertical="top" wrapText="1" indent="2"/>
    </xf>
    <xf numFmtId="43" fontId="5" fillId="0" borderId="0" xfId="1" applyFont="1"/>
    <xf numFmtId="43" fontId="2" fillId="0" borderId="0" xfId="1" applyFont="1" applyAlignment="1">
      <alignment horizontal="right" vertical="top"/>
    </xf>
    <xf numFmtId="0" fontId="2" fillId="0" borderId="2" xfId="0" applyFont="1" applyBorder="1" applyAlignment="1">
      <alignment vertical="top" wrapText="1"/>
    </xf>
    <xf numFmtId="0" fontId="2" fillId="0" borderId="14" xfId="0" applyFont="1" applyBorder="1" applyAlignment="1">
      <alignment vertical="top" wrapText="1"/>
    </xf>
    <xf numFmtId="0" fontId="0" fillId="0" borderId="0" xfId="0" applyAlignment="1">
      <alignment wrapText="1"/>
    </xf>
    <xf numFmtId="9" fontId="5" fillId="0" borderId="0" xfId="2" applyFont="1" applyBorder="1"/>
    <xf numFmtId="0" fontId="5" fillId="0" borderId="3" xfId="0" applyNumberFormat="1" applyFont="1" applyBorder="1" applyAlignment="1"/>
    <xf numFmtId="0" fontId="2" fillId="0" borderId="3" xfId="0" applyNumberFormat="1" applyFont="1" applyBorder="1" applyAlignment="1">
      <alignment vertical="center" wrapText="1"/>
    </xf>
    <xf numFmtId="0" fontId="9" fillId="2" borderId="0" xfId="0" applyFont="1" applyFill="1"/>
    <xf numFmtId="0" fontId="0" fillId="2" borderId="0" xfId="0" applyFill="1"/>
    <xf numFmtId="0" fontId="12" fillId="0" borderId="0" xfId="4" applyFont="1" applyAlignment="1">
      <alignment horizontal="center" wrapText="1"/>
    </xf>
    <xf numFmtId="0" fontId="4" fillId="0" borderId="0" xfId="3" applyAlignment="1">
      <alignment wrapText="1"/>
    </xf>
    <xf numFmtId="0" fontId="4" fillId="0" borderId="0" xfId="3"/>
    <xf numFmtId="0" fontId="12" fillId="0" borderId="0" xfId="4" applyFont="1"/>
    <xf numFmtId="0" fontId="20" fillId="0" borderId="0" xfId="4" applyFont="1"/>
    <xf numFmtId="0" fontId="16" fillId="6" borderId="15" xfId="4" applyFont="1" applyFill="1" applyBorder="1"/>
    <xf numFmtId="17" fontId="12" fillId="0" borderId="0" xfId="4" applyNumberFormat="1" applyFont="1"/>
    <xf numFmtId="0" fontId="12" fillId="7" borderId="0" xfId="4" applyFont="1" applyFill="1"/>
    <xf numFmtId="0" fontId="20" fillId="7" borderId="0" xfId="4" applyFont="1" applyFill="1"/>
    <xf numFmtId="0" fontId="15" fillId="0" borderId="0" xfId="4" applyFont="1" applyAlignment="1">
      <alignment vertical="center" wrapText="1"/>
    </xf>
    <xf numFmtId="165" fontId="20" fillId="0" borderId="0" xfId="4" applyNumberFormat="1" applyFont="1"/>
    <xf numFmtId="0" fontId="23" fillId="8" borderId="0" xfId="3" applyFont="1" applyFill="1"/>
    <xf numFmtId="0" fontId="24" fillId="8" borderId="0" xfId="3" applyFont="1" applyFill="1"/>
    <xf numFmtId="0" fontId="24" fillId="8" borderId="0" xfId="4" applyFont="1" applyFill="1"/>
    <xf numFmtId="0" fontId="4" fillId="0" borderId="2" xfId="3" applyBorder="1"/>
    <xf numFmtId="0" fontId="12" fillId="0" borderId="2" xfId="4" applyFont="1" applyBorder="1"/>
    <xf numFmtId="169" fontId="12" fillId="0" borderId="0" xfId="4" applyNumberFormat="1" applyFont="1"/>
    <xf numFmtId="0" fontId="12" fillId="9" borderId="0" xfId="3" applyFont="1" applyFill="1"/>
    <xf numFmtId="0" fontId="12" fillId="9" borderId="0" xfId="4" applyFont="1" applyFill="1"/>
    <xf numFmtId="168" fontId="12" fillId="0" borderId="0" xfId="4" applyNumberFormat="1" applyFont="1"/>
    <xf numFmtId="0" fontId="4" fillId="9" borderId="0" xfId="3" applyFill="1"/>
    <xf numFmtId="0" fontId="12" fillId="0" borderId="0" xfId="4" applyFont="1" applyAlignment="1">
      <alignment wrapText="1"/>
    </xf>
    <xf numFmtId="0" fontId="13" fillId="0" borderId="0" xfId="4" applyFont="1" applyAlignment="1">
      <alignment vertical="top" wrapText="1"/>
    </xf>
    <xf numFmtId="0" fontId="12" fillId="3" borderId="15" xfId="4" applyFont="1" applyFill="1" applyBorder="1" applyAlignment="1">
      <alignment wrapText="1"/>
    </xf>
    <xf numFmtId="0" fontId="14" fillId="0" borderId="0" xfId="4" applyFont="1" applyAlignment="1">
      <alignment wrapText="1"/>
    </xf>
    <xf numFmtId="0" fontId="15" fillId="4" borderId="3" xfId="4" applyFont="1" applyFill="1" applyBorder="1" applyAlignment="1">
      <alignment horizontal="left" vertical="center" wrapText="1"/>
    </xf>
    <xf numFmtId="0" fontId="16" fillId="4" borderId="0" xfId="4" applyFont="1" applyFill="1" applyAlignment="1">
      <alignment horizontal="left" vertical="top" wrapText="1"/>
    </xf>
    <xf numFmtId="0" fontId="17" fillId="5" borderId="0" xfId="4" applyFont="1" applyFill="1" applyAlignment="1">
      <alignment horizontal="left" vertical="top" wrapText="1"/>
    </xf>
    <xf numFmtId="0" fontId="17" fillId="5" borderId="0" xfId="4" quotePrefix="1" applyFont="1" applyFill="1" applyAlignment="1">
      <alignment horizontal="left" vertical="top" wrapText="1"/>
    </xf>
    <xf numFmtId="0" fontId="18" fillId="4" borderId="0" xfId="4" applyFont="1" applyFill="1" applyAlignment="1">
      <alignment horizontal="left" vertical="top" wrapText="1"/>
    </xf>
    <xf numFmtId="0" fontId="19" fillId="5" borderId="0" xfId="4" applyFont="1" applyFill="1" applyAlignment="1">
      <alignment horizontal="left" vertical="top" wrapText="1"/>
    </xf>
    <xf numFmtId="0" fontId="19" fillId="5" borderId="0" xfId="4" quotePrefix="1" applyFont="1" applyFill="1" applyAlignment="1">
      <alignment horizontal="left" vertical="top" wrapText="1"/>
    </xf>
    <xf numFmtId="0" fontId="20" fillId="0" borderId="0" xfId="4" applyFont="1" applyAlignment="1">
      <alignment wrapText="1"/>
    </xf>
    <xf numFmtId="0" fontId="12" fillId="4" borderId="0" xfId="4" applyFont="1" applyFill="1" applyAlignment="1">
      <alignment horizontal="left" vertical="top" wrapText="1"/>
    </xf>
    <xf numFmtId="0" fontId="12" fillId="4" borderId="0" xfId="4" quotePrefix="1" applyFont="1" applyFill="1" applyAlignment="1">
      <alignment horizontal="left" vertical="top" wrapText="1"/>
    </xf>
    <xf numFmtId="169" fontId="12" fillId="0" borderId="0" xfId="10" applyNumberFormat="1" applyFont="1"/>
    <xf numFmtId="169" fontId="16" fillId="6" borderId="15" xfId="10" applyNumberFormat="1" applyFont="1" applyFill="1" applyBorder="1"/>
    <xf numFmtId="169" fontId="13" fillId="6" borderId="15" xfId="10" applyNumberFormat="1" applyFont="1" applyFill="1" applyBorder="1"/>
    <xf numFmtId="169" fontId="12" fillId="9" borderId="0" xfId="11" applyNumberFormat="1" applyFont="1" applyFill="1"/>
    <xf numFmtId="169" fontId="0" fillId="0" borderId="0" xfId="11" applyNumberFormat="1" applyFont="1"/>
    <xf numFmtId="169" fontId="0" fillId="9" borderId="0" xfId="11" applyNumberFormat="1" applyFont="1" applyFill="1"/>
    <xf numFmtId="169" fontId="12" fillId="0" borderId="0" xfId="11" applyNumberFormat="1" applyFont="1"/>
    <xf numFmtId="0" fontId="25" fillId="0" borderId="0" xfId="0" applyFont="1" applyAlignment="1">
      <alignment horizontal="left" indent="2"/>
    </xf>
    <xf numFmtId="171" fontId="0" fillId="0" borderId="0" xfId="0" applyNumberFormat="1"/>
    <xf numFmtId="172" fontId="26" fillId="2" borderId="15" xfId="0" applyNumberFormat="1" applyFont="1" applyFill="1" applyBorder="1"/>
    <xf numFmtId="172" fontId="0" fillId="0" borderId="0" xfId="0" applyNumberFormat="1"/>
    <xf numFmtId="173" fontId="0" fillId="0" borderId="0" xfId="2" applyNumberFormat="1" applyFont="1"/>
    <xf numFmtId="172" fontId="0" fillId="0" borderId="15" xfId="0" applyNumberFormat="1" applyBorder="1"/>
    <xf numFmtId="172" fontId="27" fillId="0" borderId="15" xfId="0" applyNumberFormat="1" applyFont="1" applyBorder="1"/>
    <xf numFmtId="172" fontId="27" fillId="0" borderId="0" xfId="0" applyNumberFormat="1" applyFont="1" applyBorder="1"/>
    <xf numFmtId="173" fontId="26" fillId="0" borderId="15" xfId="2" applyNumberFormat="1" applyFont="1" applyBorder="1"/>
    <xf numFmtId="173" fontId="26" fillId="0" borderId="0" xfId="2" applyNumberFormat="1" applyFont="1"/>
    <xf numFmtId="172" fontId="27" fillId="0" borderId="0" xfId="0" applyNumberFormat="1" applyFont="1"/>
    <xf numFmtId="172" fontId="29" fillId="0" borderId="0" xfId="0" applyNumberFormat="1" applyFont="1"/>
    <xf numFmtId="172" fontId="28" fillId="0" borderId="0" xfId="0" applyNumberFormat="1" applyFont="1" applyAlignment="1">
      <alignment horizontal="right" vertical="top"/>
    </xf>
    <xf numFmtId="172" fontId="28" fillId="0" borderId="0" xfId="0" applyNumberFormat="1" applyFont="1"/>
    <xf numFmtId="1" fontId="16" fillId="6" borderId="15" xfId="10" applyNumberFormat="1" applyFont="1" applyFill="1" applyBorder="1"/>
    <xf numFmtId="1" fontId="13" fillId="6" borderId="15" xfId="10" applyNumberFormat="1" applyFont="1" applyFill="1" applyBorder="1"/>
    <xf numFmtId="1" fontId="16" fillId="6" borderId="15" xfId="4" applyNumberFormat="1" applyFont="1" applyFill="1" applyBorder="1"/>
    <xf numFmtId="0" fontId="0" fillId="0" borderId="0" xfId="0" applyFont="1" applyAlignment="1">
      <alignment horizontal="left"/>
    </xf>
    <xf numFmtId="0" fontId="27" fillId="0" borderId="0" xfId="0" applyFont="1"/>
    <xf numFmtId="173" fontId="27" fillId="0" borderId="0" xfId="2" applyNumberFormat="1" applyFont="1"/>
    <xf numFmtId="173" fontId="27" fillId="0" borderId="0" xfId="2" applyNumberFormat="1" applyFont="1" applyBorder="1"/>
    <xf numFmtId="43" fontId="30" fillId="0" borderId="0" xfId="1" applyFont="1" applyAlignment="1">
      <alignment horizontal="right" vertical="top"/>
    </xf>
    <xf numFmtId="3" fontId="30" fillId="0" borderId="0" xfId="0" applyNumberFormat="1" applyFont="1" applyAlignment="1">
      <alignment horizontal="right" vertical="top"/>
    </xf>
    <xf numFmtId="0" fontId="9" fillId="0" borderId="0" xfId="0" applyFont="1"/>
    <xf numFmtId="0" fontId="29" fillId="0" borderId="0" xfId="0" applyFont="1"/>
    <xf numFmtId="0" fontId="34" fillId="0" borderId="0" xfId="0" applyFont="1"/>
    <xf numFmtId="172" fontId="0" fillId="0" borderId="0" xfId="0" applyNumberFormat="1" applyBorder="1"/>
    <xf numFmtId="173" fontId="26" fillId="0" borderId="0" xfId="2" applyNumberFormat="1" applyFont="1" applyBorder="1"/>
    <xf numFmtId="10" fontId="26" fillId="0" borderId="0" xfId="0" applyNumberFormat="1" applyFont="1"/>
    <xf numFmtId="10" fontId="26" fillId="0" borderId="15" xfId="0" applyNumberFormat="1" applyFont="1" applyBorder="1"/>
    <xf numFmtId="0" fontId="34" fillId="0" borderId="0" xfId="0" applyFont="1" applyAlignment="1">
      <alignment wrapText="1"/>
    </xf>
    <xf numFmtId="172" fontId="29" fillId="0" borderId="0" xfId="2" applyNumberFormat="1" applyFont="1"/>
    <xf numFmtId="172" fontId="0" fillId="0" borderId="15" xfId="0" applyNumberFormat="1" applyFont="1" applyBorder="1"/>
    <xf numFmtId="172" fontId="26" fillId="10" borderId="0" xfId="0" applyNumberFormat="1" applyFont="1" applyFill="1" applyBorder="1"/>
    <xf numFmtId="173" fontId="27" fillId="0" borderId="15" xfId="2" applyNumberFormat="1" applyFont="1" applyBorder="1"/>
    <xf numFmtId="173" fontId="27" fillId="0" borderId="0" xfId="2" applyNumberFormat="1" applyFont="1" applyFill="1"/>
    <xf numFmtId="173" fontId="27" fillId="0" borderId="15" xfId="2" applyNumberFormat="1" applyFont="1" applyFill="1" applyBorder="1"/>
    <xf numFmtId="173" fontId="26" fillId="0" borderId="0" xfId="2" applyNumberFormat="1" applyFont="1" applyFill="1"/>
    <xf numFmtId="0" fontId="9" fillId="0" borderId="1" xfId="0" applyFont="1" applyBorder="1"/>
    <xf numFmtId="172" fontId="9" fillId="0" borderId="1" xfId="0" applyNumberFormat="1" applyFont="1" applyBorder="1"/>
    <xf numFmtId="3" fontId="9" fillId="0" borderId="1" xfId="0" applyNumberFormat="1" applyFont="1" applyBorder="1"/>
    <xf numFmtId="0" fontId="9" fillId="0" borderId="0" xfId="0" applyFont="1" applyBorder="1"/>
    <xf numFmtId="172" fontId="26" fillId="0" borderId="0" xfId="0" applyNumberFormat="1" applyFont="1"/>
    <xf numFmtId="174" fontId="0" fillId="0" borderId="0" xfId="0" applyNumberFormat="1"/>
    <xf numFmtId="174" fontId="26" fillId="0" borderId="0" xfId="0" applyNumberFormat="1" applyFont="1"/>
    <xf numFmtId="0" fontId="0" fillId="0" borderId="0" xfId="0"/>
    <xf numFmtId="175" fontId="0" fillId="0" borderId="0" xfId="0" applyNumberFormat="1"/>
    <xf numFmtId="175" fontId="26" fillId="0" borderId="0" xfId="0" applyNumberFormat="1" applyFont="1"/>
    <xf numFmtId="175" fontId="29" fillId="0" borderId="0" xfId="0" applyNumberFormat="1" applyFont="1"/>
    <xf numFmtId="175" fontId="0" fillId="0" borderId="15" xfId="0" applyNumberFormat="1" applyBorder="1"/>
    <xf numFmtId="174" fontId="9" fillId="0" borderId="0" xfId="0" applyNumberFormat="1" applyFont="1"/>
    <xf numFmtId="1" fontId="0" fillId="0" borderId="0" xfId="0" applyNumberFormat="1"/>
    <xf numFmtId="0" fontId="0" fillId="0" borderId="0" xfId="0" applyFont="1"/>
    <xf numFmtId="9" fontId="26" fillId="0" borderId="0" xfId="0" applyNumberFormat="1" applyFont="1"/>
    <xf numFmtId="0" fontId="29" fillId="0" borderId="0" xfId="0" applyFont="1"/>
    <xf numFmtId="0" fontId="0" fillId="0" borderId="0" xfId="0" applyFont="1"/>
    <xf numFmtId="173" fontId="26" fillId="0" borderId="15" xfId="2" applyNumberFormat="1" applyFont="1" applyFill="1" applyBorder="1"/>
    <xf numFmtId="174" fontId="7" fillId="0" borderId="0" xfId="1" applyNumberFormat="1" applyFont="1" applyAlignment="1">
      <alignment horizontal="right" vertical="top"/>
    </xf>
    <xf numFmtId="174" fontId="30" fillId="0" borderId="0" xfId="1" applyNumberFormat="1" applyFont="1" applyAlignment="1">
      <alignment horizontal="right" vertical="top"/>
    </xf>
    <xf numFmtId="0" fontId="27" fillId="0" borderId="0" xfId="0" applyFont="1" applyAlignment="1">
      <alignment wrapText="1"/>
    </xf>
    <xf numFmtId="174" fontId="29" fillId="0" borderId="0" xfId="0" applyNumberFormat="1" applyFont="1"/>
    <xf numFmtId="173" fontId="26" fillId="0" borderId="0" xfId="2" applyNumberFormat="1" applyFont="1" applyFill="1" applyBorder="1"/>
    <xf numFmtId="173" fontId="27" fillId="0" borderId="0" xfId="2" applyNumberFormat="1" applyFont="1" applyFill="1" applyBorder="1"/>
    <xf numFmtId="174" fontId="36" fillId="0" borderId="0" xfId="0" applyNumberFormat="1" applyFont="1"/>
    <xf numFmtId="37" fontId="5" fillId="0" borderId="1" xfId="0" applyNumberFormat="1" applyFont="1" applyBorder="1"/>
    <xf numFmtId="174" fontId="0" fillId="0" borderId="0" xfId="0" applyNumberFormat="1" applyFont="1"/>
    <xf numFmtId="174" fontId="26" fillId="0" borderId="15" xfId="0" applyNumberFormat="1" applyFont="1" applyBorder="1"/>
    <xf numFmtId="174" fontId="26" fillId="0" borderId="0" xfId="0" applyNumberFormat="1" applyFont="1" applyBorder="1"/>
    <xf numFmtId="174" fontId="35" fillId="0" borderId="0" xfId="1" applyNumberFormat="1" applyFont="1"/>
    <xf numFmtId="174" fontId="4" fillId="0" borderId="0" xfId="0" applyNumberFormat="1" applyFont="1"/>
    <xf numFmtId="174" fontId="3" fillId="0" borderId="0" xfId="1" applyNumberFormat="1" applyFont="1" applyAlignment="1">
      <alignment horizontal="right" vertical="top"/>
    </xf>
    <xf numFmtId="174" fontId="4" fillId="0" borderId="0" xfId="1" applyNumberFormat="1" applyFont="1"/>
    <xf numFmtId="174" fontId="32" fillId="0" borderId="0" xfId="1" applyNumberFormat="1" applyFont="1"/>
    <xf numFmtId="174" fontId="2" fillId="0" borderId="1" xfId="1" applyNumberFormat="1" applyFont="1" applyBorder="1" applyAlignment="1">
      <alignment horizontal="right" vertical="top"/>
    </xf>
    <xf numFmtId="174" fontId="2" fillId="0" borderId="0" xfId="1" applyNumberFormat="1" applyFont="1" applyBorder="1" applyAlignment="1">
      <alignment horizontal="right" vertical="top"/>
    </xf>
    <xf numFmtId="174" fontId="31" fillId="0" borderId="0" xfId="1" applyNumberFormat="1" applyFont="1" applyBorder="1" applyAlignment="1">
      <alignment horizontal="right" vertical="top"/>
    </xf>
    <xf numFmtId="174" fontId="30" fillId="0" borderId="0" xfId="1" applyNumberFormat="1" applyFont="1" applyBorder="1" applyAlignment="1">
      <alignment horizontal="right" vertical="top"/>
    </xf>
    <xf numFmtId="174" fontId="2" fillId="0" borderId="2" xfId="1" applyNumberFormat="1" applyFont="1" applyBorder="1" applyAlignment="1">
      <alignment horizontal="right" vertical="top"/>
    </xf>
    <xf numFmtId="174" fontId="3" fillId="0" borderId="3" xfId="1" applyNumberFormat="1" applyFont="1" applyBorder="1" applyAlignment="1">
      <alignment horizontal="right" vertical="top"/>
    </xf>
    <xf numFmtId="174" fontId="4" fillId="0" borderId="3" xfId="1" applyNumberFormat="1" applyFont="1" applyBorder="1"/>
    <xf numFmtId="174" fontId="3" fillId="0" borderId="0" xfId="1" applyNumberFormat="1" applyFont="1" applyBorder="1" applyAlignment="1">
      <alignment horizontal="right" vertical="top"/>
    </xf>
    <xf numFmtId="174" fontId="4" fillId="0" borderId="0" xfId="1" applyNumberFormat="1" applyFont="1" applyBorder="1"/>
    <xf numFmtId="174" fontId="33" fillId="0" borderId="0" xfId="1" applyNumberFormat="1" applyFont="1" applyBorder="1" applyAlignment="1">
      <alignment horizontal="right" vertical="top"/>
    </xf>
    <xf numFmtId="174" fontId="2" fillId="0" borderId="4" xfId="1" applyNumberFormat="1" applyFont="1" applyBorder="1" applyAlignment="1">
      <alignment horizontal="right" vertical="top"/>
    </xf>
    <xf numFmtId="174" fontId="7" fillId="0" borderId="0" xfId="1" applyNumberFormat="1" applyFont="1"/>
    <xf numFmtId="174" fontId="10" fillId="0" borderId="0" xfId="1" applyNumberFormat="1" applyFont="1" applyAlignment="1">
      <alignment horizontal="right" vertical="top"/>
    </xf>
    <xf numFmtId="174" fontId="2" fillId="0" borderId="0" xfId="1" applyNumberFormat="1" applyFont="1" applyAlignment="1">
      <alignment horizontal="right" vertical="top"/>
    </xf>
    <xf numFmtId="174" fontId="5" fillId="0" borderId="0" xfId="1" applyNumberFormat="1" applyFont="1"/>
    <xf numFmtId="174" fontId="30" fillId="0" borderId="0" xfId="1" applyNumberFormat="1" applyFont="1"/>
    <xf numFmtId="0" fontId="3" fillId="0" borderId="10" xfId="0" applyFont="1" applyBorder="1" applyAlignment="1">
      <alignment horizontal="left" vertical="top"/>
    </xf>
    <xf numFmtId="0" fontId="3" fillId="11" borderId="0" xfId="0" applyFont="1" applyFill="1" applyAlignment="1">
      <alignment vertical="top" wrapText="1"/>
    </xf>
    <xf numFmtId="0" fontId="3" fillId="11" borderId="10" xfId="0" applyFont="1" applyFill="1" applyBorder="1" applyAlignment="1">
      <alignment vertical="top" wrapText="1"/>
    </xf>
    <xf numFmtId="0" fontId="4" fillId="11" borderId="0" xfId="0" applyFont="1" applyFill="1"/>
    <xf numFmtId="174" fontId="30" fillId="11" borderId="0" xfId="1" applyNumberFormat="1" applyFont="1" applyFill="1" applyAlignment="1">
      <alignment horizontal="right" vertical="top"/>
    </xf>
    <xf numFmtId="173" fontId="26" fillId="0" borderId="0" xfId="0" applyNumberFormat="1" applyFont="1"/>
    <xf numFmtId="3" fontId="29" fillId="0" borderId="0" xfId="0" applyNumberFormat="1" applyFont="1"/>
    <xf numFmtId="9" fontId="26" fillId="0" borderId="15" xfId="0" applyNumberFormat="1" applyFont="1" applyBorder="1"/>
    <xf numFmtId="9" fontId="26" fillId="0" borderId="0" xfId="0" applyNumberFormat="1" applyFont="1" applyBorder="1"/>
    <xf numFmtId="3" fontId="27" fillId="0" borderId="0" xfId="0" applyNumberFormat="1" applyFont="1"/>
    <xf numFmtId="174" fontId="3" fillId="0" borderId="0" xfId="0" applyNumberFormat="1" applyFont="1" applyAlignment="1">
      <alignment horizontal="right" vertical="top"/>
    </xf>
    <xf numFmtId="0" fontId="3" fillId="10" borderId="5" xfId="0" applyFont="1" applyFill="1" applyBorder="1" applyAlignment="1">
      <alignment vertical="top" wrapText="1"/>
    </xf>
    <xf numFmtId="14" fontId="0" fillId="0" borderId="0" xfId="0" applyNumberFormat="1"/>
    <xf numFmtId="3" fontId="0" fillId="0" borderId="0" xfId="0" applyNumberFormat="1"/>
    <xf numFmtId="0" fontId="0" fillId="0" borderId="0" xfId="0" applyAlignment="1">
      <alignment horizontal="left" indent="2"/>
    </xf>
    <xf numFmtId="9" fontId="0" fillId="0" borderId="0" xfId="0" applyNumberFormat="1"/>
    <xf numFmtId="2" fontId="0" fillId="0" borderId="0" xfId="0" applyNumberFormat="1"/>
    <xf numFmtId="175" fontId="9" fillId="0" borderId="0" xfId="0" applyNumberFormat="1" applyFont="1"/>
    <xf numFmtId="0" fontId="9" fillId="0" borderId="0" xfId="0" applyFont="1" applyAlignment="1">
      <alignment wrapText="1"/>
    </xf>
    <xf numFmtId="175" fontId="9" fillId="0" borderId="1" xfId="0" applyNumberFormat="1" applyFont="1" applyBorder="1"/>
    <xf numFmtId="174" fontId="38" fillId="0" borderId="0" xfId="0" applyNumberFormat="1" applyFont="1"/>
    <xf numFmtId="176" fontId="0" fillId="0" borderId="0" xfId="0" applyNumberFormat="1"/>
    <xf numFmtId="0" fontId="9" fillId="0" borderId="16" xfId="0" applyFont="1" applyBorder="1"/>
    <xf numFmtId="174" fontId="9" fillId="0" borderId="16" xfId="0" applyNumberFormat="1" applyFont="1" applyBorder="1"/>
    <xf numFmtId="0" fontId="4" fillId="0" borderId="11" xfId="0" applyFont="1" applyBorder="1"/>
    <xf numFmtId="0" fontId="0" fillId="0" borderId="10" xfId="0" applyBorder="1"/>
    <xf numFmtId="3" fontId="27" fillId="0" borderId="10" xfId="0" applyNumberFormat="1" applyFont="1" applyBorder="1"/>
    <xf numFmtId="173" fontId="0" fillId="0" borderId="10" xfId="2" applyNumberFormat="1" applyFont="1" applyBorder="1"/>
    <xf numFmtId="3" fontId="0" fillId="0" borderId="10" xfId="0" applyNumberFormat="1" applyBorder="1"/>
    <xf numFmtId="174" fontId="9" fillId="0" borderId="10" xfId="0" applyNumberFormat="1" applyFont="1" applyBorder="1"/>
    <xf numFmtId="9" fontId="0" fillId="0" borderId="10" xfId="0" applyNumberFormat="1" applyBorder="1"/>
    <xf numFmtId="173" fontId="0" fillId="0" borderId="10" xfId="0" applyNumberFormat="1" applyBorder="1"/>
    <xf numFmtId="175" fontId="9" fillId="0" borderId="10" xfId="0" applyNumberFormat="1" applyFont="1" applyBorder="1"/>
    <xf numFmtId="174" fontId="0" fillId="0" borderId="10" xfId="0" applyNumberFormat="1" applyBorder="1"/>
    <xf numFmtId="175" fontId="9" fillId="0" borderId="12" xfId="0" applyNumberFormat="1" applyFont="1" applyBorder="1"/>
    <xf numFmtId="0" fontId="26" fillId="0" borderId="0" xfId="0" applyFont="1"/>
    <xf numFmtId="173" fontId="27" fillId="0" borderId="0" xfId="0" applyNumberFormat="1" applyFont="1"/>
    <xf numFmtId="174" fontId="37" fillId="0" borderId="0" xfId="0" applyNumberFormat="1" applyFont="1"/>
    <xf numFmtId="174" fontId="0" fillId="0" borderId="18" xfId="0" applyNumberFormat="1" applyBorder="1"/>
    <xf numFmtId="174" fontId="0" fillId="0" borderId="19" xfId="0" applyNumberFormat="1" applyBorder="1"/>
    <xf numFmtId="174" fontId="0" fillId="0" borderId="20" xfId="0" applyNumberFormat="1" applyBorder="1"/>
    <xf numFmtId="174" fontId="0" fillId="0" borderId="21" xfId="0" applyNumberFormat="1" applyBorder="1"/>
    <xf numFmtId="174" fontId="0" fillId="0" borderId="22" xfId="0" applyNumberFormat="1" applyBorder="1"/>
    <xf numFmtId="174" fontId="0" fillId="0" borderId="23" xfId="0" applyNumberFormat="1" applyBorder="1"/>
    <xf numFmtId="174" fontId="0" fillId="0" borderId="24" xfId="0" applyNumberFormat="1" applyBorder="1"/>
    <xf numFmtId="174" fontId="0" fillId="0" borderId="25" xfId="0" applyNumberFormat="1" applyBorder="1"/>
    <xf numFmtId="174" fontId="0" fillId="0" borderId="17" xfId="0" applyNumberFormat="1" applyBorder="1"/>
    <xf numFmtId="0" fontId="39" fillId="0" borderId="0" xfId="0" applyFont="1" applyAlignment="1">
      <alignment vertical="center" textRotation="90"/>
    </xf>
    <xf numFmtId="10" fontId="0" fillId="12" borderId="33" xfId="0" applyNumberFormat="1" applyFill="1" applyBorder="1"/>
    <xf numFmtId="10" fontId="26" fillId="12" borderId="33" xfId="0" applyNumberFormat="1" applyFont="1" applyFill="1" applyBorder="1"/>
    <xf numFmtId="10" fontId="0" fillId="12" borderId="31" xfId="0" applyNumberFormat="1" applyFill="1" applyBorder="1"/>
    <xf numFmtId="9" fontId="0" fillId="7" borderId="27" xfId="0" applyNumberFormat="1" applyFill="1" applyBorder="1"/>
    <xf numFmtId="9" fontId="0" fillId="7" borderId="29" xfId="0" applyNumberFormat="1" applyFill="1" applyBorder="1"/>
    <xf numFmtId="9" fontId="26" fillId="7" borderId="29" xfId="0" applyNumberFormat="1" applyFont="1" applyFill="1" applyBorder="1"/>
    <xf numFmtId="9" fontId="0" fillId="7" borderId="31" xfId="0" applyNumberFormat="1" applyFill="1" applyBorder="1"/>
    <xf numFmtId="0" fontId="39" fillId="12" borderId="26" xfId="0" applyFont="1" applyFill="1" applyBorder="1" applyAlignment="1">
      <alignment horizontal="center"/>
    </xf>
    <xf numFmtId="0" fontId="39" fillId="12" borderId="32" xfId="0" applyFont="1" applyFill="1" applyBorder="1" applyAlignment="1">
      <alignment horizontal="center"/>
    </xf>
    <xf numFmtId="0" fontId="39" fillId="12" borderId="27" xfId="0" applyFont="1" applyFill="1" applyBorder="1" applyAlignment="1">
      <alignment horizontal="center"/>
    </xf>
    <xf numFmtId="175" fontId="36" fillId="0" borderId="0" xfId="0" applyNumberFormat="1" applyFont="1"/>
    <xf numFmtId="9" fontId="0" fillId="0" borderId="0" xfId="2" applyFont="1"/>
    <xf numFmtId="166" fontId="41" fillId="0" borderId="0" xfId="1" applyNumberFormat="1" applyFont="1"/>
    <xf numFmtId="174" fontId="9" fillId="0" borderId="0" xfId="2" applyNumberFormat="1" applyFont="1"/>
    <xf numFmtId="174" fontId="26" fillId="0" borderId="0" xfId="2" applyNumberFormat="1" applyFont="1"/>
    <xf numFmtId="0" fontId="9" fillId="0" borderId="0" xfId="0" applyFont="1" applyAlignment="1">
      <alignment horizontal="left"/>
    </xf>
    <xf numFmtId="0" fontId="0" fillId="0" borderId="0" xfId="0" applyAlignment="1">
      <alignment horizontal="left" indent="1"/>
    </xf>
    <xf numFmtId="0" fontId="41" fillId="0" borderId="0" xfId="3" applyFont="1"/>
    <xf numFmtId="3" fontId="41" fillId="0" borderId="0" xfId="3" applyNumberFormat="1" applyFont="1"/>
    <xf numFmtId="0" fontId="4" fillId="0" borderId="0" xfId="3"/>
    <xf numFmtId="3" fontId="4" fillId="0" borderId="0" xfId="3" applyNumberFormat="1"/>
    <xf numFmtId="3" fontId="12" fillId="0" borderId="0" xfId="3" applyNumberFormat="1" applyFont="1"/>
    <xf numFmtId="3" fontId="0" fillId="0" borderId="15" xfId="0" applyNumberFormat="1" applyBorder="1"/>
    <xf numFmtId="3" fontId="9" fillId="0" borderId="0" xfId="0" applyNumberFormat="1" applyFont="1"/>
    <xf numFmtId="3" fontId="26" fillId="0" borderId="0" xfId="0" applyNumberFormat="1" applyFont="1"/>
    <xf numFmtId="0" fontId="25" fillId="0" borderId="0" xfId="0" applyFont="1" applyAlignment="1">
      <alignment horizontal="left" indent="1"/>
    </xf>
    <xf numFmtId="173" fontId="25" fillId="0" borderId="0" xfId="2" applyNumberFormat="1" applyFont="1"/>
    <xf numFmtId="9" fontId="34" fillId="0" borderId="15" xfId="2" applyFont="1" applyBorder="1"/>
    <xf numFmtId="10" fontId="34" fillId="0" borderId="0" xfId="0" applyNumberFormat="1" applyFont="1"/>
    <xf numFmtId="0" fontId="0" fillId="0" borderId="0" xfId="0" applyAlignment="1"/>
    <xf numFmtId="174" fontId="27" fillId="0" borderId="0" xfId="2" applyNumberFormat="1" applyFont="1"/>
    <xf numFmtId="173" fontId="0" fillId="0" borderId="0" xfId="0" applyNumberFormat="1"/>
    <xf numFmtId="0" fontId="9" fillId="0" borderId="0" xfId="0" applyFont="1" applyAlignment="1"/>
    <xf numFmtId="174" fontId="38" fillId="0" borderId="0" xfId="2" applyNumberFormat="1" applyFont="1"/>
    <xf numFmtId="0" fontId="25" fillId="0" borderId="0" xfId="0" applyFont="1"/>
    <xf numFmtId="173" fontId="42" fillId="0" borderId="0" xfId="0" applyNumberFormat="1" applyFont="1"/>
    <xf numFmtId="173" fontId="34" fillId="0" borderId="15" xfId="0" applyNumberFormat="1" applyFont="1" applyBorder="1"/>
    <xf numFmtId="173" fontId="34" fillId="0" borderId="0" xfId="0" applyNumberFormat="1" applyFont="1"/>
    <xf numFmtId="174" fontId="0" fillId="0" borderId="15" xfId="0" applyNumberFormat="1" applyBorder="1"/>
    <xf numFmtId="173" fontId="0" fillId="0" borderId="15" xfId="2" applyNumberFormat="1" applyFont="1" applyBorder="1"/>
    <xf numFmtId="173" fontId="0" fillId="0" borderId="0" xfId="2" applyNumberFormat="1" applyFont="1" applyBorder="1"/>
    <xf numFmtId="10" fontId="0" fillId="0" borderId="0" xfId="2" applyNumberFormat="1" applyFont="1"/>
    <xf numFmtId="10" fontId="26" fillId="0" borderId="0" xfId="2" applyNumberFormat="1" applyFont="1"/>
    <xf numFmtId="174" fontId="1" fillId="0" borderId="0" xfId="2" applyNumberFormat="1" applyFont="1"/>
    <xf numFmtId="174" fontId="1" fillId="0" borderId="15" xfId="2" applyNumberFormat="1" applyFont="1" applyBorder="1"/>
    <xf numFmtId="174" fontId="1" fillId="0" borderId="0" xfId="2" applyNumberFormat="1" applyFont="1" applyBorder="1"/>
    <xf numFmtId="0" fontId="9" fillId="0" borderId="3" xfId="0" applyFont="1" applyBorder="1"/>
    <xf numFmtId="173" fontId="26" fillId="0" borderId="34" xfId="2" applyNumberFormat="1" applyFont="1" applyBorder="1"/>
    <xf numFmtId="3" fontId="0" fillId="0" borderId="0" xfId="0" applyNumberFormat="1" applyBorder="1"/>
    <xf numFmtId="173" fontId="34" fillId="0" borderId="0" xfId="0" applyNumberFormat="1" applyFont="1" applyBorder="1"/>
    <xf numFmtId="173" fontId="25" fillId="0" borderId="0" xfId="0" applyNumberFormat="1" applyFont="1"/>
    <xf numFmtId="3" fontId="9" fillId="0" borderId="15" xfId="0" applyNumberFormat="1" applyFont="1" applyBorder="1"/>
    <xf numFmtId="0" fontId="0" fillId="0" borderId="3" xfId="0" applyBorder="1"/>
    <xf numFmtId="0" fontId="9" fillId="0" borderId="2" xfId="0" applyFont="1" applyBorder="1"/>
    <xf numFmtId="174" fontId="9" fillId="0" borderId="2" xfId="0" applyNumberFormat="1" applyFont="1" applyBorder="1"/>
    <xf numFmtId="174" fontId="9" fillId="0" borderId="35" xfId="0" applyNumberFormat="1" applyFont="1" applyBorder="1"/>
    <xf numFmtId="0" fontId="0" fillId="0" borderId="2" xfId="0" applyBorder="1"/>
    <xf numFmtId="3" fontId="9" fillId="0" borderId="35" xfId="0" applyNumberFormat="1" applyFont="1" applyBorder="1"/>
    <xf numFmtId="3" fontId="9" fillId="0" borderId="2" xfId="0" applyNumberFormat="1" applyFont="1" applyBorder="1"/>
    <xf numFmtId="0" fontId="0" fillId="0" borderId="0" xfId="0" applyBorder="1"/>
    <xf numFmtId="3" fontId="9" fillId="0" borderId="0" xfId="0" applyNumberFormat="1" applyFont="1" applyBorder="1"/>
    <xf numFmtId="173" fontId="42" fillId="0" borderId="0" xfId="2" applyNumberFormat="1" applyFont="1" applyBorder="1"/>
    <xf numFmtId="173" fontId="34" fillId="0" borderId="0" xfId="2" applyNumberFormat="1" applyFont="1" applyBorder="1"/>
    <xf numFmtId="10" fontId="26" fillId="13" borderId="15" xfId="2" applyNumberFormat="1" applyFont="1" applyFill="1" applyBorder="1"/>
    <xf numFmtId="0" fontId="0" fillId="3" borderId="15" xfId="0" applyFill="1" applyBorder="1"/>
    <xf numFmtId="3" fontId="9" fillId="10" borderId="0" xfId="0" applyNumberFormat="1" applyFont="1" applyFill="1" applyBorder="1"/>
    <xf numFmtId="0" fontId="43" fillId="0" borderId="0" xfId="0" applyFont="1"/>
    <xf numFmtId="0" fontId="9" fillId="0" borderId="36" xfId="0" applyFont="1" applyBorder="1"/>
    <xf numFmtId="0" fontId="0" fillId="0" borderId="36" xfId="0" applyBorder="1"/>
    <xf numFmtId="3" fontId="9" fillId="0" borderId="36" xfId="0" applyNumberFormat="1" applyFont="1" applyBorder="1"/>
    <xf numFmtId="3" fontId="41" fillId="0" borderId="0" xfId="0" applyNumberFormat="1" applyFont="1" applyAlignment="1">
      <alignment horizontal="right" vertical="top"/>
    </xf>
    <xf numFmtId="3" fontId="3" fillId="0" borderId="0" xfId="0" applyNumberFormat="1" applyFont="1" applyAlignment="1">
      <alignment horizontal="right" vertical="top"/>
    </xf>
    <xf numFmtId="0" fontId="3" fillId="0" borderId="0" xfId="0" applyFont="1" applyAlignment="1">
      <alignment horizontal="left" vertical="top" wrapText="1" indent="3"/>
    </xf>
    <xf numFmtId="0" fontId="3" fillId="0" borderId="0" xfId="0" applyFont="1" applyAlignment="1">
      <alignment horizontal="left" vertical="top" wrapText="1" indent="4"/>
    </xf>
    <xf numFmtId="0" fontId="6" fillId="0" borderId="0" xfId="0" applyFont="1" applyAlignment="1">
      <alignment horizontal="left" vertical="top" wrapText="1" indent="4"/>
    </xf>
    <xf numFmtId="0" fontId="6" fillId="0" borderId="0" xfId="0" applyFont="1" applyAlignment="1">
      <alignment horizontal="left" vertical="top" wrapText="1" indent="5"/>
    </xf>
    <xf numFmtId="173" fontId="6" fillId="0" borderId="0" xfId="2" applyNumberFormat="1" applyFont="1" applyAlignment="1">
      <alignment horizontal="right" vertical="top"/>
    </xf>
    <xf numFmtId="173" fontId="30" fillId="0" borderId="0" xfId="2" applyNumberFormat="1" applyFont="1" applyAlignment="1">
      <alignment horizontal="right" vertical="top"/>
    </xf>
    <xf numFmtId="173" fontId="30" fillId="0" borderId="0" xfId="2" applyNumberFormat="1" applyFont="1"/>
    <xf numFmtId="173" fontId="30" fillId="0" borderId="15" xfId="2" applyNumberFormat="1" applyFont="1" applyBorder="1" applyAlignment="1">
      <alignment horizontal="right" vertical="top"/>
    </xf>
    <xf numFmtId="173" fontId="30" fillId="0" borderId="0" xfId="2" applyNumberFormat="1" applyFont="1" applyBorder="1" applyAlignment="1">
      <alignment horizontal="right" vertical="top"/>
    </xf>
    <xf numFmtId="0" fontId="11" fillId="0" borderId="0" xfId="4" applyFont="1" applyAlignment="1">
      <alignment horizontal="center" wrapText="1"/>
    </xf>
    <xf numFmtId="0" fontId="12" fillId="0" borderId="0" xfId="4" applyFont="1" applyAlignment="1">
      <alignment horizontal="left" vertical="top" wrapText="1"/>
    </xf>
    <xf numFmtId="0" fontId="39" fillId="0" borderId="3" xfId="0" applyFont="1" applyBorder="1" applyAlignment="1">
      <alignment horizontal="center"/>
    </xf>
    <xf numFmtId="0" fontId="39" fillId="12" borderId="26" xfId="0" applyFont="1" applyFill="1" applyBorder="1" applyAlignment="1">
      <alignment horizontal="center"/>
    </xf>
    <xf numFmtId="0" fontId="39" fillId="12" borderId="32" xfId="0" applyFont="1" applyFill="1" applyBorder="1" applyAlignment="1">
      <alignment horizontal="center"/>
    </xf>
    <xf numFmtId="0" fontId="39" fillId="12" borderId="27" xfId="0" applyFont="1" applyFill="1" applyBorder="1" applyAlignment="1">
      <alignment horizontal="center"/>
    </xf>
    <xf numFmtId="0" fontId="39" fillId="7" borderId="26" xfId="0" applyFont="1" applyFill="1" applyBorder="1" applyAlignment="1">
      <alignment horizontal="center" vertical="center" textRotation="90"/>
    </xf>
    <xf numFmtId="0" fontId="39" fillId="7" borderId="28" xfId="0" applyFont="1" applyFill="1" applyBorder="1" applyAlignment="1">
      <alignment horizontal="center" vertical="center" textRotation="90"/>
    </xf>
    <xf numFmtId="0" fontId="39" fillId="7" borderId="30" xfId="0" applyFont="1" applyFill="1" applyBorder="1" applyAlignment="1">
      <alignment horizontal="center" vertical="center" textRotation="90"/>
    </xf>
    <xf numFmtId="0" fontId="0" fillId="3" borderId="0" xfId="0" applyFill="1"/>
    <xf numFmtId="0" fontId="26" fillId="3" borderId="15" xfId="0" applyFont="1" applyFill="1" applyBorder="1"/>
    <xf numFmtId="173" fontId="34" fillId="0" borderId="0" xfId="2" applyNumberFormat="1" applyFont="1"/>
    <xf numFmtId="0" fontId="0" fillId="0" borderId="0" xfId="0" applyFill="1" applyBorder="1"/>
    <xf numFmtId="175" fontId="9" fillId="0" borderId="2" xfId="0" applyNumberFormat="1" applyFont="1" applyBorder="1"/>
    <xf numFmtId="178" fontId="0" fillId="0" borderId="0" xfId="0" applyNumberFormat="1"/>
    <xf numFmtId="178" fontId="26" fillId="0" borderId="15" xfId="0" applyNumberFormat="1" applyFont="1" applyBorder="1"/>
    <xf numFmtId="178" fontId="26" fillId="0" borderId="0" xfId="0" applyNumberFormat="1" applyFont="1"/>
    <xf numFmtId="175" fontId="26" fillId="3" borderId="15" xfId="0" applyNumberFormat="1" applyFont="1" applyFill="1" applyBorder="1"/>
    <xf numFmtId="174" fontId="26" fillId="10" borderId="0" xfId="0" applyNumberFormat="1" applyFont="1" applyFill="1"/>
    <xf numFmtId="9" fontId="29" fillId="0" borderId="0" xfId="0" applyNumberFormat="1" applyFont="1"/>
    <xf numFmtId="0" fontId="0" fillId="0" borderId="0" xfId="0" applyAlignment="1">
      <alignment horizontal="left" indent="4"/>
    </xf>
    <xf numFmtId="179" fontId="0" fillId="0" borderId="0" xfId="0" applyNumberFormat="1"/>
    <xf numFmtId="175" fontId="0" fillId="0" borderId="0" xfId="0" applyNumberFormat="1" applyBorder="1"/>
    <xf numFmtId="0" fontId="9" fillId="0" borderId="37" xfId="0" applyFont="1" applyBorder="1"/>
    <xf numFmtId="0" fontId="0" fillId="0" borderId="38" xfId="0" applyBorder="1"/>
    <xf numFmtId="0" fontId="0" fillId="0" borderId="39" xfId="0" applyBorder="1"/>
    <xf numFmtId="0" fontId="0" fillId="0" borderId="40" xfId="0" applyBorder="1"/>
    <xf numFmtId="0" fontId="0" fillId="0" borderId="41" xfId="0" applyBorder="1"/>
    <xf numFmtId="1" fontId="0" fillId="0" borderId="0" xfId="0" applyNumberFormat="1" applyBorder="1"/>
    <xf numFmtId="174" fontId="0" fillId="0" borderId="0" xfId="0" applyNumberFormat="1" applyBorder="1"/>
    <xf numFmtId="174" fontId="0" fillId="0" borderId="41" xfId="0" applyNumberFormat="1" applyBorder="1"/>
    <xf numFmtId="175" fontId="0" fillId="0" borderId="41" xfId="0" applyNumberFormat="1" applyBorder="1"/>
    <xf numFmtId="0" fontId="0" fillId="0" borderId="42" xfId="0" applyBorder="1"/>
    <xf numFmtId="0" fontId="0" fillId="0" borderId="43" xfId="0" applyBorder="1"/>
    <xf numFmtId="175" fontId="0" fillId="0" borderId="43" xfId="0" applyNumberFormat="1" applyBorder="1"/>
    <xf numFmtId="175" fontId="0" fillId="0" borderId="44" xfId="0" applyNumberFormat="1" applyBorder="1"/>
    <xf numFmtId="175" fontId="28" fillId="0" borderId="0" xfId="0" applyNumberFormat="1" applyFont="1" applyAlignment="1">
      <alignment horizontal="right" vertical="top"/>
    </xf>
    <xf numFmtId="175" fontId="32" fillId="0" borderId="0" xfId="0" applyNumberFormat="1" applyFont="1" applyAlignment="1">
      <alignment horizontal="right" vertical="top"/>
    </xf>
    <xf numFmtId="0" fontId="4" fillId="0" borderId="0" xfId="0" applyFont="1" applyAlignment="1">
      <alignment horizontal="left" indent="2"/>
    </xf>
    <xf numFmtId="175" fontId="4" fillId="0" borderId="0" xfId="0" applyNumberFormat="1" applyFont="1"/>
    <xf numFmtId="175" fontId="35" fillId="0" borderId="0" xfId="1" applyNumberFormat="1" applyFont="1"/>
    <xf numFmtId="175" fontId="30" fillId="0" borderId="0" xfId="1" applyNumberFormat="1" applyFont="1" applyAlignment="1">
      <alignment horizontal="right" vertical="top"/>
    </xf>
    <xf numFmtId="175" fontId="35" fillId="0" borderId="0" xfId="1" applyNumberFormat="1" applyFont="1" applyAlignment="1">
      <alignment horizontal="right" vertical="top"/>
    </xf>
    <xf numFmtId="175" fontId="32" fillId="0" borderId="0" xfId="1" applyNumberFormat="1" applyFont="1" applyBorder="1"/>
    <xf numFmtId="175" fontId="3" fillId="0" borderId="0" xfId="1" applyNumberFormat="1" applyFont="1" applyAlignment="1">
      <alignment horizontal="right" vertical="top"/>
    </xf>
    <xf numFmtId="175" fontId="4" fillId="0" borderId="0" xfId="1" applyNumberFormat="1" applyFont="1"/>
    <xf numFmtId="175" fontId="2" fillId="0" borderId="4" xfId="1" applyNumberFormat="1" applyFont="1" applyBorder="1" applyAlignment="1">
      <alignment horizontal="right" vertical="top"/>
    </xf>
    <xf numFmtId="175" fontId="30" fillId="11" borderId="0" xfId="1" applyNumberFormat="1" applyFont="1" applyFill="1" applyAlignment="1">
      <alignment horizontal="right" vertical="top"/>
    </xf>
    <xf numFmtId="175" fontId="2" fillId="0" borderId="0" xfId="1" applyNumberFormat="1" applyFont="1" applyAlignment="1">
      <alignment horizontal="right" vertical="top"/>
    </xf>
    <xf numFmtId="175" fontId="5" fillId="0" borderId="0" xfId="1" applyNumberFormat="1" applyFont="1"/>
    <xf numFmtId="174" fontId="0" fillId="3" borderId="0" xfId="0" applyNumberFormat="1" applyFill="1"/>
    <xf numFmtId="9" fontId="27" fillId="0" borderId="0" xfId="0" applyNumberFormat="1" applyFont="1"/>
    <xf numFmtId="0" fontId="38" fillId="0" borderId="0" xfId="0" applyFont="1"/>
    <xf numFmtId="180" fontId="38" fillId="0" borderId="0" xfId="0" applyNumberFormat="1" applyFont="1"/>
  </cellXfs>
  <cellStyles count="14">
    <cellStyle name="Comma" xfId="1" builtinId="3"/>
    <cellStyle name="Comma 2" xfId="5" xr:uid="{3FB9A043-CAB1-4061-BA8D-A6F3136BB6E4}"/>
    <cellStyle name="Comma 2 2" xfId="10" xr:uid="{EF1E61CE-57BE-4321-905B-081D87E57903}"/>
    <cellStyle name="Comma 2_Intro" xfId="7" xr:uid="{3F176EA1-D600-433E-AD81-1C6449E0080D}"/>
    <cellStyle name="Comma 3" xfId="6" xr:uid="{85FE5905-4A01-4DF5-8C2D-33DEC82A35EF}"/>
    <cellStyle name="Comma 4" xfId="8" xr:uid="{8D5C04B8-6945-40B8-A4D1-9C4B752FD4B4}"/>
    <cellStyle name="Comma 5" xfId="9" xr:uid="{4201275D-779D-4751-8E2B-5ACE6C0E1D02}"/>
    <cellStyle name="Comma 6" xfId="11" xr:uid="{3EA44697-6ECE-42D7-ACFB-777DE996C412}"/>
    <cellStyle name="Comma 7" xfId="12" xr:uid="{33A3A172-2582-4490-9878-A5F1B65D53B3}"/>
    <cellStyle name="Normal" xfId="0" builtinId="0"/>
    <cellStyle name="Normal 2" xfId="4" xr:uid="{382E4A5B-D537-4E39-9562-B0FBA9C40AD9}"/>
    <cellStyle name="Normal 3" xfId="3" xr:uid="{05DF245D-ADCB-41ED-9ECF-292E386DF43D}"/>
    <cellStyle name="Percent" xfId="2" builtinId="5"/>
    <cellStyle name="Percent 2" xfId="13" xr:uid="{F79E1B78-108A-4AA9-BD84-2BE33EEC0F7D}"/>
  </cellStyles>
  <dxfs count="2">
    <dxf>
      <fill>
        <patternFill>
          <bgColor rgb="FF92D050"/>
        </patternFill>
      </fill>
    </dxf>
    <dxf>
      <fill>
        <patternFill>
          <bgColor rgb="FFFFC000"/>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fems/Downloads/depreciation-schedu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fems/OneDrive/Business/DCF%20model%20courses/ABCXYZ%20-%20run%201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e"/>
      <sheetName val="©"/>
      <sheetName val="Methods"/>
    </sheetNames>
    <sheetDataSet>
      <sheetData sheetId="0"/>
      <sheetData sheetId="1"/>
      <sheetData sheetId="2">
        <row r="2">
          <cell r="A2" t="str">
            <v>SL</v>
          </cell>
          <cell r="B2" t="str">
            <v>n/a</v>
          </cell>
          <cell r="C2" t="str">
            <v>n/a</v>
          </cell>
        </row>
        <row r="3">
          <cell r="A3" t="str">
            <v>SYOD</v>
          </cell>
          <cell r="B3" t="str">
            <v>n/a</v>
          </cell>
          <cell r="C3" t="str">
            <v>n/a</v>
          </cell>
        </row>
        <row r="4">
          <cell r="A4" t="str">
            <v>DDB</v>
          </cell>
          <cell r="B4">
            <v>2</v>
          </cell>
          <cell r="C4" t="b">
            <v>1</v>
          </cell>
        </row>
        <row r="5">
          <cell r="A5" t="str">
            <v>DDB-SL</v>
          </cell>
          <cell r="B5">
            <v>2</v>
          </cell>
          <cell r="C5" t="b">
            <v>0</v>
          </cell>
        </row>
        <row r="6">
          <cell r="A6" t="str">
            <v>1.5DB</v>
          </cell>
          <cell r="B6">
            <v>1.5</v>
          </cell>
          <cell r="C6" t="b">
            <v>1</v>
          </cell>
        </row>
        <row r="7">
          <cell r="A7" t="str">
            <v>1.5DB-SL</v>
          </cell>
          <cell r="B7">
            <v>1.5</v>
          </cell>
          <cell r="C7" t="b">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Assumptions"/>
      <sheetName val="BS"/>
      <sheetName val="IS"/>
      <sheetName val="CF"/>
      <sheetName val="Calculations"/>
      <sheetName val="Financing"/>
      <sheetName val="Operating model"/>
      <sheetName val="Taxes"/>
      <sheetName val="DCF - FCFFirm"/>
      <sheetName val="DCF - FCFEquity"/>
      <sheetName val="Stage 2&gt;&gt;"/>
      <sheetName val="Enhancements"/>
      <sheetName val="Support&gt;&gt;"/>
      <sheetName val="MISC"/>
    </sheetNames>
    <sheetDataSet>
      <sheetData sheetId="0">
        <row r="7">
          <cell r="B7">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F0586-2FB2-46EA-BC3E-AE68CD433216}">
  <sheetPr codeName="Sheet2"/>
  <dimension ref="A1:F23"/>
  <sheetViews>
    <sheetView workbookViewId="0">
      <selection activeCell="B6" sqref="B6"/>
    </sheetView>
  </sheetViews>
  <sheetFormatPr defaultColWidth="8.81640625" defaultRowHeight="14.5" x14ac:dyDescent="0.35"/>
  <cols>
    <col min="1" max="1" width="73.90625" style="84" bestFit="1" customWidth="1"/>
    <col min="2" max="2" width="5.36328125" style="84" bestFit="1" customWidth="1"/>
    <col min="3" max="3" width="21.1796875" style="84" bestFit="1" customWidth="1"/>
    <col min="4" max="16384" width="8.81640625" style="84"/>
  </cols>
  <sheetData>
    <row r="1" spans="1:6" ht="32.5" x14ac:dyDescent="0.65">
      <c r="A1" s="350" t="s">
        <v>96</v>
      </c>
      <c r="B1" s="350"/>
      <c r="C1" s="350"/>
      <c r="D1" s="350"/>
      <c r="E1" s="350"/>
      <c r="F1" s="350"/>
    </row>
    <row r="2" spans="1:6" x14ac:dyDescent="0.35">
      <c r="A2" s="90"/>
      <c r="B2" s="90"/>
      <c r="C2" s="90"/>
      <c r="D2" s="90"/>
      <c r="E2" s="91"/>
      <c r="F2" s="91"/>
    </row>
    <row r="3" spans="1:6" x14ac:dyDescent="0.35">
      <c r="A3" s="111" t="s">
        <v>97</v>
      </c>
      <c r="B3" s="112"/>
      <c r="C3" s="91"/>
      <c r="D3" s="91"/>
      <c r="E3" s="91"/>
      <c r="F3" s="91"/>
    </row>
    <row r="6" spans="1:6" x14ac:dyDescent="0.35">
      <c r="A6" s="111" t="s">
        <v>98</v>
      </c>
      <c r="B6" s="113">
        <v>1</v>
      </c>
      <c r="C6" s="91"/>
      <c r="D6" s="91"/>
      <c r="E6" s="91"/>
      <c r="F6" s="91"/>
    </row>
    <row r="9" spans="1:6" x14ac:dyDescent="0.35">
      <c r="A9" s="114" t="s">
        <v>99</v>
      </c>
      <c r="B9" s="91"/>
      <c r="C9" s="91"/>
      <c r="D9" s="91"/>
      <c r="E9" s="91"/>
      <c r="F9" s="91"/>
    </row>
    <row r="10" spans="1:6" x14ac:dyDescent="0.35">
      <c r="A10" s="114"/>
      <c r="B10" s="91"/>
      <c r="C10" s="91"/>
      <c r="D10" s="91"/>
      <c r="E10" s="91"/>
      <c r="F10" s="91"/>
    </row>
    <row r="11" spans="1:6" x14ac:dyDescent="0.35">
      <c r="A11" s="115" t="s">
        <v>100</v>
      </c>
      <c r="B11" s="115" t="s">
        <v>101</v>
      </c>
      <c r="C11" s="115" t="s">
        <v>102</v>
      </c>
      <c r="D11" s="91"/>
      <c r="E11" s="91"/>
      <c r="F11" s="91"/>
    </row>
    <row r="12" spans="1:6" x14ac:dyDescent="0.35">
      <c r="A12" s="116" t="s">
        <v>103</v>
      </c>
      <c r="B12" s="116" t="s">
        <v>104</v>
      </c>
      <c r="C12" s="116">
        <v>789</v>
      </c>
      <c r="D12" s="91"/>
      <c r="E12" s="91"/>
      <c r="F12" s="91"/>
    </row>
    <row r="13" spans="1:6" x14ac:dyDescent="0.35">
      <c r="A13" s="117" t="s">
        <v>105</v>
      </c>
      <c r="B13" s="117" t="s">
        <v>106</v>
      </c>
      <c r="C13" s="118" t="s">
        <v>107</v>
      </c>
      <c r="D13" s="91"/>
      <c r="E13" s="91"/>
      <c r="F13" s="91"/>
    </row>
    <row r="14" spans="1:6" x14ac:dyDescent="0.35">
      <c r="A14" s="119" t="s">
        <v>108</v>
      </c>
      <c r="B14" s="119" t="s">
        <v>109</v>
      </c>
      <c r="C14" s="119" t="s">
        <v>110</v>
      </c>
      <c r="D14" s="91"/>
      <c r="E14" s="91"/>
      <c r="F14" s="91"/>
    </row>
    <row r="15" spans="1:6" x14ac:dyDescent="0.35">
      <c r="A15" s="120" t="s">
        <v>111</v>
      </c>
      <c r="B15" s="120" t="s">
        <v>112</v>
      </c>
      <c r="C15" s="121" t="s">
        <v>113</v>
      </c>
      <c r="D15" s="91"/>
      <c r="E15" s="91"/>
      <c r="F15" s="91"/>
    </row>
    <row r="17" spans="1:6" x14ac:dyDescent="0.35">
      <c r="A17" s="122" t="s">
        <v>114</v>
      </c>
      <c r="B17" s="91"/>
      <c r="C17" s="91"/>
      <c r="D17" s="91"/>
      <c r="E17" s="91"/>
      <c r="F17" s="91"/>
    </row>
    <row r="18" spans="1:6" x14ac:dyDescent="0.35">
      <c r="A18" s="123" t="s">
        <v>115</v>
      </c>
      <c r="B18" s="124"/>
      <c r="C18" s="123"/>
      <c r="D18" s="91"/>
      <c r="E18" s="91"/>
      <c r="F18" s="91"/>
    </row>
    <row r="19" spans="1:6" x14ac:dyDescent="0.35">
      <c r="A19" s="111" t="s">
        <v>116</v>
      </c>
      <c r="B19" s="91"/>
      <c r="C19" s="91"/>
      <c r="D19" s="91"/>
      <c r="E19" s="91"/>
      <c r="F19" s="91"/>
    </row>
    <row r="22" spans="1:6" x14ac:dyDescent="0.35">
      <c r="A22" s="114" t="s">
        <v>117</v>
      </c>
      <c r="B22" s="91"/>
      <c r="C22" s="91"/>
      <c r="D22" s="91"/>
      <c r="E22" s="91"/>
      <c r="F22" s="91"/>
    </row>
    <row r="23" spans="1:6" x14ac:dyDescent="0.35">
      <c r="A23" s="351" t="s">
        <v>118</v>
      </c>
      <c r="B23" s="351"/>
      <c r="C23" s="351"/>
      <c r="D23" s="351"/>
      <c r="E23" s="351"/>
      <c r="F23" s="351"/>
    </row>
  </sheetData>
  <mergeCells count="2">
    <mergeCell ref="A1:F1"/>
    <mergeCell ref="A23:F23"/>
  </mergeCells>
  <dataValidations count="1">
    <dataValidation type="list" allowBlank="1" showInputMessage="1" showErrorMessage="1" sqref="B6" xr:uid="{A9108106-FA97-4159-86F4-C6E0A4CF0BBF}">
      <formula1>"1, 0"</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B2B3A-E600-4024-9C4B-C317EC0AACA5}">
  <sheetPr>
    <tabColor rgb="FF00B050"/>
  </sheetPr>
  <dimension ref="A1"/>
  <sheetViews>
    <sheetView workbookViewId="0">
      <selection activeCell="H28" sqref="H28"/>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1EA93-1738-4FD6-A57D-DD2F755C2CFD}">
  <sheetPr codeName="Sheet1"/>
  <dimension ref="A1:Q63"/>
  <sheetViews>
    <sheetView showGridLines="0" tabSelected="1" zoomScaleNormal="100" workbookViewId="0">
      <pane xSplit="2" ySplit="1" topLeftCell="C2" activePane="bottomRight" state="frozen"/>
      <selection pane="topRight" activeCell="C1" sqref="C1"/>
      <selection pane="bottomLeft" activeCell="A2" sqref="A2"/>
      <selection pane="bottomRight" activeCell="H52" sqref="H52"/>
    </sheetView>
  </sheetViews>
  <sheetFormatPr defaultRowHeight="14.5" x14ac:dyDescent="0.35"/>
  <cols>
    <col min="1" max="1" width="8.7265625" style="3"/>
    <col min="2" max="2" width="71" style="48" customWidth="1"/>
    <col min="3" max="3" width="6.26953125" style="3" customWidth="1"/>
    <col min="4" max="4" width="6.54296875" customWidth="1"/>
    <col min="5" max="5" width="9.36328125" style="3" customWidth="1"/>
    <col min="6" max="6" width="10.1796875" style="3" customWidth="1"/>
    <col min="7" max="7" width="9" style="3" customWidth="1"/>
    <col min="8" max="16384" width="8.7265625" style="3"/>
  </cols>
  <sheetData>
    <row r="1" spans="1:16" ht="12" x14ac:dyDescent="0.25">
      <c r="B1" s="39" t="s">
        <v>81</v>
      </c>
      <c r="C1" s="1"/>
      <c r="D1" s="3"/>
      <c r="E1" s="10">
        <v>2017</v>
      </c>
      <c r="F1" s="9">
        <f>E1+1</f>
        <v>2018</v>
      </c>
      <c r="G1" s="11">
        <f t="shared" ref="G1:P1" si="0">F1+1</f>
        <v>2019</v>
      </c>
      <c r="H1" s="11">
        <f t="shared" si="0"/>
        <v>2020</v>
      </c>
      <c r="I1" s="11">
        <f t="shared" si="0"/>
        <v>2021</v>
      </c>
      <c r="J1" s="11">
        <f t="shared" si="0"/>
        <v>2022</v>
      </c>
      <c r="K1" s="11">
        <f t="shared" si="0"/>
        <v>2023</v>
      </c>
      <c r="L1" s="11">
        <f t="shared" si="0"/>
        <v>2024</v>
      </c>
      <c r="M1" s="11">
        <f t="shared" si="0"/>
        <v>2025</v>
      </c>
      <c r="N1" s="11">
        <f t="shared" si="0"/>
        <v>2026</v>
      </c>
      <c r="O1" s="11">
        <f t="shared" si="0"/>
        <v>2027</v>
      </c>
      <c r="P1" s="11">
        <f t="shared" si="0"/>
        <v>2028</v>
      </c>
    </row>
    <row r="2" spans="1:16" ht="12" x14ac:dyDescent="0.25">
      <c r="B2" s="39"/>
      <c r="C2" s="1"/>
      <c r="D2" s="3"/>
      <c r="E2" s="10"/>
      <c r="F2" s="9"/>
      <c r="G2" s="11"/>
      <c r="H2" s="11"/>
      <c r="I2" s="11"/>
      <c r="J2" s="11"/>
      <c r="K2" s="11"/>
      <c r="L2" s="11"/>
      <c r="M2" s="11"/>
      <c r="N2" s="11"/>
      <c r="O2" s="11"/>
      <c r="P2" s="11"/>
    </row>
    <row r="3" spans="1:16" s="28" customFormat="1" ht="11.5" x14ac:dyDescent="0.25">
      <c r="A3" s="28" t="s">
        <v>94</v>
      </c>
      <c r="B3" s="40" t="s">
        <v>82</v>
      </c>
      <c r="C3" s="30"/>
      <c r="E3" s="31"/>
      <c r="F3" s="29"/>
      <c r="G3" s="32"/>
      <c r="H3" s="32"/>
      <c r="I3" s="32"/>
      <c r="J3" s="32"/>
      <c r="K3" s="32"/>
      <c r="L3" s="32"/>
      <c r="M3" s="32"/>
      <c r="N3" s="32"/>
      <c r="O3" s="32"/>
      <c r="P3" s="32"/>
    </row>
    <row r="4" spans="1:16" ht="12.5" customHeight="1" x14ac:dyDescent="0.35">
      <c r="E4" s="76"/>
      <c r="F4" s="76"/>
      <c r="G4" s="76"/>
      <c r="H4" s="76"/>
      <c r="I4" s="76"/>
      <c r="J4" s="76"/>
      <c r="K4" s="76"/>
      <c r="L4" s="76"/>
      <c r="M4" s="76"/>
      <c r="N4" s="76"/>
      <c r="O4" s="76"/>
      <c r="P4" s="76"/>
    </row>
    <row r="5" spans="1:16" ht="11.5" x14ac:dyDescent="0.25">
      <c r="B5" s="41" t="s">
        <v>41</v>
      </c>
      <c r="C5" s="4"/>
      <c r="D5" s="3"/>
      <c r="E5" s="201"/>
      <c r="F5" s="201"/>
      <c r="G5" s="201"/>
      <c r="H5" s="201"/>
      <c r="I5" s="201"/>
      <c r="J5" s="201"/>
      <c r="K5" s="201"/>
      <c r="L5" s="201"/>
      <c r="M5" s="201"/>
      <c r="N5" s="201"/>
      <c r="O5" s="201"/>
      <c r="P5" s="201"/>
    </row>
    <row r="6" spans="1:16" ht="11.5" x14ac:dyDescent="0.25">
      <c r="B6" s="42" t="s">
        <v>44</v>
      </c>
      <c r="C6" s="12"/>
      <c r="D6" s="13"/>
      <c r="E6" s="202">
        <f t="shared" ref="E6:P6" si="1">E7+E8</f>
        <v>101871</v>
      </c>
      <c r="F6" s="202">
        <f t="shared" si="1"/>
        <v>109140</v>
      </c>
      <c r="G6" s="202">
        <f t="shared" ca="1" si="1"/>
        <v>137388.82641651787</v>
      </c>
      <c r="H6" s="202">
        <f t="shared" ca="1" si="1"/>
        <v>163171.691424516</v>
      </c>
      <c r="I6" s="202">
        <f t="shared" ca="1" si="1"/>
        <v>94614.655682550001</v>
      </c>
      <c r="J6" s="202">
        <f t="shared" ca="1" si="1"/>
        <v>94925.626159395499</v>
      </c>
      <c r="K6" s="202">
        <f t="shared" ca="1" si="1"/>
        <v>131379.7808693767</v>
      </c>
      <c r="L6" s="202">
        <f t="shared" ca="1" si="1"/>
        <v>208725.19666995938</v>
      </c>
      <c r="M6" s="202">
        <f t="shared" ca="1" si="1"/>
        <v>298210.91821189935</v>
      </c>
      <c r="N6" s="202">
        <f t="shared" ca="1" si="1"/>
        <v>394661.6643834397</v>
      </c>
      <c r="O6" s="202">
        <f t="shared" ca="1" si="1"/>
        <v>499240.70689378446</v>
      </c>
      <c r="P6" s="202">
        <f t="shared" ca="1" si="1"/>
        <v>611700.06065425125</v>
      </c>
    </row>
    <row r="7" spans="1:16" ht="12" x14ac:dyDescent="0.3">
      <c r="B7" s="43" t="s">
        <v>42</v>
      </c>
      <c r="C7" s="12"/>
      <c r="D7" s="13"/>
      <c r="E7" s="190">
        <v>10715</v>
      </c>
      <c r="F7" s="190">
        <v>16701</v>
      </c>
      <c r="G7" s="200">
        <f ca="1">CF!G56</f>
        <v>44949.82641651787</v>
      </c>
      <c r="H7" s="200">
        <f ca="1">CF!H56</f>
        <v>70732.691424516001</v>
      </c>
      <c r="I7" s="200">
        <f ca="1">CF!I56</f>
        <v>2175.6556825500011</v>
      </c>
      <c r="J7" s="200">
        <f ca="1">CF!J56</f>
        <v>2486.6261593954987</v>
      </c>
      <c r="K7" s="200">
        <f ca="1">CF!K56</f>
        <v>38940.780869376707</v>
      </c>
      <c r="L7" s="200">
        <f ca="1">CF!L56</f>
        <v>116286.19666995938</v>
      </c>
      <c r="M7" s="200">
        <f ca="1">CF!M56</f>
        <v>205771.91821189938</v>
      </c>
      <c r="N7" s="200">
        <f ca="1">CF!N56</f>
        <v>302222.6643834397</v>
      </c>
      <c r="O7" s="200">
        <f ca="1">CF!O56</f>
        <v>406801.70689378446</v>
      </c>
      <c r="P7" s="200">
        <f ca="1">CF!P56</f>
        <v>519261.06065425125</v>
      </c>
    </row>
    <row r="8" spans="1:16" ht="12" x14ac:dyDescent="0.25">
      <c r="B8" s="43" t="s">
        <v>43</v>
      </c>
      <c r="C8" s="12"/>
      <c r="D8" s="13"/>
      <c r="E8" s="190">
        <v>91156</v>
      </c>
      <c r="F8" s="190">
        <v>92439</v>
      </c>
      <c r="G8" s="204">
        <f>'OC (Other Calc)'!G26</f>
        <v>92439</v>
      </c>
      <c r="H8" s="204">
        <f>'OC (Other Calc)'!H26</f>
        <v>92439</v>
      </c>
      <c r="I8" s="204">
        <f>'OC (Other Calc)'!I26</f>
        <v>92439</v>
      </c>
      <c r="J8" s="204">
        <f>'OC (Other Calc)'!J26</f>
        <v>92439</v>
      </c>
      <c r="K8" s="204">
        <f>'OC (Other Calc)'!K26</f>
        <v>92439</v>
      </c>
      <c r="L8" s="204">
        <f>'OC (Other Calc)'!L26</f>
        <v>92439</v>
      </c>
      <c r="M8" s="204">
        <f>'OC (Other Calc)'!M26</f>
        <v>92439</v>
      </c>
      <c r="N8" s="204">
        <f>'OC (Other Calc)'!N26</f>
        <v>92439</v>
      </c>
      <c r="O8" s="204">
        <f>'OC (Other Calc)'!O26</f>
        <v>92439</v>
      </c>
      <c r="P8" s="204">
        <f>'OC (Other Calc)'!P26</f>
        <v>92439</v>
      </c>
    </row>
    <row r="9" spans="1:16" ht="12" x14ac:dyDescent="0.3">
      <c r="B9" s="232" t="s">
        <v>10</v>
      </c>
      <c r="C9" s="51" t="s">
        <v>93</v>
      </c>
      <c r="D9" s="13"/>
      <c r="E9" s="190">
        <v>18336</v>
      </c>
      <c r="F9" s="190">
        <v>20838</v>
      </c>
      <c r="G9" s="200">
        <f>'OM (Op. Model)'!G53</f>
        <v>24885.200000000001</v>
      </c>
      <c r="H9" s="200">
        <f>'OM (Op. Model)'!H53</f>
        <v>28828.95</v>
      </c>
      <c r="I9" s="200">
        <f>'OM (Op. Model)'!I53</f>
        <v>33109.699999999997</v>
      </c>
      <c r="J9" s="200">
        <f>'OM (Op. Model)'!J53</f>
        <v>37436.300000000003</v>
      </c>
      <c r="K9" s="200">
        <f>'OM (Op. Model)'!K53</f>
        <v>42175.5</v>
      </c>
      <c r="L9" s="200">
        <f>'OM (Op. Model)'!L53</f>
        <v>44852.261902935439</v>
      </c>
      <c r="M9" s="200">
        <f>'OM (Op. Model)'!M53</f>
        <v>48604.41117032215</v>
      </c>
      <c r="N9" s="200">
        <f>'OM (Op. Model)'!N53</f>
        <v>52157.273659296174</v>
      </c>
      <c r="O9" s="200">
        <f>'OM (Op. Model)'!O53</f>
        <v>55428.749783091618</v>
      </c>
      <c r="P9" s="200">
        <f>'OM (Op. Model)'!P53</f>
        <v>58458.182680880949</v>
      </c>
    </row>
    <row r="10" spans="1:16" ht="12" x14ac:dyDescent="0.3">
      <c r="B10" s="232" t="s">
        <v>45</v>
      </c>
      <c r="C10" s="12"/>
      <c r="D10" s="13"/>
      <c r="E10" s="190">
        <v>369</v>
      </c>
      <c r="F10" s="190">
        <v>355</v>
      </c>
      <c r="G10" s="200">
        <f>Taxes!G5</f>
        <v>355</v>
      </c>
      <c r="H10" s="200">
        <f>Taxes!H5</f>
        <v>355</v>
      </c>
      <c r="I10" s="200">
        <f>Taxes!I5</f>
        <v>355</v>
      </c>
      <c r="J10" s="200">
        <f>Taxes!J5</f>
        <v>355</v>
      </c>
      <c r="K10" s="200">
        <f>Taxes!K5</f>
        <v>355</v>
      </c>
      <c r="L10" s="200">
        <f>Taxes!L5</f>
        <v>355</v>
      </c>
      <c r="M10" s="200">
        <f>Taxes!M5</f>
        <v>355</v>
      </c>
      <c r="N10" s="200">
        <f>Taxes!N5</f>
        <v>355</v>
      </c>
      <c r="O10" s="200">
        <f>Taxes!O5</f>
        <v>355</v>
      </c>
      <c r="P10" s="200">
        <f>Taxes!P5</f>
        <v>355</v>
      </c>
    </row>
    <row r="11" spans="1:16" ht="12" x14ac:dyDescent="0.3">
      <c r="B11" s="232" t="s">
        <v>46</v>
      </c>
      <c r="C11" s="12"/>
      <c r="D11" s="13"/>
      <c r="E11" s="190">
        <v>749</v>
      </c>
      <c r="F11" s="190">
        <v>1107</v>
      </c>
      <c r="G11" s="200">
        <f>'OM (Op. Model)'!G67</f>
        <v>846.7</v>
      </c>
      <c r="H11" s="200">
        <f>'OM (Op. Model)'!H67</f>
        <v>855.7</v>
      </c>
      <c r="I11" s="200">
        <f>'OM (Op. Model)'!I67</f>
        <v>865.1</v>
      </c>
      <c r="J11" s="200">
        <f>'OM (Op. Model)'!J67</f>
        <v>875</v>
      </c>
      <c r="K11" s="200">
        <f>'OM (Op. Model)'!K67</f>
        <v>885.3</v>
      </c>
      <c r="L11" s="200">
        <f>'OM (Op. Model)'!L67</f>
        <v>1071.3705</v>
      </c>
      <c r="M11" s="200">
        <f>'OM (Op. Model)'!M67</f>
        <v>1168.7250000000001</v>
      </c>
      <c r="N11" s="200">
        <f>'OM (Op. Model)'!N67</f>
        <v>1274.1783355000002</v>
      </c>
      <c r="O11" s="200">
        <f>'OM (Op. Model)'!O67</f>
        <v>1376.1126023400002</v>
      </c>
      <c r="P11" s="200">
        <f>'OM (Op. Model)'!P67</f>
        <v>1472.4404845038005</v>
      </c>
    </row>
    <row r="12" spans="1:16" ht="12" x14ac:dyDescent="0.3">
      <c r="B12" s="232" t="s">
        <v>47</v>
      </c>
      <c r="C12" s="12"/>
      <c r="D12" s="13"/>
      <c r="E12" s="190">
        <v>2983</v>
      </c>
      <c r="F12" s="190">
        <v>4236</v>
      </c>
      <c r="G12" s="200">
        <f>'OM (Op. Model)'!G97</f>
        <v>4895.5709999999999</v>
      </c>
      <c r="H12" s="200">
        <f>'OM (Op. Model)'!H97</f>
        <v>5766.9971849999993</v>
      </c>
      <c r="I12" s="200">
        <f>'OM (Op. Model)'!I97</f>
        <v>6526.9670476499996</v>
      </c>
      <c r="J12" s="200">
        <f>'OM (Op. Model)'!J97</f>
        <v>7459.8784781864997</v>
      </c>
      <c r="K12" s="200">
        <f>'OM (Op. Model)'!K97</f>
        <v>8217.8408674878447</v>
      </c>
      <c r="L12" s="200">
        <f>'OM (Op. Model)'!L97</f>
        <v>8970.4523805870886</v>
      </c>
      <c r="M12" s="200">
        <f>'OM (Op. Model)'!M97</f>
        <v>9720.8822340644292</v>
      </c>
      <c r="N12" s="200">
        <f>'OM (Op. Model)'!N97</f>
        <v>10431.454731859236</v>
      </c>
      <c r="O12" s="200">
        <f>'OM (Op. Model)'!O97</f>
        <v>11085.749956618323</v>
      </c>
      <c r="P12" s="200">
        <f>'OM (Op. Model)'!P97</f>
        <v>11691.636536176189</v>
      </c>
    </row>
    <row r="13" spans="1:16" s="15" customFormat="1" ht="11.5" x14ac:dyDescent="0.25">
      <c r="A13" s="53" t="s">
        <v>94</v>
      </c>
      <c r="B13" s="44" t="s">
        <v>48</v>
      </c>
      <c r="C13" s="17"/>
      <c r="D13" s="18"/>
      <c r="E13" s="205">
        <f t="shared" ref="E13:P13" si="2">SUM(E6,E9,E10,E11,E12)</f>
        <v>124308</v>
      </c>
      <c r="F13" s="205">
        <f t="shared" si="2"/>
        <v>135676</v>
      </c>
      <c r="G13" s="205">
        <f t="shared" ca="1" si="2"/>
        <v>168371.29741651789</v>
      </c>
      <c r="H13" s="205">
        <f t="shared" ca="1" si="2"/>
        <v>198978.33860951601</v>
      </c>
      <c r="I13" s="205">
        <f t="shared" ca="1" si="2"/>
        <v>135471.42273019999</v>
      </c>
      <c r="J13" s="205">
        <f t="shared" ca="1" si="2"/>
        <v>141051.80463758198</v>
      </c>
      <c r="K13" s="205">
        <f t="shared" ca="1" si="2"/>
        <v>183013.42173686455</v>
      </c>
      <c r="L13" s="205">
        <f t="shared" ca="1" si="2"/>
        <v>263974.28145348188</v>
      </c>
      <c r="M13" s="205">
        <f t="shared" ca="1" si="2"/>
        <v>358059.93661628594</v>
      </c>
      <c r="N13" s="205">
        <f t="shared" ca="1" si="2"/>
        <v>458879.57111009507</v>
      </c>
      <c r="O13" s="205">
        <f t="shared" ca="1" si="2"/>
        <v>567486.31923583441</v>
      </c>
      <c r="P13" s="205">
        <f t="shared" ca="1" si="2"/>
        <v>683677.3203558122</v>
      </c>
    </row>
    <row r="14" spans="1:16" s="19" customFormat="1" ht="11.5" x14ac:dyDescent="0.25">
      <c r="A14" s="22"/>
      <c r="B14" s="41"/>
      <c r="C14" s="20"/>
      <c r="D14" s="85"/>
      <c r="E14" s="206"/>
      <c r="F14" s="206"/>
      <c r="G14" s="206"/>
      <c r="H14" s="206"/>
      <c r="I14" s="206"/>
      <c r="J14" s="206"/>
      <c r="K14" s="206"/>
      <c r="L14" s="206"/>
      <c r="M14" s="206"/>
      <c r="N14" s="206"/>
      <c r="O14" s="206"/>
      <c r="P14" s="206"/>
    </row>
    <row r="15" spans="1:16" s="19" customFormat="1" ht="11.5" x14ac:dyDescent="0.25">
      <c r="A15" s="22"/>
      <c r="B15" s="41" t="s">
        <v>83</v>
      </c>
      <c r="C15" s="20"/>
      <c r="D15" s="21"/>
      <c r="E15" s="207"/>
      <c r="F15" s="207"/>
      <c r="G15" s="206"/>
      <c r="H15" s="206"/>
      <c r="I15" s="206"/>
      <c r="J15" s="206"/>
      <c r="K15" s="206"/>
      <c r="L15" s="206"/>
      <c r="M15" s="206"/>
      <c r="N15" s="206"/>
      <c r="O15" s="206"/>
      <c r="P15" s="206"/>
    </row>
    <row r="16" spans="1:16" ht="12" x14ac:dyDescent="0.3">
      <c r="B16" s="42" t="s">
        <v>49</v>
      </c>
      <c r="C16" s="12"/>
      <c r="D16" s="13"/>
      <c r="E16" s="190">
        <v>7813</v>
      </c>
      <c r="F16" s="190">
        <v>13859</v>
      </c>
      <c r="G16" s="200">
        <f>'OC (Other Calc)'!G5</f>
        <v>13859</v>
      </c>
      <c r="H16" s="200">
        <f>'OC (Other Calc)'!H5</f>
        <v>13859</v>
      </c>
      <c r="I16" s="200">
        <f>'OC (Other Calc)'!I5</f>
        <v>13859</v>
      </c>
      <c r="J16" s="200">
        <f>'OC (Other Calc)'!J5</f>
        <v>13859</v>
      </c>
      <c r="K16" s="200">
        <f>'OC (Other Calc)'!K5</f>
        <v>13859</v>
      </c>
      <c r="L16" s="200">
        <f>'OC (Other Calc)'!L5</f>
        <v>13859</v>
      </c>
      <c r="M16" s="200">
        <f>'OC (Other Calc)'!M5</f>
        <v>13859</v>
      </c>
      <c r="N16" s="200">
        <f>'OC (Other Calc)'!N5</f>
        <v>13859</v>
      </c>
      <c r="O16" s="200">
        <f>'OC (Other Calc)'!O5</f>
        <v>13859</v>
      </c>
      <c r="P16" s="200">
        <f>'OC (Other Calc)'!P5</f>
        <v>13859</v>
      </c>
    </row>
    <row r="17" spans="1:16" ht="12" x14ac:dyDescent="0.3">
      <c r="B17" s="232" t="s">
        <v>6</v>
      </c>
      <c r="C17" s="12"/>
      <c r="D17" s="13"/>
      <c r="E17" s="190">
        <v>680</v>
      </c>
      <c r="F17" s="190">
        <v>737</v>
      </c>
      <c r="G17" s="200">
        <f>Taxes!G12</f>
        <v>737</v>
      </c>
      <c r="H17" s="200">
        <f>Taxes!H12</f>
        <v>737</v>
      </c>
      <c r="I17" s="200">
        <f>Taxes!I12</f>
        <v>737</v>
      </c>
      <c r="J17" s="200">
        <f>Taxes!J12</f>
        <v>737</v>
      </c>
      <c r="K17" s="200">
        <f>Taxes!K12</f>
        <v>737</v>
      </c>
      <c r="L17" s="200">
        <f>Taxes!L12</f>
        <v>737</v>
      </c>
      <c r="M17" s="200">
        <f>Taxes!M12</f>
        <v>737</v>
      </c>
      <c r="N17" s="200">
        <f>Taxes!N12</f>
        <v>737</v>
      </c>
      <c r="O17" s="200">
        <f>Taxes!O12</f>
        <v>737</v>
      </c>
      <c r="P17" s="200">
        <f>Taxes!P12</f>
        <v>737</v>
      </c>
    </row>
    <row r="18" spans="1:16" ht="12" x14ac:dyDescent="0.3">
      <c r="B18" s="42" t="s">
        <v>50</v>
      </c>
      <c r="C18" s="12"/>
      <c r="D18" s="13"/>
      <c r="E18" s="190">
        <v>42383</v>
      </c>
      <c r="F18" s="190">
        <v>59719</v>
      </c>
      <c r="G18" s="200">
        <f>'OM (Op. Model)'!G107</f>
        <v>75110.333333333328</v>
      </c>
      <c r="H18" s="200">
        <f>'OM (Op. Model)'!H107</f>
        <v>89961.833333333328</v>
      </c>
      <c r="I18" s="200">
        <f>'OM (Op. Model)'!I107</f>
        <v>104377.46666666666</v>
      </c>
      <c r="J18" s="200">
        <f>'OM (Op. Model)'!J107</f>
        <v>113921.96666666667</v>
      </c>
      <c r="K18" s="200">
        <f>'OM (Op. Model)'!K107</f>
        <v>121221.21666666666</v>
      </c>
      <c r="L18" s="200">
        <f>'OM (Op. Model)'!L107</f>
        <v>123726.21666666665</v>
      </c>
      <c r="M18" s="200">
        <f>'OM (Op. Model)'!M107</f>
        <v>123660.51666666663</v>
      </c>
      <c r="N18" s="200">
        <f>'OM (Op. Model)'!N107</f>
        <v>125399.09245530986</v>
      </c>
      <c r="O18" s="200">
        <f>'OM (Op. Model)'!O107</f>
        <v>127246.71744807958</v>
      </c>
      <c r="P18" s="200">
        <f>'OM (Op. Model)'!P107</f>
        <v>129195.32353744228</v>
      </c>
    </row>
    <row r="19" spans="1:16" ht="12" x14ac:dyDescent="0.3">
      <c r="B19" s="42" t="s">
        <v>51</v>
      </c>
      <c r="C19" s="12"/>
      <c r="D19" s="13"/>
      <c r="E19" s="190">
        <v>2692</v>
      </c>
      <c r="F19" s="190">
        <v>2220</v>
      </c>
      <c r="G19" s="200">
        <f>'OM (Op. Model)'!H141</f>
        <v>1468.8</v>
      </c>
      <c r="H19" s="200">
        <f>'OM (Op. Model)'!I141</f>
        <v>755.4</v>
      </c>
      <c r="I19" s="200">
        <f>'OM (Op. Model)'!J141</f>
        <v>196.60000000000002</v>
      </c>
      <c r="J19" s="203"/>
      <c r="K19" s="203"/>
      <c r="L19" s="203"/>
      <c r="M19" s="203"/>
      <c r="N19" s="203"/>
      <c r="O19" s="203"/>
      <c r="P19" s="203"/>
    </row>
    <row r="20" spans="1:16" ht="12" x14ac:dyDescent="0.3">
      <c r="B20" s="42" t="s">
        <v>52</v>
      </c>
      <c r="C20" s="12"/>
      <c r="D20" s="13"/>
      <c r="E20" s="190">
        <v>16747</v>
      </c>
      <c r="F20" s="190">
        <v>17888</v>
      </c>
      <c r="G20" s="200">
        <f>'OC (Other Calc)'!G11</f>
        <v>17888</v>
      </c>
      <c r="H20" s="200">
        <f>'OC (Other Calc)'!H11</f>
        <v>17888</v>
      </c>
      <c r="I20" s="200">
        <f>'OC (Other Calc)'!I11</f>
        <v>17888</v>
      </c>
      <c r="J20" s="200">
        <f>'OC (Other Calc)'!J11</f>
        <v>17888</v>
      </c>
      <c r="K20" s="200">
        <f>'OC (Other Calc)'!K11</f>
        <v>17888</v>
      </c>
      <c r="L20" s="200">
        <f>'OC (Other Calc)'!L11</f>
        <v>17888</v>
      </c>
      <c r="M20" s="200">
        <f>'OC (Other Calc)'!M11</f>
        <v>17888</v>
      </c>
      <c r="N20" s="200">
        <f>'OC (Other Calc)'!N11</f>
        <v>17888</v>
      </c>
      <c r="O20" s="200">
        <f>'OC (Other Calc)'!O11</f>
        <v>17888</v>
      </c>
      <c r="P20" s="200">
        <f>'OC (Other Calc)'!P11</f>
        <v>17888</v>
      </c>
    </row>
    <row r="21" spans="1:16" s="22" customFormat="1" ht="12" x14ac:dyDescent="0.3">
      <c r="B21" s="232" t="s">
        <v>53</v>
      </c>
      <c r="C21" s="23"/>
      <c r="D21" s="24"/>
      <c r="E21" s="208">
        <v>2672</v>
      </c>
      <c r="F21" s="208">
        <v>2693</v>
      </c>
      <c r="G21" s="200">
        <f>'OC (Other Calc)'!G17</f>
        <v>2693</v>
      </c>
      <c r="H21" s="200">
        <f>'OC (Other Calc)'!H17</f>
        <v>2693</v>
      </c>
      <c r="I21" s="200">
        <f>'OC (Other Calc)'!I17</f>
        <v>2693</v>
      </c>
      <c r="J21" s="200">
        <f>'OC (Other Calc)'!J17</f>
        <v>2693</v>
      </c>
      <c r="K21" s="200">
        <f>'OC (Other Calc)'!K17</f>
        <v>2693</v>
      </c>
      <c r="L21" s="200">
        <f>'OC (Other Calc)'!L17</f>
        <v>2693</v>
      </c>
      <c r="M21" s="200">
        <f>'OC (Other Calc)'!M17</f>
        <v>2693</v>
      </c>
      <c r="N21" s="200">
        <f>'OC (Other Calc)'!N17</f>
        <v>2693</v>
      </c>
      <c r="O21" s="200">
        <f>'OC (Other Calc)'!O17</f>
        <v>2693</v>
      </c>
      <c r="P21" s="200">
        <f>'OC (Other Calc)'!P17</f>
        <v>2693</v>
      </c>
    </row>
    <row r="22" spans="1:16" s="15" customFormat="1" ht="11.5" x14ac:dyDescent="0.25">
      <c r="A22" s="53"/>
      <c r="B22" s="44" t="s">
        <v>84</v>
      </c>
      <c r="C22" s="17"/>
      <c r="D22" s="18"/>
      <c r="E22" s="205">
        <f>E16+E17+E18+E19+E20+E21</f>
        <v>72987</v>
      </c>
      <c r="F22" s="205">
        <f t="shared" ref="F22:P22" si="3">F16+F17+F18+F19+F20+F21</f>
        <v>97116</v>
      </c>
      <c r="G22" s="205">
        <f t="shared" si="3"/>
        <v>111756.13333333333</v>
      </c>
      <c r="H22" s="205">
        <f t="shared" si="3"/>
        <v>125894.23333333332</v>
      </c>
      <c r="I22" s="205">
        <f t="shared" si="3"/>
        <v>139751.06666666665</v>
      </c>
      <c r="J22" s="205">
        <f t="shared" si="3"/>
        <v>149098.96666666667</v>
      </c>
      <c r="K22" s="205">
        <f t="shared" si="3"/>
        <v>156398.21666666667</v>
      </c>
      <c r="L22" s="205">
        <f t="shared" si="3"/>
        <v>158903.21666666665</v>
      </c>
      <c r="M22" s="205">
        <f t="shared" si="3"/>
        <v>158837.51666666663</v>
      </c>
      <c r="N22" s="205">
        <f t="shared" si="3"/>
        <v>160576.09245530987</v>
      </c>
      <c r="O22" s="205">
        <f t="shared" si="3"/>
        <v>162423.71744807958</v>
      </c>
      <c r="P22" s="205">
        <f t="shared" si="3"/>
        <v>164372.32353744228</v>
      </c>
    </row>
    <row r="23" spans="1:16" s="19" customFormat="1" ht="11.5" x14ac:dyDescent="0.25">
      <c r="A23" s="22"/>
      <c r="B23" s="41"/>
      <c r="C23" s="20"/>
      <c r="D23" s="21"/>
      <c r="E23" s="206"/>
      <c r="F23" s="206"/>
      <c r="G23" s="206"/>
      <c r="H23" s="206"/>
      <c r="I23" s="206"/>
      <c r="J23" s="206"/>
      <c r="K23" s="206"/>
      <c r="L23" s="206"/>
      <c r="M23" s="206"/>
      <c r="N23" s="206"/>
      <c r="O23" s="206"/>
      <c r="P23" s="206"/>
    </row>
    <row r="24" spans="1:16" s="25" customFormat="1" ht="12" thickBot="1" x14ac:dyDescent="0.3">
      <c r="A24" s="54" t="s">
        <v>94</v>
      </c>
      <c r="B24" s="45" t="s">
        <v>54</v>
      </c>
      <c r="C24" s="26"/>
      <c r="D24" s="27"/>
      <c r="E24" s="209">
        <f>E13+E22</f>
        <v>197295</v>
      </c>
      <c r="F24" s="209">
        <f t="shared" ref="F24:P24" si="4">F13+F22</f>
        <v>232792</v>
      </c>
      <c r="G24" s="209">
        <f t="shared" ca="1" si="4"/>
        <v>280127.43074985122</v>
      </c>
      <c r="H24" s="209">
        <f t="shared" ca="1" si="4"/>
        <v>324872.57194284932</v>
      </c>
      <c r="I24" s="209">
        <f t="shared" ca="1" si="4"/>
        <v>275222.48939686664</v>
      </c>
      <c r="J24" s="209">
        <f t="shared" ca="1" si="4"/>
        <v>290150.77130424866</v>
      </c>
      <c r="K24" s="209">
        <f t="shared" ca="1" si="4"/>
        <v>339411.63840353122</v>
      </c>
      <c r="L24" s="209">
        <f t="shared" ca="1" si="4"/>
        <v>422877.49812014855</v>
      </c>
      <c r="M24" s="209">
        <f t="shared" ca="1" si="4"/>
        <v>516897.45328295254</v>
      </c>
      <c r="N24" s="209">
        <f t="shared" ca="1" si="4"/>
        <v>619455.66356540495</v>
      </c>
      <c r="O24" s="209">
        <f t="shared" ca="1" si="4"/>
        <v>729910.03668391402</v>
      </c>
      <c r="P24" s="209">
        <f t="shared" ca="1" si="4"/>
        <v>848049.64389325446</v>
      </c>
    </row>
    <row r="25" spans="1:16" ht="12" thickTop="1" x14ac:dyDescent="0.25">
      <c r="B25" s="42"/>
      <c r="C25" s="12"/>
      <c r="D25" s="13"/>
      <c r="E25" s="202"/>
      <c r="F25" s="202"/>
      <c r="G25" s="203"/>
      <c r="H25" s="203"/>
      <c r="I25" s="203"/>
      <c r="J25" s="203"/>
      <c r="K25" s="203"/>
      <c r="L25" s="203"/>
      <c r="M25" s="203"/>
      <c r="N25" s="203"/>
      <c r="O25" s="203"/>
      <c r="P25" s="203"/>
    </row>
    <row r="26" spans="1:16" ht="11.5" x14ac:dyDescent="0.25">
      <c r="B26" s="42"/>
      <c r="C26" s="12"/>
      <c r="D26" s="13"/>
      <c r="E26" s="202"/>
      <c r="F26" s="202"/>
      <c r="G26" s="203"/>
      <c r="H26" s="203"/>
      <c r="I26" s="203"/>
      <c r="J26" s="203"/>
      <c r="K26" s="203"/>
      <c r="L26" s="203"/>
      <c r="M26" s="203"/>
      <c r="N26" s="203"/>
      <c r="O26" s="203"/>
      <c r="P26" s="203"/>
    </row>
    <row r="27" spans="1:16" s="28" customFormat="1" ht="11.5" x14ac:dyDescent="0.25">
      <c r="A27" s="28" t="s">
        <v>94</v>
      </c>
      <c r="B27" s="46" t="s">
        <v>85</v>
      </c>
      <c r="C27" s="33"/>
      <c r="D27" s="34"/>
      <c r="E27" s="210"/>
      <c r="F27" s="210"/>
      <c r="G27" s="211"/>
      <c r="H27" s="211"/>
      <c r="I27" s="211"/>
      <c r="J27" s="211"/>
      <c r="K27" s="211"/>
      <c r="L27" s="211"/>
      <c r="M27" s="211"/>
      <c r="N27" s="211"/>
      <c r="O27" s="211"/>
      <c r="P27" s="211"/>
    </row>
    <row r="28" spans="1:16" s="22" customFormat="1" ht="11.5" x14ac:dyDescent="0.25">
      <c r="B28" s="41"/>
      <c r="C28" s="23"/>
      <c r="D28" s="24"/>
      <c r="E28" s="212"/>
      <c r="F28" s="212"/>
      <c r="G28" s="213"/>
      <c r="H28" s="213"/>
      <c r="I28" s="213"/>
      <c r="J28" s="213"/>
      <c r="K28" s="213"/>
      <c r="L28" s="213"/>
      <c r="M28" s="213"/>
      <c r="N28" s="213"/>
      <c r="O28" s="213"/>
      <c r="P28" s="213"/>
    </row>
    <row r="29" spans="1:16" s="22" customFormat="1" ht="11.5" x14ac:dyDescent="0.25">
      <c r="B29" s="41" t="s">
        <v>55</v>
      </c>
      <c r="C29" s="20"/>
      <c r="D29" s="24"/>
      <c r="E29" s="213"/>
      <c r="F29" s="213"/>
      <c r="G29" s="213"/>
      <c r="H29" s="213"/>
      <c r="I29" s="213"/>
      <c r="J29" s="213"/>
      <c r="K29" s="213"/>
      <c r="L29" s="213"/>
      <c r="M29" s="213"/>
      <c r="N29" s="213"/>
      <c r="O29" s="213"/>
      <c r="P29" s="213"/>
    </row>
    <row r="30" spans="1:16" s="22" customFormat="1" ht="11.5" x14ac:dyDescent="0.25">
      <c r="B30" s="42" t="s">
        <v>432</v>
      </c>
      <c r="C30" s="20"/>
      <c r="D30" s="24"/>
      <c r="E30" s="393">
        <f>CF!E73</f>
        <v>0</v>
      </c>
      <c r="F30" s="393">
        <f>CF!F73</f>
        <v>0</v>
      </c>
      <c r="G30" s="393">
        <f ca="1">CF!G73</f>
        <v>0</v>
      </c>
      <c r="H30" s="393">
        <f ca="1">CF!H73</f>
        <v>0</v>
      </c>
      <c r="I30" s="393">
        <f ca="1">CF!I73</f>
        <v>51155.069263109093</v>
      </c>
      <c r="J30" s="393">
        <f ca="1">CF!J73</f>
        <v>27536.701935983081</v>
      </c>
      <c r="K30" s="393">
        <f ca="1">CF!K73</f>
        <v>0</v>
      </c>
      <c r="L30" s="393">
        <f ca="1">CF!L73</f>
        <v>0</v>
      </c>
      <c r="M30" s="393">
        <f ca="1">CF!M73</f>
        <v>0</v>
      </c>
      <c r="N30" s="393">
        <f ca="1">CF!N73</f>
        <v>0</v>
      </c>
      <c r="O30" s="393">
        <f ca="1">CF!O73</f>
        <v>0</v>
      </c>
      <c r="P30" s="393">
        <f ca="1">CF!P73</f>
        <v>0</v>
      </c>
    </row>
    <row r="31" spans="1:16" ht="12" x14ac:dyDescent="0.3">
      <c r="B31" s="232" t="s">
        <v>13</v>
      </c>
      <c r="C31" s="12"/>
      <c r="D31" s="13"/>
      <c r="E31" s="190">
        <v>3137</v>
      </c>
      <c r="F31" s="190">
        <v>4378</v>
      </c>
      <c r="G31" s="200">
        <f>'OM (Op. Model)'!G82</f>
        <v>5119.6499999999996</v>
      </c>
      <c r="H31" s="200">
        <f>'OM (Op. Model)'!H82</f>
        <v>5907.35</v>
      </c>
      <c r="I31" s="200">
        <f>'OM (Op. Model)'!I82</f>
        <v>6700.65</v>
      </c>
      <c r="J31" s="200">
        <f>'OM (Op. Model)'!J82</f>
        <v>6923.2</v>
      </c>
      <c r="K31" s="200">
        <f>'OM (Op. Model)'!K82</f>
        <v>7630.5</v>
      </c>
      <c r="L31" s="200">
        <f>'OM (Op. Model)'!L82</f>
        <v>6839.9526923714984</v>
      </c>
      <c r="M31" s="200">
        <f>'OM (Op. Model)'!M82</f>
        <v>7346.3772223544693</v>
      </c>
      <c r="N31" s="200">
        <f>'OM (Op. Model)'!N82</f>
        <v>7832.4951202493266</v>
      </c>
      <c r="O31" s="200">
        <f>'OM (Op. Model)'!O82</f>
        <v>8274.8969857302127</v>
      </c>
      <c r="P31" s="200">
        <f>'OM (Op. Model)'!P82</f>
        <v>8675.3532990653148</v>
      </c>
    </row>
    <row r="32" spans="1:16" ht="12" x14ac:dyDescent="0.3">
      <c r="B32" s="232" t="s">
        <v>56</v>
      </c>
      <c r="C32" s="12"/>
      <c r="D32" s="13"/>
      <c r="E32" s="190">
        <v>4581</v>
      </c>
      <c r="F32" s="190">
        <v>6839</v>
      </c>
      <c r="G32" s="200">
        <f>'OM (Op. Model)'!G170</f>
        <v>7629.4340400000001</v>
      </c>
      <c r="H32" s="200">
        <f>'OM (Op. Model)'!H170</f>
        <v>8866.5549298799997</v>
      </c>
      <c r="I32" s="200">
        <f>'OM (Op. Model)'!I170</f>
        <v>21980.068489041896</v>
      </c>
      <c r="J32" s="200">
        <f>'OM (Op. Model)'!J170</f>
        <v>11302.343870090705</v>
      </c>
      <c r="K32" s="200">
        <f>'OM (Op. Model)'!K170</f>
        <v>12345.936471518175</v>
      </c>
      <c r="L32" s="200">
        <f>'OM (Op. Model)'!L170</f>
        <v>13364.030398706203</v>
      </c>
      <c r="M32" s="200">
        <f>'OM (Op. Model)'!M170</f>
        <v>14353.492331811536</v>
      </c>
      <c r="N32" s="200">
        <f>'OM (Op. Model)'!N170</f>
        <v>15303.27877873645</v>
      </c>
      <c r="O32" s="200">
        <f>'OM (Op. Model)'!O170</f>
        <v>16167.652005370719</v>
      </c>
      <c r="P32" s="200">
        <f>'OM (Op. Model)'!P170</f>
        <v>16950.071209926446</v>
      </c>
    </row>
    <row r="33" spans="1:16" ht="12" x14ac:dyDescent="0.3">
      <c r="B33" s="232" t="s">
        <v>57</v>
      </c>
      <c r="C33" s="12"/>
      <c r="D33" s="13"/>
      <c r="E33" s="190">
        <f>'OM (Op. Model)'!E180</f>
        <v>10177</v>
      </c>
      <c r="F33" s="190">
        <f>'OM (Op. Model)'!F180</f>
        <v>16958</v>
      </c>
      <c r="G33" s="200">
        <f>'OM (Op. Model)'!G180</f>
        <v>20212.364890000004</v>
      </c>
      <c r="H33" s="200">
        <f>'OM (Op. Model)'!H180</f>
        <v>12560.952817329999</v>
      </c>
      <c r="I33" s="200">
        <f>'OM (Op. Model)'!I180</f>
        <v>31138.43035947602</v>
      </c>
      <c r="J33" s="390">
        <f>'OM (Op. Model)'!J180</f>
        <v>16011.653815961834</v>
      </c>
      <c r="K33" s="200">
        <f>'OM (Op. Model)'!K180</f>
        <v>17490.076667984082</v>
      </c>
      <c r="L33" s="200">
        <f>'OM (Op. Model)'!L180</f>
        <v>18932.376398167122</v>
      </c>
      <c r="M33" s="200">
        <f>'OM (Op. Model)'!M180</f>
        <v>20334.114136733013</v>
      </c>
      <c r="N33" s="200">
        <f>'OM (Op. Model)'!N180</f>
        <v>21679.644936543307</v>
      </c>
      <c r="O33" s="200">
        <f>'OM (Op. Model)'!O180</f>
        <v>22904.173674275185</v>
      </c>
      <c r="P33" s="200">
        <f>'OM (Op. Model)'!P180</f>
        <v>24012.600880729133</v>
      </c>
    </row>
    <row r="34" spans="1:16" ht="12" x14ac:dyDescent="0.3">
      <c r="B34" s="232" t="s">
        <v>15</v>
      </c>
      <c r="C34" s="12"/>
      <c r="D34" s="13"/>
      <c r="E34" s="190">
        <v>3975</v>
      </c>
      <c r="F34" s="190">
        <v>4592</v>
      </c>
      <c r="G34" s="200">
        <f>'OM (Op. Model)'!G211</f>
        <v>5711.4995000000008</v>
      </c>
      <c r="H34" s="200">
        <f>'OM (Op. Model)'!H211</f>
        <v>6728.1633825000008</v>
      </c>
      <c r="I34" s="200">
        <f>'OM (Op. Model)'!I211</f>
        <v>7614.7948889250001</v>
      </c>
      <c r="J34" s="200">
        <f>'OM (Op. Model)'!J211</f>
        <v>8703.1915578842509</v>
      </c>
      <c r="K34" s="200">
        <f>'OM (Op. Model)'!K211</f>
        <v>9587.4810120691545</v>
      </c>
      <c r="L34" s="200">
        <f>'OM (Op. Model)'!L211</f>
        <v>10465.527777351605</v>
      </c>
      <c r="M34" s="200">
        <f>'OM (Op. Model)'!M211</f>
        <v>11341.02927307517</v>
      </c>
      <c r="N34" s="200">
        <f>'OM (Op. Model)'!N211</f>
        <v>12170.030520502442</v>
      </c>
      <c r="O34" s="200">
        <f>'OM (Op. Model)'!O211</f>
        <v>12933.374949388046</v>
      </c>
      <c r="P34" s="200">
        <f>'OM (Op. Model)'!P211</f>
        <v>13640.242625538889</v>
      </c>
    </row>
    <row r="35" spans="1:16" ht="12" x14ac:dyDescent="0.3">
      <c r="B35" s="232" t="s">
        <v>16</v>
      </c>
      <c r="C35" s="12"/>
      <c r="D35" s="13"/>
      <c r="E35" s="190">
        <v>1432</v>
      </c>
      <c r="F35" s="190">
        <v>1784</v>
      </c>
      <c r="G35" s="200">
        <f>'OM (Op. Model)'!G217</f>
        <v>2121.4141</v>
      </c>
      <c r="H35" s="200">
        <f>'OM (Op. Model)'!H217</f>
        <v>2499.0321134999999</v>
      </c>
      <c r="I35" s="200">
        <f>'OM (Op. Model)'!I217</f>
        <v>2828.3523873149998</v>
      </c>
      <c r="J35" s="200">
        <f>'OM (Op. Model)'!J217</f>
        <v>3232.6140072141498</v>
      </c>
      <c r="K35" s="200">
        <f>'OM (Op. Model)'!K217</f>
        <v>3561.0643759113996</v>
      </c>
      <c r="L35" s="200">
        <f>'OM (Op. Model)'!L217</f>
        <v>3887.1960315877382</v>
      </c>
      <c r="M35" s="200">
        <f>'OM (Op. Model)'!M217</f>
        <v>4212.3823014279196</v>
      </c>
      <c r="N35" s="200">
        <f>'OM (Op. Model)'!N217</f>
        <v>4520.2970504723353</v>
      </c>
      <c r="O35" s="200">
        <f>'OM (Op. Model)'!O217</f>
        <v>4803.8249812012737</v>
      </c>
      <c r="P35" s="200">
        <f>'OM (Op. Model)'!P217</f>
        <v>5066.3758323430156</v>
      </c>
    </row>
    <row r="36" spans="1:16" ht="12" x14ac:dyDescent="0.3">
      <c r="B36" s="232" t="s">
        <v>58</v>
      </c>
      <c r="C36" s="12"/>
      <c r="D36" s="13"/>
      <c r="E36" s="190">
        <v>881</v>
      </c>
      <c r="F36" s="190">
        <v>69</v>
      </c>
      <c r="G36" s="200">
        <f>Taxes!G19</f>
        <v>69</v>
      </c>
      <c r="H36" s="200">
        <f>Taxes!H19</f>
        <v>69</v>
      </c>
      <c r="I36" s="200">
        <f>Taxes!I19</f>
        <v>69</v>
      </c>
      <c r="J36" s="200">
        <f>Taxes!J19</f>
        <v>69</v>
      </c>
      <c r="K36" s="200">
        <f>Taxes!K19</f>
        <v>69</v>
      </c>
      <c r="L36" s="200">
        <f>Taxes!L19</f>
        <v>69</v>
      </c>
      <c r="M36" s="200">
        <f>Taxes!M19</f>
        <v>69</v>
      </c>
      <c r="N36" s="200">
        <f>Taxes!N19</f>
        <v>69</v>
      </c>
      <c r="O36" s="200">
        <f>Taxes!O19</f>
        <v>69</v>
      </c>
      <c r="P36" s="200">
        <f>Taxes!P19</f>
        <v>69</v>
      </c>
    </row>
    <row r="37" spans="1:16" s="15" customFormat="1" ht="11.5" x14ac:dyDescent="0.25">
      <c r="A37" s="53" t="s">
        <v>94</v>
      </c>
      <c r="B37" s="44" t="s">
        <v>59</v>
      </c>
      <c r="C37" s="17"/>
      <c r="D37" s="18"/>
      <c r="E37" s="205">
        <f>E31+E32+E33+E34+E35+E36</f>
        <v>24183</v>
      </c>
      <c r="F37" s="205">
        <f t="shared" ref="F37:P37" si="5">F31+F32+F33+F34+F35+F36</f>
        <v>34620</v>
      </c>
      <c r="G37" s="205">
        <f t="shared" si="5"/>
        <v>40863.362530000006</v>
      </c>
      <c r="H37" s="205">
        <f t="shared" si="5"/>
        <v>36631.053243210001</v>
      </c>
      <c r="I37" s="205">
        <f t="shared" si="5"/>
        <v>70331.296124757908</v>
      </c>
      <c r="J37" s="205">
        <f t="shared" si="5"/>
        <v>46242.003251150942</v>
      </c>
      <c r="K37" s="205">
        <f t="shared" si="5"/>
        <v>50684.058527482812</v>
      </c>
      <c r="L37" s="205">
        <f t="shared" si="5"/>
        <v>53558.083298184167</v>
      </c>
      <c r="M37" s="205">
        <f t="shared" si="5"/>
        <v>57656.395265402105</v>
      </c>
      <c r="N37" s="205">
        <f t="shared" si="5"/>
        <v>61574.746406503858</v>
      </c>
      <c r="O37" s="205">
        <f t="shared" si="5"/>
        <v>65152.922595965436</v>
      </c>
      <c r="P37" s="205">
        <f t="shared" si="5"/>
        <v>68413.643847602798</v>
      </c>
    </row>
    <row r="38" spans="1:16" s="19" customFormat="1" ht="11.5" x14ac:dyDescent="0.25">
      <c r="A38" s="22"/>
      <c r="B38" s="41"/>
      <c r="C38" s="20"/>
      <c r="D38" s="21"/>
      <c r="E38" s="206"/>
      <c r="F38" s="206"/>
      <c r="G38" s="206"/>
      <c r="H38" s="206"/>
      <c r="I38" s="206"/>
      <c r="J38" s="206"/>
      <c r="K38" s="206"/>
      <c r="L38" s="206"/>
      <c r="M38" s="206"/>
      <c r="N38" s="206"/>
      <c r="O38" s="206"/>
      <c r="P38" s="206"/>
    </row>
    <row r="39" spans="1:16" s="19" customFormat="1" ht="11.5" x14ac:dyDescent="0.25">
      <c r="A39" s="22"/>
      <c r="B39" s="41" t="s">
        <v>86</v>
      </c>
      <c r="C39" s="20"/>
      <c r="D39" s="21"/>
      <c r="E39" s="214"/>
      <c r="F39" s="214"/>
      <c r="G39" s="206"/>
      <c r="H39" s="206"/>
      <c r="I39" s="206"/>
      <c r="J39" s="206"/>
      <c r="K39" s="206"/>
      <c r="L39" s="206"/>
      <c r="M39" s="206"/>
      <c r="N39" s="206"/>
      <c r="O39" s="206"/>
      <c r="P39" s="206"/>
    </row>
    <row r="40" spans="1:16" ht="12" x14ac:dyDescent="0.3">
      <c r="B40" s="42" t="s">
        <v>60</v>
      </c>
      <c r="C40" s="12"/>
      <c r="D40" s="281">
        <v>3935</v>
      </c>
      <c r="E40" s="190">
        <v>3969</v>
      </c>
      <c r="F40" s="190">
        <v>4012</v>
      </c>
      <c r="G40" s="200">
        <f>Financing!G46</f>
        <v>4012</v>
      </c>
      <c r="H40" s="200">
        <f>Financing!H46</f>
        <v>4012</v>
      </c>
      <c r="I40" s="200">
        <f>Financing!I46</f>
        <v>4012</v>
      </c>
      <c r="J40" s="200">
        <f>Financing!J46</f>
        <v>4012</v>
      </c>
      <c r="K40" s="200">
        <f>Financing!K46</f>
        <v>4012</v>
      </c>
      <c r="L40" s="200">
        <f>Financing!L46</f>
        <v>4012</v>
      </c>
      <c r="M40" s="200">
        <f>Financing!M46</f>
        <v>4012</v>
      </c>
      <c r="N40" s="200">
        <f>Financing!N46</f>
        <v>4012</v>
      </c>
      <c r="O40" s="200">
        <f>Financing!O46</f>
        <v>4012</v>
      </c>
      <c r="P40" s="200">
        <f>Financing!P46</f>
        <v>4012</v>
      </c>
    </row>
    <row r="41" spans="1:16" ht="12" x14ac:dyDescent="0.3">
      <c r="B41" s="232" t="s">
        <v>61</v>
      </c>
      <c r="C41" s="12"/>
      <c r="D41" s="13"/>
      <c r="E41" s="190">
        <v>340</v>
      </c>
      <c r="F41" s="190">
        <v>396</v>
      </c>
      <c r="G41" s="200">
        <f>'OM (Op. Model)'!G220</f>
        <v>396</v>
      </c>
      <c r="H41" s="200">
        <f>'OM (Op. Model)'!H220</f>
        <v>396</v>
      </c>
      <c r="I41" s="200">
        <f>'OM (Op. Model)'!I220</f>
        <v>396</v>
      </c>
      <c r="J41" s="200">
        <f>'OM (Op. Model)'!J220</f>
        <v>396</v>
      </c>
      <c r="K41" s="200">
        <f>'OM (Op. Model)'!K220</f>
        <v>396</v>
      </c>
      <c r="L41" s="200">
        <f>'OM (Op. Model)'!L220</f>
        <v>396</v>
      </c>
      <c r="M41" s="200">
        <f>'OM (Op. Model)'!M220</f>
        <v>396</v>
      </c>
      <c r="N41" s="200">
        <f>'OM (Op. Model)'!N220</f>
        <v>396</v>
      </c>
      <c r="O41" s="200">
        <f>'OM (Op. Model)'!O220</f>
        <v>396</v>
      </c>
      <c r="P41" s="200">
        <f>'OM (Op. Model)'!P220</f>
        <v>396</v>
      </c>
    </row>
    <row r="42" spans="1:16" ht="12" x14ac:dyDescent="0.3">
      <c r="B42" s="232" t="s">
        <v>62</v>
      </c>
      <c r="C42" s="12"/>
      <c r="D42" s="13"/>
      <c r="E42" s="190">
        <v>12812</v>
      </c>
      <c r="F42" s="190">
        <v>11327</v>
      </c>
      <c r="G42" s="200">
        <v>11327</v>
      </c>
      <c r="H42" s="200">
        <v>11327</v>
      </c>
      <c r="I42" s="200">
        <v>11327</v>
      </c>
      <c r="J42" s="200">
        <v>11327</v>
      </c>
      <c r="K42" s="200">
        <v>11327</v>
      </c>
      <c r="L42" s="200">
        <v>11327</v>
      </c>
      <c r="M42" s="200">
        <v>11327</v>
      </c>
      <c r="N42" s="200">
        <v>11327</v>
      </c>
      <c r="O42" s="200">
        <v>11327</v>
      </c>
      <c r="P42" s="200">
        <v>11327</v>
      </c>
    </row>
    <row r="43" spans="1:16" ht="12" x14ac:dyDescent="0.3">
      <c r="B43" s="232" t="s">
        <v>6</v>
      </c>
      <c r="C43" s="12"/>
      <c r="D43" s="13"/>
      <c r="E43" s="190">
        <v>430</v>
      </c>
      <c r="F43" s="190">
        <v>1264</v>
      </c>
      <c r="G43" s="200">
        <v>1264</v>
      </c>
      <c r="H43" s="200">
        <v>1264</v>
      </c>
      <c r="I43" s="200">
        <v>1264</v>
      </c>
      <c r="J43" s="200">
        <v>1264</v>
      </c>
      <c r="K43" s="200">
        <v>1264</v>
      </c>
      <c r="L43" s="200">
        <v>1264</v>
      </c>
      <c r="M43" s="200">
        <v>1264</v>
      </c>
      <c r="N43" s="200">
        <v>1264</v>
      </c>
      <c r="O43" s="200">
        <v>1264</v>
      </c>
      <c r="P43" s="200">
        <v>1264</v>
      </c>
    </row>
    <row r="44" spans="1:16" ht="12" x14ac:dyDescent="0.3">
      <c r="B44" s="232" t="s">
        <v>63</v>
      </c>
      <c r="C44" s="12"/>
      <c r="D44" s="13"/>
      <c r="E44" s="190">
        <v>3059</v>
      </c>
      <c r="F44" s="190">
        <v>3545</v>
      </c>
      <c r="G44" s="200">
        <v>5031.5333333333338</v>
      </c>
      <c r="H44" s="200">
        <v>5793.6133333333328</v>
      </c>
      <c r="I44" s="200">
        <v>6650.8493333333336</v>
      </c>
      <c r="J44" s="200">
        <v>7218.5419999999995</v>
      </c>
      <c r="K44" s="200">
        <v>7998.3200000000015</v>
      </c>
      <c r="L44" s="200">
        <v>8570.9639999999999</v>
      </c>
      <c r="M44" s="200">
        <v>9349.8000000000011</v>
      </c>
      <c r="N44" s="200">
        <v>10193.426684000002</v>
      </c>
      <c r="O44" s="200">
        <v>11008.900818720002</v>
      </c>
      <c r="P44" s="200">
        <v>11779.523876030404</v>
      </c>
    </row>
    <row r="45" spans="1:16" s="15" customFormat="1" ht="11.5" x14ac:dyDescent="0.25">
      <c r="A45" s="53"/>
      <c r="B45" s="44" t="s">
        <v>87</v>
      </c>
      <c r="C45" s="17"/>
      <c r="D45" s="18"/>
      <c r="E45" s="205">
        <f>E40+E41+E43+E42+E44</f>
        <v>20610</v>
      </c>
      <c r="F45" s="205">
        <f>F40+F41+F43+F42+F44</f>
        <v>20544</v>
      </c>
      <c r="G45" s="205">
        <f t="shared" ref="G45:P45" si="6">G40+G41+G43+G42+G44</f>
        <v>22030.533333333333</v>
      </c>
      <c r="H45" s="205">
        <f t="shared" si="6"/>
        <v>22792.613333333335</v>
      </c>
      <c r="I45" s="205">
        <f t="shared" si="6"/>
        <v>23649.849333333332</v>
      </c>
      <c r="J45" s="205">
        <f t="shared" si="6"/>
        <v>24217.542000000001</v>
      </c>
      <c r="K45" s="205">
        <f t="shared" si="6"/>
        <v>24997.32</v>
      </c>
      <c r="L45" s="205">
        <f t="shared" si="6"/>
        <v>25569.964</v>
      </c>
      <c r="M45" s="205">
        <f t="shared" si="6"/>
        <v>26348.800000000003</v>
      </c>
      <c r="N45" s="205">
        <f t="shared" si="6"/>
        <v>27192.426684000002</v>
      </c>
      <c r="O45" s="205">
        <f t="shared" si="6"/>
        <v>28007.900818720002</v>
      </c>
      <c r="P45" s="205">
        <f t="shared" si="6"/>
        <v>28778.523876030406</v>
      </c>
    </row>
    <row r="46" spans="1:16" ht="11.5" x14ac:dyDescent="0.25">
      <c r="B46" s="42"/>
      <c r="C46" s="12"/>
      <c r="D46" s="13"/>
      <c r="E46" s="202"/>
      <c r="F46" s="202"/>
      <c r="G46" s="203"/>
      <c r="H46" s="203"/>
      <c r="I46" s="203"/>
      <c r="J46" s="203"/>
      <c r="K46" s="203"/>
      <c r="L46" s="203"/>
      <c r="M46" s="203"/>
      <c r="N46" s="203"/>
      <c r="O46" s="203"/>
      <c r="P46" s="203"/>
    </row>
    <row r="47" spans="1:16" s="35" customFormat="1" ht="11.5" x14ac:dyDescent="0.25">
      <c r="A47" s="55" t="s">
        <v>94</v>
      </c>
      <c r="B47" s="47" t="s">
        <v>64</v>
      </c>
      <c r="C47" s="37"/>
      <c r="D47" s="38"/>
      <c r="E47" s="215">
        <f>E37+E45</f>
        <v>44793</v>
      </c>
      <c r="F47" s="215">
        <f t="shared" ref="F47:P47" si="7">F37+F45</f>
        <v>55164</v>
      </c>
      <c r="G47" s="215">
        <f t="shared" si="7"/>
        <v>62893.895863333339</v>
      </c>
      <c r="H47" s="215">
        <f t="shared" si="7"/>
        <v>59423.666576543335</v>
      </c>
      <c r="I47" s="215">
        <f t="shared" si="7"/>
        <v>93981.14545809124</v>
      </c>
      <c r="J47" s="215">
        <f t="shared" si="7"/>
        <v>70459.545251150936</v>
      </c>
      <c r="K47" s="215">
        <f t="shared" si="7"/>
        <v>75681.378527482811</v>
      </c>
      <c r="L47" s="215">
        <f t="shared" si="7"/>
        <v>79128.047298184159</v>
      </c>
      <c r="M47" s="215">
        <f t="shared" si="7"/>
        <v>84005.195265402115</v>
      </c>
      <c r="N47" s="215">
        <f t="shared" si="7"/>
        <v>88767.173090503857</v>
      </c>
      <c r="O47" s="215">
        <f t="shared" si="7"/>
        <v>93160.823414685437</v>
      </c>
      <c r="P47" s="215">
        <f t="shared" si="7"/>
        <v>97192.167723633203</v>
      </c>
    </row>
    <row r="48" spans="1:16" ht="11.5" x14ac:dyDescent="0.25">
      <c r="B48" s="42"/>
      <c r="C48" s="12"/>
      <c r="D48" s="13"/>
      <c r="E48" s="202"/>
      <c r="F48" s="202"/>
      <c r="G48" s="203"/>
      <c r="H48" s="203"/>
      <c r="I48" s="203"/>
      <c r="J48" s="203"/>
      <c r="K48" s="203"/>
      <c r="L48" s="203"/>
      <c r="M48" s="203"/>
      <c r="N48" s="203"/>
      <c r="O48" s="203"/>
      <c r="P48" s="203"/>
    </row>
    <row r="49" spans="1:17" ht="11.5" x14ac:dyDescent="0.25">
      <c r="B49" s="41" t="s">
        <v>65</v>
      </c>
      <c r="C49" s="4"/>
      <c r="D49" s="13"/>
      <c r="E49" s="216"/>
      <c r="F49" s="216"/>
      <c r="G49" s="203"/>
      <c r="H49" s="203"/>
      <c r="I49" s="203"/>
      <c r="J49" s="203"/>
      <c r="K49" s="203"/>
      <c r="L49" s="203"/>
      <c r="M49" s="203"/>
      <c r="N49" s="203"/>
      <c r="O49" s="203"/>
      <c r="P49" s="203"/>
      <c r="Q49" s="13"/>
    </row>
    <row r="50" spans="1:17" ht="12" x14ac:dyDescent="0.25">
      <c r="B50" s="42" t="s">
        <v>88</v>
      </c>
      <c r="C50" s="50" t="s">
        <v>91</v>
      </c>
      <c r="D50" s="13"/>
      <c r="E50" s="391">
        <v>0</v>
      </c>
      <c r="F50" s="391">
        <v>0</v>
      </c>
      <c r="G50" s="392">
        <f>Financing!G53</f>
        <v>0</v>
      </c>
      <c r="H50" s="392">
        <f>Financing!H53</f>
        <v>0</v>
      </c>
      <c r="I50" s="392">
        <f>Financing!I53</f>
        <v>0</v>
      </c>
      <c r="J50" s="392">
        <f>Financing!J53</f>
        <v>0</v>
      </c>
      <c r="K50" s="392">
        <f>Financing!K53</f>
        <v>0</v>
      </c>
      <c r="L50" s="392">
        <f>Financing!L53</f>
        <v>0</v>
      </c>
      <c r="M50" s="392">
        <f>Financing!M53</f>
        <v>0</v>
      </c>
      <c r="N50" s="392">
        <f>Financing!N53</f>
        <v>0</v>
      </c>
      <c r="O50" s="392">
        <f>Financing!O53</f>
        <v>0</v>
      </c>
      <c r="P50" s="392">
        <f>Financing!P53</f>
        <v>0</v>
      </c>
      <c r="Q50" s="13"/>
    </row>
    <row r="51" spans="1:17" ht="12" x14ac:dyDescent="0.3">
      <c r="B51" s="42" t="s">
        <v>90</v>
      </c>
      <c r="C51" s="50" t="s">
        <v>92</v>
      </c>
      <c r="D51" s="13"/>
      <c r="E51" s="190">
        <v>40247</v>
      </c>
      <c r="F51" s="190">
        <v>45049</v>
      </c>
      <c r="G51" s="200">
        <f>Financing!G60</f>
        <v>55921.85</v>
      </c>
      <c r="H51" s="200">
        <f>Financing!H60</f>
        <v>68425.600000000006</v>
      </c>
      <c r="I51" s="200">
        <f>Financing!I60</f>
        <v>82684.3</v>
      </c>
      <c r="J51" s="200">
        <f>Financing!J60</f>
        <v>98744.900000000009</v>
      </c>
      <c r="K51" s="200">
        <f>Financing!K60</f>
        <v>116865.80000000002</v>
      </c>
      <c r="L51" s="200">
        <f>Financing!L60</f>
        <v>135798.17639816715</v>
      </c>
      <c r="M51" s="200">
        <f>Financing!M60</f>
        <v>156132.29053490015</v>
      </c>
      <c r="N51" s="200">
        <f>Financing!N60</f>
        <v>177811.93547144346</v>
      </c>
      <c r="O51" s="200">
        <f>Financing!O60</f>
        <v>200716.10914571866</v>
      </c>
      <c r="P51" s="200">
        <f>Financing!P60</f>
        <v>224728.71002644778</v>
      </c>
      <c r="Q51" s="13"/>
    </row>
    <row r="52" spans="1:17" ht="12" x14ac:dyDescent="0.3">
      <c r="B52" s="42" t="s">
        <v>66</v>
      </c>
      <c r="C52" s="5"/>
      <c r="D52" s="13"/>
      <c r="E52" s="190">
        <v>-992</v>
      </c>
      <c r="F52" s="190">
        <v>-2306</v>
      </c>
      <c r="G52" s="200">
        <f>Financing!G82</f>
        <v>-2306</v>
      </c>
      <c r="H52" s="200">
        <f>Financing!H82</f>
        <v>-2306</v>
      </c>
      <c r="I52" s="200">
        <f>Financing!I82</f>
        <v>-2306</v>
      </c>
      <c r="J52" s="200">
        <f>Financing!J82</f>
        <v>-2306</v>
      </c>
      <c r="K52" s="200">
        <f>Financing!K82</f>
        <v>-2306</v>
      </c>
      <c r="L52" s="200">
        <f>Financing!L82</f>
        <v>-2306</v>
      </c>
      <c r="M52" s="200">
        <f>Financing!M82</f>
        <v>-2306</v>
      </c>
      <c r="N52" s="200">
        <f>Financing!N82</f>
        <v>-2306</v>
      </c>
      <c r="O52" s="200">
        <f>Financing!O82</f>
        <v>-2306</v>
      </c>
      <c r="P52" s="200">
        <f>Financing!P82</f>
        <v>-2306</v>
      </c>
      <c r="Q52" s="13"/>
    </row>
    <row r="53" spans="1:17" ht="12" x14ac:dyDescent="0.3">
      <c r="B53" s="42" t="s">
        <v>67</v>
      </c>
      <c r="C53" s="5"/>
      <c r="D53" s="13"/>
      <c r="E53" s="190">
        <v>113247</v>
      </c>
      <c r="F53" s="190">
        <v>134885</v>
      </c>
      <c r="G53" s="200">
        <f ca="1">Financing!G92</f>
        <v>163617.68488651788</v>
      </c>
      <c r="H53" s="200">
        <f ca="1">Financing!H92</f>
        <v>199329.30536630601</v>
      </c>
      <c r="I53" s="200">
        <f ca="1">Financing!I92</f>
        <v>49707.974675666337</v>
      </c>
      <c r="J53" s="200">
        <f ca="1">Financing!J92</f>
        <v>95715.624117114668</v>
      </c>
      <c r="K53" s="200">
        <f ca="1">Financing!K92</f>
        <v>149170.45987604844</v>
      </c>
      <c r="L53" s="200">
        <f ca="1">Financing!L92</f>
        <v>210257.27442379732</v>
      </c>
      <c r="M53" s="200">
        <f ca="1">Financing!M92</f>
        <v>279065.96748265042</v>
      </c>
      <c r="N53" s="200">
        <f ca="1">Financing!N92</f>
        <v>355182.5550034577</v>
      </c>
      <c r="O53" s="200">
        <f ca="1">Financing!O92</f>
        <v>438339.10412350995</v>
      </c>
      <c r="P53" s="200">
        <f ca="1">Financing!P92</f>
        <v>528434.76614317356</v>
      </c>
      <c r="Q53" s="13"/>
    </row>
    <row r="54" spans="1:17" ht="11.5" x14ac:dyDescent="0.25">
      <c r="B54" s="42"/>
      <c r="C54" s="5"/>
      <c r="D54" s="13"/>
      <c r="E54" s="189"/>
      <c r="F54" s="189"/>
      <c r="G54" s="203"/>
      <c r="H54" s="203"/>
      <c r="I54" s="203"/>
      <c r="J54" s="203"/>
      <c r="K54" s="203"/>
      <c r="L54" s="203"/>
      <c r="M54" s="203"/>
      <c r="N54" s="203"/>
      <c r="O54" s="203"/>
      <c r="P54" s="203"/>
      <c r="Q54" s="13"/>
    </row>
    <row r="55" spans="1:17" s="35" customFormat="1" ht="11.5" x14ac:dyDescent="0.25">
      <c r="A55" s="55" t="s">
        <v>94</v>
      </c>
      <c r="B55" s="47" t="s">
        <v>68</v>
      </c>
      <c r="C55" s="37"/>
      <c r="D55" s="38"/>
      <c r="E55" s="215">
        <f>E50+E51+E52+E53</f>
        <v>152502</v>
      </c>
      <c r="F55" s="215">
        <f>F50+F51+F52+F53</f>
        <v>177628</v>
      </c>
      <c r="G55" s="215">
        <f t="shared" ref="G55:P55" ca="1" si="8">G50+G51+G52+G53</f>
        <v>217233.53488651788</v>
      </c>
      <c r="H55" s="215">
        <f t="shared" ca="1" si="8"/>
        <v>265448.90536630602</v>
      </c>
      <c r="I55" s="215">
        <f t="shared" ca="1" si="8"/>
        <v>130086.27467566634</v>
      </c>
      <c r="J55" s="215">
        <f t="shared" ca="1" si="8"/>
        <v>192154.52411711466</v>
      </c>
      <c r="K55" s="215">
        <f t="shared" ca="1" si="8"/>
        <v>263730.25987604843</v>
      </c>
      <c r="L55" s="215">
        <f t="shared" ca="1" si="8"/>
        <v>343749.45082196448</v>
      </c>
      <c r="M55" s="215">
        <f t="shared" ca="1" si="8"/>
        <v>432892.25801755057</v>
      </c>
      <c r="N55" s="215">
        <f t="shared" ca="1" si="8"/>
        <v>530688.49047490116</v>
      </c>
      <c r="O55" s="215">
        <f t="shared" ca="1" si="8"/>
        <v>636749.21326922858</v>
      </c>
      <c r="P55" s="215">
        <f t="shared" ca="1" si="8"/>
        <v>750857.47616962134</v>
      </c>
    </row>
    <row r="56" spans="1:17" ht="11.5" x14ac:dyDescent="0.25">
      <c r="B56" s="42"/>
      <c r="C56" s="5"/>
      <c r="D56" s="13"/>
      <c r="E56" s="202"/>
      <c r="F56" s="202"/>
      <c r="G56" s="203"/>
      <c r="H56" s="203"/>
      <c r="I56" s="203"/>
      <c r="J56" s="203"/>
      <c r="K56" s="203"/>
      <c r="L56" s="203"/>
      <c r="M56" s="203"/>
      <c r="N56" s="203"/>
      <c r="O56" s="203"/>
      <c r="P56" s="203"/>
      <c r="Q56" s="13"/>
    </row>
    <row r="57" spans="1:17" ht="11.5" x14ac:dyDescent="0.25">
      <c r="B57" s="42"/>
      <c r="C57" s="5"/>
      <c r="D57" s="13"/>
      <c r="E57" s="202"/>
      <c r="F57" s="202"/>
      <c r="G57" s="203"/>
      <c r="H57" s="203"/>
      <c r="I57" s="203"/>
      <c r="J57" s="203"/>
      <c r="K57" s="203"/>
      <c r="L57" s="203"/>
      <c r="M57" s="203"/>
      <c r="N57" s="203"/>
      <c r="O57" s="203"/>
      <c r="P57" s="203"/>
      <c r="Q57" s="13"/>
    </row>
    <row r="58" spans="1:17" s="25" customFormat="1" ht="12" thickBot="1" x14ac:dyDescent="0.3">
      <c r="A58" s="54" t="s">
        <v>94</v>
      </c>
      <c r="B58" s="45" t="s">
        <v>69</v>
      </c>
      <c r="C58" s="26"/>
      <c r="D58" s="27"/>
      <c r="E58" s="209">
        <f>E47+E55</f>
        <v>197295</v>
      </c>
      <c r="F58" s="209">
        <f>F47+F55</f>
        <v>232792</v>
      </c>
      <c r="G58" s="209">
        <f t="shared" ref="G58:P58" ca="1" si="9">G47+G55</f>
        <v>280127.43074985122</v>
      </c>
      <c r="H58" s="209">
        <f t="shared" ca="1" si="9"/>
        <v>324872.57194284938</v>
      </c>
      <c r="I58" s="209">
        <f t="shared" ca="1" si="9"/>
        <v>224067.42013375758</v>
      </c>
      <c r="J58" s="209">
        <f t="shared" ca="1" si="9"/>
        <v>262614.06936826557</v>
      </c>
      <c r="K58" s="209">
        <f t="shared" ca="1" si="9"/>
        <v>339411.63840353122</v>
      </c>
      <c r="L58" s="209">
        <f t="shared" ca="1" si="9"/>
        <v>422877.49812014867</v>
      </c>
      <c r="M58" s="209">
        <f t="shared" ca="1" si="9"/>
        <v>516897.45328295266</v>
      </c>
      <c r="N58" s="209">
        <f t="shared" ca="1" si="9"/>
        <v>619455.66356540506</v>
      </c>
      <c r="O58" s="209">
        <f t="shared" ca="1" si="9"/>
        <v>729910.03668391402</v>
      </c>
      <c r="P58" s="209">
        <f t="shared" ca="1" si="9"/>
        <v>848049.64389325457</v>
      </c>
    </row>
    <row r="59" spans="1:17" ht="15" thickTop="1" x14ac:dyDescent="0.35">
      <c r="D59" s="14"/>
      <c r="E59" s="13"/>
      <c r="F59" s="13"/>
      <c r="G59" s="13"/>
      <c r="H59" s="13"/>
      <c r="I59" s="13"/>
      <c r="J59" s="13"/>
      <c r="K59" s="13"/>
      <c r="L59" s="13"/>
      <c r="M59" s="13"/>
      <c r="N59" s="13"/>
      <c r="O59" s="13"/>
      <c r="P59" s="13"/>
      <c r="Q59" s="13"/>
    </row>
    <row r="60" spans="1:17" x14ac:dyDescent="0.35">
      <c r="B60" s="48" t="s">
        <v>351</v>
      </c>
      <c r="E60" s="3" t="str">
        <f t="shared" ref="E60:P60" si="10">IF(ROUND(E24,1)=ROUND(E58,1),"OK",ROUND(E58,1)-ROUND(E24,1))</f>
        <v>OK</v>
      </c>
      <c r="F60" s="3" t="str">
        <f t="shared" si="10"/>
        <v>OK</v>
      </c>
      <c r="G60" s="76" t="str">
        <f t="shared" ca="1" si="10"/>
        <v>OK</v>
      </c>
      <c r="H60" s="76" t="str">
        <f t="shared" ca="1" si="10"/>
        <v>OK</v>
      </c>
      <c r="I60" s="76">
        <f t="shared" ca="1" si="10"/>
        <v>-51155.100000000006</v>
      </c>
      <c r="J60" s="76">
        <f t="shared" ca="1" si="10"/>
        <v>-27536.700000000012</v>
      </c>
      <c r="K60" s="76" t="str">
        <f t="shared" ca="1" si="10"/>
        <v>OK</v>
      </c>
      <c r="L60" s="76" t="str">
        <f t="shared" ca="1" si="10"/>
        <v>OK</v>
      </c>
      <c r="M60" s="76" t="str">
        <f t="shared" ca="1" si="10"/>
        <v>OK</v>
      </c>
      <c r="N60" s="76" t="str">
        <f t="shared" ca="1" si="10"/>
        <v>OK</v>
      </c>
      <c r="O60" s="76" t="str">
        <f t="shared" ca="1" si="10"/>
        <v>OK</v>
      </c>
      <c r="P60" s="76" t="str">
        <f t="shared" ca="1" si="10"/>
        <v>OK</v>
      </c>
    </row>
    <row r="63" spans="1:17" ht="58.5" x14ac:dyDescent="0.35">
      <c r="B63" s="49" t="s">
        <v>89</v>
      </c>
    </row>
  </sheetData>
  <conditionalFormatting sqref="E60:P60">
    <cfRule type="cellIs" dxfId="1" priority="1" operator="notEqual">
      <formula>"OK"</formula>
    </cfRule>
    <cfRule type="cellIs" dxfId="0" priority="2" operator="equal">
      <formula>"OK"</formula>
    </cfRule>
  </conditionalFormatting>
  <pageMargins left="0.75" right="0.75" top="1" bottom="1" header="0.5" footer="0.5"/>
  <pageSetup paperSize="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6528-7E80-4426-AA32-0F598642C236}">
  <sheetPr codeName="Sheet3"/>
  <dimension ref="B1:T21"/>
  <sheetViews>
    <sheetView showGridLines="0" zoomScaleNormal="100" workbookViewId="0">
      <pane xSplit="2" ySplit="1" topLeftCell="C2" activePane="bottomRight" state="frozen"/>
      <selection pane="topRight" activeCell="C1" sqref="C1"/>
      <selection pane="bottomLeft" activeCell="A2" sqref="A2"/>
      <selection pane="bottomRight" activeCell="F27" sqref="F27"/>
    </sheetView>
  </sheetViews>
  <sheetFormatPr defaultRowHeight="14.5" outlineLevelRow="1" x14ac:dyDescent="0.35"/>
  <cols>
    <col min="1" max="1" width="8.7265625" style="3"/>
    <col min="2" max="2" width="69.7265625" style="3" customWidth="1"/>
    <col min="3" max="3" width="4.7265625" style="59" customWidth="1"/>
    <col min="4" max="4" width="5.26953125" customWidth="1"/>
    <col min="5" max="5" width="10.26953125" style="3" customWidth="1"/>
    <col min="6" max="6" width="10.7265625" style="3" customWidth="1"/>
    <col min="7" max="7" width="14" style="3" customWidth="1"/>
    <col min="8" max="16384" width="8.7265625" style="3"/>
  </cols>
  <sheetData>
    <row r="1" spans="2:20"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2" spans="2:20" ht="11.5" x14ac:dyDescent="0.25">
      <c r="B2" s="8"/>
      <c r="D2" s="3"/>
      <c r="E2" s="67"/>
      <c r="F2" s="67"/>
      <c r="G2" s="2"/>
    </row>
    <row r="3" spans="2:20" s="52" customFormat="1" ht="11.5" x14ac:dyDescent="0.25">
      <c r="B3" s="4" t="s">
        <v>70</v>
      </c>
      <c r="C3" s="60"/>
      <c r="E3" s="66">
        <v>110855</v>
      </c>
      <c r="F3" s="66">
        <v>136819</v>
      </c>
      <c r="G3" s="144">
        <f>'OM (Op. Model)'!G7</f>
        <v>163185.70000000001</v>
      </c>
      <c r="H3" s="145">
        <f>'OM (Op. Model)'!H7</f>
        <v>192233.2395</v>
      </c>
      <c r="I3" s="145">
        <f>'OM (Op. Model)'!I7</f>
        <v>217565.56825499999</v>
      </c>
      <c r="J3" s="145">
        <f>'OM (Op. Model)'!J7</f>
        <v>248662.61593954999</v>
      </c>
      <c r="K3" s="145">
        <f>'OM (Op. Model)'!K7</f>
        <v>273928.02891626151</v>
      </c>
      <c r="L3" s="145">
        <f>'OM (Op. Model)'!L7</f>
        <v>299015.07935290295</v>
      </c>
      <c r="M3" s="145">
        <f>'OM (Op. Model)'!M7</f>
        <v>324029.40780214767</v>
      </c>
      <c r="N3" s="145">
        <f>'OM (Op. Model)'!N7</f>
        <v>347715.15772864118</v>
      </c>
      <c r="O3" s="145">
        <f>'OM (Op. Model)'!O7</f>
        <v>369524.99855394411</v>
      </c>
      <c r="P3" s="145">
        <f>'OM (Op. Model)'!P7</f>
        <v>389721.21787253965</v>
      </c>
    </row>
    <row r="4" spans="2:20" x14ac:dyDescent="0.35">
      <c r="E4" s="68"/>
      <c r="F4" s="68"/>
    </row>
    <row r="5" spans="2:20" s="52" customFormat="1" ht="11.5" x14ac:dyDescent="0.25">
      <c r="B5" s="4" t="s">
        <v>71</v>
      </c>
      <c r="C5" s="60"/>
      <c r="E5" s="63">
        <f>SUM(E6:E10)</f>
        <v>84709</v>
      </c>
      <c r="F5" s="63">
        <f t="shared" ref="F5" si="1">SUM(F6:F10)</f>
        <v>110498</v>
      </c>
      <c r="G5" s="386">
        <f>G6+G7+G8+G9+G10</f>
        <v>127157.23400000001</v>
      </c>
      <c r="H5" s="386">
        <f t="shared" ref="H5:P5" si="2">H6+H7+H8+H9+H10</f>
        <v>147775.91549799999</v>
      </c>
      <c r="I5" s="386">
        <f t="shared" si="2"/>
        <v>366334.47481736494</v>
      </c>
      <c r="J5" s="386">
        <f t="shared" si="2"/>
        <v>188372.39783484509</v>
      </c>
      <c r="K5" s="386">
        <f t="shared" si="2"/>
        <v>205765.60785863624</v>
      </c>
      <c r="L5" s="386">
        <f t="shared" si="2"/>
        <v>222733.83997843674</v>
      </c>
      <c r="M5" s="386">
        <f t="shared" si="2"/>
        <v>239224.87219685895</v>
      </c>
      <c r="N5" s="386">
        <f t="shared" si="2"/>
        <v>255054.64631227418</v>
      </c>
      <c r="O5" s="386">
        <f t="shared" si="2"/>
        <v>269460.86675617867</v>
      </c>
      <c r="P5" s="386">
        <f t="shared" si="2"/>
        <v>282501.18683210743</v>
      </c>
    </row>
    <row r="6" spans="2:20" ht="12" outlineLevel="1" x14ac:dyDescent="0.25">
      <c r="B6" s="62" t="s">
        <v>72</v>
      </c>
      <c r="C6" s="61"/>
      <c r="D6" s="3"/>
      <c r="E6" s="154">
        <v>45583</v>
      </c>
      <c r="F6" s="154">
        <v>59549</v>
      </c>
      <c r="G6" s="387">
        <f>IF('OM (Op. Model)'!$C$3="Simple",0,Enhancements!G111)</f>
        <v>71692.566500000001</v>
      </c>
      <c r="H6" s="387">
        <f>IF('OM (Op. Model)'!$C$3="Simple",0,Enhancements!H111)</f>
        <v>85360.933874999988</v>
      </c>
      <c r="I6" s="387">
        <f>IF('OM (Op. Model)'!$C$3="Simple",0,Enhancements!I111)</f>
        <v>96416.554763749999</v>
      </c>
      <c r="J6" s="387">
        <f>IF('OM (Op. Model)'!$C$3="Simple",0,Enhancements!J111)</f>
        <v>109477.06998488749</v>
      </c>
      <c r="K6" s="387">
        <f>IF('OM (Op. Model)'!$C$3="Simple",0,Enhancements!K111)</f>
        <v>119596.46992906538</v>
      </c>
      <c r="L6" s="387">
        <f>IF('OM (Op. Model)'!$C$3="Simple",0,Enhancements!L111)</f>
        <v>129468.39435522574</v>
      </c>
      <c r="M6" s="387">
        <f>IF('OM (Op. Model)'!$C$3="Simple",0,Enhancements!M111)</f>
        <v>139028.33233223693</v>
      </c>
      <c r="N6" s="387">
        <f>IF('OM (Op. Model)'!$C$3="Simple",0,Enhancements!N111)</f>
        <v>148313.0497085203</v>
      </c>
      <c r="O6" s="387">
        <f>IF('OM (Op. Model)'!$C$3="Simple",0,Enhancements!O111)</f>
        <v>156701.60043649844</v>
      </c>
      <c r="P6" s="387">
        <f>IF('OM (Op. Model)'!$C$3="Simple",0,Enhancements!P111)</f>
        <v>164175.40750400364</v>
      </c>
    </row>
    <row r="7" spans="2:20" ht="12" outlineLevel="1" x14ac:dyDescent="0.25">
      <c r="B7" s="62" t="s">
        <v>73</v>
      </c>
      <c r="C7" s="61"/>
      <c r="D7" s="3"/>
      <c r="E7" s="154">
        <v>16625</v>
      </c>
      <c r="F7" s="154">
        <v>21419</v>
      </c>
      <c r="G7" s="387">
        <f>IF('OM (Op. Model)'!$C$3="Simple",0,Enhancements!G127)</f>
        <v>25293.783500000001</v>
      </c>
      <c r="H7" s="387">
        <f>IF('OM (Op. Model)'!$C$3="Simple",0,Enhancements!H127)</f>
        <v>29796.1521225</v>
      </c>
      <c r="I7" s="387">
        <f>IF('OM (Op. Model)'!$C$3="Simple",0,Enhancements!I127)</f>
        <v>33722.663079524995</v>
      </c>
      <c r="J7" s="387">
        <f>IF('OM (Op. Model)'!$C$3="Simple",0,Enhancements!J127)</f>
        <v>38542.705470630244</v>
      </c>
      <c r="K7" s="387">
        <f>IF('OM (Op. Model)'!$C$3="Simple",0,Enhancements!K127)</f>
        <v>42458.844482020533</v>
      </c>
      <c r="L7" s="387">
        <f>IF('OM (Op. Model)'!$C$3="Simple",0,Enhancements!L127)</f>
        <v>46347.337299699953</v>
      </c>
      <c r="M7" s="387">
        <f>IF('OM (Op. Model)'!$C$3="Simple",0,Enhancements!M127)</f>
        <v>50224.558209332892</v>
      </c>
      <c r="N7" s="387">
        <f>IF('OM (Op. Model)'!$C$3="Simple",0,Enhancements!N127)</f>
        <v>53895.849447939385</v>
      </c>
      <c r="O7" s="387">
        <f>IF('OM (Op. Model)'!$C$3="Simple",0,Enhancements!O127)</f>
        <v>57276.374775861339</v>
      </c>
      <c r="P7" s="387">
        <f>IF('OM (Op. Model)'!$C$3="Simple",0,Enhancements!P127)</f>
        <v>60406.788770243649</v>
      </c>
    </row>
    <row r="8" spans="2:20" ht="12" outlineLevel="1" x14ac:dyDescent="0.25">
      <c r="B8" s="62" t="s">
        <v>74</v>
      </c>
      <c r="C8" s="61"/>
      <c r="D8" s="3"/>
      <c r="E8" s="154">
        <v>12893</v>
      </c>
      <c r="F8" s="154">
        <v>16333</v>
      </c>
      <c r="G8" s="387">
        <f>IF('OM (Op. Model)'!$C$3="Simple",0,Enhancements!G130)</f>
        <v>19582.284</v>
      </c>
      <c r="H8" s="387">
        <f>IF('OM (Op. Model)'!$C$3="Simple",0,Enhancements!H130)</f>
        <v>22875.755500499999</v>
      </c>
      <c r="I8" s="387">
        <f>IF('OM (Op. Model)'!$C$3="Simple",0,Enhancements!I130)</f>
        <v>25672.737054089997</v>
      </c>
      <c r="J8" s="387">
        <f>IF('OM (Op. Model)'!$C$3="Simple",0,Enhancements!J130)</f>
        <v>29093.526064927348</v>
      </c>
      <c r="K8" s="387">
        <f>IF('OM (Op. Model)'!$C$3="Simple",0,Enhancements!K130)</f>
        <v>31775.651354286332</v>
      </c>
      <c r="L8" s="387">
        <f>IF('OM (Op. Model)'!$C$3="Simple",0,Enhancements!L130)</f>
        <v>34386.734125583833</v>
      </c>
      <c r="M8" s="387">
        <f>IF('OM (Op. Model)'!$C$3="Simple",0,Enhancements!M130)</f>
        <v>36939.352489444835</v>
      </c>
      <c r="N8" s="387">
        <f>IF('OM (Op. Model)'!$C$3="Simple",0,Enhancements!N130)</f>
        <v>39291.812823336448</v>
      </c>
      <c r="O8" s="387">
        <f>IF('OM (Op. Model)'!$C$3="Simple",0,Enhancements!O130)</f>
        <v>41386.799838041734</v>
      </c>
      <c r="P8" s="387">
        <f>IF('OM (Op. Model)'!$C$3="Simple",0,Enhancements!P130)</f>
        <v>43259.055183851895</v>
      </c>
    </row>
    <row r="9" spans="2:20" ht="12" outlineLevel="1" x14ac:dyDescent="0.25">
      <c r="B9" s="62" t="s">
        <v>75</v>
      </c>
      <c r="C9" s="61"/>
      <c r="D9" s="3"/>
      <c r="E9" s="154">
        <v>6872</v>
      </c>
      <c r="F9" s="154">
        <v>8126</v>
      </c>
      <c r="G9" s="387">
        <f>IF('OM (Op. Model)'!$C$3="Simple",0,Enhancements!G133)</f>
        <v>8938.6</v>
      </c>
      <c r="H9" s="387">
        <f>IF('OM (Op. Model)'!$C$3="Simple",0,Enhancements!H133)</f>
        <v>9743.0740000000005</v>
      </c>
      <c r="I9" s="387">
        <f>IF('OM (Op. Model)'!$C$3="Simple",0,Enhancements!I133)</f>
        <v>10522.519920000001</v>
      </c>
      <c r="J9" s="387">
        <f>IF('OM (Op. Model)'!$C$3="Simple",0,Enhancements!J133)</f>
        <v>11259.096314400002</v>
      </c>
      <c r="K9" s="387">
        <f>IF('OM (Op. Model)'!$C$3="Simple",0,Enhancements!K133)</f>
        <v>11934.642093264003</v>
      </c>
      <c r="L9" s="387">
        <f>IF('OM (Op. Model)'!$C$3="Simple",0,Enhancements!L133)</f>
        <v>12531.374197927204</v>
      </c>
      <c r="M9" s="387">
        <f>IF('OM (Op. Model)'!$C$3="Simple",0,Enhancements!M133)</f>
        <v>13032.629165844291</v>
      </c>
      <c r="N9" s="387">
        <f>IF('OM (Op. Model)'!$C$3="Simple",0,Enhancements!N133)</f>
        <v>13553.934332478064</v>
      </c>
      <c r="O9" s="387">
        <f>IF('OM (Op. Model)'!$C$3="Simple",0,Enhancements!O133)</f>
        <v>14096.091705777188</v>
      </c>
      <c r="P9" s="387">
        <f>IF('OM (Op. Model)'!$C$3="Simple",0,Enhancements!P133)</f>
        <v>14659.935374008275</v>
      </c>
    </row>
    <row r="10" spans="2:20" ht="12" outlineLevel="1" x14ac:dyDescent="0.25">
      <c r="B10" s="62" t="s">
        <v>76</v>
      </c>
      <c r="C10" s="61"/>
      <c r="D10" s="3"/>
      <c r="E10" s="154">
        <v>2736</v>
      </c>
      <c r="F10" s="154">
        <v>5071</v>
      </c>
      <c r="G10" s="387">
        <f>IF('OM (Op. Model)'!$C$3="Simple",0,Enhancements!G136)</f>
        <v>1650</v>
      </c>
      <c r="H10" s="387">
        <f>IF('OM (Op. Model)'!$C$3="Simple",0,Enhancements!H136)</f>
        <v>0</v>
      </c>
      <c r="I10" s="387">
        <f>IF('OM (Op. Model)'!$C$3="Simple",0,Enhancements!I136)</f>
        <v>200000</v>
      </c>
      <c r="J10" s="387">
        <f>IF('OM (Op. Model)'!$C$3="Simple",0,Enhancements!J136)</f>
        <v>0</v>
      </c>
      <c r="K10" s="387">
        <f>IF('OM (Op. Model)'!$C$3="Simple",0,Enhancements!K136)</f>
        <v>0</v>
      </c>
      <c r="L10" s="387">
        <f>IF('OM (Op. Model)'!$C$3="Simple",0,Enhancements!L136)</f>
        <v>0</v>
      </c>
      <c r="M10" s="387">
        <f>IF('OM (Op. Model)'!$C$3="Simple",0,Enhancements!M136)</f>
        <v>0</v>
      </c>
      <c r="N10" s="387">
        <f>IF('OM (Op. Model)'!$C$3="Simple",0,Enhancements!N136)</f>
        <v>0</v>
      </c>
      <c r="O10" s="387">
        <f>IF('OM (Op. Model)'!$C$3="Simple",0,Enhancements!O136)</f>
        <v>0</v>
      </c>
      <c r="P10" s="387">
        <f>IF('OM (Op. Model)'!$C$3="Simple",0,Enhancements!P136)</f>
        <v>0</v>
      </c>
      <c r="Q10" s="22"/>
      <c r="R10" s="22"/>
      <c r="S10" s="22"/>
      <c r="T10" s="22"/>
    </row>
    <row r="11" spans="2:20" x14ac:dyDescent="0.35">
      <c r="E11" s="68"/>
      <c r="F11" s="68"/>
      <c r="G11" s="6"/>
      <c r="Q11" s="22"/>
      <c r="R11" s="22"/>
      <c r="S11" s="22"/>
      <c r="T11" s="22"/>
    </row>
    <row r="12" spans="2:20" s="52" customFormat="1" ht="11.5" x14ac:dyDescent="0.25">
      <c r="B12" s="16" t="s">
        <v>77</v>
      </c>
      <c r="C12" s="64"/>
      <c r="D12" s="15"/>
      <c r="E12" s="70">
        <f>E3-E5</f>
        <v>26146</v>
      </c>
      <c r="F12" s="70">
        <f t="shared" ref="F12:P12" si="3">F3-F5</f>
        <v>26321</v>
      </c>
      <c r="G12" s="65">
        <f t="shared" si="3"/>
        <v>36028.466</v>
      </c>
      <c r="H12" s="65">
        <f t="shared" si="3"/>
        <v>44457.324002000008</v>
      </c>
      <c r="I12" s="65">
        <f t="shared" si="3"/>
        <v>-148768.90656236495</v>
      </c>
      <c r="J12" s="65">
        <f t="shared" si="3"/>
        <v>60290.218104704894</v>
      </c>
      <c r="K12" s="65">
        <f t="shared" si="3"/>
        <v>68162.421057625266</v>
      </c>
      <c r="L12" s="65">
        <f t="shared" si="3"/>
        <v>76281.239374466211</v>
      </c>
      <c r="M12" s="65">
        <f t="shared" si="3"/>
        <v>84804.535605288722</v>
      </c>
      <c r="N12" s="65">
        <f t="shared" si="3"/>
        <v>92660.511416366993</v>
      </c>
      <c r="O12" s="65">
        <f t="shared" si="3"/>
        <v>100064.13179776544</v>
      </c>
      <c r="P12" s="65">
        <f t="shared" si="3"/>
        <v>107220.03104043222</v>
      </c>
      <c r="Q12" s="19"/>
      <c r="R12" s="19"/>
      <c r="S12" s="19"/>
      <c r="T12" s="19"/>
    </row>
    <row r="13" spans="2:20" x14ac:dyDescent="0.35">
      <c r="E13" s="68"/>
      <c r="F13" s="68"/>
      <c r="Q13" s="22"/>
      <c r="R13" s="22"/>
      <c r="S13" s="22"/>
      <c r="T13" s="22"/>
    </row>
    <row r="14" spans="2:20" ht="12" x14ac:dyDescent="0.25">
      <c r="B14" s="5" t="s">
        <v>78</v>
      </c>
      <c r="C14" s="61"/>
      <c r="D14" s="3"/>
      <c r="E14" s="154">
        <v>1047</v>
      </c>
      <c r="F14" s="154">
        <v>8592</v>
      </c>
      <c r="G14" s="6">
        <f ca="1">Financing!G44-Financing!G43</f>
        <v>342.02119812388401</v>
      </c>
      <c r="H14" s="6">
        <f ca="1">Financing!H44-Financing!H43</f>
        <v>747.25888380775393</v>
      </c>
      <c r="I14" s="6">
        <f ca="1">Financing!I44-Financing!I43</f>
        <v>-852.42412827473242</v>
      </c>
      <c r="J14" s="6">
        <f ca="1">Financing!J44-Financing!J43</f>
        <v>-2052.6871661627133</v>
      </c>
      <c r="K14" s="6">
        <f ca="1">Financing!K44-Financing!K43</f>
        <v>-498.07199568378553</v>
      </c>
      <c r="L14" s="6">
        <f ca="1">Financing!L44-Financing!L43</f>
        <v>1043.8423315450207</v>
      </c>
      <c r="M14" s="6">
        <f ca="1">Financing!M44-Financing!M43</f>
        <v>2295.0758616139406</v>
      </c>
      <c r="N14" s="6">
        <f ca="1">Financing!N44-Financing!N43</f>
        <v>3689.5993694650424</v>
      </c>
      <c r="O14" s="6">
        <f ca="1">Financing!O44-Financing!O43</f>
        <v>5197.3227845791816</v>
      </c>
      <c r="P14" s="6">
        <f ca="1">Financing!P44-Financing!P43</f>
        <v>6825.1107566102683</v>
      </c>
      <c r="Q14" s="22"/>
      <c r="R14" s="22"/>
      <c r="S14" s="22"/>
      <c r="T14" s="22"/>
    </row>
    <row r="15" spans="2:20" s="52" customFormat="1" ht="11.5" x14ac:dyDescent="0.25">
      <c r="B15" s="16" t="s">
        <v>79</v>
      </c>
      <c r="C15" s="64"/>
      <c r="D15" s="15"/>
      <c r="E15" s="70">
        <f>E12+E14</f>
        <v>27193</v>
      </c>
      <c r="F15" s="70">
        <f t="shared" ref="F15:P15" si="4">F12+F14</f>
        <v>34913</v>
      </c>
      <c r="G15" s="65">
        <f t="shared" ca="1" si="4"/>
        <v>36370.487198123883</v>
      </c>
      <c r="H15" s="65">
        <f t="shared" ca="1" si="4"/>
        <v>45204.582885807766</v>
      </c>
      <c r="I15" s="65">
        <f t="shared" ca="1" si="4"/>
        <v>-149621.33069063968</v>
      </c>
      <c r="J15" s="65">
        <f t="shared" ca="1" si="4"/>
        <v>58237.530938542179</v>
      </c>
      <c r="K15" s="65">
        <f t="shared" ca="1" si="4"/>
        <v>67664.349061941481</v>
      </c>
      <c r="L15" s="65">
        <f t="shared" ca="1" si="4"/>
        <v>77325.081706011231</v>
      </c>
      <c r="M15" s="65">
        <f t="shared" ca="1" si="4"/>
        <v>87099.611466902657</v>
      </c>
      <c r="N15" s="65">
        <f t="shared" ca="1" si="4"/>
        <v>96350.110785832032</v>
      </c>
      <c r="O15" s="65">
        <f t="shared" ca="1" si="4"/>
        <v>105261.45458234462</v>
      </c>
      <c r="P15" s="65">
        <f t="shared" ca="1" si="4"/>
        <v>114045.1417970425</v>
      </c>
      <c r="Q15" s="19"/>
      <c r="R15" s="19"/>
      <c r="S15" s="19"/>
      <c r="T15" s="19"/>
    </row>
    <row r="16" spans="2:20" x14ac:dyDescent="0.35">
      <c r="E16" s="68"/>
      <c r="F16" s="68"/>
      <c r="G16" s="7"/>
      <c r="Q16" s="22"/>
      <c r="R16" s="22"/>
      <c r="S16" s="22"/>
      <c r="T16" s="22"/>
    </row>
    <row r="17" spans="2:16" ht="12" x14ac:dyDescent="0.25">
      <c r="B17" s="5" t="s">
        <v>80</v>
      </c>
      <c r="C17" s="61"/>
      <c r="D17" s="3"/>
      <c r="E17" s="154">
        <v>14531</v>
      </c>
      <c r="F17" s="154">
        <v>4177</v>
      </c>
      <c r="G17" s="231">
        <f ca="1">Taxes!G41</f>
        <v>7637.8023116060149</v>
      </c>
      <c r="H17" s="68">
        <f ca="1">Taxes!H41</f>
        <v>9492.9624060196311</v>
      </c>
      <c r="I17" s="68">
        <f ca="1">Taxes!I41</f>
        <v>0</v>
      </c>
      <c r="J17" s="68">
        <f ca="1">Taxes!J41</f>
        <v>12229.881497093857</v>
      </c>
      <c r="K17" s="68">
        <f ca="1">Taxes!K41</f>
        <v>14209.51330300771</v>
      </c>
      <c r="L17" s="68">
        <f ca="1">Taxes!L41</f>
        <v>16238.267158262359</v>
      </c>
      <c r="M17" s="68">
        <f ca="1">Taxes!M41</f>
        <v>18290.918408049558</v>
      </c>
      <c r="N17" s="68">
        <f ca="1">Taxes!N41</f>
        <v>20233.523265024727</v>
      </c>
      <c r="O17" s="68">
        <f ca="1">Taxes!O41</f>
        <v>22104.905462292369</v>
      </c>
      <c r="P17" s="68">
        <f ca="1">Taxes!P41</f>
        <v>23949.479777378921</v>
      </c>
    </row>
    <row r="18" spans="2:16" s="52" customFormat="1" ht="11.5" x14ac:dyDescent="0.25">
      <c r="B18" s="16" t="s">
        <v>1</v>
      </c>
      <c r="C18" s="64"/>
      <c r="D18" s="15"/>
      <c r="E18" s="70">
        <v>12662</v>
      </c>
      <c r="F18" s="70">
        <v>30736</v>
      </c>
      <c r="G18" s="196">
        <f ca="1">G15-G17</f>
        <v>28732.684886517869</v>
      </c>
      <c r="H18" s="196">
        <f t="shared" ref="H18:P18" ca="1" si="5">H15-H17</f>
        <v>35711.620479788136</v>
      </c>
      <c r="I18" s="196">
        <f t="shared" ca="1" si="5"/>
        <v>-149621.33069063968</v>
      </c>
      <c r="J18" s="196">
        <f t="shared" ca="1" si="5"/>
        <v>46007.649441448324</v>
      </c>
      <c r="K18" s="196">
        <f t="shared" ca="1" si="5"/>
        <v>53454.835758933768</v>
      </c>
      <c r="L18" s="196">
        <f t="shared" ca="1" si="5"/>
        <v>61086.814547748872</v>
      </c>
      <c r="M18" s="196">
        <f t="shared" ca="1" si="5"/>
        <v>68808.693058853096</v>
      </c>
      <c r="N18" s="196">
        <f t="shared" ca="1" si="5"/>
        <v>76116.587520807312</v>
      </c>
      <c r="O18" s="196">
        <f t="shared" ca="1" si="5"/>
        <v>83156.549120052252</v>
      </c>
      <c r="P18" s="196">
        <f t="shared" ca="1" si="5"/>
        <v>90095.662019663578</v>
      </c>
    </row>
    <row r="19" spans="2:16" ht="11.5" x14ac:dyDescent="0.25">
      <c r="C19" s="61"/>
      <c r="D19" s="3"/>
      <c r="E19" s="68"/>
      <c r="F19" s="68"/>
    </row>
    <row r="20" spans="2:16" x14ac:dyDescent="0.35">
      <c r="B20" s="5"/>
      <c r="E20" s="69"/>
      <c r="F20" s="69"/>
    </row>
    <row r="21" spans="2:16" ht="11.5" x14ac:dyDescent="0.25">
      <c r="B21" s="5"/>
      <c r="C21" s="61"/>
      <c r="D21" s="3"/>
      <c r="E21" s="69"/>
      <c r="F21" s="69"/>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2ADA-384E-4BD0-8637-E3B378D2B92A}">
  <sheetPr codeName="Sheet4"/>
  <dimension ref="A1:Q78"/>
  <sheetViews>
    <sheetView zoomScale="92" zoomScaleNormal="115" workbookViewId="0">
      <pane xSplit="2" ySplit="1" topLeftCell="C32" activePane="bottomRight" state="frozen"/>
      <selection pane="topRight" activeCell="C1" sqref="C1"/>
      <selection pane="bottomLeft" activeCell="A2" sqref="A2"/>
      <selection pane="bottomRight" activeCell="J72" sqref="J72"/>
    </sheetView>
  </sheetViews>
  <sheetFormatPr defaultRowHeight="14.5" x14ac:dyDescent="0.35"/>
  <cols>
    <col min="1" max="1" width="8.7265625" style="3"/>
    <col min="2" max="2" width="69.7265625" style="3" customWidth="1"/>
    <col min="3" max="3" width="4.08984375" style="59" customWidth="1"/>
    <col min="4" max="4" width="5.26953125" customWidth="1"/>
    <col min="5" max="5" width="10.26953125" style="56" customWidth="1"/>
    <col min="6" max="6" width="10.7265625" style="56" customWidth="1"/>
    <col min="7" max="7" width="14" style="56" customWidth="1"/>
    <col min="8" max="17" width="8.7265625" style="56"/>
    <col min="18" max="16384" width="8.7265625" style="3"/>
  </cols>
  <sheetData>
    <row r="1" spans="1:17"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c r="Q1" s="32"/>
    </row>
    <row r="2" spans="1:17" ht="11.5" x14ac:dyDescent="0.25">
      <c r="B2" s="8"/>
      <c r="D2" s="3"/>
      <c r="E2" s="72"/>
      <c r="F2" s="72"/>
      <c r="G2" s="72"/>
      <c r="H2" s="73"/>
      <c r="I2" s="73"/>
      <c r="J2" s="73"/>
      <c r="K2" s="73"/>
      <c r="L2" s="73"/>
      <c r="M2" s="73"/>
      <c r="N2" s="73"/>
      <c r="O2" s="73"/>
      <c r="P2" s="73"/>
      <c r="Q2" s="73"/>
    </row>
    <row r="3" spans="1:17" ht="11.5" x14ac:dyDescent="0.25">
      <c r="A3" s="3" t="s">
        <v>94</v>
      </c>
      <c r="B3" s="4" t="s">
        <v>0</v>
      </c>
      <c r="C3" s="60"/>
      <c r="D3" s="3"/>
      <c r="E3" s="203"/>
      <c r="F3" s="203"/>
      <c r="G3" s="395"/>
      <c r="H3" s="395"/>
      <c r="I3" s="395"/>
      <c r="J3" s="395"/>
      <c r="K3" s="395"/>
      <c r="L3" s="395"/>
      <c r="M3" s="395"/>
      <c r="N3" s="395"/>
      <c r="O3" s="395"/>
      <c r="P3" s="395"/>
      <c r="Q3" s="73"/>
    </row>
    <row r="4" spans="1:17" ht="11.5" x14ac:dyDescent="0.25">
      <c r="B4" s="4"/>
      <c r="C4" s="60"/>
      <c r="D4" s="3"/>
      <c r="E4" s="203"/>
      <c r="F4" s="203"/>
      <c r="G4" s="395"/>
      <c r="H4" s="395"/>
      <c r="I4" s="395"/>
      <c r="J4" s="395"/>
      <c r="K4" s="395"/>
      <c r="L4" s="395"/>
      <c r="M4" s="395"/>
      <c r="N4" s="395"/>
      <c r="O4" s="395"/>
      <c r="P4" s="395"/>
      <c r="Q4" s="73"/>
    </row>
    <row r="5" spans="1:17" s="52" customFormat="1" ht="11.5" x14ac:dyDescent="0.25">
      <c r="A5" s="3"/>
      <c r="B5" s="4" t="s">
        <v>1</v>
      </c>
      <c r="C5" s="60"/>
      <c r="E5" s="217">
        <f>IS!E18</f>
        <v>12662</v>
      </c>
      <c r="F5" s="217">
        <f>IS!F18</f>
        <v>30736</v>
      </c>
      <c r="G5" s="398">
        <f ca="1">IS!G18</f>
        <v>28732.684886517869</v>
      </c>
      <c r="H5" s="398">
        <f ca="1">IS!H18</f>
        <v>35711.620479788136</v>
      </c>
      <c r="I5" s="398">
        <f ca="1">IS!I18</f>
        <v>-149621.33069063968</v>
      </c>
      <c r="J5" s="398">
        <f ca="1">IS!J18</f>
        <v>46007.649441448324</v>
      </c>
      <c r="K5" s="398">
        <f ca="1">IS!K18</f>
        <v>53454.835758933768</v>
      </c>
      <c r="L5" s="398">
        <f ca="1">IS!L18</f>
        <v>61086.814547748872</v>
      </c>
      <c r="M5" s="398">
        <f ca="1">IS!M18</f>
        <v>68808.693058853096</v>
      </c>
      <c r="N5" s="398">
        <f ca="1">IS!N18</f>
        <v>76116.587520807312</v>
      </c>
      <c r="O5" s="398">
        <f ca="1">IS!O18</f>
        <v>83156.549120052252</v>
      </c>
      <c r="P5" s="398">
        <f ca="1">IS!P18</f>
        <v>90095.662019663578</v>
      </c>
      <c r="Q5" s="81"/>
    </row>
    <row r="6" spans="1:17" ht="11.5" x14ac:dyDescent="0.25">
      <c r="B6" s="5"/>
      <c r="C6" s="61"/>
      <c r="D6" s="3"/>
      <c r="E6" s="202"/>
      <c r="F6" s="202"/>
      <c r="G6" s="394"/>
      <c r="H6" s="395"/>
      <c r="I6" s="395"/>
      <c r="J6" s="395"/>
      <c r="K6" s="395"/>
      <c r="L6" s="395"/>
      <c r="M6" s="395"/>
      <c r="N6" s="395"/>
      <c r="O6" s="395"/>
      <c r="P6" s="395"/>
      <c r="Q6" s="73"/>
    </row>
    <row r="7" spans="1:17" s="52" customFormat="1" ht="11.5" x14ac:dyDescent="0.25">
      <c r="A7" s="3"/>
      <c r="B7" s="4" t="s">
        <v>2</v>
      </c>
      <c r="C7" s="60"/>
      <c r="E7" s="219">
        <f>E8+E9+E10+E11+E13+E12</f>
        <v>15183</v>
      </c>
      <c r="F7" s="219">
        <f t="shared" ref="F7:P7" si="1">F8+F9+F10+F11+F13+F12</f>
        <v>12327</v>
      </c>
      <c r="G7" s="399">
        <f t="shared" si="1"/>
        <v>22254.35</v>
      </c>
      <c r="H7" s="399">
        <f t="shared" si="1"/>
        <v>26491.05</v>
      </c>
      <c r="I7" s="399">
        <f t="shared" si="1"/>
        <v>30767.3</v>
      </c>
      <c r="J7" s="399">
        <f t="shared" si="1"/>
        <v>36527.599999999999</v>
      </c>
      <c r="K7" s="399">
        <f t="shared" si="1"/>
        <v>41616.699999999997</v>
      </c>
      <c r="L7" s="399">
        <f t="shared" si="1"/>
        <v>45742.476398167128</v>
      </c>
      <c r="M7" s="399">
        <f t="shared" si="1"/>
        <v>50565.214136733011</v>
      </c>
      <c r="N7" s="399">
        <f t="shared" si="1"/>
        <v>54712.584920764217</v>
      </c>
      <c r="O7" s="399">
        <f t="shared" si="1"/>
        <v>58009.048536899878</v>
      </c>
      <c r="P7" s="399">
        <f t="shared" si="1"/>
        <v>61036.116578620393</v>
      </c>
      <c r="Q7" s="80"/>
    </row>
    <row r="8" spans="1:17" ht="12" x14ac:dyDescent="0.3">
      <c r="B8" s="79" t="s">
        <v>3</v>
      </c>
      <c r="C8" s="61"/>
      <c r="D8" s="3"/>
      <c r="E8" s="190">
        <v>6103</v>
      </c>
      <c r="F8" s="190">
        <v>8164</v>
      </c>
      <c r="G8" s="392">
        <f>'OM (Op. Model)'!G127</f>
        <v>10630.3</v>
      </c>
      <c r="H8" s="390">
        <f>'OM (Op. Model)'!H127</f>
        <v>13273.9</v>
      </c>
      <c r="I8" s="390">
        <f>'OM (Op. Model)'!I127</f>
        <v>15949.8</v>
      </c>
      <c r="J8" s="390">
        <f>'OM (Op. Model)'!J127</f>
        <v>20270.400000000001</v>
      </c>
      <c r="K8" s="390">
        <f>'OM (Op. Model)'!K127</f>
        <v>23495.8</v>
      </c>
      <c r="L8" s="390">
        <f>'OM (Op. Model)'!L127</f>
        <v>26810.1</v>
      </c>
      <c r="M8" s="390">
        <f>'OM (Op. Model)'!M127</f>
        <v>30231.1</v>
      </c>
      <c r="N8" s="390">
        <f>'OM (Op. Model)'!N127</f>
        <v>33032.93998422091</v>
      </c>
      <c r="O8" s="390">
        <f>'OM (Op. Model)'!O127</f>
        <v>35104.874862624689</v>
      </c>
      <c r="P8" s="390">
        <f>'OM (Op. Model)'!P127</f>
        <v>37023.515697891264</v>
      </c>
      <c r="Q8" s="73"/>
    </row>
    <row r="9" spans="1:17" ht="12" x14ac:dyDescent="0.3">
      <c r="B9" s="79" t="s">
        <v>4</v>
      </c>
      <c r="C9" s="61"/>
      <c r="D9" s="3"/>
      <c r="E9" s="190">
        <v>812</v>
      </c>
      <c r="F9" s="190">
        <v>871</v>
      </c>
      <c r="G9" s="392">
        <f>'OM (Op. Model)'!G161</f>
        <v>751.2</v>
      </c>
      <c r="H9" s="390">
        <f>'OM (Op. Model)'!H161</f>
        <v>713.4</v>
      </c>
      <c r="I9" s="390">
        <f>'OM (Op. Model)'!I161</f>
        <v>558.79999999999995</v>
      </c>
      <c r="J9" s="390">
        <f>'OM (Op. Model)'!J161</f>
        <v>196.60000000000002</v>
      </c>
      <c r="K9" s="390">
        <f>'OM (Op. Model)'!K161</f>
        <v>0</v>
      </c>
      <c r="L9" s="390">
        <f>'OM (Op. Model)'!L161</f>
        <v>0</v>
      </c>
      <c r="M9" s="390">
        <f>'OM (Op. Model)'!M161</f>
        <v>0</v>
      </c>
      <c r="N9" s="390">
        <f>'OM (Op. Model)'!N161</f>
        <v>0</v>
      </c>
      <c r="O9" s="390">
        <f>'OM (Op. Model)'!O161</f>
        <v>0</v>
      </c>
      <c r="P9" s="390">
        <f>'OM (Op. Model)'!P161</f>
        <v>0</v>
      </c>
      <c r="Q9" s="73"/>
    </row>
    <row r="10" spans="1:17" ht="12" x14ac:dyDescent="0.3">
      <c r="B10" s="79" t="s">
        <v>5</v>
      </c>
      <c r="C10" s="61"/>
      <c r="D10" s="3"/>
      <c r="E10" s="190">
        <v>7679</v>
      </c>
      <c r="F10" s="190">
        <v>9353</v>
      </c>
      <c r="G10" s="392">
        <f>Financing!G63</f>
        <v>10872.85</v>
      </c>
      <c r="H10" s="390">
        <f>Financing!H63</f>
        <v>12503.75</v>
      </c>
      <c r="I10" s="390">
        <f>Financing!I63</f>
        <v>14258.7</v>
      </c>
      <c r="J10" s="390">
        <f>Financing!J63</f>
        <v>16060.6</v>
      </c>
      <c r="K10" s="390">
        <f>Financing!K63</f>
        <v>18120.900000000001</v>
      </c>
      <c r="L10" s="390">
        <f>Financing!L63</f>
        <v>18932.376398167125</v>
      </c>
      <c r="M10" s="390">
        <f>Financing!M63</f>
        <v>20334.114136733013</v>
      </c>
      <c r="N10" s="390">
        <f>Financing!N63</f>
        <v>21679.644936543307</v>
      </c>
      <c r="O10" s="390">
        <f>Financing!O63</f>
        <v>22904.173674275189</v>
      </c>
      <c r="P10" s="390">
        <f>Financing!P63</f>
        <v>24012.600880729133</v>
      </c>
      <c r="Q10" s="73"/>
    </row>
    <row r="11" spans="1:17" ht="12" x14ac:dyDescent="0.25">
      <c r="B11" s="79" t="s">
        <v>6</v>
      </c>
      <c r="C11" s="61"/>
      <c r="D11" s="3"/>
      <c r="E11" s="190">
        <v>258</v>
      </c>
      <c r="F11" s="190">
        <v>778</v>
      </c>
      <c r="G11" s="392">
        <f>-(BS!G17-BS!F17)+(BS!G43-BS!F43)</f>
        <v>0</v>
      </c>
      <c r="H11" s="392">
        <f>-(BS!H17-BS!G17)+(BS!H43-BS!G43)</f>
        <v>0</v>
      </c>
      <c r="I11" s="392">
        <f>-(BS!I17-BS!H17)+(BS!I43-BS!H43)</f>
        <v>0</v>
      </c>
      <c r="J11" s="392">
        <f>-(BS!J17-BS!I17)+(BS!J43-BS!I43)</f>
        <v>0</v>
      </c>
      <c r="K11" s="392">
        <f>-(BS!K17-BS!J17)+(BS!K43-BS!J43)</f>
        <v>0</v>
      </c>
      <c r="L11" s="392">
        <f>-(BS!L17-BS!K17)+(BS!L43-BS!K43)</f>
        <v>0</v>
      </c>
      <c r="M11" s="392">
        <f>-(BS!M17-BS!L17)+(BS!M43-BS!L43)</f>
        <v>0</v>
      </c>
      <c r="N11" s="392">
        <f>-(BS!N17-BS!M17)+(BS!N43-BS!M43)</f>
        <v>0</v>
      </c>
      <c r="O11" s="392">
        <f>-(BS!O17-BS!N17)+(BS!O43-BS!N43)</f>
        <v>0</v>
      </c>
      <c r="P11" s="392">
        <f>-(BS!P17-BS!O17)+(BS!P43-BS!O43)</f>
        <v>0</v>
      </c>
      <c r="Q11" s="73"/>
    </row>
    <row r="12" spans="1:17" ht="12" x14ac:dyDescent="0.25">
      <c r="B12" s="79" t="s">
        <v>7</v>
      </c>
      <c r="C12" s="61"/>
      <c r="D12" s="3"/>
      <c r="E12" s="190">
        <v>37</v>
      </c>
      <c r="F12" s="190">
        <v>-6650</v>
      </c>
      <c r="G12" s="391">
        <v>0</v>
      </c>
      <c r="H12" s="391">
        <v>0</v>
      </c>
      <c r="I12" s="391">
        <v>0</v>
      </c>
      <c r="J12" s="391">
        <v>0</v>
      </c>
      <c r="K12" s="391">
        <v>0</v>
      </c>
      <c r="L12" s="391">
        <v>0</v>
      </c>
      <c r="M12" s="391">
        <v>0</v>
      </c>
      <c r="N12" s="391">
        <v>0</v>
      </c>
      <c r="O12" s="391">
        <v>0</v>
      </c>
      <c r="P12" s="391">
        <v>0</v>
      </c>
      <c r="Q12" s="73"/>
    </row>
    <row r="13" spans="1:17" ht="12" x14ac:dyDescent="0.25">
      <c r="B13" s="79" t="s">
        <v>8</v>
      </c>
      <c r="C13" s="61"/>
      <c r="D13" s="3"/>
      <c r="E13" s="190">
        <v>294</v>
      </c>
      <c r="F13" s="190">
        <v>-189</v>
      </c>
      <c r="G13" s="391">
        <v>0</v>
      </c>
      <c r="H13" s="391">
        <v>0</v>
      </c>
      <c r="I13" s="391">
        <v>0</v>
      </c>
      <c r="J13" s="391">
        <v>0</v>
      </c>
      <c r="K13" s="391">
        <v>0</v>
      </c>
      <c r="L13" s="391">
        <v>0</v>
      </c>
      <c r="M13" s="391">
        <v>0</v>
      </c>
      <c r="N13" s="391">
        <v>0</v>
      </c>
      <c r="O13" s="391">
        <v>0</v>
      </c>
      <c r="P13" s="391">
        <v>0</v>
      </c>
      <c r="Q13" s="73"/>
    </row>
    <row r="14" spans="1:17" ht="11.5" x14ac:dyDescent="0.25">
      <c r="B14" s="5"/>
      <c r="C14" s="61"/>
      <c r="D14" s="3"/>
      <c r="E14" s="202"/>
      <c r="F14" s="202"/>
      <c r="G14" s="394"/>
      <c r="H14" s="395"/>
      <c r="I14" s="395"/>
      <c r="J14" s="395"/>
      <c r="K14" s="395"/>
      <c r="L14" s="395"/>
      <c r="M14" s="395"/>
      <c r="N14" s="395"/>
      <c r="O14" s="395"/>
      <c r="P14" s="395"/>
      <c r="Q14" s="73"/>
    </row>
    <row r="15" spans="1:17" s="52" customFormat="1" ht="11.5" x14ac:dyDescent="0.25">
      <c r="A15" s="3"/>
      <c r="B15" s="4" t="s">
        <v>9</v>
      </c>
      <c r="C15" s="60"/>
      <c r="E15" s="219">
        <f>E16+E17+E18+E19+E20+E21+E22</f>
        <v>9246</v>
      </c>
      <c r="F15" s="219">
        <f t="shared" ref="F15:P15" si="2">F16+F17+F18+F19+F20+F21+F22</f>
        <v>4908</v>
      </c>
      <c r="G15" s="399">
        <f t="shared" si="2"/>
        <v>3283.4248633333373</v>
      </c>
      <c r="H15" s="399">
        <f t="shared" si="2"/>
        <v>-8294.4054717900071</v>
      </c>
      <c r="I15" s="399">
        <f t="shared" si="2"/>
        <v>29507.359018897914</v>
      </c>
      <c r="J15" s="399">
        <f t="shared" si="2"/>
        <v>-28791.011637476815</v>
      </c>
      <c r="K15" s="399">
        <f t="shared" si="2"/>
        <v>-285.62911296946868</v>
      </c>
      <c r="L15" s="399">
        <f t="shared" si="2"/>
        <v>-168.77514533333033</v>
      </c>
      <c r="M15" s="399">
        <f t="shared" si="2"/>
        <v>277.21434635389096</v>
      </c>
      <c r="N15" s="399">
        <f t="shared" si="2"/>
        <v>393.08950283292324</v>
      </c>
      <c r="O15" s="399">
        <f t="shared" si="2"/>
        <v>365.94470878704169</v>
      </c>
      <c r="P15" s="399">
        <f t="shared" si="2"/>
        <v>299.69694943676404</v>
      </c>
      <c r="Q15" s="80"/>
    </row>
    <row r="16" spans="1:17" ht="12" x14ac:dyDescent="0.25">
      <c r="B16" s="79" t="s">
        <v>10</v>
      </c>
      <c r="C16" s="61"/>
      <c r="D16" s="3"/>
      <c r="E16" s="190">
        <v>-3768</v>
      </c>
      <c r="F16" s="190">
        <v>-2169</v>
      </c>
      <c r="G16" s="392">
        <f>-(BS!G9-BS!F9)</f>
        <v>-4047.2000000000007</v>
      </c>
      <c r="H16" s="392">
        <f>-(BS!H9-BS!G9)</f>
        <v>-3943.75</v>
      </c>
      <c r="I16" s="392">
        <f>-(BS!I9-BS!H9)</f>
        <v>-4280.7499999999964</v>
      </c>
      <c r="J16" s="392">
        <f>-(BS!J9-BS!I9)</f>
        <v>-4326.6000000000058</v>
      </c>
      <c r="K16" s="392">
        <f>-(BS!K9-BS!J9)</f>
        <v>-4739.1999999999971</v>
      </c>
      <c r="L16" s="392">
        <f>-(BS!L9-BS!K9)</f>
        <v>-2676.7619029354391</v>
      </c>
      <c r="M16" s="392">
        <f>-(BS!M9-BS!L9)</f>
        <v>-3752.1492673867106</v>
      </c>
      <c r="N16" s="392">
        <f>-(BS!N9-BS!M9)</f>
        <v>-3552.862488974024</v>
      </c>
      <c r="O16" s="392">
        <f>-(BS!O9-BS!N9)</f>
        <v>-3271.4761237954444</v>
      </c>
      <c r="P16" s="392">
        <f>-(BS!P9-BS!O9)</f>
        <v>-3029.432897789331</v>
      </c>
      <c r="Q16" s="73"/>
    </row>
    <row r="17" spans="1:17" ht="12" x14ac:dyDescent="0.25">
      <c r="B17" s="79" t="s">
        <v>11</v>
      </c>
      <c r="C17" s="61"/>
      <c r="D17" s="3"/>
      <c r="E17" s="190">
        <v>8211</v>
      </c>
      <c r="F17" s="190">
        <v>-2251</v>
      </c>
      <c r="G17" s="392">
        <f>-(BS!G10-BS!F10)+(BS!G42-BS!F42)+(BS!G36-BS!F36)</f>
        <v>0</v>
      </c>
      <c r="H17" s="392">
        <f>-(BS!H10-BS!G10)+(BS!H42-BS!G42)+(BS!H36-BS!G36)</f>
        <v>0</v>
      </c>
      <c r="I17" s="392">
        <f>-(BS!I10-BS!H10)+(BS!I42-BS!H42)+(BS!I36-BS!H36)</f>
        <v>0</v>
      </c>
      <c r="J17" s="392">
        <f>-(BS!J10-BS!I10)+(BS!J42-BS!I42)+(BS!J36-BS!I36)</f>
        <v>0</v>
      </c>
      <c r="K17" s="392">
        <f>-(BS!K10-BS!J10)+(BS!K42-BS!J42)+(BS!K36-BS!J36)</f>
        <v>0</v>
      </c>
      <c r="L17" s="392">
        <f>-(BS!L10-BS!K10)+(BS!L42-BS!K42)+(BS!L36-BS!K36)</f>
        <v>0</v>
      </c>
      <c r="M17" s="392">
        <f>-(BS!M10-BS!L10)+(BS!M42-BS!L42)+(BS!M36-BS!L36)</f>
        <v>0</v>
      </c>
      <c r="N17" s="392">
        <f>-(BS!N10-BS!M10)+(BS!N42-BS!M42)+(BS!N36-BS!M36)</f>
        <v>0</v>
      </c>
      <c r="O17" s="392">
        <f>-(BS!O10-BS!N10)+(BS!O42-BS!N42)+(BS!O36-BS!N36)</f>
        <v>0</v>
      </c>
      <c r="P17" s="392">
        <f>-(BS!P10-BS!O10)+(BS!P42-BS!O42)+(BS!P36-BS!O36)</f>
        <v>0</v>
      </c>
      <c r="Q17" s="73"/>
    </row>
    <row r="18" spans="1:17" ht="12" x14ac:dyDescent="0.25">
      <c r="B18" s="79" t="s">
        <v>12</v>
      </c>
      <c r="C18" s="61"/>
      <c r="D18" s="3"/>
      <c r="E18" s="190">
        <v>-2164</v>
      </c>
      <c r="F18" s="190">
        <v>-1207</v>
      </c>
      <c r="G18" s="392">
        <f>-(BS!G11-BS!F11)-(BS!G12-BS!F12)-(BS!G21-BS!F21)</f>
        <v>-399.27099999999996</v>
      </c>
      <c r="H18" s="392">
        <f>-(BS!H11-BS!G11)-(BS!H12-BS!G12)-(BS!H21-BS!G21)</f>
        <v>-880.42618499999935</v>
      </c>
      <c r="I18" s="392">
        <f>-(BS!I11-BS!H11)-(BS!I12-BS!H12)-(BS!I21-BS!H21)</f>
        <v>-769.3698626500003</v>
      </c>
      <c r="J18" s="392">
        <f>-(BS!J11-BS!I11)-(BS!J12-BS!I12)-(BS!J21-BS!I21)</f>
        <v>-942.8114305365001</v>
      </c>
      <c r="K18" s="392">
        <f>-(BS!K11-BS!J11)-(BS!K12-BS!J12)-(BS!K21-BS!J21)</f>
        <v>-768.26238930134491</v>
      </c>
      <c r="L18" s="392">
        <f>-(BS!L11-BS!K11)-(BS!L12-BS!K12)-(BS!L21-BS!K21)</f>
        <v>-938.68201309924393</v>
      </c>
      <c r="M18" s="392">
        <f>-(BS!M11-BS!L11)-(BS!M12-BS!L12)-(BS!M21-BS!L21)</f>
        <v>-847.7843534773408</v>
      </c>
      <c r="N18" s="392">
        <f>-(BS!N11-BS!M11)-(BS!N12-BS!M12)-(BS!N21-BS!M21)</f>
        <v>-816.02583329480672</v>
      </c>
      <c r="O18" s="392">
        <f>-(BS!O11-BS!N11)-(BS!O12-BS!N12)-(BS!O21-BS!N21)</f>
        <v>-756.2294915990874</v>
      </c>
      <c r="P18" s="392">
        <f>-(BS!P11-BS!O11)-(BS!P12-BS!O12)-(BS!P21-BS!O21)</f>
        <v>-702.21446172166611</v>
      </c>
      <c r="Q18" s="73"/>
    </row>
    <row r="19" spans="1:17" ht="12" x14ac:dyDescent="0.25">
      <c r="B19" s="79" t="s">
        <v>13</v>
      </c>
      <c r="C19" s="61"/>
      <c r="D19" s="3"/>
      <c r="E19" s="190">
        <v>731</v>
      </c>
      <c r="F19" s="190">
        <v>1067</v>
      </c>
      <c r="G19" s="392">
        <f>BS!G31-BS!F31</f>
        <v>741.64999999999964</v>
      </c>
      <c r="H19" s="392">
        <f>BS!H31-BS!G31</f>
        <v>787.70000000000073</v>
      </c>
      <c r="I19" s="392">
        <f>BS!I31-BS!H31</f>
        <v>793.29999999999927</v>
      </c>
      <c r="J19" s="392">
        <f>BS!J31-BS!I31</f>
        <v>222.55000000000018</v>
      </c>
      <c r="K19" s="392">
        <f>BS!K31-BS!J31</f>
        <v>707.30000000000018</v>
      </c>
      <c r="L19" s="392">
        <f>BS!L31-BS!K31</f>
        <v>-790.54730762850158</v>
      </c>
      <c r="M19" s="392">
        <f>BS!M31-BS!L31</f>
        <v>506.42452998297085</v>
      </c>
      <c r="N19" s="392">
        <f>BS!N31-BS!M31</f>
        <v>486.11789789485738</v>
      </c>
      <c r="O19" s="392">
        <f>BS!O31-BS!N31</f>
        <v>442.40186548088604</v>
      </c>
      <c r="P19" s="392">
        <f>BS!P31-BS!O31</f>
        <v>400.4563133351021</v>
      </c>
      <c r="Q19" s="73"/>
    </row>
    <row r="20" spans="1:17" ht="12" x14ac:dyDescent="0.25">
      <c r="B20" s="79" t="s">
        <v>14</v>
      </c>
      <c r="C20" s="61"/>
      <c r="D20" s="3"/>
      <c r="E20" s="190">
        <v>4891</v>
      </c>
      <c r="F20" s="190">
        <v>8614</v>
      </c>
      <c r="G20" s="392">
        <f>BS!G32-BS!F32+BS!G33-BS!F33+BS!G44-BS!F44</f>
        <v>5531.3322633333373</v>
      </c>
      <c r="H20" s="392">
        <f>BS!H32-BS!G32+BS!H33-BS!G33+BS!H44-BS!G44</f>
        <v>-5652.2111827900071</v>
      </c>
      <c r="I20" s="392">
        <f>BS!I32-BS!H32+BS!I33-BS!H33+BS!I44-BS!H44</f>
        <v>32548.227101307915</v>
      </c>
      <c r="J20" s="392">
        <f>BS!J32-BS!I32+BS!J33-BS!I33+BS!J44-BS!I44</f>
        <v>-25236.808495798708</v>
      </c>
      <c r="K20" s="392">
        <f>BS!K32-BS!J32+BS!K33-BS!J33+BS!K44-BS!J44</f>
        <v>3301.7934534497199</v>
      </c>
      <c r="L20" s="392">
        <f>BS!L32-BS!K32+BS!L33-BS!K33+BS!L44-BS!K44</f>
        <v>3033.0376573710655</v>
      </c>
      <c r="M20" s="392">
        <f>BS!M32-BS!L32+BS!M33-BS!L33+BS!M44-BS!L44</f>
        <v>3170.0356716712249</v>
      </c>
      <c r="N20" s="392">
        <f>BS!N32-BS!M32+BS!N33-BS!M33+BS!N44-BS!M44</f>
        <v>3138.9439307352095</v>
      </c>
      <c r="O20" s="392">
        <f>BS!O32-BS!N32+BS!O33-BS!N33+BS!O44-BS!N44</f>
        <v>2904.3760990861447</v>
      </c>
      <c r="P20" s="392">
        <f>BS!P32-BS!O32+BS!P33-BS!O33+BS!P44-BS!O44</f>
        <v>2661.4694683200742</v>
      </c>
      <c r="Q20" s="73"/>
    </row>
    <row r="21" spans="1:17" ht="12" x14ac:dyDescent="0.25">
      <c r="B21" s="79" t="s">
        <v>15</v>
      </c>
      <c r="C21" s="61"/>
      <c r="D21" s="3"/>
      <c r="E21" s="190">
        <v>955</v>
      </c>
      <c r="F21" s="190">
        <v>483</v>
      </c>
      <c r="G21" s="392">
        <f>BS!G34-BS!F34</f>
        <v>1119.4995000000008</v>
      </c>
      <c r="H21" s="392">
        <f>BS!H34-BS!G34</f>
        <v>1016.6638825</v>
      </c>
      <c r="I21" s="392">
        <f>BS!I34-BS!H34</f>
        <v>886.63150642499932</v>
      </c>
      <c r="J21" s="392">
        <f>BS!J34-BS!I34</f>
        <v>1088.3966689592507</v>
      </c>
      <c r="K21" s="392">
        <f>BS!K34-BS!J34</f>
        <v>884.28945418490366</v>
      </c>
      <c r="L21" s="392">
        <f>BS!L34-BS!K34</f>
        <v>878.04676528245</v>
      </c>
      <c r="M21" s="392">
        <f>BS!M34-BS!L34</f>
        <v>875.50149572356531</v>
      </c>
      <c r="N21" s="392">
        <f>BS!N34-BS!M34</f>
        <v>829.00124742727166</v>
      </c>
      <c r="O21" s="392">
        <f>BS!O34-BS!N34</f>
        <v>763.34442888560443</v>
      </c>
      <c r="P21" s="392">
        <f>BS!P34-BS!O34</f>
        <v>706.86767615084318</v>
      </c>
      <c r="Q21" s="73"/>
    </row>
    <row r="22" spans="1:17" ht="12" x14ac:dyDescent="0.25">
      <c r="B22" s="79" t="s">
        <v>16</v>
      </c>
      <c r="C22" s="61"/>
      <c r="D22" s="3"/>
      <c r="E22" s="190">
        <v>390</v>
      </c>
      <c r="F22" s="190">
        <v>371</v>
      </c>
      <c r="G22" s="392">
        <f>BS!G41-BS!F41+BS!G35-BS!F35</f>
        <v>337.41409999999996</v>
      </c>
      <c r="H22" s="392">
        <f>BS!H41-BS!G41+BS!H35-BS!G35</f>
        <v>377.61801349999996</v>
      </c>
      <c r="I22" s="392">
        <f>BS!I41-BS!H41+BS!I35-BS!H35</f>
        <v>329.32027381499984</v>
      </c>
      <c r="J22" s="392">
        <f>BS!J41-BS!I41+BS!J35-BS!I35</f>
        <v>404.26161989914999</v>
      </c>
      <c r="K22" s="392">
        <f>BS!K41-BS!J41+BS!K35-BS!J35</f>
        <v>328.45036869724981</v>
      </c>
      <c r="L22" s="392">
        <f>BS!L41-BS!K41+BS!L35-BS!K35</f>
        <v>326.1316556763386</v>
      </c>
      <c r="M22" s="392">
        <f>BS!M41-BS!L41+BS!M35-BS!L35</f>
        <v>325.18626984018147</v>
      </c>
      <c r="N22" s="392">
        <f>BS!N41-BS!M41+BS!N35-BS!M35</f>
        <v>307.91474904441566</v>
      </c>
      <c r="O22" s="392">
        <f>BS!O41-BS!N41+BS!O35-BS!N35</f>
        <v>283.52793072893837</v>
      </c>
      <c r="P22" s="392">
        <f>BS!P41-BS!O41+BS!P35-BS!O35</f>
        <v>262.55085114174199</v>
      </c>
      <c r="Q22" s="73"/>
    </row>
    <row r="23" spans="1:17" ht="11.5" x14ac:dyDescent="0.25">
      <c r="B23" s="5"/>
      <c r="C23" s="61"/>
      <c r="D23" s="3"/>
      <c r="E23" s="202"/>
      <c r="F23" s="202"/>
      <c r="G23" s="394"/>
      <c r="H23" s="395"/>
      <c r="I23" s="395"/>
      <c r="J23" s="395"/>
      <c r="K23" s="395"/>
      <c r="L23" s="395"/>
      <c r="M23" s="395"/>
      <c r="N23" s="395"/>
      <c r="O23" s="395"/>
      <c r="P23" s="395"/>
      <c r="Q23" s="73"/>
    </row>
    <row r="24" spans="1:17" s="52" customFormat="1" ht="11.5" x14ac:dyDescent="0.25">
      <c r="A24" s="3" t="s">
        <v>94</v>
      </c>
      <c r="B24" s="36" t="s">
        <v>17</v>
      </c>
      <c r="C24" s="71"/>
      <c r="D24" s="35"/>
      <c r="E24" s="215">
        <f>E5+E7+E15</f>
        <v>37091</v>
      </c>
      <c r="F24" s="215">
        <f t="shared" ref="F24:P24" si="3">F5+F7+F15</f>
        <v>47971</v>
      </c>
      <c r="G24" s="396">
        <f t="shared" ca="1" si="3"/>
        <v>54270.459749851201</v>
      </c>
      <c r="H24" s="396">
        <f t="shared" ca="1" si="3"/>
        <v>53908.265007998132</v>
      </c>
      <c r="I24" s="396">
        <f t="shared" ca="1" si="3"/>
        <v>-89346.671671741758</v>
      </c>
      <c r="J24" s="396">
        <f t="shared" ca="1" si="3"/>
        <v>53744.237803971511</v>
      </c>
      <c r="K24" s="396">
        <f t="shared" ca="1" si="3"/>
        <v>94785.906645964293</v>
      </c>
      <c r="L24" s="396">
        <f t="shared" ca="1" si="3"/>
        <v>106660.51580058267</v>
      </c>
      <c r="M24" s="396">
        <f t="shared" ca="1" si="3"/>
        <v>119651.12154194</v>
      </c>
      <c r="N24" s="396">
        <f t="shared" ca="1" si="3"/>
        <v>131222.26194440445</v>
      </c>
      <c r="O24" s="396">
        <f t="shared" ca="1" si="3"/>
        <v>141531.54236573918</v>
      </c>
      <c r="P24" s="396">
        <f t="shared" ca="1" si="3"/>
        <v>151431.47554772074</v>
      </c>
      <c r="Q24" s="77"/>
    </row>
    <row r="25" spans="1:17" ht="11.5" x14ac:dyDescent="0.25">
      <c r="B25" s="5"/>
      <c r="C25" s="61"/>
      <c r="D25" s="3"/>
      <c r="E25" s="202"/>
      <c r="F25" s="202"/>
      <c r="G25" s="394"/>
      <c r="H25" s="395"/>
      <c r="I25" s="395"/>
      <c r="J25" s="395"/>
      <c r="K25" s="395"/>
      <c r="L25" s="395"/>
      <c r="M25" s="395"/>
      <c r="N25" s="395"/>
      <c r="O25" s="395"/>
      <c r="P25" s="395"/>
      <c r="Q25" s="73"/>
    </row>
    <row r="26" spans="1:17" ht="11.5" x14ac:dyDescent="0.25">
      <c r="B26" s="4" t="s">
        <v>18</v>
      </c>
      <c r="C26" s="60"/>
      <c r="D26" s="3"/>
      <c r="E26" s="189"/>
      <c r="F26" s="189"/>
      <c r="G26" s="395"/>
      <c r="H26" s="395"/>
      <c r="I26" s="395"/>
      <c r="J26" s="395"/>
      <c r="K26" s="395"/>
      <c r="L26" s="395"/>
      <c r="M26" s="395"/>
      <c r="N26" s="395"/>
      <c r="O26" s="395"/>
      <c r="P26" s="395"/>
      <c r="Q26" s="73"/>
    </row>
    <row r="27" spans="1:17" ht="12" x14ac:dyDescent="0.25">
      <c r="B27" s="5" t="s">
        <v>19</v>
      </c>
      <c r="C27" s="61"/>
      <c r="D27" s="3"/>
      <c r="E27" s="190">
        <v>-13184</v>
      </c>
      <c r="F27" s="190">
        <v>-25139</v>
      </c>
      <c r="G27" s="392">
        <f>-'OM (Op. Model)'!G113</f>
        <v>-26021.633333333331</v>
      </c>
      <c r="H27" s="392">
        <f>-'OM (Op. Model)'!H113</f>
        <v>-28125.399999999998</v>
      </c>
      <c r="I27" s="392">
        <f>-'OM (Op. Model)'!I113</f>
        <v>-30365.433333333334</v>
      </c>
      <c r="J27" s="392">
        <f>-'OM (Op. Model)'!J113</f>
        <v>-29814.9</v>
      </c>
      <c r="K27" s="392">
        <f>-'OM (Op. Model)'!K113</f>
        <v>-30795.05</v>
      </c>
      <c r="L27" s="392">
        <f>-'OM (Op. Model)'!L113</f>
        <v>-29315.1</v>
      </c>
      <c r="M27" s="392">
        <f>-'OM (Op. Model)'!M113</f>
        <v>-30165.4</v>
      </c>
      <c r="N27" s="392">
        <f>-'OM (Op. Model)'!N113</f>
        <v>-34771.515772864121</v>
      </c>
      <c r="O27" s="392">
        <f>-'OM (Op. Model)'!O113</f>
        <v>-36952.49985539441</v>
      </c>
      <c r="P27" s="392">
        <f>-'OM (Op. Model)'!P113</f>
        <v>-38972.121787253964</v>
      </c>
      <c r="Q27" s="73"/>
    </row>
    <row r="28" spans="1:17" ht="12" x14ac:dyDescent="0.25">
      <c r="B28" s="5" t="s">
        <v>20</v>
      </c>
      <c r="C28" s="61"/>
      <c r="D28" s="3"/>
      <c r="E28" s="190">
        <v>99</v>
      </c>
      <c r="F28" s="190">
        <v>98</v>
      </c>
      <c r="G28" s="391">
        <v>0</v>
      </c>
      <c r="H28" s="391">
        <v>0</v>
      </c>
      <c r="I28" s="391">
        <v>0</v>
      </c>
      <c r="J28" s="391">
        <v>0</v>
      </c>
      <c r="K28" s="391">
        <v>0</v>
      </c>
      <c r="L28" s="391">
        <v>0</v>
      </c>
      <c r="M28" s="391">
        <v>0</v>
      </c>
      <c r="N28" s="391">
        <v>0</v>
      </c>
      <c r="O28" s="391">
        <v>0</v>
      </c>
      <c r="P28" s="391">
        <v>0</v>
      </c>
      <c r="Q28" s="73"/>
    </row>
    <row r="29" spans="1:17" ht="12" x14ac:dyDescent="0.25">
      <c r="B29" s="5" t="s">
        <v>21</v>
      </c>
      <c r="C29" s="61"/>
      <c r="D29" s="3"/>
      <c r="E29" s="190">
        <v>-92195</v>
      </c>
      <c r="F29" s="190">
        <v>-50158</v>
      </c>
      <c r="G29" s="392">
        <f>-'OC (Other Calc)'!G24</f>
        <v>0</v>
      </c>
      <c r="H29" s="392">
        <f>-'OC (Other Calc)'!H24</f>
        <v>0</v>
      </c>
      <c r="I29" s="392">
        <f>-'OC (Other Calc)'!I24</f>
        <v>0</v>
      </c>
      <c r="J29" s="392">
        <f>-'OC (Other Calc)'!J24</f>
        <v>0</v>
      </c>
      <c r="K29" s="392">
        <f>-'OC (Other Calc)'!K24</f>
        <v>0</v>
      </c>
      <c r="L29" s="392">
        <f>-'OC (Other Calc)'!L24</f>
        <v>0</v>
      </c>
      <c r="M29" s="392">
        <f>-'OC (Other Calc)'!M24</f>
        <v>0</v>
      </c>
      <c r="N29" s="392">
        <f>-'OC (Other Calc)'!N24</f>
        <v>0</v>
      </c>
      <c r="O29" s="392">
        <f>-'OC (Other Calc)'!O24</f>
        <v>0</v>
      </c>
      <c r="P29" s="392">
        <f>-'OC (Other Calc)'!P24</f>
        <v>0</v>
      </c>
      <c r="Q29" s="73"/>
    </row>
    <row r="30" spans="1:17" ht="12" x14ac:dyDescent="0.25">
      <c r="B30" s="5" t="s">
        <v>22</v>
      </c>
      <c r="C30" s="61"/>
      <c r="D30" s="3"/>
      <c r="E30" s="190">
        <v>73959</v>
      </c>
      <c r="F30" s="190">
        <v>48507</v>
      </c>
      <c r="G30" s="392">
        <f>'OC (Other Calc)'!G25</f>
        <v>0</v>
      </c>
      <c r="H30" s="392">
        <f>'OC (Other Calc)'!H25</f>
        <v>0</v>
      </c>
      <c r="I30" s="392">
        <f>'OC (Other Calc)'!I25</f>
        <v>0</v>
      </c>
      <c r="J30" s="392">
        <f>'OC (Other Calc)'!J25</f>
        <v>0</v>
      </c>
      <c r="K30" s="392">
        <f>'OC (Other Calc)'!K25</f>
        <v>0</v>
      </c>
      <c r="L30" s="392">
        <f>'OC (Other Calc)'!L25</f>
        <v>0</v>
      </c>
      <c r="M30" s="392">
        <f>'OC (Other Calc)'!M25</f>
        <v>0</v>
      </c>
      <c r="N30" s="392">
        <f>'OC (Other Calc)'!N25</f>
        <v>0</v>
      </c>
      <c r="O30" s="392">
        <f>'OC (Other Calc)'!O25</f>
        <v>0</v>
      </c>
      <c r="P30" s="392">
        <f>'OC (Other Calc)'!P25</f>
        <v>0</v>
      </c>
      <c r="Q30" s="73"/>
    </row>
    <row r="31" spans="1:17" ht="12" x14ac:dyDescent="0.25">
      <c r="B31" s="5" t="s">
        <v>23</v>
      </c>
      <c r="C31" s="61"/>
      <c r="D31" s="3"/>
      <c r="E31" s="190">
        <v>-1745</v>
      </c>
      <c r="F31" s="190">
        <v>-2073</v>
      </c>
      <c r="G31" s="391">
        <f>0</f>
        <v>0</v>
      </c>
      <c r="H31" s="391">
        <f>0</f>
        <v>0</v>
      </c>
      <c r="I31" s="391">
        <f>0</f>
        <v>0</v>
      </c>
      <c r="J31" s="391">
        <f>0</f>
        <v>0</v>
      </c>
      <c r="K31" s="391">
        <f>0</f>
        <v>0</v>
      </c>
      <c r="L31" s="391">
        <f>0</f>
        <v>0</v>
      </c>
      <c r="M31" s="391">
        <f>0</f>
        <v>0</v>
      </c>
      <c r="N31" s="391">
        <f>0</f>
        <v>0</v>
      </c>
      <c r="O31" s="391">
        <f>0</f>
        <v>0</v>
      </c>
      <c r="P31" s="391">
        <f>0</f>
        <v>0</v>
      </c>
      <c r="Q31" s="73"/>
    </row>
    <row r="32" spans="1:17" ht="12" x14ac:dyDescent="0.25">
      <c r="B32" s="5" t="s">
        <v>24</v>
      </c>
      <c r="C32" s="61"/>
      <c r="D32" s="3"/>
      <c r="E32" s="190">
        <v>533</v>
      </c>
      <c r="F32" s="190">
        <v>1752</v>
      </c>
      <c r="G32" s="391">
        <f>0</f>
        <v>0</v>
      </c>
      <c r="H32" s="391">
        <f>0</f>
        <v>0</v>
      </c>
      <c r="I32" s="391">
        <f>0</f>
        <v>0</v>
      </c>
      <c r="J32" s="391">
        <f>0</f>
        <v>0</v>
      </c>
      <c r="K32" s="391">
        <f>0</f>
        <v>0</v>
      </c>
      <c r="L32" s="391">
        <f>0</f>
        <v>0</v>
      </c>
      <c r="M32" s="391">
        <f>0</f>
        <v>0</v>
      </c>
      <c r="N32" s="391">
        <f>0</f>
        <v>0</v>
      </c>
      <c r="O32" s="391">
        <f>0</f>
        <v>0</v>
      </c>
      <c r="P32" s="391">
        <f>0</f>
        <v>0</v>
      </c>
      <c r="Q32" s="73"/>
    </row>
    <row r="33" spans="1:17" ht="12" x14ac:dyDescent="0.25">
      <c r="B33" s="5" t="s">
        <v>25</v>
      </c>
      <c r="C33" s="61"/>
      <c r="D33" s="3"/>
      <c r="E33" s="190">
        <v>0</v>
      </c>
      <c r="F33" s="190">
        <v>0</v>
      </c>
      <c r="G33" s="391">
        <f>0</f>
        <v>0</v>
      </c>
      <c r="H33" s="391">
        <f>0</f>
        <v>0</v>
      </c>
      <c r="I33" s="391">
        <f>0</f>
        <v>0</v>
      </c>
      <c r="J33" s="391">
        <f>0</f>
        <v>0</v>
      </c>
      <c r="K33" s="391">
        <f>0</f>
        <v>0</v>
      </c>
      <c r="L33" s="391">
        <f>0</f>
        <v>0</v>
      </c>
      <c r="M33" s="391">
        <f>0</f>
        <v>0</v>
      </c>
      <c r="N33" s="391">
        <f>0</f>
        <v>0</v>
      </c>
      <c r="O33" s="391">
        <f>0</f>
        <v>0</v>
      </c>
      <c r="P33" s="391">
        <f>0</f>
        <v>0</v>
      </c>
      <c r="Q33" s="73"/>
    </row>
    <row r="34" spans="1:17" ht="12" x14ac:dyDescent="0.25">
      <c r="B34" s="5" t="s">
        <v>26</v>
      </c>
      <c r="C34" s="61"/>
      <c r="D34" s="3"/>
      <c r="E34" s="190">
        <v>0</v>
      </c>
      <c r="F34" s="190">
        <v>0</v>
      </c>
      <c r="G34" s="391">
        <f>0</f>
        <v>0</v>
      </c>
      <c r="H34" s="391">
        <f>0</f>
        <v>0</v>
      </c>
      <c r="I34" s="391">
        <f>0</f>
        <v>0</v>
      </c>
      <c r="J34" s="391">
        <f>0</f>
        <v>0</v>
      </c>
      <c r="K34" s="391">
        <f>0</f>
        <v>0</v>
      </c>
      <c r="L34" s="391">
        <f>0</f>
        <v>0</v>
      </c>
      <c r="M34" s="391">
        <f>0</f>
        <v>0</v>
      </c>
      <c r="N34" s="391">
        <f>0</f>
        <v>0</v>
      </c>
      <c r="O34" s="391">
        <f>0</f>
        <v>0</v>
      </c>
      <c r="P34" s="391">
        <f>0</f>
        <v>0</v>
      </c>
      <c r="Q34" s="73"/>
    </row>
    <row r="35" spans="1:17" ht="11.5" customHeight="1" x14ac:dyDescent="0.25">
      <c r="B35" s="5" t="s">
        <v>27</v>
      </c>
      <c r="C35" s="221" t="s">
        <v>385</v>
      </c>
      <c r="D35" s="3"/>
      <c r="E35" s="190">
        <v>-287</v>
      </c>
      <c r="F35" s="190">
        <v>-1491</v>
      </c>
      <c r="G35" s="392">
        <f>-'OM (Op. Model)'!G150</f>
        <v>0</v>
      </c>
      <c r="H35" s="392">
        <f>-'OM (Op. Model)'!H150</f>
        <v>0</v>
      </c>
      <c r="I35" s="392">
        <f>-'OM (Op. Model)'!I150</f>
        <v>0</v>
      </c>
      <c r="J35" s="392">
        <f>-'OM (Op. Model)'!J150</f>
        <v>0</v>
      </c>
      <c r="K35" s="392">
        <f>-'OM (Op. Model)'!K150</f>
        <v>0</v>
      </c>
      <c r="L35" s="392">
        <f>-'OM (Op. Model)'!L150</f>
        <v>0</v>
      </c>
      <c r="M35" s="392">
        <f>-'OM (Op. Model)'!M150</f>
        <v>0</v>
      </c>
      <c r="N35" s="392">
        <f>-'OM (Op. Model)'!N150</f>
        <v>0</v>
      </c>
      <c r="O35" s="392">
        <f>-'OM (Op. Model)'!O150</f>
        <v>0</v>
      </c>
      <c r="P35" s="392">
        <f>-'OM (Op. Model)'!P150</f>
        <v>0</v>
      </c>
      <c r="Q35" s="73"/>
    </row>
    <row r="36" spans="1:17" ht="12" x14ac:dyDescent="0.25">
      <c r="B36" s="5" t="s">
        <v>28</v>
      </c>
      <c r="C36" s="61"/>
      <c r="D36" s="3"/>
      <c r="E36" s="190">
        <v>1419</v>
      </c>
      <c r="F36" s="190">
        <v>0</v>
      </c>
      <c r="G36" s="391">
        <v>0</v>
      </c>
      <c r="H36" s="391">
        <v>0</v>
      </c>
      <c r="I36" s="391">
        <v>0</v>
      </c>
      <c r="J36" s="391">
        <v>0</v>
      </c>
      <c r="K36" s="391">
        <v>0</v>
      </c>
      <c r="L36" s="391">
        <v>0</v>
      </c>
      <c r="M36" s="391">
        <v>0</v>
      </c>
      <c r="N36" s="391">
        <v>0</v>
      </c>
      <c r="O36" s="391">
        <v>0</v>
      </c>
      <c r="P36" s="391">
        <v>0</v>
      </c>
      <c r="Q36" s="73"/>
    </row>
    <row r="37" spans="1:17" ht="11.5" x14ac:dyDescent="0.25">
      <c r="B37" s="5"/>
      <c r="C37" s="61"/>
      <c r="D37" s="3"/>
      <c r="E37" s="202"/>
      <c r="F37" s="202"/>
      <c r="G37" s="394"/>
      <c r="H37" s="395"/>
      <c r="I37" s="395"/>
      <c r="J37" s="395"/>
      <c r="K37" s="395"/>
      <c r="L37" s="395"/>
      <c r="M37" s="395"/>
      <c r="N37" s="395"/>
      <c r="O37" s="395"/>
      <c r="P37" s="395"/>
      <c r="Q37" s="73"/>
    </row>
    <row r="38" spans="1:17" s="52" customFormat="1" ht="11.5" x14ac:dyDescent="0.25">
      <c r="A38" s="3" t="s">
        <v>94</v>
      </c>
      <c r="B38" s="36" t="s">
        <v>29</v>
      </c>
      <c r="C38" s="71"/>
      <c r="D38" s="35"/>
      <c r="E38" s="215">
        <f>E27+E28+E29+E30+E31+E32+E33+E34+E35+E36</f>
        <v>-31401</v>
      </c>
      <c r="F38" s="215">
        <f t="shared" ref="F38:P38" si="4">F27+F28+F29+F30+F31+F32+F33+F34+F35+F36</f>
        <v>-28504</v>
      </c>
      <c r="G38" s="396">
        <f t="shared" si="4"/>
        <v>-26021.633333333331</v>
      </c>
      <c r="H38" s="396">
        <f t="shared" si="4"/>
        <v>-28125.399999999998</v>
      </c>
      <c r="I38" s="396">
        <f t="shared" si="4"/>
        <v>-30365.433333333334</v>
      </c>
      <c r="J38" s="396">
        <f t="shared" si="4"/>
        <v>-29814.9</v>
      </c>
      <c r="K38" s="396">
        <f t="shared" si="4"/>
        <v>-30795.05</v>
      </c>
      <c r="L38" s="396">
        <f t="shared" si="4"/>
        <v>-29315.1</v>
      </c>
      <c r="M38" s="396">
        <f t="shared" si="4"/>
        <v>-30165.4</v>
      </c>
      <c r="N38" s="396">
        <f t="shared" si="4"/>
        <v>-34771.515772864121</v>
      </c>
      <c r="O38" s="396">
        <f t="shared" si="4"/>
        <v>-36952.49985539441</v>
      </c>
      <c r="P38" s="396">
        <f t="shared" si="4"/>
        <v>-38972.121787253964</v>
      </c>
      <c r="Q38" s="74"/>
    </row>
    <row r="39" spans="1:17" ht="11.5" x14ac:dyDescent="0.25">
      <c r="B39" s="5"/>
      <c r="C39" s="61"/>
      <c r="D39" s="3"/>
      <c r="E39" s="202"/>
      <c r="F39" s="202"/>
      <c r="G39" s="394"/>
      <c r="H39" s="395"/>
      <c r="I39" s="395"/>
      <c r="J39" s="395"/>
      <c r="K39" s="395"/>
      <c r="L39" s="395"/>
      <c r="M39" s="395"/>
      <c r="N39" s="395"/>
      <c r="O39" s="395"/>
      <c r="P39" s="395"/>
      <c r="Q39" s="73"/>
    </row>
    <row r="40" spans="1:17" ht="12" x14ac:dyDescent="0.3">
      <c r="B40" s="4" t="s">
        <v>30</v>
      </c>
      <c r="C40" s="60"/>
      <c r="D40" s="3"/>
      <c r="E40" s="220"/>
      <c r="F40" s="220"/>
      <c r="G40" s="395"/>
      <c r="H40" s="395"/>
      <c r="I40" s="395"/>
      <c r="J40" s="395"/>
      <c r="K40" s="395"/>
      <c r="L40" s="395"/>
      <c r="M40" s="395"/>
      <c r="N40" s="395"/>
      <c r="O40" s="395"/>
      <c r="P40" s="395"/>
      <c r="Q40" s="73"/>
    </row>
    <row r="41" spans="1:17" ht="12" x14ac:dyDescent="0.25">
      <c r="B41" s="5" t="s">
        <v>31</v>
      </c>
      <c r="C41" s="61"/>
      <c r="D41" s="3"/>
      <c r="E41" s="190">
        <v>-4166</v>
      </c>
      <c r="F41" s="190">
        <v>-4993</v>
      </c>
      <c r="G41" s="391">
        <v>0</v>
      </c>
      <c r="H41" s="391">
        <v>0</v>
      </c>
      <c r="I41" s="391">
        <v>0</v>
      </c>
      <c r="J41" s="391">
        <v>0</v>
      </c>
      <c r="K41" s="391">
        <v>0</v>
      </c>
      <c r="L41" s="391">
        <v>0</v>
      </c>
      <c r="M41" s="391">
        <v>0</v>
      </c>
      <c r="N41" s="391">
        <v>0</v>
      </c>
      <c r="O41" s="391">
        <v>0</v>
      </c>
      <c r="P41" s="391">
        <v>0</v>
      </c>
      <c r="Q41" s="73"/>
    </row>
    <row r="42" spans="1:17" ht="12" x14ac:dyDescent="0.25">
      <c r="B42" s="5" t="s">
        <v>32</v>
      </c>
      <c r="C42" s="61"/>
      <c r="D42" s="3"/>
      <c r="E42" s="190">
        <v>-4846</v>
      </c>
      <c r="F42" s="190">
        <v>-9075</v>
      </c>
      <c r="G42" s="391">
        <v>0</v>
      </c>
      <c r="H42" s="391">
        <v>0</v>
      </c>
      <c r="I42" s="391">
        <v>0</v>
      </c>
      <c r="J42" s="391">
        <v>0</v>
      </c>
      <c r="K42" s="391">
        <v>0</v>
      </c>
      <c r="L42" s="391">
        <v>0</v>
      </c>
      <c r="M42" s="391">
        <v>0</v>
      </c>
      <c r="N42" s="391">
        <v>0</v>
      </c>
      <c r="O42" s="391">
        <v>0</v>
      </c>
      <c r="P42" s="391">
        <v>0</v>
      </c>
      <c r="Q42" s="73"/>
    </row>
    <row r="43" spans="1:17" ht="12" x14ac:dyDescent="0.25">
      <c r="B43" s="5" t="s">
        <v>33</v>
      </c>
      <c r="C43" s="61"/>
      <c r="D43" s="3"/>
      <c r="E43" s="190">
        <v>4291</v>
      </c>
      <c r="F43" s="190">
        <v>6766</v>
      </c>
      <c r="G43" s="392">
        <f>Financing!G10</f>
        <v>0</v>
      </c>
      <c r="H43" s="392">
        <f>Financing!H10</f>
        <v>0</v>
      </c>
      <c r="I43" s="392">
        <f>Financing!I10</f>
        <v>0</v>
      </c>
      <c r="J43" s="392">
        <f>Financing!J10</f>
        <v>0</v>
      </c>
      <c r="K43" s="392">
        <f>Financing!K10</f>
        <v>0</v>
      </c>
      <c r="L43" s="392">
        <f>Financing!L10</f>
        <v>0</v>
      </c>
      <c r="M43" s="392">
        <f>Financing!M10</f>
        <v>0</v>
      </c>
      <c r="N43" s="392">
        <f>Financing!N10</f>
        <v>0</v>
      </c>
      <c r="O43" s="392">
        <f>Financing!O10</f>
        <v>0</v>
      </c>
      <c r="P43" s="392">
        <f>Financing!P10</f>
        <v>0</v>
      </c>
      <c r="Q43" s="73"/>
    </row>
    <row r="44" spans="1:17" ht="12" x14ac:dyDescent="0.25">
      <c r="B44" s="5" t="s">
        <v>34</v>
      </c>
      <c r="C44" s="61"/>
      <c r="D44" s="3"/>
      <c r="E44" s="190">
        <v>-4377</v>
      </c>
      <c r="F44" s="190">
        <v>-6827</v>
      </c>
      <c r="G44" s="392">
        <f>-Financing!G11</f>
        <v>0</v>
      </c>
      <c r="H44" s="392">
        <f>-Financing!H11</f>
        <v>0</v>
      </c>
      <c r="I44" s="392">
        <f>-Financing!I11</f>
        <v>0</v>
      </c>
      <c r="J44" s="392">
        <f>-Financing!J11</f>
        <v>0</v>
      </c>
      <c r="K44" s="392">
        <f>-Financing!K11</f>
        <v>0</v>
      </c>
      <c r="L44" s="392">
        <f>-Financing!L11</f>
        <v>0</v>
      </c>
      <c r="M44" s="392">
        <f>-Financing!M11</f>
        <v>0</v>
      </c>
      <c r="N44" s="392">
        <f>-Financing!N11</f>
        <v>0</v>
      </c>
      <c r="O44" s="392">
        <f>-Financing!O11</f>
        <v>0</v>
      </c>
      <c r="P44" s="392">
        <f>-Financing!P11</f>
        <v>0</v>
      </c>
      <c r="Q44" s="73"/>
    </row>
    <row r="45" spans="1:17" ht="12" x14ac:dyDescent="0.25">
      <c r="B45" s="5" t="s">
        <v>35</v>
      </c>
      <c r="C45" s="61"/>
      <c r="D45" s="3"/>
      <c r="E45" s="190">
        <v>800</v>
      </c>
      <c r="F45" s="190">
        <v>950</v>
      </c>
      <c r="G45" s="391">
        <v>0</v>
      </c>
      <c r="H45" s="391">
        <v>0</v>
      </c>
      <c r="I45" s="391">
        <v>0</v>
      </c>
      <c r="J45" s="391">
        <v>0</v>
      </c>
      <c r="K45" s="391">
        <v>0</v>
      </c>
      <c r="L45" s="391">
        <v>0</v>
      </c>
      <c r="M45" s="391">
        <v>0</v>
      </c>
      <c r="N45" s="391">
        <v>0</v>
      </c>
      <c r="O45" s="391">
        <v>0</v>
      </c>
      <c r="P45" s="391">
        <v>0</v>
      </c>
      <c r="Q45" s="73"/>
    </row>
    <row r="46" spans="1:17" s="76" customFormat="1" ht="12" x14ac:dyDescent="0.25">
      <c r="B46" s="222" t="s">
        <v>295</v>
      </c>
      <c r="C46" s="223"/>
      <c r="D46" s="224"/>
      <c r="E46" s="225">
        <f>Financing!E91</f>
        <v>0</v>
      </c>
      <c r="F46" s="225">
        <f>Financing!F91</f>
        <v>0</v>
      </c>
      <c r="G46" s="397">
        <f>-Financing!G91</f>
        <v>0</v>
      </c>
      <c r="H46" s="397">
        <f>-Financing!H91</f>
        <v>0</v>
      </c>
      <c r="I46" s="397">
        <f>-Financing!I91</f>
        <v>0</v>
      </c>
      <c r="J46" s="397">
        <f>-Financing!J91</f>
        <v>0</v>
      </c>
      <c r="K46" s="397">
        <f>-Financing!K91</f>
        <v>0</v>
      </c>
      <c r="L46" s="397">
        <f>-Financing!L91</f>
        <v>0</v>
      </c>
      <c r="M46" s="397">
        <f>-Financing!M91</f>
        <v>0</v>
      </c>
      <c r="N46" s="397">
        <f>-Financing!N91</f>
        <v>0</v>
      </c>
      <c r="O46" s="397">
        <f>-Financing!O91</f>
        <v>0</v>
      </c>
      <c r="P46" s="397">
        <f>-Financing!P91</f>
        <v>0</v>
      </c>
      <c r="Q46" s="73"/>
    </row>
    <row r="47" spans="1:17" s="76" customFormat="1" ht="12" x14ac:dyDescent="0.25">
      <c r="B47" s="222" t="s">
        <v>535</v>
      </c>
      <c r="C47" s="223"/>
      <c r="D47" s="224"/>
      <c r="E47" s="225"/>
      <c r="F47" s="225"/>
      <c r="G47" s="397">
        <f ca="1">G71-G72</f>
        <v>0</v>
      </c>
      <c r="H47" s="397">
        <f t="shared" ref="H47:P47" ca="1" si="5">H71-H72</f>
        <v>0</v>
      </c>
      <c r="I47" s="397">
        <f t="shared" ca="1" si="5"/>
        <v>51155.069263109093</v>
      </c>
      <c r="J47" s="397">
        <f t="shared" ca="1" si="5"/>
        <v>-23618.367327126012</v>
      </c>
      <c r="K47" s="397">
        <f t="shared" ca="1" si="5"/>
        <v>-27536.701935983081</v>
      </c>
      <c r="L47" s="397">
        <f t="shared" ca="1" si="5"/>
        <v>0</v>
      </c>
      <c r="M47" s="397">
        <f t="shared" ca="1" si="5"/>
        <v>0</v>
      </c>
      <c r="N47" s="397">
        <f t="shared" ca="1" si="5"/>
        <v>0</v>
      </c>
      <c r="O47" s="397">
        <f t="shared" ca="1" si="5"/>
        <v>0</v>
      </c>
      <c r="P47" s="397">
        <f t="shared" ca="1" si="5"/>
        <v>0</v>
      </c>
      <c r="Q47" s="73"/>
    </row>
    <row r="48" spans="1:17" ht="11.5" x14ac:dyDescent="0.25">
      <c r="B48" s="5"/>
      <c r="C48" s="61"/>
      <c r="D48" s="3"/>
      <c r="E48" s="202"/>
      <c r="F48" s="202"/>
      <c r="G48" s="394"/>
      <c r="H48" s="395"/>
      <c r="I48" s="395"/>
      <c r="J48" s="395"/>
      <c r="K48" s="395"/>
      <c r="L48" s="395"/>
      <c r="M48" s="395"/>
      <c r="N48" s="395"/>
      <c r="O48" s="395"/>
      <c r="P48" s="395"/>
      <c r="Q48" s="73"/>
    </row>
    <row r="49" spans="1:17" s="52" customFormat="1" ht="11.5" x14ac:dyDescent="0.25">
      <c r="A49" s="3" t="s">
        <v>94</v>
      </c>
      <c r="B49" s="36" t="s">
        <v>36</v>
      </c>
      <c r="C49" s="71"/>
      <c r="D49" s="35"/>
      <c r="E49" s="215">
        <f>E41+E42+E43+E44+E45+E46+E47</f>
        <v>-8298</v>
      </c>
      <c r="F49" s="215">
        <f t="shared" ref="F49:P49" si="6">F41+F42+F43+F44+F45+F46+F47</f>
        <v>-13179</v>
      </c>
      <c r="G49" s="396">
        <f t="shared" ca="1" si="6"/>
        <v>0</v>
      </c>
      <c r="H49" s="396">
        <f t="shared" ca="1" si="6"/>
        <v>0</v>
      </c>
      <c r="I49" s="396">
        <f t="shared" ca="1" si="6"/>
        <v>51155.069263109093</v>
      </c>
      <c r="J49" s="396">
        <f t="shared" ca="1" si="6"/>
        <v>-23618.367327126012</v>
      </c>
      <c r="K49" s="396">
        <f t="shared" ca="1" si="6"/>
        <v>-27536.701935983081</v>
      </c>
      <c r="L49" s="396">
        <f t="shared" ca="1" si="6"/>
        <v>0</v>
      </c>
      <c r="M49" s="396">
        <f t="shared" ca="1" si="6"/>
        <v>0</v>
      </c>
      <c r="N49" s="396">
        <f t="shared" ca="1" si="6"/>
        <v>0</v>
      </c>
      <c r="O49" s="396">
        <f t="shared" ca="1" si="6"/>
        <v>0</v>
      </c>
      <c r="P49" s="396">
        <f t="shared" ca="1" si="6"/>
        <v>0</v>
      </c>
      <c r="Q49" s="74"/>
    </row>
    <row r="50" spans="1:17" ht="11.5" x14ac:dyDescent="0.25">
      <c r="B50" s="5"/>
      <c r="C50" s="61"/>
      <c r="D50" s="3"/>
      <c r="E50" s="202"/>
      <c r="F50" s="202"/>
      <c r="G50" s="394"/>
      <c r="H50" s="395"/>
      <c r="I50" s="395"/>
      <c r="J50" s="395"/>
      <c r="K50" s="395"/>
      <c r="L50" s="395"/>
      <c r="M50" s="395"/>
      <c r="N50" s="395"/>
      <c r="O50" s="395"/>
      <c r="P50" s="395"/>
      <c r="Q50" s="73"/>
    </row>
    <row r="51" spans="1:17" ht="12" x14ac:dyDescent="0.25">
      <c r="B51" s="5" t="s">
        <v>37</v>
      </c>
      <c r="C51" s="61"/>
      <c r="D51" s="3"/>
      <c r="E51" s="190">
        <v>405</v>
      </c>
      <c r="F51" s="190">
        <v>-302</v>
      </c>
      <c r="G51" s="391">
        <v>0</v>
      </c>
      <c r="H51" s="391">
        <v>0</v>
      </c>
      <c r="I51" s="391">
        <v>0</v>
      </c>
      <c r="J51" s="391">
        <v>0</v>
      </c>
      <c r="K51" s="391">
        <v>0</v>
      </c>
      <c r="L51" s="391">
        <v>0</v>
      </c>
      <c r="M51" s="391">
        <v>0</v>
      </c>
      <c r="N51" s="391">
        <v>0</v>
      </c>
      <c r="O51" s="391">
        <v>0</v>
      </c>
      <c r="P51" s="391">
        <v>0</v>
      </c>
      <c r="Q51" s="73"/>
    </row>
    <row r="52" spans="1:17" ht="11.5" x14ac:dyDescent="0.25">
      <c r="B52" s="5"/>
      <c r="C52" s="61"/>
      <c r="D52" s="3"/>
      <c r="E52" s="202"/>
      <c r="F52" s="202"/>
      <c r="G52" s="202"/>
      <c r="H52" s="203"/>
      <c r="I52" s="203"/>
      <c r="J52" s="203"/>
      <c r="K52" s="203"/>
      <c r="L52" s="203"/>
      <c r="M52" s="203"/>
      <c r="N52" s="203"/>
      <c r="O52" s="203"/>
      <c r="P52" s="203"/>
      <c r="Q52" s="73"/>
    </row>
    <row r="53" spans="1:17" ht="12" thickBot="1" x14ac:dyDescent="0.3">
      <c r="B53" s="82" t="s">
        <v>38</v>
      </c>
      <c r="C53" s="83"/>
      <c r="D53" s="25"/>
      <c r="E53" s="209">
        <f>E24+E38+E49+E51</f>
        <v>-2203</v>
      </c>
      <c r="F53" s="209">
        <f t="shared" ref="F53:P53" si="7">F24+F38+F49+F51</f>
        <v>5986</v>
      </c>
      <c r="G53" s="209">
        <f ca="1">G24+G38+G49+G51</f>
        <v>28248.82641651787</v>
      </c>
      <c r="H53" s="209">
        <f t="shared" ca="1" si="7"/>
        <v>25782.865007998134</v>
      </c>
      <c r="I53" s="209">
        <f t="shared" ca="1" si="7"/>
        <v>-68557.035741965999</v>
      </c>
      <c r="J53" s="209">
        <f t="shared" ca="1" si="7"/>
        <v>310.97047684549761</v>
      </c>
      <c r="K53" s="209">
        <f t="shared" ca="1" si="7"/>
        <v>36454.154709981209</v>
      </c>
      <c r="L53" s="209">
        <f t="shared" ca="1" si="7"/>
        <v>77345.415800582676</v>
      </c>
      <c r="M53" s="209">
        <f t="shared" ca="1" si="7"/>
        <v>89485.721541940002</v>
      </c>
      <c r="N53" s="209">
        <f t="shared" ca="1" si="7"/>
        <v>96450.746171540333</v>
      </c>
      <c r="O53" s="209">
        <f t="shared" ca="1" si="7"/>
        <v>104579.04251034476</v>
      </c>
      <c r="P53" s="209">
        <f t="shared" ca="1" si="7"/>
        <v>112459.35376046677</v>
      </c>
      <c r="Q53" s="78"/>
    </row>
    <row r="54" spans="1:17" ht="12" thickTop="1" x14ac:dyDescent="0.25">
      <c r="B54" s="5"/>
      <c r="C54" s="61"/>
      <c r="D54" s="3"/>
      <c r="E54" s="202"/>
      <c r="F54" s="202"/>
      <c r="G54" s="202"/>
      <c r="H54" s="203"/>
      <c r="I54" s="203"/>
      <c r="J54" s="203"/>
      <c r="K54" s="203"/>
      <c r="L54" s="203"/>
      <c r="M54" s="203"/>
      <c r="N54" s="203"/>
      <c r="O54" s="203"/>
      <c r="P54" s="203"/>
      <c r="Q54" s="73"/>
    </row>
    <row r="55" spans="1:17" ht="12" x14ac:dyDescent="0.25">
      <c r="B55" s="5" t="s">
        <v>39</v>
      </c>
      <c r="C55" s="61"/>
      <c r="D55" s="3"/>
      <c r="E55" s="190">
        <v>12918</v>
      </c>
      <c r="F55" s="190">
        <f>E56</f>
        <v>10715</v>
      </c>
      <c r="G55" s="190">
        <f t="shared" ref="G55:P55" si="8">F56</f>
        <v>16701</v>
      </c>
      <c r="H55" s="190">
        <f t="shared" ca="1" si="8"/>
        <v>44949.82641651787</v>
      </c>
      <c r="I55" s="190">
        <f t="shared" ca="1" si="8"/>
        <v>70732.691424516001</v>
      </c>
      <c r="J55" s="190">
        <f t="shared" ca="1" si="8"/>
        <v>2175.6556825500011</v>
      </c>
      <c r="K55" s="190">
        <f t="shared" ca="1" si="8"/>
        <v>2486.6261593954987</v>
      </c>
      <c r="L55" s="190">
        <f t="shared" ca="1" si="8"/>
        <v>38940.780869376707</v>
      </c>
      <c r="M55" s="190">
        <f t="shared" ca="1" si="8"/>
        <v>116286.19666995938</v>
      </c>
      <c r="N55" s="190">
        <f t="shared" ca="1" si="8"/>
        <v>205771.91821189938</v>
      </c>
      <c r="O55" s="190">
        <f t="shared" ca="1" si="8"/>
        <v>302222.6643834397</v>
      </c>
      <c r="P55" s="190">
        <f t="shared" ca="1" si="8"/>
        <v>406801.70689378446</v>
      </c>
      <c r="Q55" s="153"/>
    </row>
    <row r="56" spans="1:17" ht="11.5" x14ac:dyDescent="0.25">
      <c r="B56" s="4" t="s">
        <v>40</v>
      </c>
      <c r="C56" s="61"/>
      <c r="D56" s="3"/>
      <c r="E56" s="218">
        <f>E55+E53</f>
        <v>10715</v>
      </c>
      <c r="F56" s="218">
        <f t="shared" ref="F56:P56" si="9">F55+F53</f>
        <v>16701</v>
      </c>
      <c r="G56" s="218">
        <f t="shared" ca="1" si="9"/>
        <v>44949.82641651787</v>
      </c>
      <c r="H56" s="218">
        <f t="shared" ca="1" si="9"/>
        <v>70732.691424516001</v>
      </c>
      <c r="I56" s="218">
        <f t="shared" ca="1" si="9"/>
        <v>2175.6556825500011</v>
      </c>
      <c r="J56" s="218">
        <f t="shared" ca="1" si="9"/>
        <v>2486.6261593954987</v>
      </c>
      <c r="K56" s="218">
        <f t="shared" ca="1" si="9"/>
        <v>38940.780869376707</v>
      </c>
      <c r="L56" s="218">
        <f t="shared" ca="1" si="9"/>
        <v>116286.19666995938</v>
      </c>
      <c r="M56" s="218">
        <f t="shared" ca="1" si="9"/>
        <v>205771.91821189938</v>
      </c>
      <c r="N56" s="218">
        <f t="shared" ca="1" si="9"/>
        <v>302222.6643834397</v>
      </c>
      <c r="O56" s="218">
        <f t="shared" ca="1" si="9"/>
        <v>406801.70689378446</v>
      </c>
      <c r="P56" s="218">
        <f t="shared" ca="1" si="9"/>
        <v>519261.06065425125</v>
      </c>
      <c r="Q56" s="81"/>
    </row>
    <row r="57" spans="1:17" ht="11.5" x14ac:dyDescent="0.25">
      <c r="B57" s="5"/>
      <c r="C57" s="61"/>
      <c r="D57" s="3"/>
      <c r="E57" s="202"/>
      <c r="F57" s="202"/>
      <c r="G57" s="202"/>
      <c r="H57" s="203"/>
      <c r="I57" s="203"/>
      <c r="J57" s="203"/>
      <c r="K57" s="203"/>
      <c r="L57" s="203"/>
      <c r="M57" s="203"/>
      <c r="N57" s="203"/>
      <c r="O57" s="203"/>
      <c r="P57" s="203"/>
      <c r="Q57" s="73"/>
    </row>
    <row r="58" spans="1:17" ht="11.5" x14ac:dyDescent="0.25">
      <c r="B58" s="4"/>
      <c r="C58" s="60"/>
      <c r="D58" s="3"/>
      <c r="E58" s="203"/>
      <c r="F58" s="203"/>
      <c r="G58" s="203"/>
      <c r="H58" s="203"/>
      <c r="I58" s="203"/>
      <c r="J58" s="203"/>
      <c r="K58" s="203"/>
      <c r="L58" s="203"/>
      <c r="M58" s="203"/>
      <c r="N58" s="203"/>
      <c r="O58" s="203"/>
      <c r="P58" s="203"/>
      <c r="Q58" s="73"/>
    </row>
    <row r="59" spans="1:17" ht="11.5" x14ac:dyDescent="0.25">
      <c r="B59" s="5"/>
      <c r="C59" s="61"/>
      <c r="D59" s="3"/>
      <c r="E59" s="202"/>
      <c r="F59" s="202"/>
      <c r="G59" s="202"/>
      <c r="H59" s="203"/>
      <c r="I59" s="203"/>
      <c r="J59" s="203"/>
      <c r="K59" s="203"/>
      <c r="L59" s="203"/>
      <c r="M59" s="203"/>
      <c r="N59" s="203"/>
      <c r="O59" s="203"/>
      <c r="P59" s="203"/>
      <c r="Q59" s="73"/>
    </row>
    <row r="60" spans="1:17" ht="11.5" x14ac:dyDescent="0.25">
      <c r="B60" s="5"/>
      <c r="C60" s="61"/>
      <c r="D60" s="3"/>
      <c r="E60" s="75"/>
      <c r="F60" s="75"/>
      <c r="G60" s="75"/>
      <c r="H60" s="76"/>
      <c r="I60" s="76"/>
      <c r="J60" s="76"/>
      <c r="K60" s="76"/>
      <c r="L60" s="76"/>
      <c r="M60" s="76"/>
      <c r="N60" s="76"/>
      <c r="O60" s="76"/>
      <c r="P60" s="76"/>
      <c r="Q60" s="76"/>
    </row>
    <row r="61" spans="1:17" s="177" customFormat="1" x14ac:dyDescent="0.35">
      <c r="B61" s="88" t="s">
        <v>432</v>
      </c>
      <c r="C61" s="89"/>
      <c r="D61" s="89"/>
      <c r="E61" s="89"/>
      <c r="F61" s="89"/>
      <c r="G61" s="89"/>
      <c r="H61" s="89"/>
      <c r="I61" s="89"/>
      <c r="J61" s="89"/>
      <c r="K61" s="89"/>
      <c r="L61" s="89"/>
      <c r="M61" s="89"/>
      <c r="N61" s="89"/>
      <c r="O61" s="89"/>
      <c r="P61" s="89"/>
    </row>
    <row r="63" spans="1:17" x14ac:dyDescent="0.35">
      <c r="B63" s="3" t="s">
        <v>534</v>
      </c>
      <c r="G63" s="389">
        <f>G64*IS!G3</f>
        <v>1631.8570000000002</v>
      </c>
      <c r="H63" s="389">
        <f>H64*IS!H3</f>
        <v>1922.3323949999999</v>
      </c>
      <c r="I63" s="389">
        <f>I64*IS!I3</f>
        <v>2175.6556825500002</v>
      </c>
      <c r="J63" s="389">
        <f>J64*IS!J3</f>
        <v>2486.6261593955001</v>
      </c>
      <c r="K63" s="389">
        <f>K64*IS!K3</f>
        <v>2739.2802891626152</v>
      </c>
      <c r="L63" s="389">
        <f>L64*IS!L3</f>
        <v>2990.1507935290297</v>
      </c>
      <c r="M63" s="389">
        <f>M64*IS!M3</f>
        <v>3240.2940780214767</v>
      </c>
      <c r="N63" s="389">
        <f>N64*IS!N3</f>
        <v>3477.1515772864118</v>
      </c>
      <c r="O63" s="389">
        <f>O64*IS!O3</f>
        <v>3695.2499855394412</v>
      </c>
      <c r="P63" s="389">
        <f>P64*IS!P3</f>
        <v>3897.2121787253964</v>
      </c>
    </row>
    <row r="64" spans="1:17" x14ac:dyDescent="0.35">
      <c r="B64" s="388" t="s">
        <v>334</v>
      </c>
      <c r="G64" s="347">
        <v>0.01</v>
      </c>
      <c r="H64" s="347">
        <v>0.01</v>
      </c>
      <c r="I64" s="347">
        <v>0.01</v>
      </c>
      <c r="J64" s="347">
        <v>0.01</v>
      </c>
      <c r="K64" s="347">
        <v>0.01</v>
      </c>
      <c r="L64" s="347">
        <v>0.01</v>
      </c>
      <c r="M64" s="347">
        <v>0.01</v>
      </c>
      <c r="N64" s="347">
        <v>0.01</v>
      </c>
      <c r="O64" s="347">
        <v>0.01</v>
      </c>
      <c r="P64" s="347">
        <v>0.01</v>
      </c>
    </row>
    <row r="66" spans="2:17" x14ac:dyDescent="0.35">
      <c r="B66" s="3" t="s">
        <v>536</v>
      </c>
      <c r="G66" s="201">
        <f ca="1">G55+G24+G38+G41+G42+G43+G44+G45+G46+G51</f>
        <v>44949.82641651787</v>
      </c>
      <c r="H66" s="201">
        <f t="shared" ref="H66:P66" ca="1" si="10">H55+H24+H38+H41+H42+H43+H44+H45+H46+H51</f>
        <v>70732.691424516001</v>
      </c>
      <c r="I66" s="201">
        <f t="shared" ca="1" si="10"/>
        <v>-48979.413580559092</v>
      </c>
      <c r="J66" s="201">
        <f t="shared" ca="1" si="10"/>
        <v>26104.993486521511</v>
      </c>
      <c r="K66" s="201">
        <f t="shared" ca="1" si="10"/>
        <v>66477.482805359788</v>
      </c>
      <c r="L66" s="201">
        <f t="shared" ca="1" si="10"/>
        <v>116286.19666995938</v>
      </c>
      <c r="M66" s="201">
        <f t="shared" ca="1" si="10"/>
        <v>205771.91821189938</v>
      </c>
      <c r="N66" s="201">
        <f t="shared" ca="1" si="10"/>
        <v>302222.6643834397</v>
      </c>
      <c r="O66" s="201">
        <f t="shared" ca="1" si="10"/>
        <v>406801.70689378446</v>
      </c>
      <c r="P66" s="201">
        <f t="shared" ca="1" si="10"/>
        <v>519261.0606542512</v>
      </c>
    </row>
    <row r="69" spans="2:17" x14ac:dyDescent="0.35">
      <c r="B69" s="3" t="s">
        <v>432</v>
      </c>
    </row>
    <row r="70" spans="2:17" x14ac:dyDescent="0.35">
      <c r="B70" s="3" t="s">
        <v>342</v>
      </c>
      <c r="G70" s="389">
        <v>0</v>
      </c>
      <c r="H70" s="389">
        <f ca="1">G73</f>
        <v>0</v>
      </c>
      <c r="I70" s="389">
        <f t="shared" ref="I70:P70" ca="1" si="11">H73</f>
        <v>0</v>
      </c>
      <c r="J70" s="389">
        <f t="shared" ca="1" si="11"/>
        <v>51155.069263109093</v>
      </c>
      <c r="K70" s="389">
        <f t="shared" ca="1" si="11"/>
        <v>27536.701935983081</v>
      </c>
      <c r="L70" s="389">
        <f t="shared" ca="1" si="11"/>
        <v>0</v>
      </c>
      <c r="M70" s="389">
        <f t="shared" ca="1" si="11"/>
        <v>0</v>
      </c>
      <c r="N70" s="389">
        <f t="shared" ca="1" si="11"/>
        <v>0</v>
      </c>
      <c r="O70" s="389">
        <f t="shared" ca="1" si="11"/>
        <v>0</v>
      </c>
      <c r="P70" s="389">
        <f t="shared" ca="1" si="11"/>
        <v>0</v>
      </c>
    </row>
    <row r="71" spans="2:17" x14ac:dyDescent="0.35">
      <c r="B71" s="3" t="s">
        <v>537</v>
      </c>
      <c r="G71" s="389">
        <f ca="1">IF(G66&gt;G63, 0, G63-G66)</f>
        <v>0</v>
      </c>
      <c r="H71" s="389">
        <f t="shared" ref="H71:P71" ca="1" si="12">IF(H66&gt;H63, 0, H63-H66)</f>
        <v>0</v>
      </c>
      <c r="I71" s="389">
        <f t="shared" ca="1" si="12"/>
        <v>51155.069263109093</v>
      </c>
      <c r="J71" s="389">
        <f t="shared" ca="1" si="12"/>
        <v>0</v>
      </c>
      <c r="K71" s="389">
        <f t="shared" ca="1" si="12"/>
        <v>0</v>
      </c>
      <c r="L71" s="389">
        <f t="shared" ca="1" si="12"/>
        <v>0</v>
      </c>
      <c r="M71" s="389">
        <f t="shared" ca="1" si="12"/>
        <v>0</v>
      </c>
      <c r="N71" s="389">
        <f t="shared" ca="1" si="12"/>
        <v>0</v>
      </c>
      <c r="O71" s="389">
        <f t="shared" ca="1" si="12"/>
        <v>0</v>
      </c>
      <c r="P71" s="389">
        <f t="shared" ca="1" si="12"/>
        <v>0</v>
      </c>
    </row>
    <row r="72" spans="2:17" x14ac:dyDescent="0.35">
      <c r="B72" s="3" t="s">
        <v>538</v>
      </c>
      <c r="G72" s="389">
        <f ca="1">IF(G66&gt;G63, MIN(G66-G63, G70),0)</f>
        <v>0</v>
      </c>
      <c r="H72" s="389">
        <f t="shared" ref="H72:P72" ca="1" si="13">IF(H66&gt;H63, MIN(H66-H63, H70),0)</f>
        <v>0</v>
      </c>
      <c r="I72" s="389">
        <f t="shared" ca="1" si="13"/>
        <v>0</v>
      </c>
      <c r="J72" s="389">
        <f t="shared" ca="1" si="13"/>
        <v>23618.367327126012</v>
      </c>
      <c r="K72" s="389">
        <f t="shared" ca="1" si="13"/>
        <v>27536.701935983081</v>
      </c>
      <c r="L72" s="389">
        <f t="shared" ca="1" si="13"/>
        <v>0</v>
      </c>
      <c r="M72" s="389">
        <f t="shared" ca="1" si="13"/>
        <v>0</v>
      </c>
      <c r="N72" s="389">
        <f t="shared" ca="1" si="13"/>
        <v>0</v>
      </c>
      <c r="O72" s="389">
        <f t="shared" ca="1" si="13"/>
        <v>0</v>
      </c>
      <c r="P72" s="389">
        <f t="shared" ca="1" si="13"/>
        <v>0</v>
      </c>
    </row>
    <row r="73" spans="2:17" x14ac:dyDescent="0.35">
      <c r="B73" s="3" t="s">
        <v>343</v>
      </c>
      <c r="G73" s="389">
        <f ca="1">G70+G71-G72</f>
        <v>0</v>
      </c>
      <c r="H73" s="389">
        <f t="shared" ref="H73:P73" ca="1" si="14">H70+H71-H72</f>
        <v>0</v>
      </c>
      <c r="I73" s="389">
        <f t="shared" ca="1" si="14"/>
        <v>51155.069263109093</v>
      </c>
      <c r="J73" s="389">
        <f t="shared" ca="1" si="14"/>
        <v>27536.701935983081</v>
      </c>
      <c r="K73" s="389">
        <f t="shared" ca="1" si="14"/>
        <v>0</v>
      </c>
      <c r="L73" s="389">
        <f t="shared" ca="1" si="14"/>
        <v>0</v>
      </c>
      <c r="M73" s="389">
        <f t="shared" ca="1" si="14"/>
        <v>0</v>
      </c>
      <c r="N73" s="389">
        <f t="shared" ca="1" si="14"/>
        <v>0</v>
      </c>
      <c r="O73" s="389">
        <f t="shared" ca="1" si="14"/>
        <v>0</v>
      </c>
      <c r="P73" s="389">
        <f t="shared" ca="1" si="14"/>
        <v>0</v>
      </c>
    </row>
    <row r="75" spans="2:17" x14ac:dyDescent="0.35">
      <c r="B75" s="52" t="s">
        <v>539</v>
      </c>
    </row>
    <row r="77" spans="2:17" x14ac:dyDescent="0.35">
      <c r="B77" s="3" t="s">
        <v>540</v>
      </c>
      <c r="G77" s="56">
        <f ca="1">AVERAGE(G70,G73)*G78</f>
        <v>0</v>
      </c>
      <c r="H77" s="56">
        <f t="shared" ref="H77:P77" ca="1" si="15">AVERAGE(H70,H73)*H78</f>
        <v>0</v>
      </c>
      <c r="I77" s="56">
        <f t="shared" ca="1" si="15"/>
        <v>1278.8767315777275</v>
      </c>
      <c r="J77" s="56">
        <f t="shared" ca="1" si="15"/>
        <v>1967.2942799773045</v>
      </c>
      <c r="K77" s="56">
        <f t="shared" ca="1" si="15"/>
        <v>688.41754839957707</v>
      </c>
      <c r="L77" s="56">
        <f t="shared" ca="1" si="15"/>
        <v>0</v>
      </c>
      <c r="M77" s="56">
        <f t="shared" ca="1" si="15"/>
        <v>0</v>
      </c>
      <c r="N77" s="56">
        <f t="shared" ca="1" si="15"/>
        <v>0</v>
      </c>
      <c r="O77" s="56">
        <f t="shared" ca="1" si="15"/>
        <v>0</v>
      </c>
      <c r="P77" s="56">
        <f t="shared" ca="1" si="15"/>
        <v>0</v>
      </c>
    </row>
    <row r="78" spans="2:17" s="76" customFormat="1" x14ac:dyDescent="0.35">
      <c r="B78" s="388" t="s">
        <v>541</v>
      </c>
      <c r="C78" s="59"/>
      <c r="D78" s="177"/>
      <c r="E78" s="56"/>
      <c r="F78" s="56"/>
      <c r="G78" s="347">
        <v>0.05</v>
      </c>
      <c r="H78" s="347">
        <v>0.05</v>
      </c>
      <c r="I78" s="347">
        <v>0.05</v>
      </c>
      <c r="J78" s="347">
        <v>0.05</v>
      </c>
      <c r="K78" s="347">
        <v>0.05</v>
      </c>
      <c r="L78" s="347">
        <v>0.05</v>
      </c>
      <c r="M78" s="347">
        <v>0.05</v>
      </c>
      <c r="N78" s="347">
        <v>0.05</v>
      </c>
      <c r="O78" s="347">
        <v>0.05</v>
      </c>
      <c r="P78" s="347">
        <v>0.05</v>
      </c>
      <c r="Q78" s="56"/>
    </row>
  </sheetData>
  <pageMargins left="0.75" right="0.75" top="1" bottom="1" header="0.5" footer="0.5"/>
  <pageSetup paperSize="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B434-6D78-40C1-A291-263BB5FC5573}">
  <dimension ref="B1:Q68"/>
  <sheetViews>
    <sheetView showGridLines="0" zoomScale="70" zoomScaleNormal="70" workbookViewId="0">
      <pane xSplit="2" ySplit="1" topLeftCell="C2" activePane="bottomRight" state="frozen"/>
      <selection pane="topRight" activeCell="C1" sqref="C1"/>
      <selection pane="bottomLeft" activeCell="A2" sqref="A2"/>
      <selection pane="bottomRight" activeCell="F68" sqref="F68"/>
    </sheetView>
  </sheetViews>
  <sheetFormatPr defaultRowHeight="14.5" x14ac:dyDescent="0.35"/>
  <cols>
    <col min="2" max="2" width="52.08984375" bestFit="1" customWidth="1"/>
    <col min="3" max="3" width="14.81640625" customWidth="1"/>
    <col min="4" max="4" width="5.26953125" customWidth="1"/>
    <col min="5" max="5" width="13.90625" customWidth="1"/>
    <col min="6" max="6" width="15.1796875" customWidth="1"/>
    <col min="7" max="7" width="12.1796875" bestFit="1" customWidth="1"/>
    <col min="8" max="16" width="12.26953125" bestFit="1" customWidth="1"/>
    <col min="17" max="17" width="11.81640625" bestFit="1" customWidth="1"/>
  </cols>
  <sheetData>
    <row r="1" spans="2:17"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c r="Q1" s="245" t="s">
        <v>416</v>
      </c>
    </row>
    <row r="2" spans="2:17" x14ac:dyDescent="0.35">
      <c r="E2" s="233">
        <f t="shared" ref="E2:P2" si="1">DATE(E$1,1,1)</f>
        <v>42736</v>
      </c>
      <c r="F2" s="233">
        <f t="shared" si="1"/>
        <v>43101</v>
      </c>
      <c r="G2" s="233">
        <f t="shared" si="1"/>
        <v>43466</v>
      </c>
      <c r="H2" s="233">
        <f t="shared" si="1"/>
        <v>43831</v>
      </c>
      <c r="I2" s="233">
        <f t="shared" si="1"/>
        <v>44197</v>
      </c>
      <c r="J2" s="233">
        <f t="shared" si="1"/>
        <v>44562</v>
      </c>
      <c r="K2" s="233">
        <f t="shared" si="1"/>
        <v>44927</v>
      </c>
      <c r="L2" s="233">
        <f t="shared" si="1"/>
        <v>45292</v>
      </c>
      <c r="M2" s="233">
        <f t="shared" si="1"/>
        <v>45658</v>
      </c>
      <c r="N2" s="233">
        <f t="shared" si="1"/>
        <v>46023</v>
      </c>
      <c r="O2" s="233">
        <f t="shared" si="1"/>
        <v>46388</v>
      </c>
      <c r="P2" s="233">
        <f t="shared" si="1"/>
        <v>46753</v>
      </c>
      <c r="Q2" s="246"/>
    </row>
    <row r="3" spans="2:17" x14ac:dyDescent="0.35">
      <c r="E3" s="233">
        <f>DATE(E$1,6,30)</f>
        <v>42916</v>
      </c>
      <c r="F3" s="233">
        <f t="shared" ref="F3:P3" si="2">DATE(F$1,6,30)</f>
        <v>43281</v>
      </c>
      <c r="G3" s="233">
        <f t="shared" si="2"/>
        <v>43646</v>
      </c>
      <c r="H3" s="233">
        <f t="shared" si="2"/>
        <v>44012</v>
      </c>
      <c r="I3" s="233">
        <f t="shared" si="2"/>
        <v>44377</v>
      </c>
      <c r="J3" s="233">
        <f t="shared" si="2"/>
        <v>44742</v>
      </c>
      <c r="K3" s="233">
        <f t="shared" si="2"/>
        <v>45107</v>
      </c>
      <c r="L3" s="233">
        <f t="shared" si="2"/>
        <v>45473</v>
      </c>
      <c r="M3" s="233">
        <f t="shared" si="2"/>
        <v>45838</v>
      </c>
      <c r="N3" s="233">
        <f t="shared" si="2"/>
        <v>46203</v>
      </c>
      <c r="O3" s="233">
        <f t="shared" si="2"/>
        <v>46568</v>
      </c>
      <c r="P3" s="233">
        <f t="shared" si="2"/>
        <v>46934</v>
      </c>
      <c r="Q3" s="246"/>
    </row>
    <row r="4" spans="2:17" x14ac:dyDescent="0.35">
      <c r="E4" s="233">
        <f>DATE(E$1,12,31)</f>
        <v>43100</v>
      </c>
      <c r="F4" s="233">
        <f t="shared" ref="F4:P4" si="3">DATE(F$1,12,31)</f>
        <v>43465</v>
      </c>
      <c r="G4" s="233">
        <f t="shared" si="3"/>
        <v>43830</v>
      </c>
      <c r="H4" s="233">
        <f t="shared" si="3"/>
        <v>44196</v>
      </c>
      <c r="I4" s="233">
        <f t="shared" si="3"/>
        <v>44561</v>
      </c>
      <c r="J4" s="233">
        <f t="shared" si="3"/>
        <v>44926</v>
      </c>
      <c r="K4" s="233">
        <f t="shared" si="3"/>
        <v>45291</v>
      </c>
      <c r="L4" s="233">
        <f t="shared" si="3"/>
        <v>45657</v>
      </c>
      <c r="M4" s="233">
        <f t="shared" si="3"/>
        <v>46022</v>
      </c>
      <c r="N4" s="233">
        <f t="shared" si="3"/>
        <v>46387</v>
      </c>
      <c r="O4" s="233">
        <f t="shared" si="3"/>
        <v>46752</v>
      </c>
      <c r="P4" s="233">
        <f t="shared" si="3"/>
        <v>47118</v>
      </c>
      <c r="Q4" s="246"/>
    </row>
    <row r="5" spans="2:17" s="177" customFormat="1" x14ac:dyDescent="0.35">
      <c r="E5" s="233"/>
      <c r="F5" s="233"/>
      <c r="G5" s="233"/>
      <c r="H5" s="233"/>
      <c r="I5" s="233"/>
      <c r="J5" s="233"/>
      <c r="K5" s="233"/>
      <c r="L5" s="233"/>
      <c r="M5" s="233"/>
      <c r="N5" s="233"/>
      <c r="O5" s="233"/>
      <c r="P5" s="233"/>
      <c r="Q5" s="246"/>
    </row>
    <row r="6" spans="2:17" s="177" customFormat="1" x14ac:dyDescent="0.35">
      <c r="B6" s="155" t="s">
        <v>404</v>
      </c>
      <c r="E6" s="233"/>
      <c r="F6" s="233"/>
      <c r="G6" s="233"/>
      <c r="H6" s="233"/>
      <c r="I6" s="233"/>
      <c r="J6" s="233"/>
      <c r="K6" s="233"/>
      <c r="L6" s="233"/>
      <c r="M6" s="233"/>
      <c r="N6" s="233"/>
      <c r="O6" s="233"/>
      <c r="P6" s="233"/>
      <c r="Q6" s="246"/>
    </row>
    <row r="7" spans="2:17" s="177" customFormat="1" x14ac:dyDescent="0.35">
      <c r="B7" s="155"/>
      <c r="E7" s="233"/>
      <c r="F7" s="233"/>
      <c r="G7" s="233"/>
      <c r="H7" s="233"/>
      <c r="I7" s="233"/>
      <c r="J7" s="233"/>
      <c r="K7" s="233"/>
      <c r="L7" s="233"/>
      <c r="M7" s="233"/>
      <c r="N7" s="233"/>
      <c r="O7" s="233"/>
      <c r="P7" s="233"/>
      <c r="Q7" s="246"/>
    </row>
    <row r="8" spans="2:17" s="177" customFormat="1" x14ac:dyDescent="0.35">
      <c r="B8" s="177" t="s">
        <v>410</v>
      </c>
      <c r="C8" s="226">
        <v>0.1</v>
      </c>
      <c r="E8" s="233"/>
      <c r="F8" s="233"/>
      <c r="G8" s="233"/>
      <c r="H8" s="233"/>
      <c r="I8" s="233"/>
      <c r="J8" s="233"/>
      <c r="K8" s="233"/>
      <c r="L8" s="233"/>
      <c r="M8" s="233"/>
      <c r="N8" s="233"/>
      <c r="O8" s="233"/>
      <c r="P8" s="233"/>
      <c r="Q8" s="246"/>
    </row>
    <row r="9" spans="2:17" s="177" customFormat="1" x14ac:dyDescent="0.35">
      <c r="B9" s="177" t="s">
        <v>417</v>
      </c>
      <c r="C9" s="226">
        <v>0.04</v>
      </c>
      <c r="E9" s="233"/>
      <c r="F9" s="233"/>
      <c r="G9" s="233"/>
      <c r="H9" s="233"/>
      <c r="I9" s="233"/>
      <c r="J9" s="233"/>
      <c r="K9" s="233"/>
      <c r="L9" s="233"/>
      <c r="M9" s="233"/>
      <c r="N9" s="233"/>
      <c r="O9" s="233"/>
      <c r="P9" s="233"/>
      <c r="Q9" s="246"/>
    </row>
    <row r="10" spans="2:17" s="177" customFormat="1" x14ac:dyDescent="0.35">
      <c r="E10" s="233"/>
      <c r="F10" s="233"/>
      <c r="G10" s="233"/>
      <c r="H10" s="233"/>
      <c r="I10" s="233"/>
      <c r="J10" s="233"/>
      <c r="K10" s="233"/>
      <c r="L10" s="233"/>
      <c r="M10" s="233"/>
      <c r="N10" s="233"/>
      <c r="O10" s="233"/>
      <c r="P10" s="233"/>
      <c r="Q10" s="246"/>
    </row>
    <row r="11" spans="2:17" s="177" customFormat="1" x14ac:dyDescent="0.35">
      <c r="B11" s="177" t="s">
        <v>395</v>
      </c>
      <c r="C11" s="185">
        <v>0.21</v>
      </c>
      <c r="E11" s="233"/>
      <c r="F11" s="233"/>
      <c r="G11" s="233"/>
      <c r="H11" s="233"/>
      <c r="I11" s="233"/>
      <c r="J11" s="233"/>
      <c r="K11" s="233"/>
      <c r="L11" s="233"/>
      <c r="M11" s="233"/>
      <c r="N11" s="233"/>
      <c r="O11" s="233"/>
      <c r="P11" s="233"/>
      <c r="Q11" s="246"/>
    </row>
    <row r="12" spans="2:17" s="177" customFormat="1" x14ac:dyDescent="0.35">
      <c r="B12" s="177" t="s">
        <v>408</v>
      </c>
      <c r="C12" s="233">
        <v>43646</v>
      </c>
      <c r="E12" s="233"/>
      <c r="F12" s="233"/>
      <c r="G12" s="233"/>
      <c r="H12" s="233"/>
      <c r="I12" s="233"/>
      <c r="J12" s="233"/>
      <c r="K12" s="233"/>
      <c r="L12" s="233"/>
      <c r="M12" s="233"/>
      <c r="N12" s="233"/>
      <c r="O12" s="233"/>
      <c r="P12" s="233"/>
      <c r="Q12" s="246"/>
    </row>
    <row r="13" spans="2:17" s="177" customFormat="1" x14ac:dyDescent="0.35">
      <c r="B13" s="177" t="s">
        <v>410</v>
      </c>
      <c r="C13" s="257">
        <f>C8</f>
        <v>0.1</v>
      </c>
      <c r="E13" s="233"/>
      <c r="F13" s="233"/>
      <c r="G13" s="233"/>
      <c r="H13" s="233"/>
      <c r="I13" s="233"/>
      <c r="J13" s="233"/>
      <c r="K13" s="233"/>
      <c r="L13" s="233"/>
      <c r="M13" s="233"/>
      <c r="N13" s="233"/>
      <c r="O13" s="233"/>
      <c r="P13" s="233"/>
      <c r="Q13" s="246"/>
    </row>
    <row r="14" spans="2:17" x14ac:dyDescent="0.35">
      <c r="B14" t="s">
        <v>417</v>
      </c>
      <c r="C14" s="257">
        <f>C9</f>
        <v>0.04</v>
      </c>
      <c r="Q14" s="246"/>
    </row>
    <row r="15" spans="2:17" s="177" customFormat="1" x14ac:dyDescent="0.35">
      <c r="B15" s="177" t="s">
        <v>422</v>
      </c>
      <c r="C15" s="226"/>
      <c r="Q15" s="246"/>
    </row>
    <row r="16" spans="2:17" s="177" customFormat="1" x14ac:dyDescent="0.35">
      <c r="B16" s="235" t="s">
        <v>418</v>
      </c>
      <c r="C16" s="226">
        <v>0.95</v>
      </c>
      <c r="Q16" s="246"/>
    </row>
    <row r="17" spans="2:17" s="177" customFormat="1" x14ac:dyDescent="0.35">
      <c r="B17" s="235" t="s">
        <v>419</v>
      </c>
      <c r="C17" s="257">
        <f>P32</f>
        <v>0.3701198193050374</v>
      </c>
      <c r="Q17" s="246"/>
    </row>
    <row r="18" spans="2:17" s="177" customFormat="1" x14ac:dyDescent="0.35">
      <c r="B18" s="235" t="s">
        <v>420</v>
      </c>
      <c r="C18" s="257">
        <f>P35</f>
        <v>9.9999999999999992E-2</v>
      </c>
      <c r="Q18" s="246"/>
    </row>
    <row r="19" spans="2:17" s="177" customFormat="1" x14ac:dyDescent="0.35">
      <c r="B19" s="235" t="s">
        <v>421</v>
      </c>
      <c r="C19" s="226">
        <v>-0.01</v>
      </c>
      <c r="Q19" s="246"/>
    </row>
    <row r="20" spans="2:17" x14ac:dyDescent="0.35">
      <c r="Q20" s="246"/>
    </row>
    <row r="21" spans="2:17" x14ac:dyDescent="0.35">
      <c r="B21" t="s">
        <v>95</v>
      </c>
      <c r="E21" s="227">
        <f>IS!E3</f>
        <v>110855</v>
      </c>
      <c r="F21" s="227">
        <f>IS!F3</f>
        <v>136819</v>
      </c>
      <c r="G21" s="227">
        <f>IS!G3</f>
        <v>163185.70000000001</v>
      </c>
      <c r="H21" s="227">
        <f>IS!H3</f>
        <v>192233.2395</v>
      </c>
      <c r="I21" s="227">
        <f>IS!I3</f>
        <v>217565.56825499999</v>
      </c>
      <c r="J21" s="227">
        <f>IS!J3</f>
        <v>248662.61593954999</v>
      </c>
      <c r="K21" s="227">
        <f>IS!K3</f>
        <v>273928.02891626151</v>
      </c>
      <c r="L21" s="227">
        <f>IS!L3</f>
        <v>299015.07935290295</v>
      </c>
      <c r="M21" s="227">
        <f>IS!M3</f>
        <v>324029.40780214767</v>
      </c>
      <c r="N21" s="227">
        <f>IS!N3</f>
        <v>347715.15772864118</v>
      </c>
      <c r="O21" s="227">
        <f>IS!O3</f>
        <v>369524.99855394411</v>
      </c>
      <c r="P21" s="227">
        <f>IS!P3</f>
        <v>389721.21787253965</v>
      </c>
      <c r="Q21" s="247">
        <f>IS!P3*(1+Q22)</f>
        <v>405310.06658744125</v>
      </c>
    </row>
    <row r="22" spans="2:17" x14ac:dyDescent="0.35">
      <c r="B22" s="132" t="s">
        <v>397</v>
      </c>
      <c r="E22" s="136"/>
      <c r="F22" s="136">
        <f>F21/E21-1</f>
        <v>0.23421586757475987</v>
      </c>
      <c r="G22" s="136">
        <f t="shared" ref="G22:P22" si="4">G21/F21-1</f>
        <v>0.19271226949473408</v>
      </c>
      <c r="H22" s="136">
        <f t="shared" si="4"/>
        <v>0.17800297146134736</v>
      </c>
      <c r="I22" s="136">
        <f t="shared" si="4"/>
        <v>0.13177912842175243</v>
      </c>
      <c r="J22" s="136">
        <f t="shared" si="4"/>
        <v>0.14293184318624519</v>
      </c>
      <c r="K22" s="136">
        <f t="shared" si="4"/>
        <v>0.10160519256683753</v>
      </c>
      <c r="L22" s="136">
        <f t="shared" si="4"/>
        <v>9.158263408053946E-2</v>
      </c>
      <c r="M22" s="136">
        <f t="shared" si="4"/>
        <v>8.3655742390578158E-2</v>
      </c>
      <c r="N22" s="136">
        <f t="shared" si="4"/>
        <v>7.3097531755377032E-2</v>
      </c>
      <c r="O22" s="136">
        <f t="shared" si="4"/>
        <v>6.272329618234096E-2</v>
      </c>
      <c r="P22" s="136">
        <f t="shared" si="4"/>
        <v>5.4654541364262288E-2</v>
      </c>
      <c r="Q22" s="248">
        <f>C14</f>
        <v>0.04</v>
      </c>
    </row>
    <row r="23" spans="2:17" x14ac:dyDescent="0.35">
      <c r="Q23" s="246"/>
    </row>
    <row r="24" spans="2:17" x14ac:dyDescent="0.35">
      <c r="B24" t="s">
        <v>398</v>
      </c>
      <c r="E24" s="227">
        <f>IS!E12</f>
        <v>26146</v>
      </c>
      <c r="F24" s="227">
        <f>IS!F12</f>
        <v>26321</v>
      </c>
      <c r="G24" s="227">
        <f>IS!G12</f>
        <v>36028.466</v>
      </c>
      <c r="H24" s="227">
        <f>IS!H12</f>
        <v>44457.324002000008</v>
      </c>
      <c r="I24" s="227">
        <f>IS!I12</f>
        <v>-148768.90656236495</v>
      </c>
      <c r="J24" s="227">
        <f>IS!J12</f>
        <v>60290.218104704894</v>
      </c>
      <c r="K24" s="227">
        <f>IS!K12</f>
        <v>68162.421057625266</v>
      </c>
      <c r="L24" s="227">
        <f>IS!L12</f>
        <v>76281.239374466211</v>
      </c>
      <c r="M24" s="227">
        <f>IS!M12</f>
        <v>84804.535605288722</v>
      </c>
      <c r="N24" s="227">
        <f>IS!N12</f>
        <v>92660.511416366993</v>
      </c>
      <c r="O24" s="227">
        <f>IS!O12</f>
        <v>100064.13179776544</v>
      </c>
      <c r="P24" s="227">
        <f>IS!P12</f>
        <v>107220.03104043222</v>
      </c>
      <c r="Q24" s="249">
        <f>Q31-Q27</f>
        <v>111508.83228204952</v>
      </c>
    </row>
    <row r="25" spans="2:17" x14ac:dyDescent="0.35">
      <c r="B25" s="132" t="s">
        <v>399</v>
      </c>
      <c r="E25" s="136">
        <f>E24/E21</f>
        <v>0.23585765188760091</v>
      </c>
      <c r="F25" s="136">
        <f t="shared" ref="F25:P25" si="5">F24/F21</f>
        <v>0.19237825155862856</v>
      </c>
      <c r="G25" s="136">
        <f t="shared" si="5"/>
        <v>0.22078200479576335</v>
      </c>
      <c r="H25" s="136">
        <f t="shared" si="5"/>
        <v>0.23126762113375304</v>
      </c>
      <c r="I25" s="136">
        <f t="shared" si="5"/>
        <v>-0.68378883550175917</v>
      </c>
      <c r="J25" s="136">
        <f t="shared" si="5"/>
        <v>0.24245790979437568</v>
      </c>
      <c r="K25" s="136">
        <f t="shared" si="5"/>
        <v>0.2488333206619838</v>
      </c>
      <c r="L25" s="136">
        <f t="shared" si="5"/>
        <v>0.25510833613992334</v>
      </c>
      <c r="M25" s="136">
        <f t="shared" si="5"/>
        <v>0.26171863899794662</v>
      </c>
      <c r="N25" s="136">
        <f t="shared" si="5"/>
        <v>0.26648395779363682</v>
      </c>
      <c r="O25" s="136">
        <f t="shared" si="5"/>
        <v>0.27079123791176429</v>
      </c>
      <c r="P25" s="136">
        <f t="shared" si="5"/>
        <v>0.27511981930503743</v>
      </c>
      <c r="Q25" s="246"/>
    </row>
    <row r="26" spans="2:17" x14ac:dyDescent="0.35">
      <c r="Q26" s="246"/>
    </row>
    <row r="27" spans="2:17" s="155" customFormat="1" x14ac:dyDescent="0.35">
      <c r="B27" s="155" t="s">
        <v>313</v>
      </c>
      <c r="E27" s="241">
        <f>CF!E8+CF!E9</f>
        <v>6915</v>
      </c>
      <c r="F27" s="241">
        <f>CF!F8+CF!F9</f>
        <v>9035</v>
      </c>
      <c r="G27" s="241">
        <f>CF!G8+CF!G9</f>
        <v>11381.5</v>
      </c>
      <c r="H27" s="241">
        <f>CF!H8+CF!H9</f>
        <v>13987.3</v>
      </c>
      <c r="I27" s="241">
        <f>CF!I8+CF!I9</f>
        <v>16508.599999999999</v>
      </c>
      <c r="J27" s="241">
        <f>CF!J8+CF!J9</f>
        <v>20467</v>
      </c>
      <c r="K27" s="241">
        <f>CF!K8+CF!K9</f>
        <v>23495.8</v>
      </c>
      <c r="L27" s="241">
        <f>CF!L8+CF!L9</f>
        <v>26810.1</v>
      </c>
      <c r="M27" s="241">
        <f>CF!M8+CF!M9</f>
        <v>30231.1</v>
      </c>
      <c r="N27" s="241">
        <f>CF!N8+CF!N9</f>
        <v>33032.93998422091</v>
      </c>
      <c r="O27" s="241">
        <f>CF!O8+CF!O9</f>
        <v>35104.874862624689</v>
      </c>
      <c r="P27" s="241">
        <f>CF!P8+CF!P9</f>
        <v>37023.515697891264</v>
      </c>
      <c r="Q27" s="250">
        <f>-Q34*Q29</f>
        <v>38504.456325806917</v>
      </c>
    </row>
    <row r="28" spans="2:17" x14ac:dyDescent="0.35">
      <c r="B28" s="235" t="s">
        <v>401</v>
      </c>
      <c r="E28" s="136">
        <f>E27/E21</f>
        <v>6.237878309503405E-2</v>
      </c>
      <c r="F28" s="136">
        <f t="shared" ref="F28:Q28" si="6">F27/F21</f>
        <v>6.6036149949933856E-2</v>
      </c>
      <c r="G28" s="136">
        <f t="shared" si="6"/>
        <v>6.9745694628879848E-2</v>
      </c>
      <c r="H28" s="136">
        <f t="shared" si="6"/>
        <v>7.2762130193410171E-2</v>
      </c>
      <c r="I28" s="136">
        <f t="shared" si="6"/>
        <v>7.5878734546134252E-2</v>
      </c>
      <c r="J28" s="136">
        <f t="shared" si="6"/>
        <v>8.2308311294270062E-2</v>
      </c>
      <c r="K28" s="136">
        <f t="shared" si="6"/>
        <v>8.5773624893210734E-2</v>
      </c>
      <c r="L28" s="136">
        <f t="shared" si="6"/>
        <v>8.966136443024747E-2</v>
      </c>
      <c r="M28" s="136">
        <f t="shared" si="6"/>
        <v>9.3297396076034877E-2</v>
      </c>
      <c r="N28" s="136">
        <f t="shared" si="6"/>
        <v>9.4999999999999987E-2</v>
      </c>
      <c r="O28" s="136">
        <f t="shared" si="6"/>
        <v>9.5000000000000001E-2</v>
      </c>
      <c r="P28" s="136">
        <f t="shared" si="6"/>
        <v>9.4999999999999987E-2</v>
      </c>
      <c r="Q28" s="248">
        <f t="shared" si="6"/>
        <v>9.5000000000000001E-2</v>
      </c>
    </row>
    <row r="29" spans="2:17" x14ac:dyDescent="0.35">
      <c r="B29" s="235" t="s">
        <v>400</v>
      </c>
      <c r="E29" s="136">
        <f>E27/-E34</f>
        <v>0.51332492019894593</v>
      </c>
      <c r="F29" s="136">
        <f t="shared" ref="F29:P29" si="7">F27/-F34</f>
        <v>0.33927900863687571</v>
      </c>
      <c r="G29" s="136">
        <f t="shared" si="7"/>
        <v>0.43738607235774341</v>
      </c>
      <c r="H29" s="136">
        <f t="shared" si="7"/>
        <v>0.49731914923876641</v>
      </c>
      <c r="I29" s="136">
        <f t="shared" si="7"/>
        <v>0.5436642322465346</v>
      </c>
      <c r="J29" s="136">
        <f t="shared" si="7"/>
        <v>0.68646884611385584</v>
      </c>
      <c r="K29" s="136">
        <f t="shared" si="7"/>
        <v>0.76297327005476534</v>
      </c>
      <c r="L29" s="136">
        <f t="shared" si="7"/>
        <v>0.91454915726025154</v>
      </c>
      <c r="M29" s="136">
        <f t="shared" si="7"/>
        <v>1.0021779920040841</v>
      </c>
      <c r="N29" s="136">
        <f t="shared" si="7"/>
        <v>0.94999999999999984</v>
      </c>
      <c r="O29" s="136">
        <f t="shared" si="7"/>
        <v>0.95</v>
      </c>
      <c r="P29" s="136">
        <f t="shared" si="7"/>
        <v>0.95</v>
      </c>
      <c r="Q29" s="251">
        <f>C16</f>
        <v>0.95</v>
      </c>
    </row>
    <row r="30" spans="2:17" x14ac:dyDescent="0.35">
      <c r="Q30" s="246"/>
    </row>
    <row r="31" spans="2:17" x14ac:dyDescent="0.35">
      <c r="B31" t="s">
        <v>402</v>
      </c>
      <c r="E31" s="234">
        <f>E24+E27</f>
        <v>33061</v>
      </c>
      <c r="F31" s="234">
        <f t="shared" ref="F31:P31" si="8">F24+F27</f>
        <v>35356</v>
      </c>
      <c r="G31" s="234">
        <f t="shared" si="8"/>
        <v>47409.966</v>
      </c>
      <c r="H31" s="234">
        <f t="shared" si="8"/>
        <v>58444.624002000011</v>
      </c>
      <c r="I31" s="234">
        <f t="shared" si="8"/>
        <v>-132260.30656236495</v>
      </c>
      <c r="J31" s="234">
        <f t="shared" si="8"/>
        <v>80757.218104704894</v>
      </c>
      <c r="K31" s="234">
        <f t="shared" si="8"/>
        <v>91658.221057625269</v>
      </c>
      <c r="L31" s="234">
        <f t="shared" si="8"/>
        <v>103091.33937446622</v>
      </c>
      <c r="M31" s="234">
        <f t="shared" si="8"/>
        <v>115035.63560528873</v>
      </c>
      <c r="N31" s="234">
        <f t="shared" si="8"/>
        <v>125693.4514005879</v>
      </c>
      <c r="O31" s="234">
        <f t="shared" si="8"/>
        <v>135169.00666039012</v>
      </c>
      <c r="P31" s="234">
        <f t="shared" si="8"/>
        <v>144243.54673832349</v>
      </c>
      <c r="Q31" s="249">
        <f>Q32*Q21</f>
        <v>150013.28860785643</v>
      </c>
    </row>
    <row r="32" spans="2:17" s="177" customFormat="1" x14ac:dyDescent="0.35">
      <c r="B32" s="132" t="s">
        <v>399</v>
      </c>
      <c r="E32" s="136">
        <f>E31/E21</f>
        <v>0.29823643498263497</v>
      </c>
      <c r="F32" s="136">
        <f t="shared" ref="F32:O32" si="9">F31/F21</f>
        <v>0.25841440150856243</v>
      </c>
      <c r="G32" s="136">
        <f t="shared" si="9"/>
        <v>0.29052769942464318</v>
      </c>
      <c r="H32" s="136">
        <f t="shared" si="9"/>
        <v>0.30402975132716326</v>
      </c>
      <c r="I32" s="136">
        <f t="shared" si="9"/>
        <v>-0.60791010095562492</v>
      </c>
      <c r="J32" s="136">
        <f t="shared" si="9"/>
        <v>0.32476622108864572</v>
      </c>
      <c r="K32" s="136">
        <f t="shared" si="9"/>
        <v>0.33460694555519455</v>
      </c>
      <c r="L32" s="136">
        <f t="shared" si="9"/>
        <v>0.34476970057017081</v>
      </c>
      <c r="M32" s="136">
        <f t="shared" si="9"/>
        <v>0.35501603507398155</v>
      </c>
      <c r="N32" s="136">
        <f t="shared" si="9"/>
        <v>0.36148395779363685</v>
      </c>
      <c r="O32" s="136">
        <f t="shared" si="9"/>
        <v>0.36579123791176427</v>
      </c>
      <c r="P32" s="136">
        <f>P31/P21</f>
        <v>0.3701198193050374</v>
      </c>
      <c r="Q32" s="252">
        <f>C17</f>
        <v>0.3701198193050374</v>
      </c>
    </row>
    <row r="33" spans="2:17" x14ac:dyDescent="0.35">
      <c r="Q33" s="246"/>
    </row>
    <row r="34" spans="2:17" s="155" customFormat="1" x14ac:dyDescent="0.35">
      <c r="B34" s="155" t="s">
        <v>316</v>
      </c>
      <c r="C34" s="187" t="s">
        <v>403</v>
      </c>
      <c r="D34" s="187"/>
      <c r="E34" s="182">
        <f>CF!E27+CF!E35</f>
        <v>-13471</v>
      </c>
      <c r="F34" s="182">
        <f>CF!F27+CF!F35</f>
        <v>-26630</v>
      </c>
      <c r="G34" s="182">
        <f>CF!G27+CF!G35</f>
        <v>-26021.633333333331</v>
      </c>
      <c r="H34" s="182">
        <f>CF!H27+CF!H35</f>
        <v>-28125.399999999998</v>
      </c>
      <c r="I34" s="182">
        <f>CF!I27+CF!I35</f>
        <v>-30365.433333333334</v>
      </c>
      <c r="J34" s="182">
        <f>CF!J27+CF!J35</f>
        <v>-29814.9</v>
      </c>
      <c r="K34" s="182">
        <f>CF!K27+CF!K35</f>
        <v>-30795.05</v>
      </c>
      <c r="L34" s="182">
        <f>CF!L27+CF!L35</f>
        <v>-29315.1</v>
      </c>
      <c r="M34" s="182">
        <f>CF!M27+CF!M35</f>
        <v>-30165.4</v>
      </c>
      <c r="N34" s="182">
        <f>CF!N27+CF!N35</f>
        <v>-34771.515772864121</v>
      </c>
      <c r="O34" s="182">
        <f>CF!O27+CF!O35</f>
        <v>-36952.49985539441</v>
      </c>
      <c r="P34" s="182">
        <f>CF!P27+CF!P35</f>
        <v>-38972.121787253964</v>
      </c>
      <c r="Q34" s="250">
        <f>-Q21*Q35</f>
        <v>-40531.006658744125</v>
      </c>
    </row>
    <row r="35" spans="2:17" s="177" customFormat="1" x14ac:dyDescent="0.35">
      <c r="B35" s="235" t="s">
        <v>401</v>
      </c>
      <c r="E35" s="136">
        <f>-E34/E21</f>
        <v>0.1215191015290244</v>
      </c>
      <c r="F35" s="136">
        <f t="shared" ref="F35:P35" si="10">-F34/F21</f>
        <v>0.19463670981369546</v>
      </c>
      <c r="G35" s="136">
        <f t="shared" si="10"/>
        <v>0.15946025499374841</v>
      </c>
      <c r="H35" s="136">
        <f t="shared" si="10"/>
        <v>0.1463087240955537</v>
      </c>
      <c r="I35" s="136">
        <f t="shared" si="10"/>
        <v>0.13956911278232781</v>
      </c>
      <c r="J35" s="136">
        <f t="shared" si="10"/>
        <v>0.11990101482423084</v>
      </c>
      <c r="K35" s="136">
        <f t="shared" si="10"/>
        <v>0.11242022264692708</v>
      </c>
      <c r="L35" s="136">
        <f t="shared" si="10"/>
        <v>9.8038868352193678E-2</v>
      </c>
      <c r="M35" s="136">
        <f t="shared" si="10"/>
        <v>9.3094636701675518E-2</v>
      </c>
      <c r="N35" s="136">
        <f t="shared" si="10"/>
        <v>0.1</v>
      </c>
      <c r="O35" s="136">
        <f t="shared" si="10"/>
        <v>9.9999999999999992E-2</v>
      </c>
      <c r="P35" s="136">
        <f t="shared" si="10"/>
        <v>9.9999999999999992E-2</v>
      </c>
      <c r="Q35" s="252">
        <f>C18</f>
        <v>9.9999999999999992E-2</v>
      </c>
    </row>
    <row r="36" spans="2:17" x14ac:dyDescent="0.35">
      <c r="Q36" s="246"/>
    </row>
    <row r="37" spans="2:17" x14ac:dyDescent="0.35">
      <c r="B37" s="155" t="s">
        <v>405</v>
      </c>
      <c r="C37" s="155"/>
      <c r="D37" s="155"/>
      <c r="E37" s="238">
        <f>E24*(1-$C$11)</f>
        <v>20655.34</v>
      </c>
      <c r="F37" s="238">
        <f t="shared" ref="F37:P37" si="11">F24*(1-$C$11)</f>
        <v>20793.59</v>
      </c>
      <c r="G37" s="238">
        <f t="shared" si="11"/>
        <v>28462.488140000001</v>
      </c>
      <c r="H37" s="238">
        <f t="shared" si="11"/>
        <v>35121.285961580012</v>
      </c>
      <c r="I37" s="238">
        <f t="shared" si="11"/>
        <v>-117527.43618426831</v>
      </c>
      <c r="J37" s="238">
        <f t="shared" si="11"/>
        <v>47629.272302716869</v>
      </c>
      <c r="K37" s="238">
        <f t="shared" si="11"/>
        <v>53848.312635523966</v>
      </c>
      <c r="L37" s="238">
        <f t="shared" si="11"/>
        <v>60262.179105828312</v>
      </c>
      <c r="M37" s="238">
        <f t="shared" si="11"/>
        <v>66995.583128178099</v>
      </c>
      <c r="N37" s="238">
        <f t="shared" si="11"/>
        <v>73201.804018929921</v>
      </c>
      <c r="O37" s="238">
        <f t="shared" si="11"/>
        <v>79050.664120234695</v>
      </c>
      <c r="P37" s="238">
        <f t="shared" si="11"/>
        <v>84703.824521941453</v>
      </c>
      <c r="Q37" s="253">
        <f t="shared" ref="Q37" si="12">Q24*(1-$C$11)</f>
        <v>88091.977502819122</v>
      </c>
    </row>
    <row r="38" spans="2:17" x14ac:dyDescent="0.35">
      <c r="B38" s="235" t="s">
        <v>399</v>
      </c>
      <c r="E38" s="136">
        <f>E37/E21</f>
        <v>0.18632754499120474</v>
      </c>
      <c r="F38" s="136">
        <f t="shared" ref="F38:Q38" si="13">F37/F21</f>
        <v>0.15197881873131655</v>
      </c>
      <c r="G38" s="136">
        <f t="shared" si="13"/>
        <v>0.17441778378865305</v>
      </c>
      <c r="H38" s="136">
        <f t="shared" si="13"/>
        <v>0.18270142069566492</v>
      </c>
      <c r="I38" s="136">
        <f t="shared" si="13"/>
        <v>-0.54019318004638972</v>
      </c>
      <c r="J38" s="136">
        <f t="shared" si="13"/>
        <v>0.19154174873755681</v>
      </c>
      <c r="K38" s="136">
        <f t="shared" si="13"/>
        <v>0.19657832332296721</v>
      </c>
      <c r="L38" s="136">
        <f t="shared" si="13"/>
        <v>0.20153558555053944</v>
      </c>
      <c r="M38" s="136">
        <f t="shared" si="13"/>
        <v>0.20675772480837787</v>
      </c>
      <c r="N38" s="136">
        <f t="shared" si="13"/>
        <v>0.2105223266569731</v>
      </c>
      <c r="O38" s="136">
        <f t="shared" si="13"/>
        <v>0.21392507795029378</v>
      </c>
      <c r="P38" s="136">
        <f t="shared" si="13"/>
        <v>0.21734465725097954</v>
      </c>
      <c r="Q38" s="248">
        <f t="shared" si="13"/>
        <v>0.21734465725097957</v>
      </c>
    </row>
    <row r="39" spans="2:17" x14ac:dyDescent="0.35">
      <c r="Q39" s="246"/>
    </row>
    <row r="40" spans="2:17" ht="29" x14ac:dyDescent="0.35">
      <c r="B40" s="239" t="s">
        <v>406</v>
      </c>
      <c r="E40" s="182">
        <f>CF!E16+CF!E18+CF!E19+CF!E20+CF!E21+CF!E22</f>
        <v>1035</v>
      </c>
      <c r="F40" s="182">
        <f>CF!F16+CF!F18+CF!F19+CF!F20+CF!F21+CF!F22</f>
        <v>7159</v>
      </c>
      <c r="G40" s="182">
        <f>CF!G16+CF!G18+CF!G19+CF!G20+CF!G21+CF!G22</f>
        <v>3283.4248633333373</v>
      </c>
      <c r="H40" s="182">
        <f>CF!H16+CF!H18+CF!H19+CF!H20+CF!H21+CF!H22</f>
        <v>-8294.4054717900071</v>
      </c>
      <c r="I40" s="182">
        <f>CF!I16+CF!I18+CF!I19+CF!I20+CF!I21+CF!I22</f>
        <v>29507.359018897914</v>
      </c>
      <c r="J40" s="182">
        <f>CF!J16+CF!J18+CF!J19+CF!J20+CF!J21+CF!J22</f>
        <v>-28791.011637476815</v>
      </c>
      <c r="K40" s="182">
        <f>CF!K16+CF!K18+CF!K19+CF!K20+CF!K21+CF!K22</f>
        <v>-285.62911296946868</v>
      </c>
      <c r="L40" s="182">
        <f>CF!L16+CF!L18+CF!L19+CF!L20+CF!L21+CF!L22</f>
        <v>-168.77514533333033</v>
      </c>
      <c r="M40" s="182">
        <f>CF!M16+CF!M18+CF!M19+CF!M20+CF!M21+CF!M22</f>
        <v>277.21434635389096</v>
      </c>
      <c r="N40" s="182">
        <f>CF!N16+CF!N18+CF!N19+CF!N20+CF!N21+CF!N22</f>
        <v>393.08950283292324</v>
      </c>
      <c r="O40" s="182">
        <f>CF!O16+CF!O18+CF!O19+CF!O20+CF!O21+CF!O22</f>
        <v>365.94470878704169</v>
      </c>
      <c r="P40" s="182">
        <f>CF!P16+CF!P18+CF!P19+CF!P20+CF!P21+CF!P22</f>
        <v>299.69694943676404</v>
      </c>
      <c r="Q40" s="254">
        <f>Q41*Q21</f>
        <v>-4053.1006658744127</v>
      </c>
    </row>
    <row r="41" spans="2:17" s="177" customFormat="1" x14ac:dyDescent="0.35">
      <c r="B41" s="235" t="s">
        <v>401</v>
      </c>
      <c r="E41" s="136">
        <f>E40/E21</f>
        <v>9.3365206801677876E-3</v>
      </c>
      <c r="F41" s="136">
        <f t="shared" ref="F41:P41" si="14">F40/F21</f>
        <v>5.2324604038912724E-2</v>
      </c>
      <c r="G41" s="136">
        <f t="shared" si="14"/>
        <v>2.0120787932602777E-2</v>
      </c>
      <c r="H41" s="136">
        <f t="shared" si="14"/>
        <v>-4.3147613250256893E-2</v>
      </c>
      <c r="I41" s="136">
        <f t="shared" si="14"/>
        <v>0.13562513248563995</v>
      </c>
      <c r="J41" s="136">
        <f t="shared" si="14"/>
        <v>-0.11578343422750738</v>
      </c>
      <c r="K41" s="136">
        <f t="shared" si="14"/>
        <v>-1.0427159064353511E-3</v>
      </c>
      <c r="L41" s="136">
        <f t="shared" si="14"/>
        <v>-5.6443690297685244E-4</v>
      </c>
      <c r="M41" s="136">
        <f t="shared" si="14"/>
        <v>8.5552218310739876E-4</v>
      </c>
      <c r="N41" s="136">
        <f t="shared" si="14"/>
        <v>1.1304928591571279E-3</v>
      </c>
      <c r="O41" s="136">
        <f t="shared" si="14"/>
        <v>9.9031110268340953E-4</v>
      </c>
      <c r="P41" s="136">
        <f t="shared" si="14"/>
        <v>7.6900342011858715E-4</v>
      </c>
      <c r="Q41" s="252">
        <f>C19</f>
        <v>-0.01</v>
      </c>
    </row>
    <row r="42" spans="2:17" x14ac:dyDescent="0.35">
      <c r="Q42" s="246"/>
    </row>
    <row r="43" spans="2:17" x14ac:dyDescent="0.35">
      <c r="B43" s="170" t="s">
        <v>407</v>
      </c>
      <c r="C43" s="170"/>
      <c r="D43" s="170"/>
      <c r="E43" s="240">
        <f>E37+E27+E40+E34</f>
        <v>15134.34</v>
      </c>
      <c r="F43" s="240">
        <f t="shared" ref="F43:Q43" si="15">F37+F27+F40+F34</f>
        <v>10357.589999999997</v>
      </c>
      <c r="G43" s="240">
        <f t="shared" si="15"/>
        <v>17105.779670000004</v>
      </c>
      <c r="H43" s="240">
        <f t="shared" si="15"/>
        <v>12688.78048979001</v>
      </c>
      <c r="I43" s="240">
        <f t="shared" si="15"/>
        <v>-101876.91049870374</v>
      </c>
      <c r="J43" s="240">
        <f t="shared" si="15"/>
        <v>9490.3606652400558</v>
      </c>
      <c r="K43" s="240">
        <f t="shared" si="15"/>
        <v>46263.433522554493</v>
      </c>
      <c r="L43" s="240">
        <f t="shared" si="15"/>
        <v>57588.403960494987</v>
      </c>
      <c r="M43" s="240">
        <f t="shared" si="15"/>
        <v>67338.497474531992</v>
      </c>
      <c r="N43" s="240">
        <f t="shared" si="15"/>
        <v>71856.317733119635</v>
      </c>
      <c r="O43" s="240">
        <f t="shared" si="15"/>
        <v>77568.983836252009</v>
      </c>
      <c r="P43" s="240">
        <f t="shared" si="15"/>
        <v>83054.915382015519</v>
      </c>
      <c r="Q43" s="255">
        <f t="shared" si="15"/>
        <v>82012.326504007491</v>
      </c>
    </row>
    <row r="44" spans="2:17" s="177" customFormat="1" x14ac:dyDescent="0.35">
      <c r="B44" s="235" t="s">
        <v>401</v>
      </c>
      <c r="E44" s="136">
        <f>E43/E21</f>
        <v>0.13652374723738217</v>
      </c>
      <c r="F44" s="136">
        <f t="shared" ref="F44:P44" si="16">F43/F21</f>
        <v>7.5702862906467647E-2</v>
      </c>
      <c r="G44" s="136">
        <f t="shared" si="16"/>
        <v>0.10482401135638725</v>
      </c>
      <c r="H44" s="136">
        <f t="shared" si="16"/>
        <v>6.6007213543264512E-2</v>
      </c>
      <c r="I44" s="136">
        <f t="shared" si="16"/>
        <v>-0.46825842579694343</v>
      </c>
      <c r="J44" s="136">
        <f t="shared" si="16"/>
        <v>3.8165610980088652E-2</v>
      </c>
      <c r="K44" s="136">
        <f t="shared" si="16"/>
        <v>0.1688890096628155</v>
      </c>
      <c r="L44" s="136">
        <f t="shared" si="16"/>
        <v>0.19259364472561641</v>
      </c>
      <c r="M44" s="136">
        <f t="shared" si="16"/>
        <v>0.20781600636584466</v>
      </c>
      <c r="N44" s="136">
        <f t="shared" si="16"/>
        <v>0.20665281951613021</v>
      </c>
      <c r="O44" s="136">
        <f t="shared" si="16"/>
        <v>0.20991538905297719</v>
      </c>
      <c r="P44" s="136">
        <f t="shared" si="16"/>
        <v>0.21311366067109813</v>
      </c>
    </row>
    <row r="46" spans="2:17" x14ac:dyDescent="0.35">
      <c r="B46" t="s">
        <v>409</v>
      </c>
      <c r="E46" s="236">
        <f>$C$13</f>
        <v>0.1</v>
      </c>
      <c r="F46" s="236">
        <f t="shared" ref="F46:P46" si="17">$C$13</f>
        <v>0.1</v>
      </c>
      <c r="G46" s="236">
        <f t="shared" si="17"/>
        <v>0.1</v>
      </c>
      <c r="H46" s="236">
        <f t="shared" si="17"/>
        <v>0.1</v>
      </c>
      <c r="I46" s="236">
        <f t="shared" si="17"/>
        <v>0.1</v>
      </c>
      <c r="J46" s="236">
        <f t="shared" si="17"/>
        <v>0.1</v>
      </c>
      <c r="K46" s="236">
        <f t="shared" si="17"/>
        <v>0.1</v>
      </c>
      <c r="L46" s="236">
        <f t="shared" si="17"/>
        <v>0.1</v>
      </c>
      <c r="M46" s="236">
        <f t="shared" si="17"/>
        <v>0.1</v>
      </c>
      <c r="N46" s="236">
        <f t="shared" si="17"/>
        <v>0.1</v>
      </c>
      <c r="O46" s="236">
        <f t="shared" si="17"/>
        <v>0.1</v>
      </c>
      <c r="P46" s="236">
        <f t="shared" si="17"/>
        <v>0.1</v>
      </c>
    </row>
    <row r="47" spans="2:17" x14ac:dyDescent="0.35">
      <c r="B47" t="s">
        <v>411</v>
      </c>
      <c r="E47" s="242">
        <f t="shared" ref="E47:P47" si="18">IF($C$12&gt;=E4, 0, IF(AND($C$12&gt;=E2, $C$12&lt;=E4),(E4-$C$12)/365, 1))</f>
        <v>0</v>
      </c>
      <c r="F47" s="242">
        <f t="shared" si="18"/>
        <v>0</v>
      </c>
      <c r="G47" s="242">
        <f t="shared" si="18"/>
        <v>0.50410958904109593</v>
      </c>
      <c r="H47" s="242">
        <f t="shared" si="18"/>
        <v>1</v>
      </c>
      <c r="I47" s="242">
        <f t="shared" si="18"/>
        <v>1</v>
      </c>
      <c r="J47" s="242">
        <f t="shared" si="18"/>
        <v>1</v>
      </c>
      <c r="K47" s="242">
        <f t="shared" si="18"/>
        <v>1</v>
      </c>
      <c r="L47" s="242">
        <f t="shared" si="18"/>
        <v>1</v>
      </c>
      <c r="M47" s="242">
        <f t="shared" si="18"/>
        <v>1</v>
      </c>
      <c r="N47" s="242">
        <f t="shared" si="18"/>
        <v>1</v>
      </c>
      <c r="O47" s="242">
        <f t="shared" si="18"/>
        <v>1</v>
      </c>
      <c r="P47" s="242">
        <f t="shared" si="18"/>
        <v>1</v>
      </c>
    </row>
    <row r="48" spans="2:17" x14ac:dyDescent="0.35">
      <c r="B48" t="s">
        <v>412</v>
      </c>
      <c r="E48" s="237">
        <f>IF($C$12&gt;=E4, 0, IF(AND($C$12&gt;=E2, $C$12&lt;=E4),(E4-$C$12)/365/2, (E3-$C$12)/365))</f>
        <v>0</v>
      </c>
      <c r="F48" s="237">
        <f t="shared" ref="F48:P48" si="19">IF($C$12&gt;=F4, 0, IF(AND($C$12&gt;=F2, $C$12&lt;=F4),(F4-$C$12)/365/2, (F3-$C$12)/365))</f>
        <v>0</v>
      </c>
      <c r="G48" s="237">
        <f t="shared" si="19"/>
        <v>0.25205479452054796</v>
      </c>
      <c r="H48" s="237">
        <f t="shared" si="19"/>
        <v>1.0027397260273974</v>
      </c>
      <c r="I48" s="237">
        <f t="shared" si="19"/>
        <v>2.0027397260273974</v>
      </c>
      <c r="J48" s="237">
        <f t="shared" si="19"/>
        <v>3.0027397260273974</v>
      </c>
      <c r="K48" s="237">
        <f t="shared" si="19"/>
        <v>4.0027397260273974</v>
      </c>
      <c r="L48" s="237">
        <f t="shared" si="19"/>
        <v>5.0054794520547947</v>
      </c>
      <c r="M48" s="237">
        <f t="shared" si="19"/>
        <v>6.0054794520547947</v>
      </c>
      <c r="N48" s="237">
        <f t="shared" si="19"/>
        <v>7.0054794520547947</v>
      </c>
      <c r="O48" s="237">
        <f t="shared" si="19"/>
        <v>8.0054794520547947</v>
      </c>
      <c r="P48" s="237">
        <f t="shared" si="19"/>
        <v>9.0082191780821912</v>
      </c>
    </row>
    <row r="49" spans="2:16" x14ac:dyDescent="0.35">
      <c r="B49" t="s">
        <v>413</v>
      </c>
      <c r="E49" s="237">
        <f>1/(1+E46)^E48</f>
        <v>1</v>
      </c>
      <c r="F49" s="237">
        <f t="shared" ref="F49:P49" si="20">1/(1+F46)^F48</f>
        <v>1</v>
      </c>
      <c r="G49" s="237">
        <f t="shared" si="20"/>
        <v>0.97626287686337254</v>
      </c>
      <c r="H49" s="237">
        <f t="shared" si="20"/>
        <v>0.9088535548268738</v>
      </c>
      <c r="I49" s="237">
        <f t="shared" si="20"/>
        <v>0.826230504388067</v>
      </c>
      <c r="J49" s="237">
        <f t="shared" si="20"/>
        <v>0.75111864035278819</v>
      </c>
      <c r="K49" s="237">
        <f t="shared" si="20"/>
        <v>0.68283512759344367</v>
      </c>
      <c r="L49" s="237">
        <f t="shared" si="20"/>
        <v>0.62059713307396325</v>
      </c>
      <c r="M49" s="237">
        <f t="shared" si="20"/>
        <v>0.56417921188542108</v>
      </c>
      <c r="N49" s="237">
        <f t="shared" si="20"/>
        <v>0.51289019262310998</v>
      </c>
      <c r="O49" s="237">
        <f t="shared" si="20"/>
        <v>0.46626381147555451</v>
      </c>
      <c r="P49" s="237">
        <f t="shared" si="20"/>
        <v>0.42376552254668504</v>
      </c>
    </row>
    <row r="51" spans="2:16" s="187" customFormat="1" x14ac:dyDescent="0.35">
      <c r="B51" s="187" t="s">
        <v>414</v>
      </c>
      <c r="E51" s="197">
        <f>E43*E47*E49</f>
        <v>0</v>
      </c>
      <c r="F51" s="197">
        <f t="shared" ref="F51:P51" si="21">F43*F47*F49</f>
        <v>0</v>
      </c>
      <c r="G51" s="197">
        <f t="shared" si="21"/>
        <v>8418.4978947370855</v>
      </c>
      <c r="H51" s="197">
        <f t="shared" si="21"/>
        <v>11532.243254563531</v>
      </c>
      <c r="I51" s="197">
        <f t="shared" si="21"/>
        <v>-84173.811146841952</v>
      </c>
      <c r="J51" s="197">
        <f t="shared" si="21"/>
        <v>7128.386799332693</v>
      </c>
      <c r="K51" s="197">
        <f t="shared" si="21"/>
        <v>31590.297532284298</v>
      </c>
      <c r="L51" s="197">
        <f t="shared" si="21"/>
        <v>35739.198396188462</v>
      </c>
      <c r="M51" s="197">
        <f t="shared" si="21"/>
        <v>37990.980434729878</v>
      </c>
      <c r="N51" s="197">
        <f t="shared" si="21"/>
        <v>36854.400643327121</v>
      </c>
      <c r="O51" s="197">
        <f t="shared" si="21"/>
        <v>36167.610055776546</v>
      </c>
      <c r="P51" s="197">
        <f t="shared" si="21"/>
        <v>35195.809616930514</v>
      </c>
    </row>
    <row r="53" spans="2:16" x14ac:dyDescent="0.35">
      <c r="B53" t="s">
        <v>415</v>
      </c>
      <c r="C53" s="175">
        <f>SUM(E51:P51)</f>
        <v>156443.61348102818</v>
      </c>
    </row>
    <row r="54" spans="2:16" ht="18.5" x14ac:dyDescent="0.45">
      <c r="H54" s="352" t="s">
        <v>437</v>
      </c>
      <c r="I54" s="352"/>
      <c r="J54" s="352"/>
      <c r="K54" s="352"/>
      <c r="L54" s="352"/>
    </row>
    <row r="55" spans="2:16" x14ac:dyDescent="0.35">
      <c r="B55" t="s">
        <v>423</v>
      </c>
      <c r="C55" s="175">
        <f>Q43/(C13-C14)</f>
        <v>1366872.1084001248</v>
      </c>
      <c r="G55" s="177"/>
      <c r="H55" s="177"/>
      <c r="I55" s="177"/>
      <c r="J55" s="177"/>
      <c r="K55" s="177"/>
      <c r="L55" s="177"/>
    </row>
    <row r="56" spans="2:16" ht="18.5" x14ac:dyDescent="0.45">
      <c r="B56" t="s">
        <v>424</v>
      </c>
      <c r="C56" s="175">
        <f>C55*P49</f>
        <v>579233.273270668</v>
      </c>
      <c r="G56" s="177"/>
      <c r="H56" s="276" t="s">
        <v>410</v>
      </c>
      <c r="I56" s="277"/>
      <c r="J56" s="277"/>
      <c r="K56" s="277"/>
      <c r="L56" s="278"/>
    </row>
    <row r="57" spans="2:16" x14ac:dyDescent="0.35">
      <c r="F57" s="268"/>
      <c r="G57" s="258">
        <f>C58</f>
        <v>735676.88675169623</v>
      </c>
      <c r="H57" s="269">
        <f>C8-2%</f>
        <v>0.08</v>
      </c>
      <c r="I57" s="269">
        <f>C8-1%</f>
        <v>9.0000000000000011E-2</v>
      </c>
      <c r="J57" s="270">
        <f>C8</f>
        <v>0.1</v>
      </c>
      <c r="K57" s="269">
        <f>C8+1%</f>
        <v>0.11</v>
      </c>
      <c r="L57" s="271">
        <f>C8+2%</f>
        <v>0.12000000000000001</v>
      </c>
    </row>
    <row r="58" spans="2:16" ht="15" thickBot="1" x14ac:dyDescent="0.4">
      <c r="B58" s="243" t="s">
        <v>425</v>
      </c>
      <c r="C58" s="244">
        <f>C53+C56</f>
        <v>735676.88675169623</v>
      </c>
      <c r="F58" s="356" t="s">
        <v>417</v>
      </c>
      <c r="G58" s="272">
        <f>C9-2%</f>
        <v>0.02</v>
      </c>
      <c r="H58" s="175">
        <f t="dataTable" ref="H58:L62" dt2D="1" dtr="1" r1="C13" r2="C14"/>
        <v>851528.09857359529</v>
      </c>
      <c r="I58" s="175">
        <v>697090.15922956192</v>
      </c>
      <c r="J58" s="175">
        <v>582514.24237724079</v>
      </c>
      <c r="K58" s="175">
        <v>494456.99290296109</v>
      </c>
      <c r="L58" s="175">
        <v>424915.36604310514</v>
      </c>
    </row>
    <row r="59" spans="2:16" ht="15" thickTop="1" x14ac:dyDescent="0.35">
      <c r="F59" s="357"/>
      <c r="G59" s="273">
        <f>C9-1%</f>
        <v>0.03</v>
      </c>
      <c r="H59" s="175">
        <v>993453.38465363905</v>
      </c>
      <c r="I59" s="259">
        <v>791252.42578458646</v>
      </c>
      <c r="J59" s="260">
        <v>648155.37568057876</v>
      </c>
      <c r="K59" s="261">
        <v>541942.04823088832</v>
      </c>
      <c r="L59" s="175">
        <v>460270.66958590643</v>
      </c>
    </row>
    <row r="60" spans="2:16" x14ac:dyDescent="0.35">
      <c r="B60" t="s">
        <v>426</v>
      </c>
      <c r="C60" s="175">
        <f ca="1">AVERAGE(BS!F40,BS!G40)-AVERAGE(BS!F6,BS!G6)</f>
        <v>-119252.41320825893</v>
      </c>
      <c r="F60" s="357"/>
      <c r="G60" s="274">
        <f>C9</f>
        <v>0.04</v>
      </c>
      <c r="H60" s="175">
        <v>1206341.3137737049</v>
      </c>
      <c r="I60" s="262">
        <v>923079.59896162094</v>
      </c>
      <c r="J60" s="267">
        <v>735676.88675169623</v>
      </c>
      <c r="K60" s="263">
        <v>602994.26222393778</v>
      </c>
      <c r="L60" s="175">
        <v>504464.79901440814</v>
      </c>
    </row>
    <row r="61" spans="2:16" x14ac:dyDescent="0.35">
      <c r="B61" t="s">
        <v>429</v>
      </c>
      <c r="C61" s="256">
        <v>0</v>
      </c>
      <c r="F61" s="357"/>
      <c r="G61" s="273">
        <f>C9+1%</f>
        <v>0.05</v>
      </c>
      <c r="H61" s="175">
        <v>1561154.5289738153</v>
      </c>
      <c r="I61" s="264">
        <v>1120820.3587271732</v>
      </c>
      <c r="J61" s="265">
        <v>858207.00225126068</v>
      </c>
      <c r="K61" s="266">
        <v>684397.21421467059</v>
      </c>
      <c r="L61" s="175">
        <v>561285.82256533892</v>
      </c>
    </row>
    <row r="62" spans="2:16" x14ac:dyDescent="0.35">
      <c r="B62" t="s">
        <v>270</v>
      </c>
      <c r="C62" s="256">
        <v>0</v>
      </c>
      <c r="F62" s="358"/>
      <c r="G62" s="275">
        <f>C9+2%</f>
        <v>0.06</v>
      </c>
      <c r="H62" s="175">
        <v>2270780.9593740348</v>
      </c>
      <c r="I62" s="175">
        <v>1450388.2916697594</v>
      </c>
      <c r="J62" s="175">
        <v>1042002.1755006071</v>
      </c>
      <c r="K62" s="175">
        <v>798361.34700169624</v>
      </c>
      <c r="L62" s="175">
        <v>637047.18729991338</v>
      </c>
    </row>
    <row r="63" spans="2:16" x14ac:dyDescent="0.35">
      <c r="B63" t="s">
        <v>427</v>
      </c>
      <c r="C63" s="175">
        <f>AVERAGE(BS!G16,BS!F16)</f>
        <v>13859</v>
      </c>
    </row>
    <row r="65" spans="2:3" ht="15" thickBot="1" x14ac:dyDescent="0.4">
      <c r="B65" s="243" t="s">
        <v>428</v>
      </c>
      <c r="C65" s="244">
        <f ca="1">C58-C60-C61-C62+C63</f>
        <v>868788.29995995515</v>
      </c>
    </row>
    <row r="66" spans="2:3" ht="15" thickTop="1" x14ac:dyDescent="0.35"/>
    <row r="67" spans="2:3" ht="14.5" customHeight="1" x14ac:dyDescent="0.35"/>
    <row r="68" spans="2:3" ht="14.5" customHeight="1" x14ac:dyDescent="0.35"/>
  </sheetData>
  <mergeCells count="2">
    <mergeCell ref="H54:L54"/>
    <mergeCell ref="F58:F6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1969-8C2A-4873-B591-638EC44029B1}">
  <dimension ref="B1:Q77"/>
  <sheetViews>
    <sheetView showGridLines="0" zoomScale="82" zoomScaleNormal="115" workbookViewId="0">
      <pane xSplit="2" ySplit="1" topLeftCell="C38" activePane="bottomRight" state="frozen"/>
      <selection pane="topRight" activeCell="C1" sqref="C1"/>
      <selection pane="bottomLeft" activeCell="A2" sqref="A2"/>
      <selection pane="bottomRight" activeCell="E63" sqref="E63"/>
    </sheetView>
  </sheetViews>
  <sheetFormatPr defaultRowHeight="14.5" x14ac:dyDescent="0.35"/>
  <cols>
    <col min="1" max="1" width="8.7265625" style="177"/>
    <col min="2" max="2" width="52.08984375" style="177" bestFit="1" customWidth="1"/>
    <col min="3" max="3" width="13.36328125" style="177" customWidth="1"/>
    <col min="4" max="4" width="5.26953125" style="177" customWidth="1"/>
    <col min="5" max="5" width="13.90625" style="177" customWidth="1"/>
    <col min="6" max="6" width="15.1796875" style="177" customWidth="1"/>
    <col min="7" max="7" width="12.1796875" style="177" bestFit="1" customWidth="1"/>
    <col min="8" max="16" width="12.26953125" style="177" bestFit="1" customWidth="1"/>
    <col min="17" max="17" width="11.81640625" style="177" bestFit="1" customWidth="1"/>
    <col min="18" max="16384" width="8.7265625" style="177"/>
  </cols>
  <sheetData>
    <row r="1" spans="2:17"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c r="Q1" s="245" t="s">
        <v>416</v>
      </c>
    </row>
    <row r="2" spans="2:17" x14ac:dyDescent="0.35">
      <c r="E2" s="233">
        <f t="shared" ref="E2:P2" si="1">DATE(E$1,1,1)</f>
        <v>42736</v>
      </c>
      <c r="F2" s="233">
        <f t="shared" si="1"/>
        <v>43101</v>
      </c>
      <c r="G2" s="233">
        <f t="shared" si="1"/>
        <v>43466</v>
      </c>
      <c r="H2" s="233">
        <f t="shared" si="1"/>
        <v>43831</v>
      </c>
      <c r="I2" s="233">
        <f t="shared" si="1"/>
        <v>44197</v>
      </c>
      <c r="J2" s="233">
        <f t="shared" si="1"/>
        <v>44562</v>
      </c>
      <c r="K2" s="233">
        <f t="shared" si="1"/>
        <v>44927</v>
      </c>
      <c r="L2" s="233">
        <f t="shared" si="1"/>
        <v>45292</v>
      </c>
      <c r="M2" s="233">
        <f t="shared" si="1"/>
        <v>45658</v>
      </c>
      <c r="N2" s="233">
        <f t="shared" si="1"/>
        <v>46023</v>
      </c>
      <c r="O2" s="233">
        <f t="shared" si="1"/>
        <v>46388</v>
      </c>
      <c r="P2" s="233">
        <f t="shared" si="1"/>
        <v>46753</v>
      </c>
      <c r="Q2" s="246"/>
    </row>
    <row r="3" spans="2:17" x14ac:dyDescent="0.35">
      <c r="E3" s="233">
        <f>DATE(E$1,6,30)</f>
        <v>42916</v>
      </c>
      <c r="F3" s="233">
        <f t="shared" ref="F3:P3" si="2">DATE(F$1,6,30)</f>
        <v>43281</v>
      </c>
      <c r="G3" s="233">
        <f t="shared" si="2"/>
        <v>43646</v>
      </c>
      <c r="H3" s="233">
        <f t="shared" si="2"/>
        <v>44012</v>
      </c>
      <c r="I3" s="233">
        <f t="shared" si="2"/>
        <v>44377</v>
      </c>
      <c r="J3" s="233">
        <f t="shared" si="2"/>
        <v>44742</v>
      </c>
      <c r="K3" s="233">
        <f t="shared" si="2"/>
        <v>45107</v>
      </c>
      <c r="L3" s="233">
        <f t="shared" si="2"/>
        <v>45473</v>
      </c>
      <c r="M3" s="233">
        <f t="shared" si="2"/>
        <v>45838</v>
      </c>
      <c r="N3" s="233">
        <f t="shared" si="2"/>
        <v>46203</v>
      </c>
      <c r="O3" s="233">
        <f t="shared" si="2"/>
        <v>46568</v>
      </c>
      <c r="P3" s="233">
        <f t="shared" si="2"/>
        <v>46934</v>
      </c>
      <c r="Q3" s="246"/>
    </row>
    <row r="4" spans="2:17" x14ac:dyDescent="0.35">
      <c r="E4" s="233">
        <f>DATE(E$1,12,31)</f>
        <v>43100</v>
      </c>
      <c r="F4" s="233">
        <f t="shared" ref="F4:P4" si="3">DATE(F$1,12,31)</f>
        <v>43465</v>
      </c>
      <c r="G4" s="233">
        <f t="shared" si="3"/>
        <v>43830</v>
      </c>
      <c r="H4" s="233">
        <f t="shared" si="3"/>
        <v>44196</v>
      </c>
      <c r="I4" s="233">
        <f t="shared" si="3"/>
        <v>44561</v>
      </c>
      <c r="J4" s="233">
        <f t="shared" si="3"/>
        <v>44926</v>
      </c>
      <c r="K4" s="233">
        <f t="shared" si="3"/>
        <v>45291</v>
      </c>
      <c r="L4" s="233">
        <f t="shared" si="3"/>
        <v>45657</v>
      </c>
      <c r="M4" s="233">
        <f t="shared" si="3"/>
        <v>46022</v>
      </c>
      <c r="N4" s="233">
        <f t="shared" si="3"/>
        <v>46387</v>
      </c>
      <c r="O4" s="233">
        <f t="shared" si="3"/>
        <v>46752</v>
      </c>
      <c r="P4" s="233">
        <f t="shared" si="3"/>
        <v>47118</v>
      </c>
      <c r="Q4" s="246"/>
    </row>
    <row r="5" spans="2:17" x14ac:dyDescent="0.35">
      <c r="E5" s="233"/>
      <c r="F5" s="233"/>
      <c r="G5" s="233"/>
      <c r="H5" s="233"/>
      <c r="I5" s="233"/>
      <c r="J5" s="233"/>
      <c r="K5" s="233"/>
      <c r="L5" s="233"/>
      <c r="M5" s="233"/>
      <c r="N5" s="233"/>
      <c r="O5" s="233"/>
      <c r="P5" s="233"/>
      <c r="Q5" s="246"/>
    </row>
    <row r="6" spans="2:17" x14ac:dyDescent="0.35">
      <c r="B6" s="155" t="s">
        <v>404</v>
      </c>
      <c r="E6" s="233"/>
      <c r="F6" s="233"/>
      <c r="G6" s="233"/>
      <c r="H6" s="233"/>
      <c r="I6" s="233"/>
      <c r="J6" s="233"/>
      <c r="K6" s="233"/>
      <c r="L6" s="233"/>
      <c r="M6" s="233"/>
      <c r="N6" s="233"/>
      <c r="O6" s="233"/>
      <c r="P6" s="233"/>
      <c r="Q6" s="246"/>
    </row>
    <row r="7" spans="2:17" x14ac:dyDescent="0.35">
      <c r="B7" s="155"/>
      <c r="E7" s="233"/>
      <c r="F7" s="233"/>
      <c r="G7" s="233"/>
      <c r="H7" s="233"/>
      <c r="I7" s="233"/>
      <c r="J7" s="233"/>
      <c r="K7" s="233"/>
      <c r="L7" s="233"/>
      <c r="M7" s="233"/>
      <c r="N7" s="233"/>
      <c r="O7" s="233"/>
      <c r="P7" s="233"/>
      <c r="Q7" s="246"/>
    </row>
    <row r="8" spans="2:17" x14ac:dyDescent="0.35">
      <c r="B8" s="177" t="s">
        <v>410</v>
      </c>
      <c r="C8" s="226">
        <v>0.10249999999999999</v>
      </c>
      <c r="E8" s="233"/>
      <c r="F8" s="233"/>
      <c r="G8" s="233"/>
      <c r="H8" s="233"/>
      <c r="I8" s="233"/>
      <c r="J8" s="233"/>
      <c r="K8" s="233"/>
      <c r="L8" s="233"/>
      <c r="M8" s="233"/>
      <c r="N8" s="233"/>
      <c r="O8" s="233"/>
      <c r="P8" s="233"/>
      <c r="Q8" s="246"/>
    </row>
    <row r="9" spans="2:17" x14ac:dyDescent="0.35">
      <c r="B9" s="177" t="s">
        <v>417</v>
      </c>
      <c r="C9" s="226">
        <v>0.04</v>
      </c>
      <c r="E9" s="233"/>
      <c r="F9" s="233"/>
      <c r="G9" s="233"/>
      <c r="H9" s="233"/>
      <c r="I9" s="233"/>
      <c r="J9" s="233"/>
      <c r="K9" s="233"/>
      <c r="L9" s="233"/>
      <c r="M9" s="233"/>
      <c r="N9" s="233"/>
      <c r="O9" s="233"/>
      <c r="P9" s="233"/>
      <c r="Q9" s="246"/>
    </row>
    <row r="10" spans="2:17" x14ac:dyDescent="0.35">
      <c r="E10" s="233"/>
      <c r="F10" s="233"/>
      <c r="G10" s="233"/>
      <c r="H10" s="233"/>
      <c r="I10" s="233"/>
      <c r="J10" s="233"/>
      <c r="K10" s="233"/>
      <c r="L10" s="233"/>
      <c r="M10" s="233"/>
      <c r="N10" s="233"/>
      <c r="O10" s="233"/>
      <c r="P10" s="233"/>
      <c r="Q10" s="246"/>
    </row>
    <row r="11" spans="2:17" x14ac:dyDescent="0.35">
      <c r="B11" s="177" t="s">
        <v>395</v>
      </c>
      <c r="C11" s="185">
        <v>0.21</v>
      </c>
      <c r="E11" s="233"/>
      <c r="F11" s="233"/>
      <c r="G11" s="233"/>
      <c r="H11" s="233"/>
      <c r="I11" s="233"/>
      <c r="J11" s="233"/>
      <c r="K11" s="233"/>
      <c r="L11" s="233"/>
      <c r="M11" s="233"/>
      <c r="N11" s="233"/>
      <c r="O11" s="233"/>
      <c r="P11" s="233"/>
      <c r="Q11" s="246"/>
    </row>
    <row r="12" spans="2:17" x14ac:dyDescent="0.35">
      <c r="B12" s="177" t="s">
        <v>408</v>
      </c>
      <c r="C12" s="233">
        <v>43646</v>
      </c>
      <c r="E12" s="233"/>
      <c r="F12" s="233"/>
      <c r="G12" s="233"/>
      <c r="H12" s="233"/>
      <c r="I12" s="233"/>
      <c r="J12" s="233"/>
      <c r="K12" s="233"/>
      <c r="L12" s="233"/>
      <c r="M12" s="233"/>
      <c r="N12" s="233"/>
      <c r="O12" s="233"/>
      <c r="P12" s="233"/>
      <c r="Q12" s="246"/>
    </row>
    <row r="13" spans="2:17" x14ac:dyDescent="0.35">
      <c r="B13" s="177" t="s">
        <v>410</v>
      </c>
      <c r="C13" s="257">
        <f>C8</f>
        <v>0.10249999999999999</v>
      </c>
      <c r="E13" s="233"/>
      <c r="F13" s="233"/>
      <c r="G13" s="233"/>
      <c r="H13" s="233"/>
      <c r="I13" s="233"/>
      <c r="J13" s="233"/>
      <c r="K13" s="233"/>
      <c r="L13" s="233"/>
      <c r="M13" s="233"/>
      <c r="N13" s="233"/>
      <c r="O13" s="233"/>
      <c r="P13" s="233"/>
      <c r="Q13" s="246"/>
    </row>
    <row r="14" spans="2:17" x14ac:dyDescent="0.35">
      <c r="B14" s="177" t="s">
        <v>417</v>
      </c>
      <c r="C14" s="257">
        <f>C9</f>
        <v>0.04</v>
      </c>
      <c r="Q14" s="246"/>
    </row>
    <row r="15" spans="2:17" x14ac:dyDescent="0.35">
      <c r="B15" s="177" t="s">
        <v>422</v>
      </c>
      <c r="C15" s="226"/>
      <c r="Q15" s="246"/>
    </row>
    <row r="16" spans="2:17" x14ac:dyDescent="0.35">
      <c r="B16" s="235" t="s">
        <v>418</v>
      </c>
      <c r="C16" s="226">
        <v>0.95</v>
      </c>
      <c r="Q16" s="246"/>
    </row>
    <row r="17" spans="2:17" x14ac:dyDescent="0.35">
      <c r="B17" s="235" t="s">
        <v>419</v>
      </c>
      <c r="C17" s="257">
        <f>P34</f>
        <v>0.3701198193050374</v>
      </c>
      <c r="Q17" s="246"/>
    </row>
    <row r="18" spans="2:17" x14ac:dyDescent="0.35">
      <c r="B18" s="235" t="s">
        <v>420</v>
      </c>
      <c r="C18" s="257">
        <f>P37</f>
        <v>9.9999999999999992E-2</v>
      </c>
      <c r="Q18" s="246"/>
    </row>
    <row r="19" spans="2:17" x14ac:dyDescent="0.35">
      <c r="B19" s="235" t="s">
        <v>421</v>
      </c>
      <c r="C19" s="226">
        <v>-0.01</v>
      </c>
      <c r="Q19" s="246"/>
    </row>
    <row r="20" spans="2:17" x14ac:dyDescent="0.35">
      <c r="B20" s="235" t="s">
        <v>430</v>
      </c>
      <c r="C20" s="257">
        <f ca="1">P40</f>
        <v>0.23117977130290562</v>
      </c>
      <c r="Q20" s="246"/>
    </row>
    <row r="21" spans="2:17" x14ac:dyDescent="0.35">
      <c r="B21" s="235" t="s">
        <v>433</v>
      </c>
      <c r="C21" s="283">
        <v>0</v>
      </c>
      <c r="Q21" s="246"/>
    </row>
    <row r="22" spans="2:17" x14ac:dyDescent="0.35">
      <c r="B22" s="235"/>
      <c r="C22" s="280"/>
      <c r="Q22" s="246"/>
    </row>
    <row r="23" spans="2:17" x14ac:dyDescent="0.35">
      <c r="B23" s="177" t="s">
        <v>95</v>
      </c>
      <c r="E23" s="227">
        <f>IS!E3</f>
        <v>110855</v>
      </c>
      <c r="F23" s="227">
        <f>IS!F3</f>
        <v>136819</v>
      </c>
      <c r="G23" s="227">
        <f>IS!G3</f>
        <v>163185.70000000001</v>
      </c>
      <c r="H23" s="227">
        <f>IS!H3</f>
        <v>192233.2395</v>
      </c>
      <c r="I23" s="227">
        <f>IS!I3</f>
        <v>217565.56825499999</v>
      </c>
      <c r="J23" s="227">
        <f>IS!J3</f>
        <v>248662.61593954999</v>
      </c>
      <c r="K23" s="227">
        <f>IS!K3</f>
        <v>273928.02891626151</v>
      </c>
      <c r="L23" s="227">
        <f>IS!L3</f>
        <v>299015.07935290295</v>
      </c>
      <c r="M23" s="227">
        <f>IS!M3</f>
        <v>324029.40780214767</v>
      </c>
      <c r="N23" s="227">
        <f>IS!N3</f>
        <v>347715.15772864118</v>
      </c>
      <c r="O23" s="227">
        <f>IS!O3</f>
        <v>369524.99855394411</v>
      </c>
      <c r="P23" s="227">
        <f>IS!P3</f>
        <v>389721.21787253965</v>
      </c>
      <c r="Q23" s="247">
        <f>IS!P3*(1+Q24)</f>
        <v>405310.06658744125</v>
      </c>
    </row>
    <row r="24" spans="2:17" x14ac:dyDescent="0.35">
      <c r="B24" s="132" t="s">
        <v>397</v>
      </c>
      <c r="E24" s="136"/>
      <c r="F24" s="136">
        <f>F23/E23-1</f>
        <v>0.23421586757475987</v>
      </c>
      <c r="G24" s="136">
        <f t="shared" ref="G24:P24" si="4">G23/F23-1</f>
        <v>0.19271226949473408</v>
      </c>
      <c r="H24" s="136">
        <f t="shared" si="4"/>
        <v>0.17800297146134736</v>
      </c>
      <c r="I24" s="136">
        <f t="shared" si="4"/>
        <v>0.13177912842175243</v>
      </c>
      <c r="J24" s="136">
        <f t="shared" si="4"/>
        <v>0.14293184318624519</v>
      </c>
      <c r="K24" s="136">
        <f t="shared" si="4"/>
        <v>0.10160519256683753</v>
      </c>
      <c r="L24" s="136">
        <f t="shared" si="4"/>
        <v>9.158263408053946E-2</v>
      </c>
      <c r="M24" s="136">
        <f t="shared" si="4"/>
        <v>8.3655742390578158E-2</v>
      </c>
      <c r="N24" s="136">
        <f t="shared" si="4"/>
        <v>7.3097531755377032E-2</v>
      </c>
      <c r="O24" s="136">
        <f t="shared" si="4"/>
        <v>6.272329618234096E-2</v>
      </c>
      <c r="P24" s="136">
        <f t="shared" si="4"/>
        <v>5.4654541364262288E-2</v>
      </c>
      <c r="Q24" s="248">
        <f>C14</f>
        <v>0.04</v>
      </c>
    </row>
    <row r="25" spans="2:17" x14ac:dyDescent="0.35">
      <c r="Q25" s="246"/>
    </row>
    <row r="26" spans="2:17" x14ac:dyDescent="0.35">
      <c r="B26" s="177" t="s">
        <v>398</v>
      </c>
      <c r="E26" s="227">
        <f>IS!E12</f>
        <v>26146</v>
      </c>
      <c r="F26" s="227">
        <f>IS!F12</f>
        <v>26321</v>
      </c>
      <c r="G26" s="227">
        <f>IS!G12</f>
        <v>36028.466</v>
      </c>
      <c r="H26" s="227">
        <f>IS!H12</f>
        <v>44457.324002000008</v>
      </c>
      <c r="I26" s="227">
        <f>IS!I12</f>
        <v>-148768.90656236495</v>
      </c>
      <c r="J26" s="227">
        <f>IS!J12</f>
        <v>60290.218104704894</v>
      </c>
      <c r="K26" s="227">
        <f>IS!K12</f>
        <v>68162.421057625266</v>
      </c>
      <c r="L26" s="227">
        <f>IS!L12</f>
        <v>76281.239374466211</v>
      </c>
      <c r="M26" s="227">
        <f>IS!M12</f>
        <v>84804.535605288722</v>
      </c>
      <c r="N26" s="227">
        <f>IS!N12</f>
        <v>92660.511416366993</v>
      </c>
      <c r="O26" s="227">
        <f>IS!O12</f>
        <v>100064.13179776544</v>
      </c>
      <c r="P26" s="227">
        <f>IS!P12</f>
        <v>107220.03104043222</v>
      </c>
      <c r="Q26" s="249">
        <f>Q33-Q29</f>
        <v>111508.83228204952</v>
      </c>
    </row>
    <row r="27" spans="2:17" x14ac:dyDescent="0.35">
      <c r="B27" s="132" t="s">
        <v>399</v>
      </c>
      <c r="E27" s="136">
        <f>E26/E23</f>
        <v>0.23585765188760091</v>
      </c>
      <c r="F27" s="136">
        <f t="shared" ref="F27:P27" si="5">F26/F23</f>
        <v>0.19237825155862856</v>
      </c>
      <c r="G27" s="136">
        <f t="shared" si="5"/>
        <v>0.22078200479576335</v>
      </c>
      <c r="H27" s="136">
        <f t="shared" si="5"/>
        <v>0.23126762113375304</v>
      </c>
      <c r="I27" s="136">
        <f t="shared" si="5"/>
        <v>-0.68378883550175917</v>
      </c>
      <c r="J27" s="136">
        <f t="shared" si="5"/>
        <v>0.24245790979437568</v>
      </c>
      <c r="K27" s="136">
        <f t="shared" si="5"/>
        <v>0.2488333206619838</v>
      </c>
      <c r="L27" s="136">
        <f t="shared" si="5"/>
        <v>0.25510833613992334</v>
      </c>
      <c r="M27" s="136">
        <f t="shared" si="5"/>
        <v>0.26171863899794662</v>
      </c>
      <c r="N27" s="136">
        <f t="shared" si="5"/>
        <v>0.26648395779363682</v>
      </c>
      <c r="O27" s="136">
        <f t="shared" si="5"/>
        <v>0.27079123791176429</v>
      </c>
      <c r="P27" s="136">
        <f t="shared" si="5"/>
        <v>0.27511981930503743</v>
      </c>
      <c r="Q27" s="246"/>
    </row>
    <row r="28" spans="2:17" x14ac:dyDescent="0.35">
      <c r="Q28" s="246"/>
    </row>
    <row r="29" spans="2:17" s="155" customFormat="1" x14ac:dyDescent="0.35">
      <c r="B29" s="155" t="s">
        <v>313</v>
      </c>
      <c r="E29" s="241">
        <f>CF!E8+CF!E9</f>
        <v>6915</v>
      </c>
      <c r="F29" s="241">
        <f>CF!F8+CF!F9</f>
        <v>9035</v>
      </c>
      <c r="G29" s="241">
        <f>CF!G8+CF!G9</f>
        <v>11381.5</v>
      </c>
      <c r="H29" s="241">
        <f>CF!H8+CF!H9</f>
        <v>13987.3</v>
      </c>
      <c r="I29" s="241">
        <f>CF!I8+CF!I9</f>
        <v>16508.599999999999</v>
      </c>
      <c r="J29" s="241">
        <f>CF!J8+CF!J9</f>
        <v>20467</v>
      </c>
      <c r="K29" s="241">
        <f>CF!K8+CF!K9</f>
        <v>23495.8</v>
      </c>
      <c r="L29" s="241">
        <f>CF!L8+CF!L9</f>
        <v>26810.1</v>
      </c>
      <c r="M29" s="241">
        <f>CF!M8+CF!M9</f>
        <v>30231.1</v>
      </c>
      <c r="N29" s="241">
        <f>CF!N8+CF!N9</f>
        <v>33032.93998422091</v>
      </c>
      <c r="O29" s="241">
        <f>CF!O8+CF!O9</f>
        <v>35104.874862624689</v>
      </c>
      <c r="P29" s="241">
        <f>CF!P8+CF!P9</f>
        <v>37023.515697891264</v>
      </c>
      <c r="Q29" s="250">
        <f>-Q36*Q31</f>
        <v>38504.456325806917</v>
      </c>
    </row>
    <row r="30" spans="2:17" x14ac:dyDescent="0.35">
      <c r="B30" s="235" t="s">
        <v>401</v>
      </c>
      <c r="E30" s="136">
        <f>E29/E23</f>
        <v>6.237878309503405E-2</v>
      </c>
      <c r="F30" s="136">
        <f t="shared" ref="F30:Q30" si="6">F29/F23</f>
        <v>6.6036149949933856E-2</v>
      </c>
      <c r="G30" s="136">
        <f t="shared" si="6"/>
        <v>6.9745694628879848E-2</v>
      </c>
      <c r="H30" s="136">
        <f t="shared" si="6"/>
        <v>7.2762130193410171E-2</v>
      </c>
      <c r="I30" s="136">
        <f t="shared" si="6"/>
        <v>7.5878734546134252E-2</v>
      </c>
      <c r="J30" s="136">
        <f t="shared" si="6"/>
        <v>8.2308311294270062E-2</v>
      </c>
      <c r="K30" s="136">
        <f t="shared" si="6"/>
        <v>8.5773624893210734E-2</v>
      </c>
      <c r="L30" s="136">
        <f t="shared" si="6"/>
        <v>8.966136443024747E-2</v>
      </c>
      <c r="M30" s="136">
        <f t="shared" si="6"/>
        <v>9.3297396076034877E-2</v>
      </c>
      <c r="N30" s="136">
        <f t="shared" si="6"/>
        <v>9.4999999999999987E-2</v>
      </c>
      <c r="O30" s="136">
        <f t="shared" si="6"/>
        <v>9.5000000000000001E-2</v>
      </c>
      <c r="P30" s="136">
        <f t="shared" si="6"/>
        <v>9.4999999999999987E-2</v>
      </c>
      <c r="Q30" s="248">
        <f t="shared" si="6"/>
        <v>9.5000000000000001E-2</v>
      </c>
    </row>
    <row r="31" spans="2:17" x14ac:dyDescent="0.35">
      <c r="B31" s="235" t="s">
        <v>400</v>
      </c>
      <c r="E31" s="136">
        <f>E29/-E36</f>
        <v>0.51332492019894593</v>
      </c>
      <c r="F31" s="136">
        <f t="shared" ref="F31:P31" si="7">F29/-F36</f>
        <v>0.33927900863687571</v>
      </c>
      <c r="G31" s="136">
        <f t="shared" si="7"/>
        <v>0.43738607235774341</v>
      </c>
      <c r="H31" s="136">
        <f t="shared" si="7"/>
        <v>0.49731914923876641</v>
      </c>
      <c r="I31" s="136">
        <f t="shared" si="7"/>
        <v>0.5436642322465346</v>
      </c>
      <c r="J31" s="136">
        <f t="shared" si="7"/>
        <v>0.68646884611385584</v>
      </c>
      <c r="K31" s="136">
        <f t="shared" si="7"/>
        <v>0.76297327005476534</v>
      </c>
      <c r="L31" s="136">
        <f t="shared" si="7"/>
        <v>0.91454915726025154</v>
      </c>
      <c r="M31" s="136">
        <f t="shared" si="7"/>
        <v>1.0021779920040841</v>
      </c>
      <c r="N31" s="136">
        <f t="shared" si="7"/>
        <v>0.94999999999999984</v>
      </c>
      <c r="O31" s="136">
        <f t="shared" si="7"/>
        <v>0.95</v>
      </c>
      <c r="P31" s="136">
        <f t="shared" si="7"/>
        <v>0.95</v>
      </c>
      <c r="Q31" s="251">
        <f>C16</f>
        <v>0.95</v>
      </c>
    </row>
    <row r="32" spans="2:17" x14ac:dyDescent="0.35">
      <c r="Q32" s="246"/>
    </row>
    <row r="33" spans="2:17" x14ac:dyDescent="0.35">
      <c r="B33" s="177" t="s">
        <v>402</v>
      </c>
      <c r="E33" s="234">
        <f>E26+E29</f>
        <v>33061</v>
      </c>
      <c r="F33" s="234">
        <f t="shared" ref="F33:P33" si="8">F26+F29</f>
        <v>35356</v>
      </c>
      <c r="G33" s="234">
        <f t="shared" si="8"/>
        <v>47409.966</v>
      </c>
      <c r="H33" s="234">
        <f t="shared" si="8"/>
        <v>58444.624002000011</v>
      </c>
      <c r="I33" s="234">
        <f t="shared" si="8"/>
        <v>-132260.30656236495</v>
      </c>
      <c r="J33" s="234">
        <f t="shared" si="8"/>
        <v>80757.218104704894</v>
      </c>
      <c r="K33" s="234">
        <f t="shared" si="8"/>
        <v>91658.221057625269</v>
      </c>
      <c r="L33" s="234">
        <f t="shared" si="8"/>
        <v>103091.33937446622</v>
      </c>
      <c r="M33" s="234">
        <f t="shared" si="8"/>
        <v>115035.63560528873</v>
      </c>
      <c r="N33" s="234">
        <f t="shared" si="8"/>
        <v>125693.4514005879</v>
      </c>
      <c r="O33" s="234">
        <f t="shared" si="8"/>
        <v>135169.00666039012</v>
      </c>
      <c r="P33" s="234">
        <f t="shared" si="8"/>
        <v>144243.54673832349</v>
      </c>
      <c r="Q33" s="249">
        <f>Q34*Q23</f>
        <v>150013.28860785643</v>
      </c>
    </row>
    <row r="34" spans="2:17" x14ac:dyDescent="0.35">
      <c r="B34" s="132" t="s">
        <v>399</v>
      </c>
      <c r="E34" s="136">
        <f>E33/E23</f>
        <v>0.29823643498263497</v>
      </c>
      <c r="F34" s="136">
        <f t="shared" ref="F34:O34" si="9">F33/F23</f>
        <v>0.25841440150856243</v>
      </c>
      <c r="G34" s="136">
        <f t="shared" si="9"/>
        <v>0.29052769942464318</v>
      </c>
      <c r="H34" s="136">
        <f t="shared" si="9"/>
        <v>0.30402975132716326</v>
      </c>
      <c r="I34" s="136">
        <f t="shared" si="9"/>
        <v>-0.60791010095562492</v>
      </c>
      <c r="J34" s="136">
        <f t="shared" si="9"/>
        <v>0.32476622108864572</v>
      </c>
      <c r="K34" s="136">
        <f t="shared" si="9"/>
        <v>0.33460694555519455</v>
      </c>
      <c r="L34" s="136">
        <f t="shared" si="9"/>
        <v>0.34476970057017081</v>
      </c>
      <c r="M34" s="136">
        <f t="shared" si="9"/>
        <v>0.35501603507398155</v>
      </c>
      <c r="N34" s="136">
        <f t="shared" si="9"/>
        <v>0.36148395779363685</v>
      </c>
      <c r="O34" s="136">
        <f t="shared" si="9"/>
        <v>0.36579123791176427</v>
      </c>
      <c r="P34" s="136">
        <f>P33/P23</f>
        <v>0.3701198193050374</v>
      </c>
      <c r="Q34" s="252">
        <f>C17</f>
        <v>0.3701198193050374</v>
      </c>
    </row>
    <row r="35" spans="2:17" x14ac:dyDescent="0.35">
      <c r="Q35" s="246"/>
    </row>
    <row r="36" spans="2:17" s="155" customFormat="1" x14ac:dyDescent="0.35">
      <c r="B36" s="155" t="s">
        <v>316</v>
      </c>
      <c r="C36" s="187" t="s">
        <v>403</v>
      </c>
      <c r="D36" s="187"/>
      <c r="E36" s="182">
        <f>CF!E27+CF!E35</f>
        <v>-13471</v>
      </c>
      <c r="F36" s="182">
        <f>CF!F27+CF!F35</f>
        <v>-26630</v>
      </c>
      <c r="G36" s="182">
        <f>CF!G27+CF!G35</f>
        <v>-26021.633333333331</v>
      </c>
      <c r="H36" s="182">
        <f>CF!H27+CF!H35</f>
        <v>-28125.399999999998</v>
      </c>
      <c r="I36" s="182">
        <f>CF!I27+CF!I35</f>
        <v>-30365.433333333334</v>
      </c>
      <c r="J36" s="182">
        <f>CF!J27+CF!J35</f>
        <v>-29814.9</v>
      </c>
      <c r="K36" s="182">
        <f>CF!K27+CF!K35</f>
        <v>-30795.05</v>
      </c>
      <c r="L36" s="182">
        <f>CF!L27+CF!L35</f>
        <v>-29315.1</v>
      </c>
      <c r="M36" s="182">
        <f>CF!M27+CF!M35</f>
        <v>-30165.4</v>
      </c>
      <c r="N36" s="182">
        <f>CF!N27+CF!N35</f>
        <v>-34771.515772864121</v>
      </c>
      <c r="O36" s="182">
        <f>CF!O27+CF!O35</f>
        <v>-36952.49985539441</v>
      </c>
      <c r="P36" s="182">
        <f>CF!P27+CF!P35</f>
        <v>-38972.121787253964</v>
      </c>
      <c r="Q36" s="250">
        <f>-Q23*Q37</f>
        <v>-40531.006658744125</v>
      </c>
    </row>
    <row r="37" spans="2:17" x14ac:dyDescent="0.35">
      <c r="B37" s="235" t="s">
        <v>401</v>
      </c>
      <c r="E37" s="136">
        <f>-E36/E23</f>
        <v>0.1215191015290244</v>
      </c>
      <c r="F37" s="136">
        <f t="shared" ref="F37:P37" si="10">-F36/F23</f>
        <v>0.19463670981369546</v>
      </c>
      <c r="G37" s="136">
        <f t="shared" si="10"/>
        <v>0.15946025499374841</v>
      </c>
      <c r="H37" s="136">
        <f t="shared" si="10"/>
        <v>0.1463087240955537</v>
      </c>
      <c r="I37" s="136">
        <f t="shared" si="10"/>
        <v>0.13956911278232781</v>
      </c>
      <c r="J37" s="136">
        <f t="shared" si="10"/>
        <v>0.11990101482423084</v>
      </c>
      <c r="K37" s="136">
        <f t="shared" si="10"/>
        <v>0.11242022264692708</v>
      </c>
      <c r="L37" s="136">
        <f t="shared" si="10"/>
        <v>9.8038868352193678E-2</v>
      </c>
      <c r="M37" s="136">
        <f t="shared" si="10"/>
        <v>9.3094636701675518E-2</v>
      </c>
      <c r="N37" s="136">
        <f t="shared" si="10"/>
        <v>0.1</v>
      </c>
      <c r="O37" s="136">
        <f t="shared" si="10"/>
        <v>9.9999999999999992E-2</v>
      </c>
      <c r="P37" s="136">
        <f t="shared" si="10"/>
        <v>9.9999999999999992E-2</v>
      </c>
      <c r="Q37" s="252">
        <f>C18</f>
        <v>9.9999999999999992E-2</v>
      </c>
    </row>
    <row r="38" spans="2:17" x14ac:dyDescent="0.35">
      <c r="Q38" s="246"/>
    </row>
    <row r="39" spans="2:17" x14ac:dyDescent="0.35">
      <c r="B39" s="155" t="s">
        <v>1</v>
      </c>
      <c r="C39" s="155"/>
      <c r="D39" s="155"/>
      <c r="E39" s="279">
        <f>IS!E18</f>
        <v>12662</v>
      </c>
      <c r="F39" s="279">
        <f>IS!F18</f>
        <v>30736</v>
      </c>
      <c r="G39" s="279">
        <f ca="1">IS!G18</f>
        <v>28732.684886517869</v>
      </c>
      <c r="H39" s="279">
        <f ca="1">IS!H18</f>
        <v>35711.620479788136</v>
      </c>
      <c r="I39" s="279">
        <f ca="1">IS!I18</f>
        <v>-149621.33069063968</v>
      </c>
      <c r="J39" s="279">
        <f ca="1">IS!J18</f>
        <v>46007.649441448324</v>
      </c>
      <c r="K39" s="279">
        <f ca="1">IS!K18</f>
        <v>53454.835758933768</v>
      </c>
      <c r="L39" s="279">
        <f ca="1">IS!L18</f>
        <v>61086.814547748872</v>
      </c>
      <c r="M39" s="279">
        <f ca="1">IS!M18</f>
        <v>68808.693058853096</v>
      </c>
      <c r="N39" s="279">
        <f ca="1">IS!N18</f>
        <v>76116.587520807312</v>
      </c>
      <c r="O39" s="279">
        <f ca="1">IS!O18</f>
        <v>83156.549120052252</v>
      </c>
      <c r="P39" s="279">
        <f ca="1">IS!P18</f>
        <v>90095.662019663578</v>
      </c>
      <c r="Q39" s="253">
        <f ca="1">Q40*Q23</f>
        <v>93699.488500450112</v>
      </c>
    </row>
    <row r="40" spans="2:17" x14ac:dyDescent="0.35">
      <c r="B40" s="235" t="s">
        <v>399</v>
      </c>
      <c r="E40" s="136">
        <f>E39/E23</f>
        <v>0.11422128005051645</v>
      </c>
      <c r="F40" s="136">
        <f t="shared" ref="F40:P40" si="11">F39/F23</f>
        <v>0.22464716157843576</v>
      </c>
      <c r="G40" s="136">
        <f t="shared" ca="1" si="11"/>
        <v>0.17607354619012491</v>
      </c>
      <c r="H40" s="136">
        <f t="shared" ca="1" si="11"/>
        <v>0.18577234911441076</v>
      </c>
      <c r="I40" s="136">
        <f t="shared" ca="1" si="11"/>
        <v>-0.68770684576005348</v>
      </c>
      <c r="J40" s="136">
        <f t="shared" ca="1" si="11"/>
        <v>0.18502037094563828</v>
      </c>
      <c r="K40" s="136">
        <f t="shared" ca="1" si="11"/>
        <v>0.19514189902514378</v>
      </c>
      <c r="L40" s="136">
        <f t="shared" ca="1" si="11"/>
        <v>0.2042934245321224</v>
      </c>
      <c r="M40" s="136">
        <f t="shared" ca="1" si="11"/>
        <v>0.21235323523742536</v>
      </c>
      <c r="N40" s="136">
        <f t="shared" ca="1" si="11"/>
        <v>0.21890500264072213</v>
      </c>
      <c r="O40" s="136">
        <f t="shared" ca="1" si="11"/>
        <v>0.22503632892352984</v>
      </c>
      <c r="P40" s="136">
        <f t="shared" ca="1" si="11"/>
        <v>0.23117977130290562</v>
      </c>
      <c r="Q40" s="248">
        <f ca="1">C20</f>
        <v>0.23117977130290562</v>
      </c>
    </row>
    <row r="41" spans="2:17" ht="14.5" customHeight="1" x14ac:dyDescent="0.35">
      <c r="Q41" s="246"/>
    </row>
    <row r="42" spans="2:17" ht="15.5" customHeight="1" x14ac:dyDescent="0.35">
      <c r="B42" s="239" t="s">
        <v>406</v>
      </c>
      <c r="E42" s="182">
        <f>CF!E16+CF!E18+CF!E19+CF!E20+CF!E21+CF!E22</f>
        <v>1035</v>
      </c>
      <c r="F42" s="182">
        <f>CF!F16+CF!F18+CF!F19+CF!F20+CF!F21+CF!F22</f>
        <v>7159</v>
      </c>
      <c r="G42" s="182">
        <f>CF!G16+CF!G18+CF!G19+CF!G20+CF!G21+CF!G22</f>
        <v>3283.4248633333373</v>
      </c>
      <c r="H42" s="182">
        <f>CF!H16+CF!H18+CF!H19+CF!H20+CF!H21+CF!H22</f>
        <v>-8294.4054717900071</v>
      </c>
      <c r="I42" s="182">
        <f>CF!I16+CF!I18+CF!I19+CF!I20+CF!I21+CF!I22</f>
        <v>29507.359018897914</v>
      </c>
      <c r="J42" s="182">
        <f>CF!J16+CF!J18+CF!J19+CF!J20+CF!J21+CF!J22</f>
        <v>-28791.011637476815</v>
      </c>
      <c r="K42" s="182">
        <f>CF!K16+CF!K18+CF!K19+CF!K20+CF!K21+CF!K22</f>
        <v>-285.62911296946868</v>
      </c>
      <c r="L42" s="182">
        <f>CF!L16+CF!L18+CF!L19+CF!L20+CF!L21+CF!L22</f>
        <v>-168.77514533333033</v>
      </c>
      <c r="M42" s="182">
        <f>CF!M16+CF!M18+CF!M19+CF!M20+CF!M21+CF!M22</f>
        <v>277.21434635389096</v>
      </c>
      <c r="N42" s="182">
        <f>CF!N16+CF!N18+CF!N19+CF!N20+CF!N21+CF!N22</f>
        <v>393.08950283292324</v>
      </c>
      <c r="O42" s="182">
        <f>CF!O16+CF!O18+CF!O19+CF!O20+CF!O21+CF!O22</f>
        <v>365.94470878704169</v>
      </c>
      <c r="P42" s="182">
        <f>CF!P16+CF!P18+CF!P19+CF!P20+CF!P21+CF!P22</f>
        <v>299.69694943676404</v>
      </c>
      <c r="Q42" s="254">
        <f>Q43*Q23</f>
        <v>-4053.1006658744127</v>
      </c>
    </row>
    <row r="43" spans="2:17" x14ac:dyDescent="0.35">
      <c r="B43" s="235" t="s">
        <v>401</v>
      </c>
      <c r="E43" s="136">
        <f>E42/E23</f>
        <v>9.3365206801677876E-3</v>
      </c>
      <c r="F43" s="136">
        <f t="shared" ref="F43:P43" si="12">F42/F23</f>
        <v>5.2324604038912724E-2</v>
      </c>
      <c r="G43" s="136">
        <f t="shared" si="12"/>
        <v>2.0120787932602777E-2</v>
      </c>
      <c r="H43" s="136">
        <f t="shared" si="12"/>
        <v>-4.3147613250256893E-2</v>
      </c>
      <c r="I43" s="136">
        <f t="shared" si="12"/>
        <v>0.13562513248563995</v>
      </c>
      <c r="J43" s="136">
        <f t="shared" si="12"/>
        <v>-0.11578343422750738</v>
      </c>
      <c r="K43" s="136">
        <f t="shared" si="12"/>
        <v>-1.0427159064353511E-3</v>
      </c>
      <c r="L43" s="136">
        <f t="shared" si="12"/>
        <v>-5.6443690297685244E-4</v>
      </c>
      <c r="M43" s="136">
        <f t="shared" si="12"/>
        <v>8.5552218310739876E-4</v>
      </c>
      <c r="N43" s="136">
        <f t="shared" si="12"/>
        <v>1.1304928591571279E-3</v>
      </c>
      <c r="O43" s="136">
        <f t="shared" si="12"/>
        <v>9.9031110268340953E-4</v>
      </c>
      <c r="P43" s="136">
        <f t="shared" si="12"/>
        <v>7.6900342011858715E-4</v>
      </c>
      <c r="Q43" s="252">
        <f>C19</f>
        <v>-0.01</v>
      </c>
    </row>
    <row r="44" spans="2:17" x14ac:dyDescent="0.35">
      <c r="B44" s="235"/>
      <c r="E44" s="136"/>
      <c r="F44" s="136"/>
      <c r="G44" s="136"/>
      <c r="H44" s="136"/>
      <c r="I44" s="136"/>
      <c r="J44" s="136"/>
      <c r="K44" s="136"/>
      <c r="L44" s="136"/>
      <c r="M44" s="136"/>
      <c r="N44" s="136"/>
      <c r="O44" s="136"/>
      <c r="P44" s="136"/>
      <c r="Q44" s="252"/>
    </row>
    <row r="45" spans="2:17" s="155" customFormat="1" x14ac:dyDescent="0.35">
      <c r="B45" s="284" t="s">
        <v>431</v>
      </c>
      <c r="E45" s="282">
        <f>BS!E40-BS!D40+(BS!E30-BS!D30)</f>
        <v>34</v>
      </c>
      <c r="F45" s="282">
        <f>BS!F40-BS!E40+(BS!F30-BS!E30)</f>
        <v>43</v>
      </c>
      <c r="G45" s="282">
        <f ca="1">BS!G40-BS!F40+(BS!G30-BS!F30)</f>
        <v>0</v>
      </c>
      <c r="H45" s="282">
        <f ca="1">BS!H40-BS!G40+(BS!H30-BS!G30)</f>
        <v>0</v>
      </c>
      <c r="I45" s="282">
        <f ca="1">BS!I40-BS!H40+(BS!I30-BS!H30)</f>
        <v>51155.069263109093</v>
      </c>
      <c r="J45" s="282">
        <f ca="1">BS!J40-BS!I40+(BS!J30-BS!I30)</f>
        <v>-23618.367327126012</v>
      </c>
      <c r="K45" s="282">
        <f ca="1">BS!K40-BS!J40+(BS!K30-BS!J30)</f>
        <v>-27536.701935983081</v>
      </c>
      <c r="L45" s="282">
        <f ca="1">BS!L40-BS!K40+(BS!L30-BS!K30)</f>
        <v>0</v>
      </c>
      <c r="M45" s="282">
        <f ca="1">BS!M40-BS!L40+(BS!M30-BS!L30)</f>
        <v>0</v>
      </c>
      <c r="N45" s="282">
        <f ca="1">BS!N40-BS!M40+(BS!N30-BS!M30)</f>
        <v>0</v>
      </c>
      <c r="O45" s="282">
        <f ca="1">BS!O40-BS!N40+(BS!O30-BS!N30)</f>
        <v>0</v>
      </c>
      <c r="P45" s="282">
        <f ca="1">BS!P40-BS!O40+(BS!P30-BS!O30)</f>
        <v>0</v>
      </c>
      <c r="Q45" s="250">
        <f>C21</f>
        <v>0</v>
      </c>
    </row>
    <row r="46" spans="2:17" x14ac:dyDescent="0.35">
      <c r="Q46" s="246"/>
    </row>
    <row r="47" spans="2:17" x14ac:dyDescent="0.35">
      <c r="B47" s="170" t="s">
        <v>434</v>
      </c>
      <c r="C47" s="170"/>
      <c r="D47" s="170"/>
      <c r="E47" s="240">
        <f>E39+E29+E42+E36+E45</f>
        <v>7175</v>
      </c>
      <c r="F47" s="240">
        <f t="shared" ref="F47:Q47" si="13">F39+F29+F42+F36+F45</f>
        <v>20343</v>
      </c>
      <c r="G47" s="240">
        <f t="shared" ca="1" si="13"/>
        <v>17375.976416517879</v>
      </c>
      <c r="H47" s="240">
        <f t="shared" ca="1" si="13"/>
        <v>13279.115007998134</v>
      </c>
      <c r="I47" s="240">
        <f t="shared" ca="1" si="13"/>
        <v>-82815.735741965997</v>
      </c>
      <c r="J47" s="240">
        <f t="shared" ca="1" si="13"/>
        <v>-15749.629523154494</v>
      </c>
      <c r="K47" s="240">
        <f t="shared" ca="1" si="13"/>
        <v>18333.254709981215</v>
      </c>
      <c r="L47" s="240">
        <f t="shared" ca="1" si="13"/>
        <v>58413.039402415532</v>
      </c>
      <c r="M47" s="240">
        <f t="shared" ca="1" si="13"/>
        <v>69151.607405207003</v>
      </c>
      <c r="N47" s="240">
        <f t="shared" ca="1" si="13"/>
        <v>74771.101234997026</v>
      </c>
      <c r="O47" s="240">
        <f t="shared" ca="1" si="13"/>
        <v>81674.868836069567</v>
      </c>
      <c r="P47" s="240">
        <f t="shared" ca="1" si="13"/>
        <v>88446.752879737644</v>
      </c>
      <c r="Q47" s="240">
        <f t="shared" ca="1" si="13"/>
        <v>87619.837501638496</v>
      </c>
    </row>
    <row r="48" spans="2:17" x14ac:dyDescent="0.35">
      <c r="B48" s="235" t="s">
        <v>401</v>
      </c>
      <c r="E48" s="136">
        <f>E47/E23</f>
        <v>6.4724189256235617E-2</v>
      </c>
      <c r="F48" s="136">
        <f t="shared" ref="F48:P48" si="14">F47/F23</f>
        <v>0.14868548958843436</v>
      </c>
      <c r="G48" s="136">
        <f t="shared" ca="1" si="14"/>
        <v>0.10647977375785916</v>
      </c>
      <c r="H48" s="136">
        <f t="shared" ca="1" si="14"/>
        <v>6.9078141962010342E-2</v>
      </c>
      <c r="I48" s="136">
        <f t="shared" ca="1" si="14"/>
        <v>-0.38064725225685048</v>
      </c>
      <c r="J48" s="136">
        <f t="shared" ca="1" si="14"/>
        <v>-6.3337343507168908E-2</v>
      </c>
      <c r="K48" s="136">
        <f t="shared" ca="1" si="14"/>
        <v>6.6927268386929487E-2</v>
      </c>
      <c r="L48" s="136">
        <f t="shared" ca="1" si="14"/>
        <v>0.19535148370719932</v>
      </c>
      <c r="M48" s="136">
        <f t="shared" ca="1" si="14"/>
        <v>0.21341151679489218</v>
      </c>
      <c r="N48" s="136">
        <f t="shared" ca="1" si="14"/>
        <v>0.21503549549987927</v>
      </c>
      <c r="O48" s="136">
        <f t="shared" ca="1" si="14"/>
        <v>0.22102664002621322</v>
      </c>
      <c r="P48" s="136">
        <f t="shared" ca="1" si="14"/>
        <v>0.22694877472302422</v>
      </c>
    </row>
    <row r="50" spans="2:16" x14ac:dyDescent="0.35">
      <c r="B50" s="177" t="s">
        <v>409</v>
      </c>
      <c r="E50" s="236">
        <f>$C$13</f>
        <v>0.10249999999999999</v>
      </c>
      <c r="F50" s="236">
        <f t="shared" ref="F50:P50" si="15">$C$13</f>
        <v>0.10249999999999999</v>
      </c>
      <c r="G50" s="236">
        <f t="shared" si="15"/>
        <v>0.10249999999999999</v>
      </c>
      <c r="H50" s="236">
        <f t="shared" si="15"/>
        <v>0.10249999999999999</v>
      </c>
      <c r="I50" s="236">
        <f t="shared" si="15"/>
        <v>0.10249999999999999</v>
      </c>
      <c r="J50" s="236">
        <f t="shared" si="15"/>
        <v>0.10249999999999999</v>
      </c>
      <c r="K50" s="236">
        <f t="shared" si="15"/>
        <v>0.10249999999999999</v>
      </c>
      <c r="L50" s="236">
        <f t="shared" si="15"/>
        <v>0.10249999999999999</v>
      </c>
      <c r="M50" s="236">
        <f t="shared" si="15"/>
        <v>0.10249999999999999</v>
      </c>
      <c r="N50" s="236">
        <f t="shared" si="15"/>
        <v>0.10249999999999999</v>
      </c>
      <c r="O50" s="236">
        <f t="shared" si="15"/>
        <v>0.10249999999999999</v>
      </c>
      <c r="P50" s="236">
        <f t="shared" si="15"/>
        <v>0.10249999999999999</v>
      </c>
    </row>
    <row r="51" spans="2:16" x14ac:dyDescent="0.35">
      <c r="B51" s="177" t="s">
        <v>411</v>
      </c>
      <c r="E51" s="242">
        <f t="shared" ref="E51:P51" si="16">IF($C$12&gt;=E4, 0, IF(AND($C$12&gt;=E2, $C$12&lt;=E4),(E4-$C$12)/365, 1))</f>
        <v>0</v>
      </c>
      <c r="F51" s="242">
        <f t="shared" si="16"/>
        <v>0</v>
      </c>
      <c r="G51" s="242">
        <f t="shared" si="16"/>
        <v>0.50410958904109593</v>
      </c>
      <c r="H51" s="242">
        <f t="shared" si="16"/>
        <v>1</v>
      </c>
      <c r="I51" s="242">
        <f t="shared" si="16"/>
        <v>1</v>
      </c>
      <c r="J51" s="242">
        <f t="shared" si="16"/>
        <v>1</v>
      </c>
      <c r="K51" s="242">
        <f t="shared" si="16"/>
        <v>1</v>
      </c>
      <c r="L51" s="242">
        <f t="shared" si="16"/>
        <v>1</v>
      </c>
      <c r="M51" s="242">
        <f t="shared" si="16"/>
        <v>1</v>
      </c>
      <c r="N51" s="242">
        <f t="shared" si="16"/>
        <v>1</v>
      </c>
      <c r="O51" s="242">
        <f t="shared" si="16"/>
        <v>1</v>
      </c>
      <c r="P51" s="242">
        <f t="shared" si="16"/>
        <v>1</v>
      </c>
    </row>
    <row r="52" spans="2:16" x14ac:dyDescent="0.35">
      <c r="B52" s="177" t="s">
        <v>412</v>
      </c>
      <c r="E52" s="237">
        <f t="shared" ref="E52:P52" si="17">IF($C$12&gt;=E4, 0, IF(AND($C$12&gt;=E2, $C$12&lt;=E4),(E4-$C$12)/365/2, (E3-$C$12)/365))</f>
        <v>0</v>
      </c>
      <c r="F52" s="237">
        <f t="shared" si="17"/>
        <v>0</v>
      </c>
      <c r="G52" s="237">
        <f t="shared" si="17"/>
        <v>0.25205479452054796</v>
      </c>
      <c r="H52" s="237">
        <f t="shared" si="17"/>
        <v>1.0027397260273974</v>
      </c>
      <c r="I52" s="237">
        <f t="shared" si="17"/>
        <v>2.0027397260273974</v>
      </c>
      <c r="J52" s="237">
        <f t="shared" si="17"/>
        <v>3.0027397260273974</v>
      </c>
      <c r="K52" s="237">
        <f t="shared" si="17"/>
        <v>4.0027397260273974</v>
      </c>
      <c r="L52" s="237">
        <f t="shared" si="17"/>
        <v>5.0054794520547947</v>
      </c>
      <c r="M52" s="237">
        <f t="shared" si="17"/>
        <v>6.0054794520547947</v>
      </c>
      <c r="N52" s="237">
        <f t="shared" si="17"/>
        <v>7.0054794520547947</v>
      </c>
      <c r="O52" s="237">
        <f t="shared" si="17"/>
        <v>8.0054794520547947</v>
      </c>
      <c r="P52" s="237">
        <f t="shared" si="17"/>
        <v>9.0082191780821912</v>
      </c>
    </row>
    <row r="53" spans="2:16" x14ac:dyDescent="0.35">
      <c r="B53" s="177" t="s">
        <v>413</v>
      </c>
      <c r="E53" s="237">
        <f>1/(1+E50)^E52</f>
        <v>1</v>
      </c>
      <c r="F53" s="237">
        <f t="shared" ref="F53:P53" si="18">1/(1+F50)^F52</f>
        <v>1</v>
      </c>
      <c r="G53" s="237">
        <f t="shared" si="18"/>
        <v>0.97570441725712509</v>
      </c>
      <c r="H53" s="237">
        <f t="shared" si="18"/>
        <v>0.90678702255577426</v>
      </c>
      <c r="I53" s="237">
        <f t="shared" si="18"/>
        <v>0.82248256014129173</v>
      </c>
      <c r="J53" s="237">
        <f t="shared" si="18"/>
        <v>0.74601592756579749</v>
      </c>
      <c r="K53" s="237">
        <f t="shared" si="18"/>
        <v>0.67665843770140355</v>
      </c>
      <c r="L53" s="237">
        <f t="shared" si="18"/>
        <v>0.61358509001049766</v>
      </c>
      <c r="M53" s="237">
        <f t="shared" si="18"/>
        <v>0.55653976418185724</v>
      </c>
      <c r="N53" s="237">
        <f t="shared" si="18"/>
        <v>0.50479797204703603</v>
      </c>
      <c r="O53" s="237">
        <f t="shared" si="18"/>
        <v>0.45786664131250432</v>
      </c>
      <c r="P53" s="237">
        <f t="shared" si="18"/>
        <v>0.41518752840337853</v>
      </c>
    </row>
    <row r="55" spans="2:16" s="187" customFormat="1" x14ac:dyDescent="0.35">
      <c r="B55" s="187" t="s">
        <v>435</v>
      </c>
      <c r="E55" s="197">
        <f>E47*E51*E53</f>
        <v>0</v>
      </c>
      <c r="F55" s="197">
        <f t="shared" ref="F55:P55" si="19">F47*F51*F53</f>
        <v>0</v>
      </c>
      <c r="G55" s="197">
        <f t="shared" ca="1" si="19"/>
        <v>8546.5816921928526</v>
      </c>
      <c r="H55" s="197">
        <f t="shared" ca="1" si="19"/>
        <v>12041.329160278325</v>
      </c>
      <c r="I55" s="197">
        <f t="shared" ca="1" si="19"/>
        <v>-68114.498353036877</v>
      </c>
      <c r="J55" s="197">
        <f t="shared" ca="1" si="19"/>
        <v>-11749.474477533768</v>
      </c>
      <c r="K55" s="197">
        <f t="shared" ca="1" si="19"/>
        <v>12405.351490037787</v>
      </c>
      <c r="L55" s="197">
        <f t="shared" ca="1" si="19"/>
        <v>35841.370039517882</v>
      </c>
      <c r="M55" s="197">
        <f t="shared" ca="1" si="19"/>
        <v>38485.619278090278</v>
      </c>
      <c r="N55" s="197">
        <f t="shared" ca="1" si="19"/>
        <v>37744.300271150132</v>
      </c>
      <c r="O55" s="197">
        <f t="shared" ca="1" si="19"/>
        <v>37396.197873610501</v>
      </c>
      <c r="P55" s="197">
        <f t="shared" ca="1" si="19"/>
        <v>36721.988723442671</v>
      </c>
    </row>
    <row r="57" spans="2:16" x14ac:dyDescent="0.35">
      <c r="B57" s="177" t="s">
        <v>415</v>
      </c>
      <c r="C57" s="175">
        <f ca="1">SUM(E55:P55)</f>
        <v>139318.7656977498</v>
      </c>
    </row>
    <row r="59" spans="2:16" x14ac:dyDescent="0.35">
      <c r="B59" s="177" t="s">
        <v>423</v>
      </c>
      <c r="C59" s="175">
        <f ca="1">Q47/(C13-C14)</f>
        <v>1401917.4000262162</v>
      </c>
    </row>
    <row r="60" spans="2:16" x14ac:dyDescent="0.35">
      <c r="B60" s="177" t="s">
        <v>424</v>
      </c>
      <c r="C60" s="175">
        <f ca="1">C59*P53</f>
        <v>582058.62034257525</v>
      </c>
    </row>
    <row r="62" spans="2:16" ht="15" thickBot="1" x14ac:dyDescent="0.4">
      <c r="B62" s="243" t="s">
        <v>428</v>
      </c>
      <c r="C62" s="244">
        <f ca="1">C57+C60</f>
        <v>721377.38604032504</v>
      </c>
    </row>
    <row r="63" spans="2:16" ht="15" thickTop="1" x14ac:dyDescent="0.35"/>
    <row r="64" spans="2:16" x14ac:dyDescent="0.35">
      <c r="B64" s="177" t="s">
        <v>426</v>
      </c>
      <c r="C64" s="175">
        <f ca="1">AVERAGE(BS!F40,BS!G40)-AVERAGE(BS!F6,BS!G6)</f>
        <v>-119252.41320825893</v>
      </c>
    </row>
    <row r="65" spans="2:10" x14ac:dyDescent="0.35">
      <c r="B65" s="177" t="s">
        <v>429</v>
      </c>
      <c r="C65" s="256">
        <v>0</v>
      </c>
    </row>
    <row r="66" spans="2:10" x14ac:dyDescent="0.35">
      <c r="B66" s="177" t="s">
        <v>270</v>
      </c>
      <c r="C66" s="256">
        <v>0</v>
      </c>
    </row>
    <row r="67" spans="2:10" x14ac:dyDescent="0.35">
      <c r="B67" s="177" t="s">
        <v>427</v>
      </c>
      <c r="C67" s="175">
        <f>AVERAGE(BS!G16,BS!F16)</f>
        <v>13859</v>
      </c>
    </row>
    <row r="69" spans="2:10" ht="19" thickBot="1" x14ac:dyDescent="0.5">
      <c r="B69" s="243" t="s">
        <v>436</v>
      </c>
      <c r="C69" s="244">
        <f ca="1">C62-C64+C65+C66-C67</f>
        <v>826770.79924858396</v>
      </c>
      <c r="F69" s="352" t="s">
        <v>437</v>
      </c>
      <c r="G69" s="352"/>
      <c r="H69" s="352"/>
      <c r="I69" s="352"/>
      <c r="J69" s="352"/>
    </row>
    <row r="70" spans="2:10" ht="15" thickTop="1" x14ac:dyDescent="0.35"/>
    <row r="71" spans="2:10" ht="14.5" customHeight="1" x14ac:dyDescent="0.45">
      <c r="F71" s="353" t="s">
        <v>410</v>
      </c>
      <c r="G71" s="354"/>
      <c r="H71" s="354"/>
      <c r="I71" s="354"/>
      <c r="J71" s="355"/>
    </row>
    <row r="72" spans="2:10" ht="14.5" customHeight="1" x14ac:dyDescent="0.35">
      <c r="D72" s="268"/>
      <c r="E72" s="258">
        <f ca="1">C69</f>
        <v>826770.79924858396</v>
      </c>
      <c r="F72" s="269">
        <f>C8-2%</f>
        <v>8.249999999999999E-2</v>
      </c>
      <c r="G72" s="269">
        <f>C8-1%</f>
        <v>9.2499999999999999E-2</v>
      </c>
      <c r="H72" s="270">
        <f>C8</f>
        <v>0.10249999999999999</v>
      </c>
      <c r="I72" s="269">
        <f>C8+1%</f>
        <v>0.11249999999999999</v>
      </c>
      <c r="J72" s="271">
        <f>C8+2%</f>
        <v>0.1225</v>
      </c>
    </row>
    <row r="73" spans="2:10" x14ac:dyDescent="0.35">
      <c r="D73" s="356" t="s">
        <v>417</v>
      </c>
      <c r="E73" s="272">
        <f>C9-2%</f>
        <v>0.02</v>
      </c>
      <c r="F73" s="175">
        <f t="dataTable" ref="F73:J77" dt2D="1" dtr="1" r1="C13" r2="C14" ca="1"/>
        <v>941491.0239939962</v>
      </c>
      <c r="G73" s="175">
        <v>790241.73986781284</v>
      </c>
      <c r="H73" s="175">
        <v>677185.80416054453</v>
      </c>
      <c r="I73" s="175">
        <v>589861.3674423648</v>
      </c>
      <c r="J73" s="175">
        <v>520674.05400971568</v>
      </c>
    </row>
    <row r="74" spans="2:10" x14ac:dyDescent="0.35">
      <c r="D74" s="357"/>
      <c r="E74" s="273">
        <f>C9-1%</f>
        <v>0.03</v>
      </c>
      <c r="F74" s="175">
        <v>1077580.1967281399</v>
      </c>
      <c r="G74" s="259">
        <v>881792.87266227859</v>
      </c>
      <c r="H74" s="260">
        <v>741662.09514676838</v>
      </c>
      <c r="I74" s="261">
        <v>636871.6344066778</v>
      </c>
      <c r="J74" s="175">
        <v>555894.93525354844</v>
      </c>
    </row>
    <row r="75" spans="2:10" x14ac:dyDescent="0.35">
      <c r="D75" s="357"/>
      <c r="E75" s="274">
        <f>C9</f>
        <v>0.04</v>
      </c>
      <c r="F75" s="175">
        <v>1277711.333101881</v>
      </c>
      <c r="G75" s="262">
        <v>1008220.6274736838</v>
      </c>
      <c r="H75" s="267">
        <v>826770.79924858396</v>
      </c>
      <c r="I75" s="263">
        <v>696850.25087838748</v>
      </c>
      <c r="J75" s="175">
        <v>599654.21195043169</v>
      </c>
    </row>
    <row r="76" spans="2:10" x14ac:dyDescent="0.35">
      <c r="D76" s="357"/>
      <c r="E76" s="273">
        <f>C9+1%</f>
        <v>0.05</v>
      </c>
      <c r="F76" s="175">
        <v>1601000.0918594629</v>
      </c>
      <c r="G76" s="264">
        <v>1194143.7963139859</v>
      </c>
      <c r="H76" s="265">
        <v>944301.86681775784</v>
      </c>
      <c r="I76" s="266">
        <v>776022.02462104429</v>
      </c>
      <c r="J76" s="175">
        <v>655485.01325335156</v>
      </c>
    </row>
    <row r="77" spans="2:10" x14ac:dyDescent="0.35">
      <c r="D77" s="358"/>
      <c r="E77" s="275">
        <f>C9+2%</f>
        <v>0.06</v>
      </c>
      <c r="F77" s="175">
        <v>2211656.6361793382</v>
      </c>
      <c r="G77" s="175">
        <v>1494481.2229021655</v>
      </c>
      <c r="H77" s="175">
        <v>1117141.6720665428</v>
      </c>
      <c r="I77" s="175">
        <v>885354.47407518933</v>
      </c>
      <c r="J77" s="175">
        <v>729181.67097320571</v>
      </c>
    </row>
  </sheetData>
  <mergeCells count="3">
    <mergeCell ref="F69:J69"/>
    <mergeCell ref="F71:J71"/>
    <mergeCell ref="D73:D77"/>
  </mergeCells>
  <pageMargins left="0.7" right="0.7" top="0.75" bottom="0.75" header="0.3" footer="0.3"/>
  <pageSetup paperSize="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3DA0-6DDE-46F0-9494-9B4E523628D6}">
  <dimension ref="A1:P229"/>
  <sheetViews>
    <sheetView showGridLines="0" zoomScale="90" zoomScaleNormal="90" workbookViewId="0">
      <pane xSplit="2" ySplit="1" topLeftCell="C115" activePane="bottomRight" state="frozen"/>
      <selection pane="topRight" activeCell="C1" sqref="C1"/>
      <selection pane="bottomLeft" activeCell="A2" sqref="A2"/>
      <selection pane="bottomRight" activeCell="B171" sqref="B171"/>
    </sheetView>
  </sheetViews>
  <sheetFormatPr defaultRowHeight="14.5" x14ac:dyDescent="0.35"/>
  <cols>
    <col min="2" max="2" width="57.08984375" customWidth="1"/>
    <col min="3" max="3" width="12.36328125" bestFit="1" customWidth="1"/>
    <col min="4" max="4" width="5.453125" customWidth="1"/>
    <col min="5" max="5" width="9.36328125" customWidth="1"/>
    <col min="6" max="6" width="10.1796875" customWidth="1"/>
    <col min="7" max="7" width="11.08984375" customWidth="1"/>
    <col min="8" max="8" width="11.453125" customWidth="1"/>
    <col min="9" max="9" width="12.7265625" customWidth="1"/>
    <col min="10" max="10" width="13.81640625" customWidth="1"/>
    <col min="11" max="11" width="13.08984375" customWidth="1"/>
    <col min="12" max="13" width="13.1796875" customWidth="1"/>
    <col min="14" max="16" width="10.36328125" bestFit="1" customWidth="1"/>
  </cols>
  <sheetData>
    <row r="1" spans="2:16"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3" spans="2:16" s="177" customFormat="1" x14ac:dyDescent="0.35">
      <c r="B3" s="177" t="s">
        <v>489</v>
      </c>
      <c r="C3" s="333" t="s">
        <v>491</v>
      </c>
    </row>
    <row r="4" spans="2:16" s="177" customFormat="1" x14ac:dyDescent="0.35"/>
    <row r="5" spans="2:16" x14ac:dyDescent="0.35">
      <c r="B5" s="88" t="s">
        <v>95</v>
      </c>
      <c r="C5" s="89"/>
      <c r="D5" s="89"/>
      <c r="E5" s="89"/>
      <c r="F5" s="89"/>
      <c r="G5" s="89"/>
      <c r="H5" s="89"/>
      <c r="I5" s="89"/>
      <c r="J5" s="89"/>
      <c r="K5" s="89"/>
      <c r="L5" s="89"/>
      <c r="M5" s="89"/>
      <c r="N5" s="89"/>
      <c r="O5" s="89"/>
      <c r="P5" s="89"/>
    </row>
    <row r="7" spans="2:16" x14ac:dyDescent="0.35">
      <c r="B7" t="s">
        <v>319</v>
      </c>
      <c r="E7" s="143">
        <f>E12</f>
        <v>110855</v>
      </c>
      <c r="F7" s="143">
        <f t="shared" ref="F7" si="1">F12</f>
        <v>136819</v>
      </c>
      <c r="G7" s="142">
        <f>IF($C$3="Simple", G12, IF($C$3="Enhanced", G21))</f>
        <v>163185.70000000001</v>
      </c>
      <c r="H7" s="142">
        <f t="shared" ref="H7:P7" si="2">IF($C$3="Simple", H12, IF($C$3="Enhanced", H21))</f>
        <v>192233.2395</v>
      </c>
      <c r="I7" s="142">
        <f t="shared" si="2"/>
        <v>217565.56825499999</v>
      </c>
      <c r="J7" s="142">
        <f t="shared" si="2"/>
        <v>248662.61593954999</v>
      </c>
      <c r="K7" s="142">
        <f t="shared" si="2"/>
        <v>273928.02891626151</v>
      </c>
      <c r="L7" s="142">
        <f t="shared" si="2"/>
        <v>299015.07935290295</v>
      </c>
      <c r="M7" s="142">
        <f t="shared" si="2"/>
        <v>324029.40780214767</v>
      </c>
      <c r="N7" s="142">
        <f t="shared" si="2"/>
        <v>347715.15772864118</v>
      </c>
      <c r="O7" s="142">
        <f t="shared" si="2"/>
        <v>369524.99855394411</v>
      </c>
      <c r="P7" s="142">
        <f t="shared" si="2"/>
        <v>389721.21787253965</v>
      </c>
    </row>
    <row r="10" spans="2:16" x14ac:dyDescent="0.35">
      <c r="B10" t="s">
        <v>320</v>
      </c>
    </row>
    <row r="12" spans="2:16" x14ac:dyDescent="0.35">
      <c r="B12" t="s">
        <v>321</v>
      </c>
      <c r="E12" s="143">
        <v>110855</v>
      </c>
      <c r="F12" s="143">
        <v>136819</v>
      </c>
      <c r="G12" s="135">
        <f>AVERAGE(G15:G17)</f>
        <v>160137.80000000002</v>
      </c>
      <c r="H12" s="135">
        <f t="shared" ref="H12:M12" si="3">AVERAGE(H15:H17)</f>
        <v>186012.56666666665</v>
      </c>
      <c r="I12" s="135">
        <f t="shared" si="3"/>
        <v>214195.30000000002</v>
      </c>
      <c r="J12" s="135">
        <f t="shared" si="3"/>
        <v>240666.1</v>
      </c>
      <c r="K12" s="135">
        <f t="shared" si="3"/>
        <v>271653.40000000002</v>
      </c>
      <c r="L12" s="135">
        <f t="shared" si="3"/>
        <v>299652.5</v>
      </c>
      <c r="M12" s="135">
        <f t="shared" si="3"/>
        <v>333991.7</v>
      </c>
      <c r="N12" s="138">
        <f>M12*(1+N13)</f>
        <v>364050.95300000004</v>
      </c>
      <c r="O12" s="139">
        <f t="shared" ref="O12:P12" si="4">N12*(1+O13)</f>
        <v>393175.02924000006</v>
      </c>
      <c r="P12" s="139">
        <f t="shared" si="4"/>
        <v>420697.28128680011</v>
      </c>
    </row>
    <row r="13" spans="2:16" x14ac:dyDescent="0.35">
      <c r="B13" s="132" t="s">
        <v>322</v>
      </c>
      <c r="E13" s="136"/>
      <c r="F13" s="136">
        <f>(F12-E12)/E12</f>
        <v>0.23421586757475982</v>
      </c>
      <c r="G13" s="136">
        <f t="shared" ref="G13:M13" si="5">(G12-F12)/F12</f>
        <v>0.17043539274515979</v>
      </c>
      <c r="H13" s="136">
        <f t="shared" si="5"/>
        <v>0.16157813250005076</v>
      </c>
      <c r="I13" s="136">
        <f t="shared" si="5"/>
        <v>0.15150983526740239</v>
      </c>
      <c r="J13" s="136">
        <f t="shared" si="5"/>
        <v>0.1235825435945606</v>
      </c>
      <c r="K13" s="136">
        <f t="shared" si="5"/>
        <v>0.1287563973488581</v>
      </c>
      <c r="L13" s="136">
        <f t="shared" si="5"/>
        <v>0.10306920509737767</v>
      </c>
      <c r="M13" s="136">
        <f t="shared" si="5"/>
        <v>0.11459674122525262</v>
      </c>
      <c r="N13" s="140">
        <f>9%</f>
        <v>0.09</v>
      </c>
      <c r="O13" s="141">
        <v>0.08</v>
      </c>
      <c r="P13" s="141">
        <v>7.0000000000000007E-2</v>
      </c>
    </row>
    <row r="15" spans="2:16" x14ac:dyDescent="0.35">
      <c r="B15" t="s">
        <v>323</v>
      </c>
      <c r="C15" s="133">
        <v>43586</v>
      </c>
      <c r="E15" s="134"/>
      <c r="F15" s="134"/>
      <c r="G15" s="134">
        <v>158262.39999999999</v>
      </c>
      <c r="H15" s="134">
        <v>182221.7</v>
      </c>
      <c r="I15" s="134">
        <v>208537.9</v>
      </c>
      <c r="J15" s="134">
        <v>236932.2</v>
      </c>
      <c r="K15" s="134">
        <v>267300.8</v>
      </c>
      <c r="L15" s="134">
        <v>299652.5</v>
      </c>
      <c r="M15" s="134">
        <v>333991.7</v>
      </c>
      <c r="N15" s="134"/>
      <c r="O15" s="134"/>
      <c r="P15" s="134"/>
    </row>
    <row r="16" spans="2:16" x14ac:dyDescent="0.35">
      <c r="B16" t="s">
        <v>324</v>
      </c>
      <c r="C16" s="133">
        <v>43556</v>
      </c>
      <c r="E16" s="134"/>
      <c r="F16" s="134"/>
      <c r="G16" s="134">
        <v>162284</v>
      </c>
      <c r="H16" s="134">
        <v>190543</v>
      </c>
      <c r="I16" s="134">
        <v>220584</v>
      </c>
      <c r="J16" s="134"/>
      <c r="K16" s="134"/>
      <c r="L16" s="134"/>
      <c r="M16" s="134"/>
      <c r="N16" s="134"/>
      <c r="O16" s="134"/>
      <c r="P16" s="134"/>
    </row>
    <row r="17" spans="2:16" x14ac:dyDescent="0.35">
      <c r="B17" t="s">
        <v>325</v>
      </c>
      <c r="C17" s="133">
        <v>43556</v>
      </c>
      <c r="E17" s="134"/>
      <c r="F17" s="134"/>
      <c r="G17" s="134">
        <v>159867</v>
      </c>
      <c r="H17" s="134">
        <v>185273</v>
      </c>
      <c r="I17" s="134">
        <v>213464</v>
      </c>
      <c r="J17" s="134">
        <v>244400</v>
      </c>
      <c r="K17" s="134">
        <v>276006</v>
      </c>
      <c r="L17" s="134"/>
      <c r="M17" s="134"/>
      <c r="N17" s="134"/>
      <c r="O17" s="134"/>
      <c r="P17" s="134"/>
    </row>
    <row r="19" spans="2:16" s="177" customFormat="1" x14ac:dyDescent="0.35">
      <c r="B19" s="177" t="s">
        <v>490</v>
      </c>
    </row>
    <row r="20" spans="2:16" s="177" customFormat="1" x14ac:dyDescent="0.35"/>
    <row r="21" spans="2:16" s="177" customFormat="1" x14ac:dyDescent="0.35">
      <c r="B21" s="177" t="s">
        <v>95</v>
      </c>
      <c r="E21" s="227"/>
      <c r="F21" s="227"/>
      <c r="G21" s="227">
        <f>Enhancements!G20</f>
        <v>163185.70000000001</v>
      </c>
      <c r="H21" s="227">
        <f>Enhancements!H20</f>
        <v>192233.2395</v>
      </c>
      <c r="I21" s="227">
        <f>Enhancements!I20</f>
        <v>217565.56825499999</v>
      </c>
      <c r="J21" s="227">
        <f>Enhancements!J20</f>
        <v>248662.61593954999</v>
      </c>
      <c r="K21" s="227">
        <f>Enhancements!K20</f>
        <v>273928.02891626151</v>
      </c>
      <c r="L21" s="227">
        <f>Enhancements!L20</f>
        <v>299015.07935290295</v>
      </c>
      <c r="M21" s="227">
        <f>Enhancements!M20</f>
        <v>324029.40780214767</v>
      </c>
      <c r="N21" s="227">
        <f>Enhancements!N20</f>
        <v>347715.15772864118</v>
      </c>
      <c r="O21" s="227">
        <f>Enhancements!O20</f>
        <v>369524.99855394411</v>
      </c>
      <c r="P21" s="227">
        <f>Enhancements!P20</f>
        <v>389721.21787253965</v>
      </c>
    </row>
    <row r="23" spans="2:16" x14ac:dyDescent="0.35">
      <c r="B23" s="88" t="s">
        <v>139</v>
      </c>
      <c r="C23" s="89"/>
      <c r="D23" s="89"/>
      <c r="E23" s="89"/>
      <c r="F23" s="89"/>
      <c r="G23" s="89"/>
      <c r="H23" s="89"/>
      <c r="I23" s="89"/>
      <c r="J23" s="89"/>
      <c r="K23" s="89"/>
      <c r="L23" s="89"/>
      <c r="M23" s="89"/>
      <c r="N23" s="89"/>
      <c r="O23" s="89"/>
      <c r="P23" s="89"/>
    </row>
    <row r="25" spans="2:16" x14ac:dyDescent="0.35">
      <c r="B25" t="s">
        <v>320</v>
      </c>
    </row>
    <row r="27" spans="2:16" x14ac:dyDescent="0.35">
      <c r="B27" t="s">
        <v>139</v>
      </c>
      <c r="E27" s="143">
        <f>IS!E12</f>
        <v>26146</v>
      </c>
      <c r="F27" s="143">
        <f>IS!F12</f>
        <v>26321</v>
      </c>
      <c r="G27" s="135">
        <f>AVERAGE(G30:G32)</f>
        <v>34349.466666666667</v>
      </c>
      <c r="H27" s="135">
        <f t="shared" ref="H27:M27" si="6">AVERAGE(H30:H32)</f>
        <v>41172.23333333333</v>
      </c>
      <c r="I27" s="135">
        <f t="shared" si="6"/>
        <v>47924.066666666673</v>
      </c>
      <c r="J27" s="135">
        <f t="shared" si="6"/>
        <v>60202.55</v>
      </c>
      <c r="K27" s="135">
        <f t="shared" si="6"/>
        <v>71695.399999999994</v>
      </c>
      <c r="L27" s="135">
        <f t="shared" si="6"/>
        <v>85378.4</v>
      </c>
      <c r="M27" s="135">
        <f t="shared" si="6"/>
        <v>100246.7</v>
      </c>
      <c r="N27" s="138">
        <f>N12*N28</f>
        <v>109215.2859</v>
      </c>
      <c r="O27" s="139">
        <f>O12*O28</f>
        <v>117952.50877200002</v>
      </c>
      <c r="P27" s="139">
        <f>P12*P28</f>
        <v>126209.18438604003</v>
      </c>
    </row>
    <row r="28" spans="2:16" x14ac:dyDescent="0.35">
      <c r="B28" s="132" t="s">
        <v>326</v>
      </c>
      <c r="E28" s="136">
        <f t="shared" ref="E28:M28" si="7">E27/E12</f>
        <v>0.23585765188760091</v>
      </c>
      <c r="F28" s="136">
        <f t="shared" si="7"/>
        <v>0.19237825155862856</v>
      </c>
      <c r="G28" s="136">
        <f t="shared" si="7"/>
        <v>0.21449942903341163</v>
      </c>
      <c r="H28" s="136">
        <f t="shared" si="7"/>
        <v>0.22134113877969178</v>
      </c>
      <c r="I28" s="136">
        <f t="shared" si="7"/>
        <v>0.22374004782862494</v>
      </c>
      <c r="J28" s="136">
        <f t="shared" si="7"/>
        <v>0.25014968871810361</v>
      </c>
      <c r="K28" s="136">
        <f t="shared" si="7"/>
        <v>0.26392233633004403</v>
      </c>
      <c r="L28" s="136">
        <f t="shared" si="7"/>
        <v>0.28492470444932044</v>
      </c>
      <c r="M28" s="136">
        <f t="shared" si="7"/>
        <v>0.30014727910903172</v>
      </c>
      <c r="N28" s="140">
        <f>30%</f>
        <v>0.3</v>
      </c>
      <c r="O28" s="141">
        <v>0.3</v>
      </c>
      <c r="P28" s="141">
        <v>0.3</v>
      </c>
    </row>
    <row r="30" spans="2:16" x14ac:dyDescent="0.35">
      <c r="B30" t="s">
        <v>323</v>
      </c>
      <c r="C30" s="133">
        <v>43586</v>
      </c>
      <c r="E30" s="134"/>
      <c r="F30" s="134"/>
      <c r="G30" s="134">
        <v>34883.4</v>
      </c>
      <c r="H30" s="134">
        <v>41476.699999999997</v>
      </c>
      <c r="I30" s="134">
        <v>49275.199999999997</v>
      </c>
      <c r="J30" s="134">
        <v>60414.1</v>
      </c>
      <c r="K30" s="134">
        <v>72189.8</v>
      </c>
      <c r="L30" s="134">
        <v>85378.4</v>
      </c>
      <c r="M30" s="134">
        <v>100246.7</v>
      </c>
      <c r="N30" s="134"/>
      <c r="O30" s="134"/>
      <c r="P30" s="134"/>
    </row>
    <row r="31" spans="2:16" x14ac:dyDescent="0.35">
      <c r="B31" t="s">
        <v>324</v>
      </c>
      <c r="C31" s="133">
        <v>43556</v>
      </c>
      <c r="E31" s="134"/>
      <c r="F31" s="134"/>
      <c r="G31" s="134">
        <v>33822</v>
      </c>
      <c r="H31" s="134">
        <v>39642</v>
      </c>
      <c r="I31" s="134">
        <v>44397</v>
      </c>
      <c r="J31" s="134"/>
      <c r="K31" s="134"/>
      <c r="L31" s="134"/>
      <c r="M31" s="134"/>
      <c r="N31" s="134"/>
      <c r="O31" s="134"/>
      <c r="P31" s="134"/>
    </row>
    <row r="32" spans="2:16" x14ac:dyDescent="0.35">
      <c r="B32" t="s">
        <v>325</v>
      </c>
      <c r="C32" s="133">
        <v>43556</v>
      </c>
      <c r="E32" s="134"/>
      <c r="F32" s="134"/>
      <c r="G32" s="134">
        <v>34343</v>
      </c>
      <c r="H32" s="134">
        <v>42398</v>
      </c>
      <c r="I32" s="134">
        <v>50100</v>
      </c>
      <c r="J32" s="134">
        <v>59991</v>
      </c>
      <c r="K32" s="134">
        <v>71201</v>
      </c>
      <c r="L32" s="134"/>
      <c r="M32" s="134"/>
      <c r="N32" s="134"/>
      <c r="O32" s="134"/>
      <c r="P32" s="134"/>
    </row>
    <row r="35" spans="2:16" x14ac:dyDescent="0.35">
      <c r="B35" s="88" t="s">
        <v>327</v>
      </c>
      <c r="C35" s="89"/>
      <c r="D35" s="89"/>
      <c r="E35" s="89"/>
      <c r="F35" s="89"/>
      <c r="G35" s="89"/>
      <c r="H35" s="89"/>
      <c r="I35" s="89"/>
      <c r="J35" s="89"/>
      <c r="K35" s="89"/>
      <c r="L35" s="89"/>
      <c r="M35" s="89"/>
      <c r="N35" s="89"/>
      <c r="O35" s="89"/>
      <c r="P35" s="89"/>
    </row>
    <row r="37" spans="2:16" x14ac:dyDescent="0.35">
      <c r="B37" t="s">
        <v>328</v>
      </c>
      <c r="E37" s="142">
        <f>E42</f>
        <v>84709</v>
      </c>
      <c r="F37" s="142">
        <f t="shared" ref="F37" si="8">F42</f>
        <v>110498</v>
      </c>
      <c r="G37" s="142">
        <f>IF($C$3="Simple", G42, IF($C$3="Enhanced", G47))</f>
        <v>127157.23400000001</v>
      </c>
      <c r="H37" s="142">
        <f t="shared" ref="H37:P37" si="9">IF($C$3="Simple", H42, IF($C$3="Enhanced", H47))</f>
        <v>147775.91549799999</v>
      </c>
      <c r="I37" s="142">
        <f t="shared" si="9"/>
        <v>366334.47481736494</v>
      </c>
      <c r="J37" s="142">
        <f t="shared" si="9"/>
        <v>188372.39783484509</v>
      </c>
      <c r="K37" s="142">
        <f t="shared" si="9"/>
        <v>205765.60785863624</v>
      </c>
      <c r="L37" s="142">
        <f t="shared" si="9"/>
        <v>222733.83997843674</v>
      </c>
      <c r="M37" s="142">
        <f t="shared" si="9"/>
        <v>239224.87219685895</v>
      </c>
      <c r="N37" s="142">
        <f t="shared" si="9"/>
        <v>255054.64631227418</v>
      </c>
      <c r="O37" s="142">
        <f t="shared" si="9"/>
        <v>269460.86675617867</v>
      </c>
      <c r="P37" s="142">
        <f t="shared" si="9"/>
        <v>282501.18683210743</v>
      </c>
    </row>
    <row r="38" spans="2:16" x14ac:dyDescent="0.35">
      <c r="E38" s="150"/>
      <c r="F38" s="150"/>
    </row>
    <row r="39" spans="2:16" x14ac:dyDescent="0.35">
      <c r="E39" s="150"/>
      <c r="F39" s="150"/>
    </row>
    <row r="40" spans="2:16" x14ac:dyDescent="0.35">
      <c r="B40" t="s">
        <v>320</v>
      </c>
      <c r="E40" s="150"/>
      <c r="F40" s="150"/>
    </row>
    <row r="41" spans="2:16" x14ac:dyDescent="0.35">
      <c r="E41" s="150"/>
      <c r="F41" s="150"/>
    </row>
    <row r="42" spans="2:16" x14ac:dyDescent="0.35">
      <c r="B42" t="s">
        <v>329</v>
      </c>
      <c r="E42" s="143">
        <f t="shared" ref="E42:P42" si="10">E12-E27</f>
        <v>84709</v>
      </c>
      <c r="F42" s="143">
        <f t="shared" si="10"/>
        <v>110498</v>
      </c>
      <c r="G42" s="142">
        <f t="shared" si="10"/>
        <v>125788.33333333334</v>
      </c>
      <c r="H42" s="142">
        <f t="shared" si="10"/>
        <v>144840.33333333331</v>
      </c>
      <c r="I42" s="142">
        <f t="shared" si="10"/>
        <v>166271.23333333334</v>
      </c>
      <c r="J42" s="142">
        <f t="shared" si="10"/>
        <v>180463.55</v>
      </c>
      <c r="K42" s="142">
        <f t="shared" si="10"/>
        <v>199958.00000000003</v>
      </c>
      <c r="L42" s="142">
        <f t="shared" si="10"/>
        <v>214274.1</v>
      </c>
      <c r="M42" s="142">
        <f t="shared" si="10"/>
        <v>233745</v>
      </c>
      <c r="N42" s="142">
        <f t="shared" si="10"/>
        <v>254835.66710000002</v>
      </c>
      <c r="O42" s="142">
        <f t="shared" si="10"/>
        <v>275222.52046800003</v>
      </c>
      <c r="P42" s="142">
        <f t="shared" si="10"/>
        <v>294488.09690076008</v>
      </c>
    </row>
    <row r="43" spans="2:16" x14ac:dyDescent="0.35">
      <c r="B43" s="132" t="s">
        <v>322</v>
      </c>
      <c r="E43" s="136"/>
      <c r="F43" s="136">
        <f>(F42-E42)/E42</f>
        <v>0.30444226705544863</v>
      </c>
      <c r="G43" s="136">
        <f t="shared" ref="G43" si="11">(G42-F42)/F42</f>
        <v>0.13837656186838987</v>
      </c>
      <c r="H43" s="136">
        <f t="shared" ref="H43" si="12">(H42-G42)/G42</f>
        <v>0.15146078730141882</v>
      </c>
      <c r="I43" s="136">
        <f t="shared" ref="I43" si="13">(I42-H42)/H42</f>
        <v>0.14796223887913376</v>
      </c>
      <c r="J43" s="136">
        <f t="shared" ref="J43" si="14">(J42-I42)/I42</f>
        <v>8.535641663410598E-2</v>
      </c>
      <c r="K43" s="136">
        <f t="shared" ref="K43" si="15">(K42-J42)/J42</f>
        <v>0.10802430740168883</v>
      </c>
      <c r="L43" s="136">
        <f t="shared" ref="L43" si="16">(L42-K42)/K42</f>
        <v>7.1595535062362964E-2</v>
      </c>
      <c r="M43" s="136">
        <f t="shared" ref="M43" si="17">(M42-L42)/L42</f>
        <v>9.0869125106580753E-2</v>
      </c>
      <c r="N43" s="152">
        <f>9%</f>
        <v>0.09</v>
      </c>
      <c r="O43" s="151">
        <v>0.08</v>
      </c>
      <c r="P43" s="151">
        <v>7.0000000000000007E-2</v>
      </c>
    </row>
    <row r="45" spans="2:16" s="177" customFormat="1" x14ac:dyDescent="0.35">
      <c r="B45" s="177" t="s">
        <v>490</v>
      </c>
    </row>
    <row r="46" spans="2:16" s="177" customFormat="1" x14ac:dyDescent="0.35"/>
    <row r="47" spans="2:16" s="177" customFormat="1" x14ac:dyDescent="0.35">
      <c r="B47" s="177" t="s">
        <v>492</v>
      </c>
      <c r="G47" s="227">
        <f>Enhancements!G109</f>
        <v>127157.23400000001</v>
      </c>
      <c r="H47" s="227">
        <f>Enhancements!H109</f>
        <v>147775.91549799999</v>
      </c>
      <c r="I47" s="227">
        <f>Enhancements!I109</f>
        <v>366334.47481736494</v>
      </c>
      <c r="J47" s="227">
        <f>Enhancements!J109</f>
        <v>188372.39783484509</v>
      </c>
      <c r="K47" s="227">
        <f>Enhancements!K109</f>
        <v>205765.60785863624</v>
      </c>
      <c r="L47" s="227">
        <f>Enhancements!L109</f>
        <v>222733.83997843674</v>
      </c>
      <c r="M47" s="227">
        <f>Enhancements!M109</f>
        <v>239224.87219685895</v>
      </c>
      <c r="N47" s="227">
        <f>Enhancements!N109</f>
        <v>255054.64631227418</v>
      </c>
      <c r="O47" s="227">
        <f>Enhancements!O109</f>
        <v>269460.86675617867</v>
      </c>
      <c r="P47" s="227">
        <f>Enhancements!P109</f>
        <v>282501.18683210743</v>
      </c>
    </row>
    <row r="49" spans="2:16" x14ac:dyDescent="0.35">
      <c r="B49" s="88" t="s">
        <v>330</v>
      </c>
      <c r="C49" s="89"/>
      <c r="D49" s="89"/>
      <c r="E49" s="89"/>
      <c r="F49" s="89"/>
      <c r="G49" s="89"/>
      <c r="H49" s="89"/>
      <c r="I49" s="89"/>
      <c r="J49" s="89"/>
      <c r="K49" s="89"/>
      <c r="L49" s="89"/>
      <c r="M49" s="89"/>
      <c r="N49" s="89"/>
      <c r="O49" s="89"/>
      <c r="P49" s="89"/>
    </row>
    <row r="51" spans="2:16" x14ac:dyDescent="0.35">
      <c r="B51" s="155" t="s">
        <v>331</v>
      </c>
    </row>
    <row r="53" spans="2:16" x14ac:dyDescent="0.35">
      <c r="B53" t="s">
        <v>332</v>
      </c>
      <c r="E53" s="143">
        <f>BS!E9</f>
        <v>18336</v>
      </c>
      <c r="F53" s="143">
        <f>BS!F9</f>
        <v>20838</v>
      </c>
      <c r="G53" s="142">
        <f t="shared" ref="G53:P53" si="18">G58</f>
        <v>24885.200000000001</v>
      </c>
      <c r="H53" s="142">
        <f t="shared" si="18"/>
        <v>28828.95</v>
      </c>
      <c r="I53" s="142">
        <f t="shared" si="18"/>
        <v>33109.699999999997</v>
      </c>
      <c r="J53" s="142">
        <f t="shared" si="18"/>
        <v>37436.300000000003</v>
      </c>
      <c r="K53" s="142">
        <f t="shared" si="18"/>
        <v>42175.5</v>
      </c>
      <c r="L53" s="142">
        <f t="shared" si="18"/>
        <v>44852.261902935439</v>
      </c>
      <c r="M53" s="142">
        <f t="shared" si="18"/>
        <v>48604.41117032215</v>
      </c>
      <c r="N53" s="142">
        <f t="shared" si="18"/>
        <v>52157.273659296174</v>
      </c>
      <c r="O53" s="142">
        <f t="shared" si="18"/>
        <v>55428.749783091618</v>
      </c>
      <c r="P53" s="142">
        <f t="shared" si="18"/>
        <v>58458.182680880949</v>
      </c>
    </row>
    <row r="56" spans="2:16" x14ac:dyDescent="0.35">
      <c r="B56" t="s">
        <v>320</v>
      </c>
    </row>
    <row r="58" spans="2:16" x14ac:dyDescent="0.35">
      <c r="B58" t="s">
        <v>333</v>
      </c>
      <c r="E58" s="143">
        <f>BS!E9</f>
        <v>18336</v>
      </c>
      <c r="F58" s="143">
        <f>BS!F9</f>
        <v>20838</v>
      </c>
      <c r="G58" s="135">
        <f>AVERAGE(G61:G63)</f>
        <v>24885.200000000001</v>
      </c>
      <c r="H58" s="135">
        <f t="shared" ref="H58:K58" si="19">AVERAGE(H61:H63)</f>
        <v>28828.95</v>
      </c>
      <c r="I58" s="135">
        <f t="shared" si="19"/>
        <v>33109.699999999997</v>
      </c>
      <c r="J58" s="135">
        <f t="shared" si="19"/>
        <v>37436.300000000003</v>
      </c>
      <c r="K58" s="135">
        <f t="shared" si="19"/>
        <v>42175.5</v>
      </c>
      <c r="L58" s="137">
        <f>L7*L59</f>
        <v>44852.261902935439</v>
      </c>
      <c r="M58" s="135">
        <f>M7*M59</f>
        <v>48604.41117032215</v>
      </c>
      <c r="N58" s="135">
        <f>N7*N59</f>
        <v>52157.273659296174</v>
      </c>
      <c r="O58" s="135">
        <f>O7*O59</f>
        <v>55428.749783091618</v>
      </c>
      <c r="P58" s="135">
        <f>P7*P59</f>
        <v>58458.182680880949</v>
      </c>
    </row>
    <row r="59" spans="2:16" x14ac:dyDescent="0.35">
      <c r="B59" s="132" t="s">
        <v>334</v>
      </c>
      <c r="E59" s="136">
        <f t="shared" ref="E59:K59" si="20">E58/E12</f>
        <v>0.16540525912227685</v>
      </c>
      <c r="F59" s="136">
        <f t="shared" si="20"/>
        <v>0.1523034081523765</v>
      </c>
      <c r="G59" s="136">
        <f t="shared" si="20"/>
        <v>0.155398662901576</v>
      </c>
      <c r="H59" s="136">
        <f t="shared" si="20"/>
        <v>0.15498388370534824</v>
      </c>
      <c r="I59" s="136">
        <f t="shared" si="20"/>
        <v>0.15457715458742557</v>
      </c>
      <c r="J59" s="136">
        <f t="shared" si="20"/>
        <v>0.15555285933498736</v>
      </c>
      <c r="K59" s="136">
        <f t="shared" si="20"/>
        <v>0.15525482103297805</v>
      </c>
      <c r="L59" s="140">
        <v>0.15</v>
      </c>
      <c r="M59" s="141">
        <v>0.15</v>
      </c>
      <c r="N59" s="141">
        <v>0.15</v>
      </c>
      <c r="O59" s="141">
        <v>0.15</v>
      </c>
      <c r="P59" s="141">
        <v>0.15</v>
      </c>
    </row>
    <row r="61" spans="2:16" x14ac:dyDescent="0.35">
      <c r="B61" t="s">
        <v>323</v>
      </c>
      <c r="C61" s="133">
        <v>43586</v>
      </c>
      <c r="E61" s="134"/>
      <c r="F61" s="134"/>
      <c r="G61" s="134">
        <v>25135.4</v>
      </c>
      <c r="H61" s="134">
        <v>28887.9</v>
      </c>
      <c r="I61" s="134">
        <v>33004.400000000001</v>
      </c>
      <c r="J61" s="134">
        <v>37436.300000000003</v>
      </c>
      <c r="K61" s="134">
        <v>42175.5</v>
      </c>
      <c r="L61" s="134"/>
      <c r="M61" s="134"/>
      <c r="N61" s="134"/>
      <c r="O61" s="134"/>
      <c r="P61" s="134"/>
    </row>
    <row r="62" spans="2:16" x14ac:dyDescent="0.35">
      <c r="B62" t="s">
        <v>324</v>
      </c>
      <c r="C62" s="133">
        <v>43556</v>
      </c>
      <c r="E62" s="134"/>
      <c r="F62" s="134"/>
      <c r="G62" s="134">
        <v>24635</v>
      </c>
      <c r="H62" s="134">
        <v>28770</v>
      </c>
      <c r="I62" s="134">
        <v>33215</v>
      </c>
      <c r="J62" s="134"/>
      <c r="K62" s="134"/>
      <c r="L62" s="134"/>
      <c r="M62" s="134"/>
      <c r="N62" s="134"/>
      <c r="O62" s="134"/>
      <c r="P62" s="134"/>
    </row>
    <row r="63" spans="2:16" x14ac:dyDescent="0.35">
      <c r="B63" t="s">
        <v>325</v>
      </c>
      <c r="C63" s="133">
        <v>43556</v>
      </c>
      <c r="E63" s="134"/>
      <c r="F63" s="134"/>
      <c r="G63" s="134"/>
      <c r="H63" s="134"/>
      <c r="I63" s="134"/>
      <c r="J63" s="134"/>
      <c r="K63" s="134"/>
      <c r="L63" s="134"/>
      <c r="M63" s="134"/>
      <c r="N63" s="134"/>
      <c r="O63" s="134"/>
      <c r="P63" s="134"/>
    </row>
    <row r="65" spans="2:16" x14ac:dyDescent="0.35">
      <c r="B65" s="155" t="s">
        <v>46</v>
      </c>
    </row>
    <row r="67" spans="2:16" x14ac:dyDescent="0.35">
      <c r="B67" t="s">
        <v>336</v>
      </c>
      <c r="E67" s="143">
        <f>BS!E11</f>
        <v>749</v>
      </c>
      <c r="F67" s="143">
        <f>BS!F11</f>
        <v>1107</v>
      </c>
      <c r="G67" s="142">
        <f t="shared" ref="G67:P67" si="21">G72</f>
        <v>846.7</v>
      </c>
      <c r="H67" s="142">
        <f t="shared" si="21"/>
        <v>855.7</v>
      </c>
      <c r="I67" s="142">
        <f t="shared" si="21"/>
        <v>865.1</v>
      </c>
      <c r="J67" s="142">
        <f t="shared" si="21"/>
        <v>875</v>
      </c>
      <c r="K67" s="142">
        <f t="shared" si="21"/>
        <v>885.3</v>
      </c>
      <c r="L67" s="142">
        <f t="shared" si="21"/>
        <v>1071.3705</v>
      </c>
      <c r="M67" s="142">
        <f t="shared" si="21"/>
        <v>1168.7250000000001</v>
      </c>
      <c r="N67" s="142">
        <f t="shared" si="21"/>
        <v>1274.1783355000002</v>
      </c>
      <c r="O67" s="142">
        <f t="shared" si="21"/>
        <v>1376.1126023400002</v>
      </c>
      <c r="P67" s="142">
        <f t="shared" si="21"/>
        <v>1472.4404845038005</v>
      </c>
    </row>
    <row r="70" spans="2:16" x14ac:dyDescent="0.35">
      <c r="B70" t="s">
        <v>320</v>
      </c>
    </row>
    <row r="72" spans="2:16" x14ac:dyDescent="0.35">
      <c r="B72" t="s">
        <v>46</v>
      </c>
      <c r="E72" s="143">
        <f>BS!E11</f>
        <v>749</v>
      </c>
      <c r="F72" s="143">
        <f>BS!F11</f>
        <v>1107</v>
      </c>
      <c r="G72" s="135">
        <f>AVERAGE(G75:G77)</f>
        <v>846.7</v>
      </c>
      <c r="H72" s="135">
        <f t="shared" ref="H72:K72" si="22">AVERAGE(H75:H77)</f>
        <v>855.7</v>
      </c>
      <c r="I72" s="135">
        <f t="shared" si="22"/>
        <v>865.1</v>
      </c>
      <c r="J72" s="135">
        <f t="shared" si="22"/>
        <v>875</v>
      </c>
      <c r="K72" s="135">
        <f t="shared" si="22"/>
        <v>885.3</v>
      </c>
      <c r="L72" s="137">
        <f>L73*L42</f>
        <v>1071.3705</v>
      </c>
      <c r="M72" s="158">
        <f t="shared" ref="M72:P72" si="23">M73*M42</f>
        <v>1168.7250000000001</v>
      </c>
      <c r="N72" s="158">
        <f t="shared" si="23"/>
        <v>1274.1783355000002</v>
      </c>
      <c r="O72" s="158">
        <f t="shared" si="23"/>
        <v>1376.1126023400002</v>
      </c>
      <c r="P72" s="158">
        <f t="shared" si="23"/>
        <v>1472.4404845038005</v>
      </c>
    </row>
    <row r="73" spans="2:16" x14ac:dyDescent="0.35">
      <c r="B73" s="132" t="s">
        <v>337</v>
      </c>
      <c r="E73" s="136">
        <f>E72/E42</f>
        <v>8.8420356750758475E-3</v>
      </c>
      <c r="F73" s="136">
        <f t="shared" ref="F73:K73" si="24">F72/F42</f>
        <v>1.001828087386197E-2</v>
      </c>
      <c r="G73" s="136">
        <f t="shared" si="24"/>
        <v>6.731148887681687E-3</v>
      </c>
      <c r="H73" s="136">
        <f t="shared" si="24"/>
        <v>5.9078847742686782E-3</v>
      </c>
      <c r="I73" s="136">
        <f t="shared" si="24"/>
        <v>5.2029445061352562E-3</v>
      </c>
      <c r="J73" s="136">
        <f t="shared" si="24"/>
        <v>4.8486245560391559E-3</v>
      </c>
      <c r="K73" s="136">
        <f t="shared" si="24"/>
        <v>4.4274297602496515E-3</v>
      </c>
      <c r="L73" s="140">
        <v>5.0000000000000001E-3</v>
      </c>
      <c r="M73" s="159">
        <v>5.0000000000000001E-3</v>
      </c>
      <c r="N73" s="159">
        <v>5.0000000000000001E-3</v>
      </c>
      <c r="O73" s="159">
        <v>5.0000000000000001E-3</v>
      </c>
      <c r="P73" s="159">
        <v>5.0000000000000001E-3</v>
      </c>
    </row>
    <row r="75" spans="2:16" x14ac:dyDescent="0.35">
      <c r="B75" t="s">
        <v>323</v>
      </c>
      <c r="C75" s="133">
        <v>43586</v>
      </c>
      <c r="E75" s="134"/>
      <c r="F75" s="134"/>
      <c r="G75" s="134">
        <v>846.7</v>
      </c>
      <c r="H75" s="134">
        <v>855.7</v>
      </c>
      <c r="I75" s="134">
        <v>865.1</v>
      </c>
      <c r="J75" s="134">
        <v>875</v>
      </c>
      <c r="K75" s="134">
        <v>885.3</v>
      </c>
      <c r="L75" s="134"/>
      <c r="M75" s="134"/>
      <c r="N75" s="134"/>
      <c r="O75" s="134"/>
      <c r="P75" s="134"/>
    </row>
    <row r="76" spans="2:16" x14ac:dyDescent="0.35">
      <c r="B76" t="s">
        <v>324</v>
      </c>
      <c r="C76" s="133">
        <v>43556</v>
      </c>
      <c r="E76" s="134"/>
      <c r="F76" s="134"/>
      <c r="G76" s="134"/>
      <c r="H76" s="134"/>
      <c r="I76" s="134"/>
      <c r="J76" s="134"/>
      <c r="K76" s="134"/>
      <c r="L76" s="134"/>
      <c r="M76" s="134"/>
      <c r="N76" s="134"/>
      <c r="O76" s="134"/>
      <c r="P76" s="134"/>
    </row>
    <row r="77" spans="2:16" x14ac:dyDescent="0.35">
      <c r="B77" t="s">
        <v>325</v>
      </c>
      <c r="C77" s="133">
        <v>43556</v>
      </c>
      <c r="E77" s="134"/>
      <c r="F77" s="134"/>
      <c r="G77" s="134"/>
      <c r="H77" s="134"/>
      <c r="I77" s="134"/>
      <c r="J77" s="134"/>
      <c r="K77" s="134"/>
      <c r="L77" s="134"/>
      <c r="M77" s="134"/>
      <c r="N77" s="134"/>
      <c r="O77" s="134"/>
      <c r="P77" s="134"/>
    </row>
    <row r="80" spans="2:16" x14ac:dyDescent="0.35">
      <c r="B80" s="155" t="s">
        <v>352</v>
      </c>
    </row>
    <row r="82" spans="2:16" x14ac:dyDescent="0.35">
      <c r="B82" t="s">
        <v>353</v>
      </c>
      <c r="E82" s="143">
        <f>BS!E31</f>
        <v>3137</v>
      </c>
      <c r="F82" s="143">
        <f>BS!F31</f>
        <v>4378</v>
      </c>
      <c r="G82" s="142">
        <f t="shared" ref="G82:P82" si="25">G87</f>
        <v>5119.6499999999996</v>
      </c>
      <c r="H82" s="142">
        <f t="shared" si="25"/>
        <v>5907.35</v>
      </c>
      <c r="I82" s="142">
        <f t="shared" si="25"/>
        <v>6700.65</v>
      </c>
      <c r="J82" s="142">
        <f t="shared" si="25"/>
        <v>6923.2</v>
      </c>
      <c r="K82" s="142">
        <f t="shared" si="25"/>
        <v>7630.5</v>
      </c>
      <c r="L82" s="142">
        <f t="shared" si="25"/>
        <v>6839.9526923714984</v>
      </c>
      <c r="M82" s="142">
        <f t="shared" si="25"/>
        <v>7346.3772223544693</v>
      </c>
      <c r="N82" s="142">
        <f t="shared" si="25"/>
        <v>7832.4951202493266</v>
      </c>
      <c r="O82" s="142">
        <f t="shared" si="25"/>
        <v>8274.8969857302127</v>
      </c>
      <c r="P82" s="142">
        <f t="shared" si="25"/>
        <v>8675.3532990653148</v>
      </c>
    </row>
    <row r="85" spans="2:16" x14ac:dyDescent="0.35">
      <c r="B85" t="s">
        <v>320</v>
      </c>
    </row>
    <row r="87" spans="2:16" x14ac:dyDescent="0.35">
      <c r="B87" t="s">
        <v>354</v>
      </c>
      <c r="E87" s="143">
        <f>E82</f>
        <v>3137</v>
      </c>
      <c r="F87" s="143">
        <f>F82</f>
        <v>4378</v>
      </c>
      <c r="G87" s="135">
        <f>AVERAGE(G90:G92)</f>
        <v>5119.6499999999996</v>
      </c>
      <c r="H87" s="135">
        <f t="shared" ref="H87:K87" si="26">AVERAGE(H90:H92)</f>
        <v>5907.35</v>
      </c>
      <c r="I87" s="135">
        <f t="shared" si="26"/>
        <v>6700.65</v>
      </c>
      <c r="J87" s="135">
        <f t="shared" si="26"/>
        <v>6923.2</v>
      </c>
      <c r="K87" s="135">
        <f t="shared" si="26"/>
        <v>7630.5</v>
      </c>
      <c r="L87" s="137">
        <f>L88*L37</f>
        <v>6839.9526923714984</v>
      </c>
      <c r="M87" s="158">
        <f t="shared" ref="M87:P87" si="27">M88*M37</f>
        <v>7346.3772223544693</v>
      </c>
      <c r="N87" s="158">
        <f t="shared" si="27"/>
        <v>7832.4951202493266</v>
      </c>
      <c r="O87" s="158">
        <f t="shared" si="27"/>
        <v>8274.8969857302127</v>
      </c>
      <c r="P87" s="158">
        <f t="shared" si="27"/>
        <v>8675.3532990653148</v>
      </c>
    </row>
    <row r="88" spans="2:16" x14ac:dyDescent="0.35">
      <c r="B88" s="132" t="s">
        <v>337</v>
      </c>
      <c r="E88" s="136">
        <f>E87/E37</f>
        <v>3.7032664769977214E-2</v>
      </c>
      <c r="F88" s="136">
        <f t="shared" ref="F88:K88" si="28">F87/F37</f>
        <v>3.962062661767634E-2</v>
      </c>
      <c r="G88" s="136">
        <f t="shared" si="28"/>
        <v>4.0262357389749447E-2</v>
      </c>
      <c r="H88" s="136">
        <f t="shared" si="28"/>
        <v>3.9975052633525729E-2</v>
      </c>
      <c r="I88" s="136">
        <f t="shared" si="28"/>
        <v>1.8291071304005965E-2</v>
      </c>
      <c r="J88" s="136">
        <f t="shared" si="28"/>
        <v>3.6752730652555021E-2</v>
      </c>
      <c r="K88" s="136">
        <f t="shared" si="28"/>
        <v>3.7083456654438851E-2</v>
      </c>
      <c r="L88" s="166">
        <f>AVERAGE(I88:K88)</f>
        <v>3.0709086203666611E-2</v>
      </c>
      <c r="M88" s="159">
        <f>L88</f>
        <v>3.0709086203666611E-2</v>
      </c>
      <c r="N88" s="159">
        <f t="shared" ref="N88:P88" si="29">M88</f>
        <v>3.0709086203666611E-2</v>
      </c>
      <c r="O88" s="159">
        <f t="shared" si="29"/>
        <v>3.0709086203666611E-2</v>
      </c>
      <c r="P88" s="159">
        <f t="shared" si="29"/>
        <v>3.0709086203666611E-2</v>
      </c>
    </row>
    <row r="90" spans="2:16" x14ac:dyDescent="0.35">
      <c r="B90" t="s">
        <v>323</v>
      </c>
      <c r="C90" s="133">
        <v>43586</v>
      </c>
      <c r="E90" s="134"/>
      <c r="F90" s="134"/>
      <c r="G90" s="134">
        <v>4936.3</v>
      </c>
      <c r="H90" s="134">
        <v>5611.7</v>
      </c>
      <c r="I90" s="134">
        <v>6298.3</v>
      </c>
      <c r="J90" s="134">
        <v>6923.2</v>
      </c>
      <c r="K90" s="134">
        <v>7630.5</v>
      </c>
      <c r="L90" s="134"/>
      <c r="M90" s="134"/>
      <c r="N90" s="134"/>
      <c r="O90" s="134"/>
      <c r="P90" s="134"/>
    </row>
    <row r="91" spans="2:16" x14ac:dyDescent="0.35">
      <c r="B91" t="s">
        <v>324</v>
      </c>
      <c r="C91" s="133">
        <v>43556</v>
      </c>
      <c r="E91" s="134"/>
      <c r="F91" s="134"/>
      <c r="G91" s="134">
        <v>5303</v>
      </c>
      <c r="H91" s="134">
        <v>6203</v>
      </c>
      <c r="I91" s="134">
        <v>7103</v>
      </c>
      <c r="J91" s="134"/>
      <c r="K91" s="134"/>
      <c r="L91" s="134"/>
      <c r="M91" s="134"/>
      <c r="N91" s="134"/>
      <c r="O91" s="134"/>
      <c r="P91" s="134"/>
    </row>
    <row r="92" spans="2:16" x14ac:dyDescent="0.35">
      <c r="B92" t="s">
        <v>325</v>
      </c>
      <c r="C92" s="133">
        <v>43556</v>
      </c>
      <c r="E92" s="134"/>
      <c r="F92" s="134"/>
      <c r="G92" s="134"/>
      <c r="H92" s="134"/>
      <c r="I92" s="134"/>
      <c r="J92" s="134"/>
      <c r="K92" s="134"/>
      <c r="L92" s="134"/>
      <c r="M92" s="134"/>
      <c r="N92" s="134"/>
      <c r="O92" s="134"/>
      <c r="P92" s="134"/>
    </row>
    <row r="93" spans="2:16" x14ac:dyDescent="0.35">
      <c r="C93" s="133"/>
      <c r="E93" s="165"/>
      <c r="F93" s="165"/>
      <c r="G93" s="165"/>
      <c r="H93" s="165"/>
      <c r="I93" s="165"/>
      <c r="J93" s="165"/>
      <c r="K93" s="165"/>
      <c r="L93" s="165"/>
      <c r="M93" s="165"/>
      <c r="N93" s="165"/>
      <c r="O93" s="165"/>
      <c r="P93" s="165"/>
    </row>
    <row r="94" spans="2:16" x14ac:dyDescent="0.35">
      <c r="C94" s="133"/>
      <c r="E94" s="165"/>
      <c r="F94" s="165"/>
      <c r="G94" s="165"/>
      <c r="H94" s="165"/>
      <c r="I94" s="165"/>
      <c r="J94" s="165"/>
      <c r="K94" s="165"/>
      <c r="L94" s="165"/>
      <c r="M94" s="165"/>
      <c r="N94" s="165"/>
      <c r="O94" s="165"/>
      <c r="P94" s="165"/>
    </row>
    <row r="95" spans="2:16" x14ac:dyDescent="0.35">
      <c r="B95" s="88" t="s">
        <v>338</v>
      </c>
      <c r="C95" s="89"/>
      <c r="D95" s="89"/>
      <c r="E95" s="89"/>
      <c r="F95" s="89"/>
      <c r="G95" s="89"/>
      <c r="H95" s="89"/>
      <c r="I95" s="89"/>
      <c r="J95" s="89"/>
      <c r="K95" s="89"/>
      <c r="L95" s="89"/>
      <c r="M95" s="89"/>
      <c r="N95" s="89"/>
      <c r="O95" s="89"/>
      <c r="P95" s="89"/>
    </row>
    <row r="97" spans="2:16" x14ac:dyDescent="0.35">
      <c r="B97" t="s">
        <v>339</v>
      </c>
      <c r="E97" s="143">
        <f>BS!E12</f>
        <v>2983</v>
      </c>
      <c r="F97" s="143">
        <f>BS!F12</f>
        <v>4236</v>
      </c>
      <c r="G97" s="137">
        <f>G$7*G98</f>
        <v>4895.5709999999999</v>
      </c>
      <c r="H97" s="135">
        <f t="shared" ref="H97:P97" si="30">H$7*H98</f>
        <v>5766.9971849999993</v>
      </c>
      <c r="I97" s="135">
        <f t="shared" si="30"/>
        <v>6526.9670476499996</v>
      </c>
      <c r="J97" s="135">
        <f t="shared" si="30"/>
        <v>7459.8784781864997</v>
      </c>
      <c r="K97" s="135">
        <f t="shared" si="30"/>
        <v>8217.8408674878447</v>
      </c>
      <c r="L97" s="135">
        <f t="shared" si="30"/>
        <v>8970.4523805870886</v>
      </c>
      <c r="M97" s="135">
        <f t="shared" si="30"/>
        <v>9720.8822340644292</v>
      </c>
      <c r="N97" s="135">
        <f t="shared" si="30"/>
        <v>10431.454731859236</v>
      </c>
      <c r="O97" s="135">
        <f t="shared" si="30"/>
        <v>11085.749956618323</v>
      </c>
      <c r="P97" s="135">
        <f t="shared" si="30"/>
        <v>11691.636536176189</v>
      </c>
    </row>
    <row r="98" spans="2:16" x14ac:dyDescent="0.35">
      <c r="B98" s="132" t="s">
        <v>334</v>
      </c>
      <c r="E98" s="136">
        <f>E97/E$7</f>
        <v>2.6909025303324161E-2</v>
      </c>
      <c r="F98" s="136">
        <f>F97/F$7</f>
        <v>3.0960612195674576E-2</v>
      </c>
      <c r="G98" s="161">
        <v>0.03</v>
      </c>
      <c r="H98" s="160">
        <f>G98</f>
        <v>0.03</v>
      </c>
      <c r="I98" s="160">
        <f t="shared" ref="I98:P98" si="31">H98</f>
        <v>0.03</v>
      </c>
      <c r="J98" s="160">
        <f t="shared" si="31"/>
        <v>0.03</v>
      </c>
      <c r="K98" s="160">
        <f t="shared" si="31"/>
        <v>0.03</v>
      </c>
      <c r="L98" s="160">
        <f t="shared" si="31"/>
        <v>0.03</v>
      </c>
      <c r="M98" s="160">
        <f t="shared" si="31"/>
        <v>0.03</v>
      </c>
      <c r="N98" s="160">
        <f t="shared" si="31"/>
        <v>0.03</v>
      </c>
      <c r="O98" s="160">
        <f t="shared" si="31"/>
        <v>0.03</v>
      </c>
      <c r="P98" s="160">
        <f t="shared" si="31"/>
        <v>0.03</v>
      </c>
    </row>
    <row r="102" spans="2:16" x14ac:dyDescent="0.35">
      <c r="B102" s="88" t="s">
        <v>341</v>
      </c>
      <c r="C102" s="89"/>
      <c r="D102" s="89"/>
      <c r="E102" s="89"/>
      <c r="F102" s="89"/>
      <c r="G102" s="89"/>
      <c r="H102" s="89"/>
      <c r="I102" s="89"/>
      <c r="J102" s="89"/>
      <c r="K102" s="89"/>
      <c r="L102" s="89"/>
      <c r="M102" s="89"/>
      <c r="N102" s="89"/>
      <c r="O102" s="89"/>
      <c r="P102" s="89"/>
    </row>
    <row r="104" spans="2:16" x14ac:dyDescent="0.35">
      <c r="B104" t="s">
        <v>342</v>
      </c>
      <c r="E104" s="143"/>
      <c r="F104" s="143">
        <f>E107</f>
        <v>42383</v>
      </c>
      <c r="G104" s="143">
        <f>F107</f>
        <v>59719</v>
      </c>
      <c r="H104" s="135">
        <f>G107</f>
        <v>75110.333333333328</v>
      </c>
      <c r="I104" s="135">
        <f t="shared" ref="I104:P104" si="32">H107</f>
        <v>89961.833333333328</v>
      </c>
      <c r="J104" s="135">
        <f t="shared" si="32"/>
        <v>104377.46666666666</v>
      </c>
      <c r="K104" s="135">
        <f t="shared" si="32"/>
        <v>113921.96666666667</v>
      </c>
      <c r="L104" s="135">
        <f t="shared" si="32"/>
        <v>121221.21666666666</v>
      </c>
      <c r="M104" s="135">
        <f t="shared" si="32"/>
        <v>123726.21666666665</v>
      </c>
      <c r="N104" s="135">
        <f t="shared" si="32"/>
        <v>123660.51666666663</v>
      </c>
      <c r="O104" s="135">
        <f t="shared" si="32"/>
        <v>125399.09245530986</v>
      </c>
      <c r="P104" s="135">
        <f t="shared" si="32"/>
        <v>127246.71744807958</v>
      </c>
    </row>
    <row r="105" spans="2:16" x14ac:dyDescent="0.35">
      <c r="B105" s="149" t="s">
        <v>344</v>
      </c>
      <c r="E105" s="163">
        <f t="shared" ref="E105:P105" si="33">E117</f>
        <v>13184</v>
      </c>
      <c r="F105" s="163">
        <f t="shared" si="33"/>
        <v>25139</v>
      </c>
      <c r="G105" s="139">
        <f t="shared" si="33"/>
        <v>26021.633333333331</v>
      </c>
      <c r="H105" s="142">
        <f t="shared" si="33"/>
        <v>28125.399999999998</v>
      </c>
      <c r="I105" s="142">
        <f t="shared" si="33"/>
        <v>30365.433333333334</v>
      </c>
      <c r="J105" s="142">
        <f t="shared" si="33"/>
        <v>29814.9</v>
      </c>
      <c r="K105" s="142">
        <f t="shared" si="33"/>
        <v>30795.05</v>
      </c>
      <c r="L105" s="142">
        <f t="shared" si="33"/>
        <v>29315.1</v>
      </c>
      <c r="M105" s="142">
        <f t="shared" si="33"/>
        <v>30165.4</v>
      </c>
      <c r="N105" s="142">
        <f t="shared" si="33"/>
        <v>34771.515772864121</v>
      </c>
      <c r="O105" s="142">
        <f t="shared" si="33"/>
        <v>36952.49985539441</v>
      </c>
      <c r="P105" s="142">
        <f t="shared" si="33"/>
        <v>38972.121787253964</v>
      </c>
    </row>
    <row r="106" spans="2:16" x14ac:dyDescent="0.35">
      <c r="B106" t="s">
        <v>126</v>
      </c>
      <c r="E106" s="143">
        <f t="shared" ref="E106:P106" si="34">E131</f>
        <v>6103</v>
      </c>
      <c r="F106" s="143">
        <f t="shared" si="34"/>
        <v>8164</v>
      </c>
      <c r="G106" s="158">
        <f t="shared" si="34"/>
        <v>10630.3</v>
      </c>
      <c r="H106" s="135">
        <f t="shared" si="34"/>
        <v>13273.9</v>
      </c>
      <c r="I106" s="135">
        <f t="shared" si="34"/>
        <v>15949.8</v>
      </c>
      <c r="J106" s="135">
        <f t="shared" si="34"/>
        <v>20270.400000000001</v>
      </c>
      <c r="K106" s="135">
        <f t="shared" si="34"/>
        <v>23495.8</v>
      </c>
      <c r="L106" s="135">
        <f t="shared" si="34"/>
        <v>26810.1</v>
      </c>
      <c r="M106" s="135">
        <f t="shared" si="34"/>
        <v>30231.1</v>
      </c>
      <c r="N106" s="135">
        <f t="shared" si="34"/>
        <v>33032.93998422091</v>
      </c>
      <c r="O106" s="135">
        <f t="shared" si="34"/>
        <v>35104.874862624689</v>
      </c>
      <c r="P106" s="135">
        <f t="shared" si="34"/>
        <v>37023.515697891264</v>
      </c>
    </row>
    <row r="107" spans="2:16" x14ac:dyDescent="0.35">
      <c r="B107" t="s">
        <v>343</v>
      </c>
      <c r="E107" s="143">
        <f>BS!E18</f>
        <v>42383</v>
      </c>
      <c r="F107" s="143">
        <f>BS!F18</f>
        <v>59719</v>
      </c>
      <c r="G107" s="158">
        <f>G104+G105-G106</f>
        <v>75110.333333333328</v>
      </c>
      <c r="H107" s="158">
        <f t="shared" ref="H107:P107" si="35">H104+H105-H106</f>
        <v>89961.833333333328</v>
      </c>
      <c r="I107" s="158">
        <f t="shared" si="35"/>
        <v>104377.46666666666</v>
      </c>
      <c r="J107" s="158">
        <f t="shared" si="35"/>
        <v>113921.96666666667</v>
      </c>
      <c r="K107" s="158">
        <f t="shared" si="35"/>
        <v>121221.21666666666</v>
      </c>
      <c r="L107" s="158">
        <f t="shared" si="35"/>
        <v>123726.21666666665</v>
      </c>
      <c r="M107" s="158">
        <f t="shared" si="35"/>
        <v>123660.51666666663</v>
      </c>
      <c r="N107" s="158">
        <f t="shared" si="35"/>
        <v>125399.09245530986</v>
      </c>
      <c r="O107" s="158">
        <f t="shared" si="35"/>
        <v>127246.71744807958</v>
      </c>
      <c r="P107" s="158">
        <f t="shared" si="35"/>
        <v>129195.32353744228</v>
      </c>
    </row>
    <row r="108" spans="2:16" x14ac:dyDescent="0.35">
      <c r="E108" s="135"/>
      <c r="F108" s="135"/>
      <c r="G108" s="158"/>
      <c r="H108" s="135"/>
      <c r="I108" s="135"/>
      <c r="J108" s="135"/>
      <c r="K108" s="135"/>
      <c r="L108" s="135"/>
      <c r="M108" s="135"/>
      <c r="N108" s="135"/>
      <c r="O108" s="135"/>
      <c r="P108" s="135"/>
    </row>
    <row r="109" spans="2:16" x14ac:dyDescent="0.35">
      <c r="E109" s="135"/>
      <c r="F109" s="135"/>
      <c r="G109" s="135"/>
      <c r="H109" s="135"/>
      <c r="I109" s="135"/>
      <c r="J109" s="135"/>
      <c r="K109" s="135"/>
      <c r="L109" s="135"/>
      <c r="M109" s="135"/>
      <c r="N109" s="135"/>
      <c r="O109" s="135"/>
      <c r="P109" s="135"/>
    </row>
    <row r="111" spans="2:16" x14ac:dyDescent="0.35">
      <c r="B111" s="88" t="s">
        <v>316</v>
      </c>
      <c r="C111" s="89"/>
      <c r="D111" s="89"/>
      <c r="E111" s="89"/>
      <c r="F111" s="89"/>
      <c r="G111" s="89"/>
      <c r="H111" s="89"/>
      <c r="I111" s="89"/>
      <c r="J111" s="89"/>
      <c r="K111" s="89"/>
      <c r="L111" s="89"/>
      <c r="M111" s="89"/>
      <c r="N111" s="89"/>
      <c r="O111" s="89"/>
      <c r="P111" s="89"/>
    </row>
    <row r="113" spans="2:16" x14ac:dyDescent="0.35">
      <c r="B113" t="s">
        <v>345</v>
      </c>
      <c r="E113" s="143">
        <f>BS!E44</f>
        <v>3059</v>
      </c>
      <c r="F113" s="143">
        <f>BS!F44</f>
        <v>3545</v>
      </c>
      <c r="G113" s="142">
        <f t="shared" ref="G113:P113" si="36">G117</f>
        <v>26021.633333333331</v>
      </c>
      <c r="H113" s="142">
        <f t="shared" si="36"/>
        <v>28125.399999999998</v>
      </c>
      <c r="I113" s="142">
        <f t="shared" si="36"/>
        <v>30365.433333333334</v>
      </c>
      <c r="J113" s="142">
        <f t="shared" si="36"/>
        <v>29814.9</v>
      </c>
      <c r="K113" s="142">
        <f t="shared" si="36"/>
        <v>30795.05</v>
      </c>
      <c r="L113" s="142">
        <f t="shared" si="36"/>
        <v>29315.1</v>
      </c>
      <c r="M113" s="142">
        <f t="shared" si="36"/>
        <v>30165.4</v>
      </c>
      <c r="N113" s="142">
        <f t="shared" si="36"/>
        <v>34771.515772864121</v>
      </c>
      <c r="O113" s="142">
        <f t="shared" si="36"/>
        <v>36952.49985539441</v>
      </c>
      <c r="P113" s="142">
        <f t="shared" si="36"/>
        <v>38972.121787253964</v>
      </c>
    </row>
    <row r="115" spans="2:16" x14ac:dyDescent="0.35">
      <c r="B115" t="s">
        <v>320</v>
      </c>
    </row>
    <row r="117" spans="2:16" x14ac:dyDescent="0.35">
      <c r="B117" t="s">
        <v>316</v>
      </c>
      <c r="E117" s="143">
        <f>-CF!E27</f>
        <v>13184</v>
      </c>
      <c r="F117" s="143">
        <f>-CF!F27</f>
        <v>25139</v>
      </c>
      <c r="G117" s="135">
        <f>AVERAGE(G120:G122)</f>
        <v>26021.633333333331</v>
      </c>
      <c r="H117" s="135">
        <f t="shared" ref="H117:M117" si="37">AVERAGE(H120:H122)</f>
        <v>28125.399999999998</v>
      </c>
      <c r="I117" s="135">
        <f t="shared" si="37"/>
        <v>30365.433333333334</v>
      </c>
      <c r="J117" s="135">
        <f t="shared" si="37"/>
        <v>29814.9</v>
      </c>
      <c r="K117" s="135">
        <f t="shared" si="37"/>
        <v>30795.05</v>
      </c>
      <c r="L117" s="135">
        <f t="shared" si="37"/>
        <v>29315.1</v>
      </c>
      <c r="M117" s="135">
        <f t="shared" si="37"/>
        <v>30165.4</v>
      </c>
      <c r="N117" s="137">
        <f>N118*N7</f>
        <v>34771.515772864121</v>
      </c>
      <c r="O117" s="158">
        <f>O118*O7</f>
        <v>36952.49985539441</v>
      </c>
      <c r="P117" s="158">
        <f>P118*P7</f>
        <v>38972.121787253964</v>
      </c>
    </row>
    <row r="118" spans="2:16" x14ac:dyDescent="0.35">
      <c r="B118" s="132" t="s">
        <v>334</v>
      </c>
      <c r="E118" s="136">
        <f t="shared" ref="E118:M118" si="38">E117/E7</f>
        <v>0.11893013395877497</v>
      </c>
      <c r="F118" s="136">
        <f t="shared" si="38"/>
        <v>0.18373910056351822</v>
      </c>
      <c r="G118" s="136">
        <f t="shared" si="38"/>
        <v>0.15946025499374841</v>
      </c>
      <c r="H118" s="136">
        <f t="shared" si="38"/>
        <v>0.1463087240955537</v>
      </c>
      <c r="I118" s="136">
        <f t="shared" si="38"/>
        <v>0.13956911278232781</v>
      </c>
      <c r="J118" s="136">
        <f t="shared" si="38"/>
        <v>0.11990101482423084</v>
      </c>
      <c r="K118" s="136">
        <f t="shared" si="38"/>
        <v>0.11242022264692708</v>
      </c>
      <c r="L118" s="136">
        <f t="shared" si="38"/>
        <v>9.8038868352193678E-2</v>
      </c>
      <c r="M118" s="136">
        <f t="shared" si="38"/>
        <v>9.3094636701675518E-2</v>
      </c>
      <c r="N118" s="140">
        <f>10%</f>
        <v>0.1</v>
      </c>
      <c r="O118" s="159">
        <f>10%</f>
        <v>0.1</v>
      </c>
      <c r="P118" s="159">
        <f>10%</f>
        <v>0.1</v>
      </c>
    </row>
    <row r="120" spans="2:16" x14ac:dyDescent="0.35">
      <c r="B120" t="s">
        <v>323</v>
      </c>
      <c r="C120" s="133">
        <v>43586</v>
      </c>
      <c r="E120" s="134"/>
      <c r="F120" s="134"/>
      <c r="G120" s="134">
        <v>25016.9</v>
      </c>
      <c r="H120" s="134">
        <v>25655.200000000001</v>
      </c>
      <c r="I120" s="134">
        <v>26716.3</v>
      </c>
      <c r="J120" s="134">
        <v>27857.8</v>
      </c>
      <c r="K120" s="134">
        <v>28469.1</v>
      </c>
      <c r="L120" s="134">
        <v>29315.1</v>
      </c>
      <c r="M120" s="134">
        <v>30165.4</v>
      </c>
      <c r="N120" s="134"/>
      <c r="O120" s="134"/>
      <c r="P120" s="134"/>
    </row>
    <row r="121" spans="2:16" x14ac:dyDescent="0.35">
      <c r="B121" t="s">
        <v>324</v>
      </c>
      <c r="C121" s="133">
        <v>43556</v>
      </c>
      <c r="E121" s="134"/>
      <c r="F121" s="134"/>
      <c r="G121" s="134">
        <v>27410</v>
      </c>
      <c r="H121" s="134">
        <v>30930</v>
      </c>
      <c r="I121" s="134">
        <v>34495</v>
      </c>
      <c r="J121" s="134"/>
      <c r="K121" s="134"/>
      <c r="L121" s="134"/>
      <c r="M121" s="134"/>
      <c r="N121" s="134"/>
      <c r="O121" s="134"/>
      <c r="P121" s="134"/>
    </row>
    <row r="122" spans="2:16" x14ac:dyDescent="0.35">
      <c r="B122" t="s">
        <v>325</v>
      </c>
      <c r="C122" s="133">
        <v>43556</v>
      </c>
      <c r="E122" s="134"/>
      <c r="F122" s="134"/>
      <c r="G122" s="134">
        <v>25638</v>
      </c>
      <c r="H122" s="134">
        <v>27791</v>
      </c>
      <c r="I122" s="134">
        <v>29885</v>
      </c>
      <c r="J122" s="134">
        <v>31772</v>
      </c>
      <c r="K122" s="134">
        <v>33121</v>
      </c>
      <c r="L122" s="134"/>
      <c r="M122" s="134"/>
      <c r="N122" s="134"/>
      <c r="O122" s="134"/>
      <c r="P122" s="134"/>
    </row>
    <row r="125" spans="2:16" x14ac:dyDescent="0.35">
      <c r="B125" s="88" t="s">
        <v>126</v>
      </c>
      <c r="C125" s="89"/>
      <c r="D125" s="89"/>
      <c r="E125" s="89"/>
      <c r="F125" s="89"/>
      <c r="G125" s="89"/>
      <c r="H125" s="89"/>
      <c r="I125" s="89"/>
      <c r="J125" s="89"/>
      <c r="K125" s="89"/>
      <c r="L125" s="89"/>
      <c r="M125" s="89"/>
      <c r="N125" s="89"/>
      <c r="O125" s="89"/>
      <c r="P125" s="89"/>
    </row>
    <row r="127" spans="2:16" x14ac:dyDescent="0.35">
      <c r="B127" t="s">
        <v>346</v>
      </c>
      <c r="E127" s="143">
        <f>BS!E58</f>
        <v>197295</v>
      </c>
      <c r="F127" s="143">
        <f>BS!F58</f>
        <v>232792</v>
      </c>
      <c r="G127" s="142">
        <f t="shared" ref="G127:P127" si="39">G131</f>
        <v>10630.3</v>
      </c>
      <c r="H127" s="142">
        <f t="shared" si="39"/>
        <v>13273.9</v>
      </c>
      <c r="I127" s="142">
        <f t="shared" si="39"/>
        <v>15949.8</v>
      </c>
      <c r="J127" s="142">
        <f t="shared" si="39"/>
        <v>20270.400000000001</v>
      </c>
      <c r="K127" s="142">
        <f t="shared" si="39"/>
        <v>23495.8</v>
      </c>
      <c r="L127" s="142">
        <f t="shared" si="39"/>
        <v>26810.1</v>
      </c>
      <c r="M127" s="142">
        <f t="shared" si="39"/>
        <v>30231.1</v>
      </c>
      <c r="N127" s="142">
        <f t="shared" si="39"/>
        <v>33032.93998422091</v>
      </c>
      <c r="O127" s="142">
        <f t="shared" si="39"/>
        <v>35104.874862624689</v>
      </c>
      <c r="P127" s="142">
        <f t="shared" si="39"/>
        <v>37023.515697891264</v>
      </c>
    </row>
    <row r="129" spans="2:16" x14ac:dyDescent="0.35">
      <c r="B129" t="s">
        <v>320</v>
      </c>
    </row>
    <row r="131" spans="2:16" x14ac:dyDescent="0.35">
      <c r="B131" t="s">
        <v>126</v>
      </c>
      <c r="E131" s="143">
        <f>CF!E8</f>
        <v>6103</v>
      </c>
      <c r="F131" s="143">
        <f>CF!F8</f>
        <v>8164</v>
      </c>
      <c r="G131" s="135">
        <f>AVERAGE(G134:G136)</f>
        <v>10630.3</v>
      </c>
      <c r="H131" s="135">
        <f t="shared" ref="H131:M131" si="40">AVERAGE(H134:H136)</f>
        <v>13273.9</v>
      </c>
      <c r="I131" s="135">
        <f t="shared" si="40"/>
        <v>15949.8</v>
      </c>
      <c r="J131" s="135">
        <f t="shared" si="40"/>
        <v>20270.400000000001</v>
      </c>
      <c r="K131" s="135">
        <f t="shared" si="40"/>
        <v>23495.8</v>
      </c>
      <c r="L131" s="135">
        <f t="shared" si="40"/>
        <v>26810.1</v>
      </c>
      <c r="M131" s="135">
        <f t="shared" si="40"/>
        <v>30231.1</v>
      </c>
      <c r="N131" s="137">
        <f>N132*N117</f>
        <v>33032.93998422091</v>
      </c>
      <c r="O131" s="158">
        <f t="shared" ref="O131:P131" si="41">O132*O117</f>
        <v>35104.874862624689</v>
      </c>
      <c r="P131" s="158">
        <f t="shared" si="41"/>
        <v>37023.515697891264</v>
      </c>
    </row>
    <row r="132" spans="2:16" x14ac:dyDescent="0.35">
      <c r="B132" s="132" t="s">
        <v>347</v>
      </c>
      <c r="E132" s="136">
        <f>E131/E117</f>
        <v>0.4629095873786408</v>
      </c>
      <c r="F132" s="136">
        <f t="shared" ref="F132:M132" si="42">F131/F117</f>
        <v>0.3247543657265603</v>
      </c>
      <c r="G132" s="136">
        <f t="shared" si="42"/>
        <v>0.40851778456130733</v>
      </c>
      <c r="H132" s="136">
        <f t="shared" si="42"/>
        <v>0.47195417665170986</v>
      </c>
      <c r="I132" s="136">
        <f t="shared" si="42"/>
        <v>0.52526172852245367</v>
      </c>
      <c r="J132" s="136">
        <f t="shared" si="42"/>
        <v>0.67987482768682772</v>
      </c>
      <c r="K132" s="136">
        <f t="shared" si="42"/>
        <v>0.76297327005476534</v>
      </c>
      <c r="L132" s="136">
        <f t="shared" si="42"/>
        <v>0.91454915726025154</v>
      </c>
      <c r="M132" s="136">
        <f t="shared" si="42"/>
        <v>1.0021779920040841</v>
      </c>
      <c r="N132" s="140">
        <v>0.95</v>
      </c>
      <c r="O132" s="159">
        <v>0.95</v>
      </c>
      <c r="P132" s="159">
        <v>0.95</v>
      </c>
    </row>
    <row r="134" spans="2:16" x14ac:dyDescent="0.35">
      <c r="B134" t="s">
        <v>323</v>
      </c>
      <c r="C134" s="133">
        <v>43586</v>
      </c>
      <c r="E134" s="134"/>
      <c r="F134" s="134"/>
      <c r="G134" s="134">
        <v>11102.6</v>
      </c>
      <c r="H134" s="134">
        <v>14109.8</v>
      </c>
      <c r="I134" s="134">
        <v>17129.599999999999</v>
      </c>
      <c r="J134" s="134">
        <v>20270.400000000001</v>
      </c>
      <c r="K134" s="134">
        <v>23495.8</v>
      </c>
      <c r="L134" s="134">
        <v>26810.1</v>
      </c>
      <c r="M134" s="134">
        <v>30231.1</v>
      </c>
      <c r="N134" s="134"/>
      <c r="O134" s="134"/>
      <c r="P134" s="134"/>
    </row>
    <row r="135" spans="2:16" x14ac:dyDescent="0.35">
      <c r="B135" t="s">
        <v>324</v>
      </c>
      <c r="C135" s="133">
        <v>43556</v>
      </c>
      <c r="E135" s="134"/>
      <c r="F135" s="134"/>
      <c r="G135" s="134">
        <v>10158</v>
      </c>
      <c r="H135" s="134">
        <v>12438</v>
      </c>
      <c r="I135" s="134">
        <v>14770</v>
      </c>
      <c r="J135" s="134"/>
      <c r="K135" s="134"/>
      <c r="L135" s="134"/>
      <c r="M135" s="134"/>
      <c r="N135" s="134"/>
      <c r="O135" s="134"/>
      <c r="P135" s="134"/>
    </row>
    <row r="136" spans="2:16" x14ac:dyDescent="0.35">
      <c r="B136" t="s">
        <v>325</v>
      </c>
      <c r="C136" s="133">
        <v>43556</v>
      </c>
      <c r="E136" s="134"/>
      <c r="F136" s="134"/>
      <c r="G136" s="134"/>
      <c r="H136" s="134"/>
      <c r="I136" s="134"/>
      <c r="J136" s="134"/>
      <c r="K136" s="134"/>
      <c r="L136" s="134"/>
      <c r="M136" s="134"/>
      <c r="N136" s="134"/>
      <c r="O136" s="134"/>
      <c r="P136" s="134"/>
    </row>
    <row r="139" spans="2:16" x14ac:dyDescent="0.35">
      <c r="B139" s="88" t="s">
        <v>51</v>
      </c>
      <c r="C139" s="89"/>
      <c r="D139" s="89"/>
      <c r="E139" s="89"/>
      <c r="F139" s="89"/>
      <c r="G139" s="89"/>
      <c r="H139" s="89"/>
      <c r="I139" s="89"/>
      <c r="J139" s="89"/>
      <c r="K139" s="89"/>
      <c r="L139" s="89"/>
      <c r="M139" s="89"/>
      <c r="N139" s="89"/>
      <c r="O139" s="89"/>
      <c r="P139" s="89"/>
    </row>
    <row r="141" spans="2:16" x14ac:dyDescent="0.35">
      <c r="B141" t="s">
        <v>342</v>
      </c>
      <c r="E141" s="143"/>
      <c r="F141" s="143">
        <f>E144</f>
        <v>2692</v>
      </c>
      <c r="G141" s="143">
        <f>F144</f>
        <v>2220</v>
      </c>
      <c r="H141" s="135">
        <f>G144</f>
        <v>1468.8</v>
      </c>
      <c r="I141" s="135">
        <f t="shared" ref="I141:P141" si="43">H144</f>
        <v>755.4</v>
      </c>
      <c r="J141" s="135">
        <f t="shared" si="43"/>
        <v>196.60000000000002</v>
      </c>
      <c r="K141" s="135">
        <f t="shared" si="43"/>
        <v>0</v>
      </c>
      <c r="L141" s="135">
        <f t="shared" si="43"/>
        <v>0</v>
      </c>
      <c r="M141" s="135">
        <f t="shared" si="43"/>
        <v>0</v>
      </c>
      <c r="N141" s="135">
        <f t="shared" si="43"/>
        <v>0</v>
      </c>
      <c r="O141" s="135">
        <f t="shared" si="43"/>
        <v>0</v>
      </c>
      <c r="P141" s="135">
        <f t="shared" si="43"/>
        <v>0</v>
      </c>
    </row>
    <row r="142" spans="2:16" x14ac:dyDescent="0.35">
      <c r="B142" s="149" t="s">
        <v>348</v>
      </c>
      <c r="E142" s="163"/>
      <c r="F142" s="163">
        <f>F150</f>
        <v>0</v>
      </c>
      <c r="G142" s="163">
        <f t="shared" ref="G142:P142" si="44">G150</f>
        <v>0</v>
      </c>
      <c r="H142" s="163">
        <f t="shared" si="44"/>
        <v>0</v>
      </c>
      <c r="I142" s="163">
        <f t="shared" si="44"/>
        <v>0</v>
      </c>
      <c r="J142" s="163">
        <f t="shared" si="44"/>
        <v>0</v>
      </c>
      <c r="K142" s="163">
        <f t="shared" si="44"/>
        <v>0</v>
      </c>
      <c r="L142" s="163">
        <f t="shared" si="44"/>
        <v>0</v>
      </c>
      <c r="M142" s="163">
        <f t="shared" si="44"/>
        <v>0</v>
      </c>
      <c r="N142" s="163">
        <f t="shared" si="44"/>
        <v>0</v>
      </c>
      <c r="O142" s="163">
        <f t="shared" si="44"/>
        <v>0</v>
      </c>
      <c r="P142" s="163">
        <f t="shared" si="44"/>
        <v>0</v>
      </c>
    </row>
    <row r="143" spans="2:16" x14ac:dyDescent="0.35">
      <c r="B143" t="s">
        <v>126</v>
      </c>
      <c r="E143" s="143">
        <f t="shared" ref="E143:P143" si="45">E161</f>
        <v>812</v>
      </c>
      <c r="F143" s="143">
        <f t="shared" si="45"/>
        <v>871</v>
      </c>
      <c r="G143" s="158">
        <f t="shared" si="45"/>
        <v>751.2</v>
      </c>
      <c r="H143" s="135">
        <f t="shared" si="45"/>
        <v>713.4</v>
      </c>
      <c r="I143" s="135">
        <f t="shared" si="45"/>
        <v>558.79999999999995</v>
      </c>
      <c r="J143" s="135">
        <f t="shared" si="45"/>
        <v>196.60000000000002</v>
      </c>
      <c r="K143" s="135">
        <f t="shared" si="45"/>
        <v>0</v>
      </c>
      <c r="L143" s="135">
        <f t="shared" si="45"/>
        <v>0</v>
      </c>
      <c r="M143" s="135">
        <f t="shared" si="45"/>
        <v>0</v>
      </c>
      <c r="N143" s="135">
        <f t="shared" si="45"/>
        <v>0</v>
      </c>
      <c r="O143" s="135">
        <f t="shared" si="45"/>
        <v>0</v>
      </c>
      <c r="P143" s="135">
        <f t="shared" si="45"/>
        <v>0</v>
      </c>
    </row>
    <row r="144" spans="2:16" x14ac:dyDescent="0.35">
      <c r="B144" t="s">
        <v>343</v>
      </c>
      <c r="E144" s="143">
        <f>BS!E19</f>
        <v>2692</v>
      </c>
      <c r="F144" s="143">
        <f>BS!F19</f>
        <v>2220</v>
      </c>
      <c r="G144" s="158">
        <f>G141+G142-G143</f>
        <v>1468.8</v>
      </c>
      <c r="H144" s="158">
        <f t="shared" ref="H144:P144" si="46">H141+H142-H143</f>
        <v>755.4</v>
      </c>
      <c r="I144" s="158">
        <f t="shared" si="46"/>
        <v>196.60000000000002</v>
      </c>
      <c r="J144" s="158">
        <f t="shared" si="46"/>
        <v>0</v>
      </c>
      <c r="K144" s="158">
        <f t="shared" si="46"/>
        <v>0</v>
      </c>
      <c r="L144" s="158">
        <f t="shared" si="46"/>
        <v>0</v>
      </c>
      <c r="M144" s="158">
        <f t="shared" si="46"/>
        <v>0</v>
      </c>
      <c r="N144" s="158">
        <f t="shared" si="46"/>
        <v>0</v>
      </c>
      <c r="O144" s="158">
        <f t="shared" si="46"/>
        <v>0</v>
      </c>
      <c r="P144" s="158">
        <f t="shared" si="46"/>
        <v>0</v>
      </c>
    </row>
    <row r="145" spans="2:16" x14ac:dyDescent="0.35">
      <c r="E145" s="135"/>
      <c r="F145" s="135"/>
      <c r="G145" s="158"/>
      <c r="H145" s="135"/>
      <c r="I145" s="135"/>
      <c r="J145" s="135"/>
      <c r="K145" s="135"/>
      <c r="L145" s="135"/>
      <c r="M145" s="135"/>
      <c r="N145" s="135"/>
      <c r="O145" s="135"/>
      <c r="P145" s="135"/>
    </row>
    <row r="146" spans="2:16" x14ac:dyDescent="0.35">
      <c r="E146" s="135"/>
      <c r="F146" s="135"/>
      <c r="G146" s="135"/>
      <c r="H146" s="135"/>
      <c r="I146" s="135"/>
      <c r="J146" s="135"/>
      <c r="K146" s="135"/>
      <c r="L146" s="135"/>
      <c r="M146" s="135"/>
      <c r="N146" s="135"/>
      <c r="O146" s="135"/>
      <c r="P146" s="135"/>
    </row>
    <row r="148" spans="2:16" x14ac:dyDescent="0.35">
      <c r="B148" s="88" t="s">
        <v>348</v>
      </c>
      <c r="C148" s="89"/>
      <c r="D148" s="89"/>
      <c r="E148" s="89"/>
      <c r="F148" s="89"/>
      <c r="G148" s="89"/>
      <c r="H148" s="89"/>
      <c r="I148" s="89"/>
      <c r="J148" s="89"/>
      <c r="K148" s="89"/>
      <c r="L148" s="89"/>
      <c r="M148" s="89"/>
      <c r="N148" s="89"/>
      <c r="O148" s="89"/>
      <c r="P148" s="89"/>
    </row>
    <row r="150" spans="2:16" x14ac:dyDescent="0.35">
      <c r="B150" t="s">
        <v>345</v>
      </c>
      <c r="E150" s="143"/>
      <c r="F150" s="143"/>
      <c r="G150" s="142"/>
      <c r="H150" s="142"/>
      <c r="I150" s="142"/>
      <c r="J150" s="142"/>
      <c r="K150" s="142"/>
      <c r="L150" s="142"/>
      <c r="M150" s="142"/>
      <c r="N150" s="142"/>
      <c r="O150" s="142"/>
      <c r="P150" s="142"/>
    </row>
    <row r="152" spans="2:16" x14ac:dyDescent="0.35">
      <c r="B152" s="157" t="s">
        <v>350</v>
      </c>
    </row>
    <row r="155" spans="2:16" x14ac:dyDescent="0.35">
      <c r="B155" s="88" t="s">
        <v>127</v>
      </c>
      <c r="C155" s="89"/>
      <c r="D155" s="89"/>
      <c r="E155" s="89"/>
      <c r="F155" s="89"/>
      <c r="G155" s="89"/>
      <c r="H155" s="89"/>
      <c r="I155" s="89"/>
      <c r="J155" s="89"/>
      <c r="K155" s="89"/>
      <c r="L155" s="89"/>
      <c r="M155" s="89"/>
      <c r="N155" s="89"/>
      <c r="O155" s="89"/>
      <c r="P155" s="89"/>
    </row>
    <row r="157" spans="2:16" x14ac:dyDescent="0.35">
      <c r="B157" t="s">
        <v>349</v>
      </c>
      <c r="E157" s="192">
        <f>E161</f>
        <v>812</v>
      </c>
      <c r="F157" s="192">
        <f>F161</f>
        <v>871</v>
      </c>
      <c r="G157" s="197">
        <f t="shared" ref="G157:P157" si="47">G161</f>
        <v>751.2</v>
      </c>
      <c r="H157" s="197">
        <f t="shared" si="47"/>
        <v>713.4</v>
      </c>
      <c r="I157" s="197">
        <f t="shared" si="47"/>
        <v>558.79999999999995</v>
      </c>
      <c r="J157" s="197">
        <f t="shared" si="47"/>
        <v>196.60000000000002</v>
      </c>
      <c r="K157" s="197">
        <f t="shared" si="47"/>
        <v>0</v>
      </c>
      <c r="L157" s="197">
        <f t="shared" si="47"/>
        <v>0</v>
      </c>
      <c r="M157" s="197">
        <f t="shared" si="47"/>
        <v>0</v>
      </c>
      <c r="N157" s="197">
        <f t="shared" si="47"/>
        <v>0</v>
      </c>
      <c r="O157" s="197">
        <f t="shared" si="47"/>
        <v>0</v>
      </c>
      <c r="P157" s="197">
        <f t="shared" si="47"/>
        <v>0</v>
      </c>
    </row>
    <row r="158" spans="2:16" x14ac:dyDescent="0.35">
      <c r="E158" s="175"/>
      <c r="F158" s="175"/>
      <c r="G158" s="175"/>
      <c r="H158" s="175"/>
      <c r="I158" s="175"/>
      <c r="J158" s="175"/>
      <c r="K158" s="175"/>
      <c r="L158" s="175"/>
      <c r="M158" s="175"/>
      <c r="N158" s="175"/>
      <c r="O158" s="175"/>
      <c r="P158" s="175"/>
    </row>
    <row r="159" spans="2:16" x14ac:dyDescent="0.35">
      <c r="B159" t="s">
        <v>320</v>
      </c>
      <c r="E159" s="175"/>
      <c r="F159" s="175"/>
      <c r="G159" s="175"/>
      <c r="H159" s="175"/>
      <c r="I159" s="175"/>
      <c r="J159" s="175"/>
      <c r="K159" s="175"/>
      <c r="L159" s="175"/>
      <c r="M159" s="175"/>
      <c r="N159" s="175"/>
      <c r="O159" s="175"/>
      <c r="P159" s="175"/>
    </row>
    <row r="160" spans="2:16" x14ac:dyDescent="0.35">
      <c r="E160" s="175"/>
      <c r="F160" s="175"/>
      <c r="G160" s="175"/>
      <c r="H160" s="175"/>
      <c r="I160" s="175"/>
      <c r="J160" s="175"/>
      <c r="K160" s="175"/>
      <c r="L160" s="175"/>
      <c r="M160" s="175"/>
      <c r="N160" s="175"/>
      <c r="O160" s="175"/>
      <c r="P160" s="175"/>
    </row>
    <row r="161" spans="2:16" x14ac:dyDescent="0.35">
      <c r="B161" t="s">
        <v>127</v>
      </c>
      <c r="E161" s="192">
        <f>CF!E9</f>
        <v>812</v>
      </c>
      <c r="F161" s="192">
        <f>CF!F9</f>
        <v>871</v>
      </c>
      <c r="G161" s="175">
        <f>AVERAGE(G163:G165)</f>
        <v>751.2</v>
      </c>
      <c r="H161" s="175">
        <f t="shared" ref="H161:I161" si="48">AVERAGE(H163:H165)</f>
        <v>713.4</v>
      </c>
      <c r="I161" s="175">
        <f t="shared" si="48"/>
        <v>558.79999999999995</v>
      </c>
      <c r="J161" s="198">
        <f>I144</f>
        <v>196.60000000000002</v>
      </c>
      <c r="K161" s="199">
        <v>0</v>
      </c>
      <c r="L161" s="199">
        <v>0</v>
      </c>
      <c r="M161" s="199">
        <v>0</v>
      </c>
      <c r="N161" s="199">
        <v>0</v>
      </c>
      <c r="O161" s="199">
        <v>0</v>
      </c>
      <c r="P161" s="199">
        <v>0</v>
      </c>
    </row>
    <row r="163" spans="2:16" x14ac:dyDescent="0.35">
      <c r="B163" t="s">
        <v>323</v>
      </c>
      <c r="C163" s="133">
        <v>43586</v>
      </c>
      <c r="E163" s="134"/>
      <c r="F163" s="134"/>
      <c r="G163" s="134">
        <v>751.2</v>
      </c>
      <c r="H163" s="134">
        <v>713.4</v>
      </c>
      <c r="I163" s="134">
        <v>558.79999999999995</v>
      </c>
      <c r="J163" s="134">
        <v>193.5</v>
      </c>
      <c r="K163" s="134">
        <v>0</v>
      </c>
      <c r="L163" s="134">
        <v>0</v>
      </c>
      <c r="M163" s="134">
        <v>0</v>
      </c>
      <c r="N163" s="134"/>
      <c r="O163" s="134"/>
      <c r="P163" s="134"/>
    </row>
    <row r="164" spans="2:16" x14ac:dyDescent="0.35">
      <c r="B164" t="s">
        <v>324</v>
      </c>
      <c r="C164" s="133">
        <v>43556</v>
      </c>
      <c r="E164" s="134"/>
      <c r="F164" s="134"/>
      <c r="G164" s="134"/>
      <c r="H164" s="134"/>
      <c r="I164" s="134"/>
      <c r="J164" s="134"/>
      <c r="K164" s="134"/>
      <c r="L164" s="134"/>
      <c r="M164" s="134"/>
      <c r="N164" s="134"/>
      <c r="O164" s="134"/>
      <c r="P164" s="134"/>
    </row>
    <row r="165" spans="2:16" x14ac:dyDescent="0.35">
      <c r="B165" t="s">
        <v>325</v>
      </c>
      <c r="C165" s="133">
        <v>43556</v>
      </c>
      <c r="E165" s="134"/>
      <c r="F165" s="134"/>
      <c r="G165" s="134"/>
      <c r="H165" s="134"/>
      <c r="I165" s="134"/>
      <c r="J165" s="134"/>
      <c r="K165" s="134"/>
      <c r="L165" s="134"/>
      <c r="M165" s="134"/>
      <c r="N165" s="134"/>
      <c r="O165" s="134"/>
      <c r="P165" s="134"/>
    </row>
    <row r="168" spans="2:16" x14ac:dyDescent="0.35">
      <c r="B168" s="88" t="s">
        <v>56</v>
      </c>
      <c r="C168" s="89"/>
      <c r="D168" s="89"/>
      <c r="E168" s="89"/>
      <c r="F168" s="89"/>
      <c r="G168" s="89"/>
      <c r="H168" s="89"/>
      <c r="I168" s="89"/>
      <c r="J168" s="89"/>
      <c r="K168" s="89"/>
      <c r="L168" s="89"/>
      <c r="M168" s="89"/>
      <c r="N168" s="89"/>
      <c r="O168" s="89"/>
      <c r="P168" s="89"/>
    </row>
    <row r="170" spans="2:16" x14ac:dyDescent="0.35">
      <c r="B170" t="s">
        <v>56</v>
      </c>
      <c r="E170" s="143">
        <f>BS!E32</f>
        <v>4581</v>
      </c>
      <c r="F170" s="143">
        <f>BS!F32</f>
        <v>6839</v>
      </c>
      <c r="G170" s="137">
        <f>G171*G37</f>
        <v>7629.4340400000001</v>
      </c>
      <c r="H170" s="135">
        <f t="shared" ref="H170:P170" si="49">H171*H37</f>
        <v>8866.5549298799997</v>
      </c>
      <c r="I170" s="135">
        <f t="shared" si="49"/>
        <v>21980.068489041896</v>
      </c>
      <c r="J170" s="135">
        <f t="shared" si="49"/>
        <v>11302.343870090705</v>
      </c>
      <c r="K170" s="135">
        <f t="shared" si="49"/>
        <v>12345.936471518175</v>
      </c>
      <c r="L170" s="135">
        <f t="shared" si="49"/>
        <v>13364.030398706203</v>
      </c>
      <c r="M170" s="135">
        <f t="shared" si="49"/>
        <v>14353.492331811536</v>
      </c>
      <c r="N170" s="135">
        <f t="shared" si="49"/>
        <v>15303.27877873645</v>
      </c>
      <c r="O170" s="135">
        <f t="shared" si="49"/>
        <v>16167.652005370719</v>
      </c>
      <c r="P170" s="135">
        <f t="shared" si="49"/>
        <v>16950.071209926446</v>
      </c>
    </row>
    <row r="171" spans="2:16" x14ac:dyDescent="0.35">
      <c r="B171" s="132" t="s">
        <v>355</v>
      </c>
      <c r="E171" s="167">
        <f>E170/E37</f>
        <v>5.4079259582807022E-2</v>
      </c>
      <c r="F171" s="167">
        <f t="shared" ref="F171" si="50">F170/F37</f>
        <v>6.1892522941591706E-2</v>
      </c>
      <c r="G171" s="168">
        <v>0.06</v>
      </c>
      <c r="H171" s="169">
        <f>G171</f>
        <v>0.06</v>
      </c>
      <c r="I171" s="169">
        <f t="shared" ref="I171:P171" si="51">H171</f>
        <v>0.06</v>
      </c>
      <c r="J171" s="169">
        <f t="shared" si="51"/>
        <v>0.06</v>
      </c>
      <c r="K171" s="169">
        <f t="shared" si="51"/>
        <v>0.06</v>
      </c>
      <c r="L171" s="169">
        <f t="shared" si="51"/>
        <v>0.06</v>
      </c>
      <c r="M171" s="169">
        <f t="shared" si="51"/>
        <v>0.06</v>
      </c>
      <c r="N171" s="169">
        <f t="shared" si="51"/>
        <v>0.06</v>
      </c>
      <c r="O171" s="169">
        <f t="shared" si="51"/>
        <v>0.06</v>
      </c>
      <c r="P171" s="169">
        <f t="shared" si="51"/>
        <v>0.06</v>
      </c>
    </row>
    <row r="175" spans="2:16" x14ac:dyDescent="0.35">
      <c r="B175" s="88" t="s">
        <v>57</v>
      </c>
      <c r="C175" s="89"/>
      <c r="D175" s="89"/>
      <c r="E175" s="89"/>
      <c r="F175" s="89"/>
      <c r="G175" s="89"/>
      <c r="H175" s="89"/>
      <c r="I175" s="89"/>
      <c r="J175" s="89"/>
      <c r="K175" s="89"/>
      <c r="L175" s="89"/>
      <c r="M175" s="89"/>
      <c r="N175" s="89"/>
      <c r="O175" s="89"/>
      <c r="P175" s="89"/>
    </row>
    <row r="177" spans="1:16" x14ac:dyDescent="0.35">
      <c r="B177" t="s">
        <v>76</v>
      </c>
      <c r="E177" s="174">
        <v>2874</v>
      </c>
      <c r="F177" s="174">
        <v>7754</v>
      </c>
      <c r="G177" s="175">
        <f t="shared" ref="G177:P177" si="52">G189</f>
        <v>9404</v>
      </c>
      <c r="H177" s="175">
        <f t="shared" si="52"/>
        <v>0</v>
      </c>
      <c r="I177" s="175">
        <f t="shared" si="52"/>
        <v>0</v>
      </c>
      <c r="J177" s="175">
        <f t="shared" si="52"/>
        <v>0</v>
      </c>
      <c r="K177" s="175">
        <f t="shared" si="52"/>
        <v>0</v>
      </c>
      <c r="L177" s="175">
        <f t="shared" si="52"/>
        <v>0</v>
      </c>
      <c r="M177" s="175">
        <f t="shared" si="52"/>
        <v>0</v>
      </c>
      <c r="N177" s="175">
        <f t="shared" si="52"/>
        <v>0</v>
      </c>
      <c r="O177" s="175">
        <f t="shared" si="52"/>
        <v>0</v>
      </c>
      <c r="P177" s="175">
        <f t="shared" si="52"/>
        <v>0</v>
      </c>
    </row>
    <row r="178" spans="1:16" x14ac:dyDescent="0.35">
      <c r="B178" t="s">
        <v>356</v>
      </c>
      <c r="E178" s="174">
        <v>1489</v>
      </c>
      <c r="F178" s="174">
        <v>1810</v>
      </c>
      <c r="G178" s="178">
        <f t="shared" ref="G178:P178" si="53">G195</f>
        <v>2543.1446800000003</v>
      </c>
      <c r="H178" s="178">
        <f t="shared" si="53"/>
        <v>2955.5183099599999</v>
      </c>
      <c r="I178" s="178">
        <f t="shared" si="53"/>
        <v>7326.6894963472987</v>
      </c>
      <c r="J178" s="178">
        <f t="shared" si="53"/>
        <v>3767.4479566969021</v>
      </c>
      <c r="K178" s="178">
        <f t="shared" si="53"/>
        <v>4115.3121571727252</v>
      </c>
      <c r="L178" s="178">
        <f t="shared" si="53"/>
        <v>4454.6767995687351</v>
      </c>
      <c r="M178" s="178">
        <f t="shared" si="53"/>
        <v>4784.497443937179</v>
      </c>
      <c r="N178" s="178">
        <f t="shared" si="53"/>
        <v>5101.0929262454838</v>
      </c>
      <c r="O178" s="178">
        <f t="shared" si="53"/>
        <v>5389.2173351235733</v>
      </c>
      <c r="P178" s="178">
        <f t="shared" si="53"/>
        <v>5650.0237366421488</v>
      </c>
    </row>
    <row r="179" spans="1:16" x14ac:dyDescent="0.35">
      <c r="B179" t="s">
        <v>357</v>
      </c>
      <c r="E179" s="174">
        <v>5814</v>
      </c>
      <c r="F179" s="174">
        <v>7394</v>
      </c>
      <c r="G179" s="178">
        <f t="shared" ref="G179:P179" si="54">G202</f>
        <v>8265.2202100000013</v>
      </c>
      <c r="H179" s="178">
        <f t="shared" si="54"/>
        <v>9605.4345073699988</v>
      </c>
      <c r="I179" s="178">
        <f t="shared" si="54"/>
        <v>23811.740863128722</v>
      </c>
      <c r="J179" s="178">
        <f t="shared" si="54"/>
        <v>12244.205859264932</v>
      </c>
      <c r="K179" s="178">
        <f t="shared" si="54"/>
        <v>13374.764510811356</v>
      </c>
      <c r="L179" s="178">
        <f t="shared" si="54"/>
        <v>14477.699598598389</v>
      </c>
      <c r="M179" s="178">
        <f t="shared" si="54"/>
        <v>15549.616692795833</v>
      </c>
      <c r="N179" s="178">
        <f t="shared" si="54"/>
        <v>16578.552010297823</v>
      </c>
      <c r="O179" s="178">
        <f t="shared" si="54"/>
        <v>17514.956339151613</v>
      </c>
      <c r="P179" s="178">
        <f t="shared" si="54"/>
        <v>18362.577144086983</v>
      </c>
    </row>
    <row r="180" spans="1:16" s="170" customFormat="1" x14ac:dyDescent="0.35">
      <c r="A180" s="173"/>
      <c r="B180" s="170" t="s">
        <v>358</v>
      </c>
      <c r="E180" s="171">
        <f>E177+E178+E179</f>
        <v>10177</v>
      </c>
      <c r="F180" s="171">
        <f t="shared" ref="F180:P180" si="55">F177+F178+F179</f>
        <v>16958</v>
      </c>
      <c r="G180" s="172">
        <f t="shared" si="55"/>
        <v>20212.364890000004</v>
      </c>
      <c r="H180" s="172">
        <f t="shared" si="55"/>
        <v>12560.952817329999</v>
      </c>
      <c r="I180" s="172">
        <f t="shared" si="55"/>
        <v>31138.43035947602</v>
      </c>
      <c r="J180" s="172">
        <f t="shared" si="55"/>
        <v>16011.653815961834</v>
      </c>
      <c r="K180" s="172">
        <f t="shared" si="55"/>
        <v>17490.076667984082</v>
      </c>
      <c r="L180" s="172">
        <f t="shared" si="55"/>
        <v>18932.376398167122</v>
      </c>
      <c r="M180" s="172">
        <f t="shared" si="55"/>
        <v>20334.114136733013</v>
      </c>
      <c r="N180" s="172">
        <f t="shared" si="55"/>
        <v>21679.644936543307</v>
      </c>
      <c r="O180" s="172">
        <f t="shared" si="55"/>
        <v>22904.173674275185</v>
      </c>
      <c r="P180" s="172">
        <f t="shared" si="55"/>
        <v>24012.600880729133</v>
      </c>
    </row>
    <row r="183" spans="1:16" x14ac:dyDescent="0.35">
      <c r="B183" s="155" t="s">
        <v>76</v>
      </c>
    </row>
    <row r="184" spans="1:16" x14ac:dyDescent="0.35">
      <c r="E184" s="175"/>
      <c r="F184" s="175"/>
      <c r="G184" s="175"/>
      <c r="H184" s="175"/>
      <c r="I184" s="175"/>
      <c r="J184" s="175"/>
      <c r="K184" s="175"/>
      <c r="L184" s="175"/>
      <c r="M184" s="175"/>
      <c r="N184" s="175"/>
      <c r="O184" s="175"/>
      <c r="P184" s="175"/>
    </row>
    <row r="185" spans="1:16" x14ac:dyDescent="0.35">
      <c r="B185" t="s">
        <v>342</v>
      </c>
      <c r="E185" s="175"/>
      <c r="F185" s="175">
        <f>E189</f>
        <v>2874</v>
      </c>
      <c r="G185" s="175">
        <f t="shared" ref="G185:H185" si="56">F189</f>
        <v>7754</v>
      </c>
      <c r="H185" s="175">
        <f t="shared" si="56"/>
        <v>9404</v>
      </c>
      <c r="I185" s="175">
        <f>H189</f>
        <v>0</v>
      </c>
      <c r="J185" s="175">
        <f t="shared" ref="J185:P185" si="57">I189</f>
        <v>0</v>
      </c>
      <c r="K185" s="175">
        <f t="shared" si="57"/>
        <v>0</v>
      </c>
      <c r="L185" s="175">
        <f t="shared" si="57"/>
        <v>0</v>
      </c>
      <c r="M185" s="175">
        <f t="shared" si="57"/>
        <v>0</v>
      </c>
      <c r="N185" s="175">
        <f t="shared" si="57"/>
        <v>0</v>
      </c>
      <c r="O185" s="175">
        <f t="shared" si="57"/>
        <v>0</v>
      </c>
      <c r="P185" s="175">
        <f t="shared" si="57"/>
        <v>0</v>
      </c>
    </row>
    <row r="186" spans="1:16" ht="15.5" customHeight="1" x14ac:dyDescent="0.35">
      <c r="B186" t="s">
        <v>359</v>
      </c>
      <c r="E186" s="175"/>
      <c r="F186" s="175"/>
      <c r="G186" s="176">
        <v>1650</v>
      </c>
      <c r="H186" s="175"/>
      <c r="I186" s="400">
        <v>200000</v>
      </c>
      <c r="J186" s="175"/>
      <c r="K186" s="175"/>
      <c r="L186" s="175"/>
      <c r="M186" s="175"/>
      <c r="N186" s="175"/>
      <c r="O186" s="175"/>
      <c r="P186" s="176"/>
    </row>
    <row r="187" spans="1:16" x14ac:dyDescent="0.35">
      <c r="B187" t="s">
        <v>360</v>
      </c>
      <c r="E187" s="175"/>
      <c r="F187" s="175"/>
      <c r="G187" s="175"/>
      <c r="H187" s="175"/>
      <c r="I187" s="175"/>
      <c r="J187" s="175"/>
      <c r="K187" s="175"/>
      <c r="L187" s="175"/>
      <c r="M187" s="175"/>
      <c r="N187" s="175"/>
      <c r="O187" s="175"/>
      <c r="P187" s="175"/>
    </row>
    <row r="188" spans="1:16" x14ac:dyDescent="0.35">
      <c r="B188" t="s">
        <v>361</v>
      </c>
      <c r="E188" s="175"/>
      <c r="F188" s="175"/>
      <c r="G188" s="175"/>
      <c r="H188" s="175">
        <f>H185</f>
        <v>9404</v>
      </c>
      <c r="I188" s="400">
        <v>200000</v>
      </c>
      <c r="J188" s="175"/>
      <c r="K188" s="175"/>
      <c r="L188" s="175"/>
      <c r="M188" s="175"/>
      <c r="N188" s="175"/>
      <c r="O188" s="175"/>
      <c r="P188" s="175"/>
    </row>
    <row r="189" spans="1:16" s="155" customFormat="1" x14ac:dyDescent="0.35">
      <c r="B189" s="155" t="s">
        <v>343</v>
      </c>
      <c r="E189" s="182">
        <f>E177</f>
        <v>2874</v>
      </c>
      <c r="F189" s="182">
        <f>F177</f>
        <v>7754</v>
      </c>
      <c r="G189" s="182">
        <f>G185+G186-G187-G188</f>
        <v>9404</v>
      </c>
      <c r="H189" s="182">
        <f t="shared" ref="H189:L189" si="58">H185+H186-H187-H188</f>
        <v>0</v>
      </c>
      <c r="I189" s="182">
        <f t="shared" si="58"/>
        <v>0</v>
      </c>
      <c r="J189" s="182">
        <f t="shared" si="58"/>
        <v>0</v>
      </c>
      <c r="K189" s="182">
        <f t="shared" si="58"/>
        <v>0</v>
      </c>
      <c r="L189" s="182">
        <f t="shared" si="58"/>
        <v>0</v>
      </c>
      <c r="M189" s="182">
        <f t="shared" ref="M189" si="59">M185+M186-M187-M188</f>
        <v>0</v>
      </c>
      <c r="N189" s="182">
        <f t="shared" ref="N189" si="60">N185+N186-N187-N188</f>
        <v>0</v>
      </c>
      <c r="O189" s="182">
        <f t="shared" ref="O189" si="61">O185+O186-O187-O188</f>
        <v>0</v>
      </c>
      <c r="P189" s="182">
        <f t="shared" ref="P189" si="62">P185+P186-P187-P188</f>
        <v>0</v>
      </c>
    </row>
    <row r="190" spans="1:16" s="155" customFormat="1" x14ac:dyDescent="0.35">
      <c r="E190" s="182"/>
      <c r="F190" s="182"/>
      <c r="G190" s="182"/>
      <c r="H190" s="182"/>
      <c r="I190" s="182"/>
      <c r="J190" s="182"/>
      <c r="K190" s="182"/>
      <c r="L190" s="182"/>
      <c r="M190" s="182"/>
      <c r="N190" s="182"/>
      <c r="O190" s="182"/>
      <c r="P190" s="182"/>
    </row>
    <row r="191" spans="1:16" ht="29" x14ac:dyDescent="0.35">
      <c r="B191" s="162" t="s">
        <v>488</v>
      </c>
      <c r="E191" s="175"/>
      <c r="F191" s="175"/>
      <c r="G191" s="175"/>
      <c r="H191" s="175"/>
      <c r="I191" s="175"/>
      <c r="J191" s="175"/>
      <c r="K191" s="175"/>
      <c r="L191" s="175"/>
      <c r="M191" s="175"/>
      <c r="N191" s="175"/>
      <c r="O191" s="175"/>
      <c r="P191" s="175"/>
    </row>
    <row r="193" spans="2:16" x14ac:dyDescent="0.35">
      <c r="B193" s="155" t="s">
        <v>362</v>
      </c>
    </row>
    <row r="195" spans="2:16" x14ac:dyDescent="0.35">
      <c r="B195" t="s">
        <v>362</v>
      </c>
      <c r="E195" s="135">
        <f>E178</f>
        <v>1489</v>
      </c>
      <c r="F195" s="135">
        <f>F178</f>
        <v>1810</v>
      </c>
      <c r="G195" s="178">
        <f>G196*G37</f>
        <v>2543.1446800000003</v>
      </c>
      <c r="H195" s="178">
        <f t="shared" ref="H195:P195" si="63">H196*H37</f>
        <v>2955.5183099599999</v>
      </c>
      <c r="I195" s="178">
        <f t="shared" si="63"/>
        <v>7326.6894963472987</v>
      </c>
      <c r="J195" s="178">
        <f t="shared" si="63"/>
        <v>3767.4479566969021</v>
      </c>
      <c r="K195" s="178">
        <f t="shared" si="63"/>
        <v>4115.3121571727252</v>
      </c>
      <c r="L195" s="178">
        <f t="shared" si="63"/>
        <v>4454.6767995687351</v>
      </c>
      <c r="M195" s="178">
        <f t="shared" si="63"/>
        <v>4784.497443937179</v>
      </c>
      <c r="N195" s="178">
        <f t="shared" si="63"/>
        <v>5101.0929262454838</v>
      </c>
      <c r="O195" s="178">
        <f t="shared" si="63"/>
        <v>5389.2173351235733</v>
      </c>
      <c r="P195" s="178">
        <f t="shared" si="63"/>
        <v>5650.0237366421488</v>
      </c>
    </row>
    <row r="196" spans="2:16" x14ac:dyDescent="0.35">
      <c r="B196" s="132" t="s">
        <v>355</v>
      </c>
      <c r="E196" s="136">
        <f>E195/E37</f>
        <v>1.7577825260598048E-2</v>
      </c>
      <c r="F196" s="136">
        <f t="shared" ref="F196" si="64">F195/F37</f>
        <v>1.6380386975329869E-2</v>
      </c>
      <c r="G196" s="140">
        <v>0.02</v>
      </c>
      <c r="H196" s="151">
        <v>0.02</v>
      </c>
      <c r="I196" s="151">
        <v>0.02</v>
      </c>
      <c r="J196" s="151">
        <v>0.02</v>
      </c>
      <c r="K196" s="151">
        <v>0.02</v>
      </c>
      <c r="L196" s="151">
        <v>0.02</v>
      </c>
      <c r="M196" s="151">
        <v>0.02</v>
      </c>
      <c r="N196" s="151">
        <v>0.02</v>
      </c>
      <c r="O196" s="151">
        <v>0.02</v>
      </c>
      <c r="P196" s="151">
        <v>0.02</v>
      </c>
    </row>
    <row r="199" spans="2:16" x14ac:dyDescent="0.35">
      <c r="B199" s="155" t="s">
        <v>357</v>
      </c>
    </row>
    <row r="202" spans="2:16" x14ac:dyDescent="0.35">
      <c r="B202" s="184" t="s">
        <v>357</v>
      </c>
      <c r="E202" s="135">
        <f>E179</f>
        <v>5814</v>
      </c>
      <c r="F202" s="135">
        <f>F179</f>
        <v>7394</v>
      </c>
      <c r="G202" s="178">
        <f>G203*G37</f>
        <v>8265.2202100000013</v>
      </c>
      <c r="H202" s="178">
        <f t="shared" ref="H202:P202" si="65">H203*H37</f>
        <v>9605.4345073699988</v>
      </c>
      <c r="I202" s="178">
        <f t="shared" si="65"/>
        <v>23811.740863128722</v>
      </c>
      <c r="J202" s="178">
        <f t="shared" si="65"/>
        <v>12244.205859264932</v>
      </c>
      <c r="K202" s="178">
        <f t="shared" si="65"/>
        <v>13374.764510811356</v>
      </c>
      <c r="L202" s="178">
        <f t="shared" si="65"/>
        <v>14477.699598598389</v>
      </c>
      <c r="M202" s="178">
        <f t="shared" si="65"/>
        <v>15549.616692795833</v>
      </c>
      <c r="N202" s="178">
        <f t="shared" si="65"/>
        <v>16578.552010297823</v>
      </c>
      <c r="O202" s="178">
        <f t="shared" si="65"/>
        <v>17514.956339151613</v>
      </c>
      <c r="P202" s="178">
        <f t="shared" si="65"/>
        <v>18362.577144086983</v>
      </c>
    </row>
    <row r="203" spans="2:16" x14ac:dyDescent="0.35">
      <c r="B203" s="132" t="s">
        <v>355</v>
      </c>
      <c r="E203" s="136">
        <f>E202/E37</f>
        <v>6.8634973851656844E-2</v>
      </c>
      <c r="F203" s="136">
        <f t="shared" ref="F203" si="66">F202/F37</f>
        <v>6.6915238284855835E-2</v>
      </c>
      <c r="G203" s="140">
        <v>6.5000000000000002E-2</v>
      </c>
      <c r="H203" s="151">
        <v>6.5000000000000002E-2</v>
      </c>
      <c r="I203" s="151">
        <v>6.5000000000000002E-2</v>
      </c>
      <c r="J203" s="151">
        <v>6.5000000000000002E-2</v>
      </c>
      <c r="K203" s="151">
        <v>6.5000000000000002E-2</v>
      </c>
      <c r="L203" s="151">
        <v>6.5000000000000002E-2</v>
      </c>
      <c r="M203" s="151">
        <v>6.5000000000000002E-2</v>
      </c>
      <c r="N203" s="151">
        <v>6.5000000000000002E-2</v>
      </c>
      <c r="O203" s="151">
        <v>6.5000000000000002E-2</v>
      </c>
      <c r="P203" s="151">
        <v>6.5000000000000002E-2</v>
      </c>
    </row>
    <row r="205" spans="2:16" x14ac:dyDescent="0.35">
      <c r="B205" s="42" t="s">
        <v>15</v>
      </c>
    </row>
    <row r="206" spans="2:16" x14ac:dyDescent="0.35">
      <c r="B206" s="42" t="s">
        <v>16</v>
      </c>
    </row>
    <row r="209" spans="2:16" x14ac:dyDescent="0.35">
      <c r="B209" s="88" t="s">
        <v>15</v>
      </c>
      <c r="C209" s="89"/>
      <c r="D209" s="89"/>
      <c r="E209" s="89"/>
      <c r="F209" s="89"/>
      <c r="G209" s="89"/>
      <c r="H209" s="89"/>
      <c r="I209" s="89"/>
      <c r="J209" s="89"/>
      <c r="K209" s="89"/>
      <c r="L209" s="89"/>
      <c r="M209" s="89"/>
      <c r="N209" s="89"/>
      <c r="O209" s="89"/>
      <c r="P209" s="89"/>
    </row>
    <row r="211" spans="2:16" x14ac:dyDescent="0.35">
      <c r="B211" t="s">
        <v>15</v>
      </c>
      <c r="E211" s="180">
        <f>BS!E34</f>
        <v>3975</v>
      </c>
      <c r="F211" s="180">
        <f>BS!F34</f>
        <v>4592</v>
      </c>
      <c r="G211" s="178">
        <f>G$7*G212</f>
        <v>5711.4995000000008</v>
      </c>
      <c r="H211" s="178">
        <f t="shared" ref="H211:P211" si="67">H$7*H212</f>
        <v>6728.1633825000008</v>
      </c>
      <c r="I211" s="178">
        <f t="shared" si="67"/>
        <v>7614.7948889250001</v>
      </c>
      <c r="J211" s="178">
        <f t="shared" si="67"/>
        <v>8703.1915578842509</v>
      </c>
      <c r="K211" s="178">
        <f t="shared" si="67"/>
        <v>9587.4810120691545</v>
      </c>
      <c r="L211" s="178">
        <f t="shared" si="67"/>
        <v>10465.527777351605</v>
      </c>
      <c r="M211" s="178">
        <f t="shared" si="67"/>
        <v>11341.02927307517</v>
      </c>
      <c r="N211" s="178">
        <f t="shared" si="67"/>
        <v>12170.030520502442</v>
      </c>
      <c r="O211" s="178">
        <f t="shared" si="67"/>
        <v>12933.374949388046</v>
      </c>
      <c r="P211" s="178">
        <f t="shared" si="67"/>
        <v>13640.242625538889</v>
      </c>
    </row>
    <row r="212" spans="2:16" x14ac:dyDescent="0.35">
      <c r="B212" s="132" t="s">
        <v>334</v>
      </c>
      <c r="E212" s="136">
        <f>E211/E$7</f>
        <v>3.5857651887600921E-2</v>
      </c>
      <c r="F212" s="136">
        <f>F211/F$7</f>
        <v>3.3562589991156196E-2</v>
      </c>
      <c r="G212" s="140">
        <v>3.5000000000000003E-2</v>
      </c>
      <c r="H212" s="152">
        <v>3.5000000000000003E-2</v>
      </c>
      <c r="I212" s="152">
        <v>3.5000000000000003E-2</v>
      </c>
      <c r="J212" s="152">
        <v>3.5000000000000003E-2</v>
      </c>
      <c r="K212" s="152">
        <v>3.5000000000000003E-2</v>
      </c>
      <c r="L212" s="152">
        <v>3.5000000000000003E-2</v>
      </c>
      <c r="M212" s="152">
        <v>3.5000000000000003E-2</v>
      </c>
      <c r="N212" s="152">
        <v>3.5000000000000003E-2</v>
      </c>
      <c r="O212" s="152">
        <v>3.5000000000000003E-2</v>
      </c>
      <c r="P212" s="152">
        <v>3.5000000000000003E-2</v>
      </c>
    </row>
    <row r="215" spans="2:16" x14ac:dyDescent="0.35">
      <c r="B215" s="88" t="s">
        <v>16</v>
      </c>
      <c r="C215" s="89"/>
      <c r="D215" s="89"/>
      <c r="E215" s="89"/>
      <c r="F215" s="89"/>
      <c r="G215" s="89"/>
      <c r="H215" s="89"/>
      <c r="I215" s="89"/>
      <c r="J215" s="89"/>
      <c r="K215" s="89"/>
      <c r="L215" s="89"/>
      <c r="M215" s="89"/>
      <c r="N215" s="89"/>
      <c r="O215" s="89"/>
      <c r="P215" s="89"/>
    </row>
    <row r="217" spans="2:16" x14ac:dyDescent="0.35">
      <c r="B217" t="s">
        <v>373</v>
      </c>
      <c r="E217" s="180">
        <f>BS!E35</f>
        <v>1432</v>
      </c>
      <c r="F217" s="180">
        <f>BS!F35</f>
        <v>1784</v>
      </c>
      <c r="G217" s="178">
        <f>G$7*G218</f>
        <v>2121.4141</v>
      </c>
      <c r="H217" s="178">
        <f t="shared" ref="H217" si="68">H$7*H218</f>
        <v>2499.0321134999999</v>
      </c>
      <c r="I217" s="178">
        <f t="shared" ref="I217" si="69">I$7*I218</f>
        <v>2828.3523873149998</v>
      </c>
      <c r="J217" s="178">
        <f t="shared" ref="J217" si="70">J$7*J218</f>
        <v>3232.6140072141498</v>
      </c>
      <c r="K217" s="178">
        <f t="shared" ref="K217" si="71">K$7*K218</f>
        <v>3561.0643759113996</v>
      </c>
      <c r="L217" s="178">
        <f t="shared" ref="L217" si="72">L$7*L218</f>
        <v>3887.1960315877382</v>
      </c>
      <c r="M217" s="178">
        <f t="shared" ref="M217" si="73">M$7*M218</f>
        <v>4212.3823014279196</v>
      </c>
      <c r="N217" s="178">
        <f t="shared" ref="N217" si="74">N$7*N218</f>
        <v>4520.2970504723353</v>
      </c>
      <c r="O217" s="178">
        <f t="shared" ref="O217" si="75">O$7*O218</f>
        <v>4803.8249812012737</v>
      </c>
      <c r="P217" s="178">
        <f t="shared" ref="P217" si="76">P$7*P218</f>
        <v>5066.3758323430156</v>
      </c>
    </row>
    <row r="218" spans="2:16" x14ac:dyDescent="0.35">
      <c r="B218" s="132" t="s">
        <v>334</v>
      </c>
      <c r="E218" s="136">
        <f>E217/E$7</f>
        <v>1.2917775472464029E-2</v>
      </c>
      <c r="F218" s="136">
        <f>F217/F$7</f>
        <v>1.3039124682975318E-2</v>
      </c>
      <c r="G218" s="140">
        <v>1.2999999999999999E-2</v>
      </c>
      <c r="H218" s="152">
        <v>1.2999999999999999E-2</v>
      </c>
      <c r="I218" s="152">
        <v>1.2999999999999999E-2</v>
      </c>
      <c r="J218" s="152">
        <v>1.2999999999999999E-2</v>
      </c>
      <c r="K218" s="152">
        <v>1.2999999999999999E-2</v>
      </c>
      <c r="L218" s="152">
        <v>1.2999999999999999E-2</v>
      </c>
      <c r="M218" s="152">
        <v>1.2999999999999999E-2</v>
      </c>
      <c r="N218" s="152">
        <v>1.2999999999999999E-2</v>
      </c>
      <c r="O218" s="152">
        <v>1.2999999999999999E-2</v>
      </c>
      <c r="P218" s="152">
        <v>1.2999999999999999E-2</v>
      </c>
    </row>
    <row r="220" spans="2:16" x14ac:dyDescent="0.35">
      <c r="B220" t="s">
        <v>372</v>
      </c>
      <c r="E220" s="180">
        <f>BS!E41</f>
        <v>340</v>
      </c>
      <c r="F220" s="180">
        <f>BS!F41</f>
        <v>396</v>
      </c>
      <c r="G220" s="181">
        <f>F220</f>
        <v>396</v>
      </c>
      <c r="H220" s="178">
        <f t="shared" ref="H220:P220" si="77">G220</f>
        <v>396</v>
      </c>
      <c r="I220" s="178">
        <f t="shared" si="77"/>
        <v>396</v>
      </c>
      <c r="J220" s="178">
        <f t="shared" si="77"/>
        <v>396</v>
      </c>
      <c r="K220" s="178">
        <f t="shared" si="77"/>
        <v>396</v>
      </c>
      <c r="L220" s="178">
        <f t="shared" si="77"/>
        <v>396</v>
      </c>
      <c r="M220" s="178">
        <f t="shared" si="77"/>
        <v>396</v>
      </c>
      <c r="N220" s="178">
        <f t="shared" si="77"/>
        <v>396</v>
      </c>
      <c r="O220" s="178">
        <f t="shared" si="77"/>
        <v>396</v>
      </c>
      <c r="P220" s="178">
        <f t="shared" si="77"/>
        <v>396</v>
      </c>
    </row>
    <row r="222" spans="2:16" x14ac:dyDescent="0.35">
      <c r="B222" s="157" t="s">
        <v>374</v>
      </c>
    </row>
    <row r="225" spans="2:16" x14ac:dyDescent="0.35">
      <c r="B225" s="88" t="s">
        <v>63</v>
      </c>
      <c r="C225" s="89"/>
      <c r="D225" s="89"/>
      <c r="E225" s="89"/>
      <c r="F225" s="89"/>
      <c r="G225" s="89"/>
      <c r="H225" s="89"/>
      <c r="I225" s="89"/>
      <c r="J225" s="89"/>
      <c r="K225" s="89"/>
      <c r="L225" s="89"/>
      <c r="M225" s="89"/>
      <c r="N225" s="89"/>
      <c r="O225" s="89"/>
      <c r="P225" s="89"/>
    </row>
    <row r="227" spans="2:16" x14ac:dyDescent="0.35">
      <c r="B227" t="s">
        <v>63</v>
      </c>
      <c r="E227" s="143">
        <f>BS!E44</f>
        <v>3059</v>
      </c>
      <c r="F227" s="143">
        <f>BS!F44</f>
        <v>3545</v>
      </c>
      <c r="G227" s="158">
        <f>G228*G229</f>
        <v>5086.2893600000007</v>
      </c>
      <c r="H227" s="158">
        <f t="shared" ref="H227:P227" si="78">H228*H229</f>
        <v>5911.0366199199998</v>
      </c>
      <c r="I227" s="158">
        <f t="shared" si="78"/>
        <v>14653.378992694597</v>
      </c>
      <c r="J227" s="158">
        <f t="shared" si="78"/>
        <v>7534.8959133938042</v>
      </c>
      <c r="K227" s="158">
        <f t="shared" si="78"/>
        <v>8230.6243143454503</v>
      </c>
      <c r="L227" s="158">
        <f t="shared" si="78"/>
        <v>8909.3535991374702</v>
      </c>
      <c r="M227" s="158">
        <f t="shared" si="78"/>
        <v>9568.994887874358</v>
      </c>
      <c r="N227" s="158">
        <f t="shared" si="78"/>
        <v>10202.185852490968</v>
      </c>
      <c r="O227" s="158">
        <f t="shared" si="78"/>
        <v>10778.434670247147</v>
      </c>
      <c r="P227" s="158">
        <f t="shared" si="78"/>
        <v>11300.047473284298</v>
      </c>
    </row>
    <row r="228" spans="2:16" x14ac:dyDescent="0.35">
      <c r="B228" t="s">
        <v>375</v>
      </c>
      <c r="E228" s="143">
        <f>IS!E5</f>
        <v>84709</v>
      </c>
      <c r="F228" s="143">
        <f>IS!F5</f>
        <v>110498</v>
      </c>
      <c r="G228" s="142">
        <f>IS!G5</f>
        <v>127157.23400000001</v>
      </c>
      <c r="H228" s="142">
        <f>IS!H5</f>
        <v>147775.91549799999</v>
      </c>
      <c r="I228" s="142">
        <f>IS!I5</f>
        <v>366334.47481736494</v>
      </c>
      <c r="J228" s="142">
        <f>IS!J5</f>
        <v>188372.39783484509</v>
      </c>
      <c r="K228" s="142">
        <f>IS!K5</f>
        <v>205765.60785863624</v>
      </c>
      <c r="L228" s="142">
        <f>IS!L5</f>
        <v>222733.83997843674</v>
      </c>
      <c r="M228" s="142">
        <f>IS!M5</f>
        <v>239224.87219685895</v>
      </c>
      <c r="N228" s="142">
        <f>IS!N5</f>
        <v>255054.64631227418</v>
      </c>
      <c r="O228" s="142">
        <f>IS!O5</f>
        <v>269460.86675617867</v>
      </c>
      <c r="P228" s="142">
        <f>IS!P5</f>
        <v>282501.18683210743</v>
      </c>
    </row>
    <row r="229" spans="2:16" x14ac:dyDescent="0.35">
      <c r="B229" s="132" t="s">
        <v>355</v>
      </c>
      <c r="E229" s="167">
        <f>E227/E228</f>
        <v>3.611186532717893E-2</v>
      </c>
      <c r="F229" s="167">
        <f>F227/F228</f>
        <v>3.2082028634002425E-2</v>
      </c>
      <c r="G229" s="188">
        <v>0.04</v>
      </c>
      <c r="H229" s="169">
        <f>G229</f>
        <v>0.04</v>
      </c>
      <c r="I229" s="169">
        <f t="shared" ref="I229" si="79">H229</f>
        <v>0.04</v>
      </c>
      <c r="J229" s="169">
        <f t="shared" ref="J229" si="80">I229</f>
        <v>0.04</v>
      </c>
      <c r="K229" s="169">
        <f t="shared" ref="K229" si="81">J229</f>
        <v>0.04</v>
      </c>
      <c r="L229" s="169">
        <f t="shared" ref="L229" si="82">K229</f>
        <v>0.04</v>
      </c>
      <c r="M229" s="169">
        <f t="shared" ref="M229" si="83">L229</f>
        <v>0.04</v>
      </c>
      <c r="N229" s="169">
        <f t="shared" ref="N229" si="84">M229</f>
        <v>0.04</v>
      </c>
      <c r="O229" s="169">
        <f t="shared" ref="O229" si="85">N229</f>
        <v>0.04</v>
      </c>
      <c r="P229" s="169">
        <f t="shared" ref="P229" si="86">O229</f>
        <v>0.04</v>
      </c>
    </row>
  </sheetData>
  <dataValidations count="1">
    <dataValidation type="list" allowBlank="1" showInputMessage="1" showErrorMessage="1" sqref="C3" xr:uid="{FFD204AE-8874-4229-B264-A83C547A06A5}">
      <formula1>"Simple, Enhanced"</formula1>
    </dataValidation>
  </dataValidations>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1AE1-D40E-4C6F-915E-04B394B2B9A8}">
  <dimension ref="B1:P94"/>
  <sheetViews>
    <sheetView zoomScale="90" zoomScaleNormal="90" workbookViewId="0">
      <pane xSplit="2" ySplit="1" topLeftCell="C50" activePane="bottomRight" state="frozen"/>
      <selection pane="topRight" activeCell="C1" sqref="C1"/>
      <selection pane="bottomLeft" activeCell="A2" sqref="A2"/>
      <selection pane="bottomRight" activeCell="C5" sqref="C5"/>
    </sheetView>
  </sheetViews>
  <sheetFormatPr defaultRowHeight="14.5" x14ac:dyDescent="0.35"/>
  <cols>
    <col min="2" max="2" width="57.08984375" customWidth="1"/>
    <col min="3" max="3" width="12.36328125" bestFit="1" customWidth="1"/>
    <col min="4" max="4" width="5.453125" customWidth="1"/>
    <col min="5" max="5" width="9.36328125" customWidth="1"/>
    <col min="6" max="6" width="10.1796875" customWidth="1"/>
    <col min="7" max="7" width="11.08984375" customWidth="1"/>
    <col min="8" max="8" width="11.453125" customWidth="1"/>
    <col min="9" max="9" width="12.7265625" customWidth="1"/>
    <col min="10" max="10" width="13.81640625" customWidth="1"/>
    <col min="11" max="11" width="13.08984375" customWidth="1"/>
    <col min="12" max="13" width="13.1796875" customWidth="1"/>
    <col min="14" max="16" width="10.36328125" bestFit="1" customWidth="1"/>
  </cols>
  <sheetData>
    <row r="1" spans="2:16"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3" spans="2:16" x14ac:dyDescent="0.35">
      <c r="B3" s="88" t="s">
        <v>293</v>
      </c>
      <c r="C3" s="89"/>
      <c r="D3" s="89"/>
      <c r="E3" s="89"/>
      <c r="F3" s="89"/>
      <c r="G3" s="89"/>
      <c r="H3" s="89"/>
      <c r="I3" s="89"/>
      <c r="J3" s="89"/>
      <c r="K3" s="89"/>
      <c r="L3" s="89"/>
      <c r="M3" s="89"/>
      <c r="N3" s="89"/>
      <c r="O3" s="89"/>
      <c r="P3" s="89"/>
    </row>
    <row r="5" spans="2:16" s="177" customFormat="1" x14ac:dyDescent="0.35">
      <c r="B5" s="177" t="s">
        <v>531</v>
      </c>
      <c r="C5" s="359" t="s">
        <v>532</v>
      </c>
    </row>
    <row r="6" spans="2:16" s="177" customFormat="1" x14ac:dyDescent="0.35"/>
    <row r="7" spans="2:16" x14ac:dyDescent="0.35">
      <c r="B7" s="155" t="s">
        <v>363</v>
      </c>
    </row>
    <row r="9" spans="2:16" x14ac:dyDescent="0.35">
      <c r="B9" t="s">
        <v>342</v>
      </c>
      <c r="E9" s="178"/>
      <c r="F9" s="178">
        <f>E12</f>
        <v>3969</v>
      </c>
      <c r="G9" s="178">
        <f t="shared" ref="G9:P9" si="1">F12</f>
        <v>4012</v>
      </c>
      <c r="H9" s="178">
        <f t="shared" si="1"/>
        <v>4012</v>
      </c>
      <c r="I9" s="178">
        <f t="shared" si="1"/>
        <v>4012</v>
      </c>
      <c r="J9" s="178">
        <f t="shared" si="1"/>
        <v>4012</v>
      </c>
      <c r="K9" s="178">
        <f t="shared" si="1"/>
        <v>4012</v>
      </c>
      <c r="L9" s="178">
        <f t="shared" si="1"/>
        <v>4012</v>
      </c>
      <c r="M9" s="178">
        <f t="shared" si="1"/>
        <v>4012</v>
      </c>
      <c r="N9" s="178">
        <f t="shared" si="1"/>
        <v>4012</v>
      </c>
      <c r="O9" s="178">
        <f t="shared" si="1"/>
        <v>4012</v>
      </c>
      <c r="P9" s="178">
        <f t="shared" si="1"/>
        <v>4012</v>
      </c>
    </row>
    <row r="10" spans="2:16" x14ac:dyDescent="0.35">
      <c r="B10" t="s">
        <v>364</v>
      </c>
      <c r="E10" s="178"/>
      <c r="F10" s="178"/>
      <c r="G10" s="179">
        <v>0</v>
      </c>
      <c r="H10" s="179">
        <v>0</v>
      </c>
      <c r="I10" s="179">
        <v>0</v>
      </c>
      <c r="J10" s="179">
        <v>0</v>
      </c>
      <c r="K10" s="179">
        <v>0</v>
      </c>
      <c r="L10" s="179">
        <v>0</v>
      </c>
      <c r="M10" s="179">
        <v>0</v>
      </c>
      <c r="N10" s="179">
        <v>0</v>
      </c>
      <c r="O10" s="179">
        <v>0</v>
      </c>
      <c r="P10" s="178">
        <v>0</v>
      </c>
    </row>
    <row r="11" spans="2:16" x14ac:dyDescent="0.35">
      <c r="B11" t="s">
        <v>365</v>
      </c>
      <c r="E11" s="178"/>
      <c r="F11" s="178"/>
      <c r="G11" s="179">
        <v>0</v>
      </c>
      <c r="H11" s="179">
        <v>0</v>
      </c>
      <c r="I11" s="179">
        <v>0</v>
      </c>
      <c r="J11" s="179">
        <v>0</v>
      </c>
      <c r="K11" s="179">
        <v>0</v>
      </c>
      <c r="L11" s="179">
        <v>0</v>
      </c>
      <c r="M11" s="179">
        <v>0</v>
      </c>
      <c r="N11" s="179">
        <v>0</v>
      </c>
      <c r="O11" s="179">
        <v>0</v>
      </c>
      <c r="P11" s="178">
        <v>0</v>
      </c>
    </row>
    <row r="12" spans="2:16" x14ac:dyDescent="0.35">
      <c r="B12" t="s">
        <v>343</v>
      </c>
      <c r="E12" s="180">
        <f>BS!E40</f>
        <v>3969</v>
      </c>
      <c r="F12" s="180">
        <f>BS!F40</f>
        <v>4012</v>
      </c>
      <c r="G12" s="178">
        <f>G9+G10-G11</f>
        <v>4012</v>
      </c>
      <c r="H12" s="178">
        <f t="shared" ref="H12:P12" si="2">H9+H10-H11</f>
        <v>4012</v>
      </c>
      <c r="I12" s="178">
        <f t="shared" si="2"/>
        <v>4012</v>
      </c>
      <c r="J12" s="178">
        <f t="shared" si="2"/>
        <v>4012</v>
      </c>
      <c r="K12" s="178">
        <f t="shared" si="2"/>
        <v>4012</v>
      </c>
      <c r="L12" s="178">
        <f t="shared" si="2"/>
        <v>4012</v>
      </c>
      <c r="M12" s="178">
        <f t="shared" si="2"/>
        <v>4012</v>
      </c>
      <c r="N12" s="178">
        <f t="shared" si="2"/>
        <v>4012</v>
      </c>
      <c r="O12" s="178">
        <f t="shared" si="2"/>
        <v>4012</v>
      </c>
      <c r="P12" s="178">
        <f t="shared" si="2"/>
        <v>4012</v>
      </c>
    </row>
    <row r="14" spans="2:16" x14ac:dyDescent="0.35">
      <c r="B14" s="157" t="s">
        <v>366</v>
      </c>
    </row>
    <row r="15" spans="2:16" ht="29" x14ac:dyDescent="0.35">
      <c r="B15" s="162" t="s">
        <v>367</v>
      </c>
    </row>
    <row r="17" spans="2:16" s="177" customFormat="1" x14ac:dyDescent="0.35">
      <c r="B17" s="155" t="s">
        <v>529</v>
      </c>
    </row>
    <row r="18" spans="2:16" s="177" customFormat="1" x14ac:dyDescent="0.35"/>
    <row r="19" spans="2:16" s="177" customFormat="1" x14ac:dyDescent="0.35">
      <c r="B19" s="177" t="s">
        <v>530</v>
      </c>
      <c r="C19" s="178"/>
      <c r="D19" s="178"/>
      <c r="E19" s="178"/>
      <c r="F19" s="178"/>
      <c r="G19" s="178">
        <f>Enhancements!G273+Enhancements!G287</f>
        <v>0</v>
      </c>
      <c r="H19" s="178">
        <f>Enhancements!H273+Enhancements!H287</f>
        <v>10000</v>
      </c>
      <c r="I19" s="178">
        <f>Enhancements!I273+Enhancements!I287</f>
        <v>30000</v>
      </c>
      <c r="J19" s="178">
        <f>Enhancements!J273+Enhancements!J287</f>
        <v>20000</v>
      </c>
      <c r="K19" s="178">
        <f>Enhancements!K273+Enhancements!K287</f>
        <v>10000</v>
      </c>
      <c r="L19" s="178">
        <f>Enhancements!L273+Enhancements!L287</f>
        <v>0</v>
      </c>
      <c r="M19" s="178">
        <f>Enhancements!M273+Enhancements!M287</f>
        <v>0</v>
      </c>
      <c r="N19" s="178">
        <f>Enhancements!N273+Enhancements!N287</f>
        <v>0</v>
      </c>
      <c r="O19" s="178">
        <f>Enhancements!O273+Enhancements!O287</f>
        <v>0</v>
      </c>
      <c r="P19" s="178">
        <f>Enhancements!P273+Enhancements!P287</f>
        <v>0</v>
      </c>
    </row>
    <row r="20" spans="2:16" s="177" customFormat="1" x14ac:dyDescent="0.35">
      <c r="B20" s="177" t="s">
        <v>364</v>
      </c>
      <c r="C20" s="178"/>
      <c r="D20" s="178"/>
      <c r="E20" s="178"/>
      <c r="F20" s="178"/>
      <c r="G20" s="178">
        <f>Enhancements!G271+Enhancements!G285</f>
        <v>0</v>
      </c>
      <c r="H20" s="178">
        <f>Enhancements!H271+Enhancements!H285</f>
        <v>10000</v>
      </c>
      <c r="I20" s="178">
        <f>Enhancements!I271+Enhancements!I285</f>
        <v>20000</v>
      </c>
      <c r="J20" s="178">
        <f>Enhancements!J271+Enhancements!J285</f>
        <v>0</v>
      </c>
      <c r="K20" s="178">
        <f>Enhancements!K271+Enhancements!K285</f>
        <v>0</v>
      </c>
      <c r="L20" s="178">
        <f>Enhancements!L271+Enhancements!L285</f>
        <v>0</v>
      </c>
      <c r="M20" s="178">
        <f>Enhancements!M271+Enhancements!M285</f>
        <v>0</v>
      </c>
      <c r="N20" s="178">
        <f>Enhancements!N271+Enhancements!N285</f>
        <v>0</v>
      </c>
      <c r="O20" s="178">
        <f>Enhancements!O271+Enhancements!O285</f>
        <v>0</v>
      </c>
      <c r="P20" s="178">
        <f>Enhancements!P271+Enhancements!P285</f>
        <v>0</v>
      </c>
    </row>
    <row r="21" spans="2:16" s="177" customFormat="1" x14ac:dyDescent="0.35">
      <c r="B21" s="177" t="s">
        <v>365</v>
      </c>
      <c r="C21" s="178"/>
      <c r="D21" s="178"/>
      <c r="E21" s="178"/>
      <c r="F21" s="178"/>
      <c r="G21" s="178">
        <f>Enhancements!G272+Enhancements!G286</f>
        <v>0</v>
      </c>
      <c r="H21" s="178">
        <f>Enhancements!H272+Enhancements!H286</f>
        <v>0</v>
      </c>
      <c r="I21" s="178">
        <f>Enhancements!I272+Enhancements!I286</f>
        <v>0</v>
      </c>
      <c r="J21" s="178">
        <f>Enhancements!J272+Enhancements!J286</f>
        <v>10000</v>
      </c>
      <c r="K21" s="178">
        <f>Enhancements!K272+Enhancements!K286</f>
        <v>10000</v>
      </c>
      <c r="L21" s="178">
        <f>Enhancements!L272+Enhancements!L286</f>
        <v>10000</v>
      </c>
      <c r="M21" s="178">
        <f>Enhancements!M272+Enhancements!M286</f>
        <v>0</v>
      </c>
      <c r="N21" s="178">
        <f>Enhancements!N272+Enhancements!N286</f>
        <v>0</v>
      </c>
      <c r="O21" s="178">
        <f>Enhancements!O272+Enhancements!O286</f>
        <v>0</v>
      </c>
      <c r="P21" s="178">
        <f>Enhancements!P272+Enhancements!P286</f>
        <v>0</v>
      </c>
    </row>
    <row r="22" spans="2:16" s="177" customFormat="1" x14ac:dyDescent="0.35">
      <c r="C22" s="178"/>
      <c r="D22" s="178"/>
      <c r="E22" s="178"/>
      <c r="F22" s="178"/>
      <c r="G22" s="178"/>
      <c r="H22" s="178"/>
      <c r="I22" s="178"/>
      <c r="J22" s="178"/>
      <c r="K22" s="178"/>
      <c r="L22" s="178"/>
      <c r="M22" s="178"/>
      <c r="N22" s="178"/>
      <c r="O22" s="178"/>
      <c r="P22" s="178"/>
    </row>
    <row r="23" spans="2:16" x14ac:dyDescent="0.35">
      <c r="B23" s="155" t="s">
        <v>368</v>
      </c>
    </row>
    <row r="25" spans="2:16" x14ac:dyDescent="0.35">
      <c r="B25" t="s">
        <v>239</v>
      </c>
      <c r="G25" s="183">
        <f>AVERAGE(G9,G12)*G26</f>
        <v>120.36</v>
      </c>
      <c r="H25" s="183">
        <f>AVERAGE(H9,H12)*H26</f>
        <v>120.36</v>
      </c>
      <c r="I25" s="183">
        <f>AVERAGE(I9,I12)*I26</f>
        <v>120.36</v>
      </c>
      <c r="J25" s="183">
        <f>AVERAGE(J9,J12)*J26</f>
        <v>120.36</v>
      </c>
      <c r="K25" s="183">
        <f>AVERAGE(K9,K12)*K26</f>
        <v>120.36</v>
      </c>
      <c r="L25" s="183">
        <f>AVERAGE(L9,L12)*L26</f>
        <v>120.36</v>
      </c>
      <c r="M25" s="183">
        <f>AVERAGE(M9,M12)*M26</f>
        <v>120.36</v>
      </c>
      <c r="N25" s="183">
        <f>AVERAGE(N9,N12)*N26</f>
        <v>120.36</v>
      </c>
      <c r="O25" s="183">
        <f>AVERAGE(O9,O12)*O26</f>
        <v>120.36</v>
      </c>
      <c r="P25" s="183">
        <f>AVERAGE(P9,P12)*P26</f>
        <v>120.36</v>
      </c>
    </row>
    <row r="26" spans="2:16" x14ac:dyDescent="0.35">
      <c r="B26" s="132" t="s">
        <v>369</v>
      </c>
      <c r="G26" s="185">
        <v>0.03</v>
      </c>
      <c r="H26" s="185">
        <v>0.03</v>
      </c>
      <c r="I26" s="185">
        <v>0.03</v>
      </c>
      <c r="J26" s="185">
        <v>0.03</v>
      </c>
      <c r="K26" s="185">
        <v>0.03</v>
      </c>
      <c r="L26" s="185">
        <v>0.03</v>
      </c>
      <c r="M26" s="185">
        <v>0.03</v>
      </c>
      <c r="N26" s="185">
        <v>0.03</v>
      </c>
      <c r="O26" s="185">
        <v>0.03</v>
      </c>
      <c r="P26" s="185">
        <v>0.03</v>
      </c>
    </row>
    <row r="27" spans="2:16" s="177" customFormat="1" x14ac:dyDescent="0.35">
      <c r="B27" s="132"/>
      <c r="G27" s="185"/>
      <c r="H27" s="185"/>
      <c r="I27" s="185"/>
      <c r="J27" s="185"/>
      <c r="K27" s="185"/>
      <c r="L27" s="185"/>
      <c r="M27" s="185"/>
      <c r="N27" s="185"/>
      <c r="O27" s="185"/>
      <c r="P27" s="185"/>
    </row>
    <row r="28" spans="2:16" x14ac:dyDescent="0.35">
      <c r="B28" s="155" t="s">
        <v>533</v>
      </c>
      <c r="G28" s="178">
        <f>Enhancements!G275+Enhancements!G289</f>
        <v>0</v>
      </c>
      <c r="H28" s="178">
        <f>Enhancements!H275+Enhancements!H289</f>
        <v>300</v>
      </c>
      <c r="I28" s="178">
        <f>Enhancements!I275+Enhancements!I289</f>
        <v>1000.0000000000001</v>
      </c>
      <c r="J28" s="178">
        <f>Enhancements!J275+Enhancements!J289</f>
        <v>1000.0000000000001</v>
      </c>
      <c r="K28" s="178">
        <f>Enhancements!K275+Enhancements!K289</f>
        <v>650</v>
      </c>
      <c r="L28" s="178">
        <f>Enhancements!L275+Enhancements!L289</f>
        <v>300</v>
      </c>
      <c r="M28" s="178">
        <f>Enhancements!M275+Enhancements!M289</f>
        <v>0</v>
      </c>
      <c r="N28" s="178">
        <f>Enhancements!N275+Enhancements!N289</f>
        <v>0</v>
      </c>
      <c r="O28" s="178">
        <f>Enhancements!O275+Enhancements!O289</f>
        <v>0</v>
      </c>
      <c r="P28" s="178">
        <f>Enhancements!P275+Enhancements!P289</f>
        <v>0</v>
      </c>
    </row>
    <row r="29" spans="2:16" s="177" customFormat="1" x14ac:dyDescent="0.35">
      <c r="B29" s="155"/>
      <c r="G29" s="178"/>
      <c r="H29" s="178"/>
      <c r="I29" s="178"/>
      <c r="J29" s="178"/>
      <c r="K29" s="178"/>
      <c r="L29" s="178"/>
      <c r="M29" s="178"/>
      <c r="N29" s="178"/>
      <c r="O29" s="178"/>
      <c r="P29" s="178"/>
    </row>
    <row r="30" spans="2:16" s="177" customFormat="1" x14ac:dyDescent="0.35">
      <c r="B30" s="177" t="s">
        <v>539</v>
      </c>
      <c r="G30" s="180">
        <f ca="1">CF!G77</f>
        <v>0</v>
      </c>
      <c r="H30" s="180">
        <f ca="1">CF!H77</f>
        <v>0</v>
      </c>
      <c r="I30" s="180">
        <f ca="1">CF!I77</f>
        <v>1278.8767315777275</v>
      </c>
      <c r="J30" s="180">
        <f ca="1">CF!J77</f>
        <v>1967.2942799773045</v>
      </c>
      <c r="K30" s="180">
        <f ca="1">CF!K77</f>
        <v>688.41754839957707</v>
      </c>
      <c r="L30" s="180">
        <f ca="1">CF!L77</f>
        <v>0</v>
      </c>
      <c r="M30" s="180">
        <f ca="1">CF!M77</f>
        <v>0</v>
      </c>
      <c r="N30" s="180">
        <f ca="1">CF!N77</f>
        <v>0</v>
      </c>
      <c r="O30" s="180">
        <f ca="1">CF!O77</f>
        <v>0</v>
      </c>
      <c r="P30" s="180">
        <f ca="1">CF!P77</f>
        <v>0</v>
      </c>
    </row>
    <row r="31" spans="2:16" s="177" customFormat="1" x14ac:dyDescent="0.35"/>
    <row r="32" spans="2:16" x14ac:dyDescent="0.35">
      <c r="B32" s="155" t="s">
        <v>238</v>
      </c>
    </row>
    <row r="33" spans="2:16" s="177" customFormat="1" x14ac:dyDescent="0.35">
      <c r="B33" s="155"/>
      <c r="E33" s="175"/>
      <c r="F33" s="175"/>
      <c r="G33" s="175"/>
      <c r="H33" s="175"/>
      <c r="I33" s="175"/>
      <c r="J33" s="175"/>
      <c r="K33" s="175"/>
      <c r="L33" s="175"/>
      <c r="M33" s="175"/>
      <c r="N33" s="175"/>
      <c r="O33" s="175"/>
      <c r="P33" s="175"/>
    </row>
    <row r="34" spans="2:16" s="177" customFormat="1" x14ac:dyDescent="0.35">
      <c r="B34" s="187" t="s">
        <v>386</v>
      </c>
      <c r="E34" s="175"/>
      <c r="F34" s="175">
        <f>E35</f>
        <v>10715</v>
      </c>
      <c r="G34" s="175">
        <f t="shared" ref="G34:P34" si="3">F35</f>
        <v>16701</v>
      </c>
      <c r="H34" s="175">
        <f t="shared" ca="1" si="3"/>
        <v>44949.82641651787</v>
      </c>
      <c r="I34" s="175">
        <f t="shared" ca="1" si="3"/>
        <v>70732.691424516001</v>
      </c>
      <c r="J34" s="175">
        <f t="shared" ca="1" si="3"/>
        <v>2175.6556825500011</v>
      </c>
      <c r="K34" s="175">
        <f t="shared" ca="1" si="3"/>
        <v>2486.6261593954987</v>
      </c>
      <c r="L34" s="175">
        <f t="shared" ca="1" si="3"/>
        <v>38940.780869376707</v>
      </c>
      <c r="M34" s="175">
        <f t="shared" ca="1" si="3"/>
        <v>116286.19666995938</v>
      </c>
      <c r="N34" s="175">
        <f t="shared" ca="1" si="3"/>
        <v>205771.91821189938</v>
      </c>
      <c r="O34" s="175">
        <f t="shared" ca="1" si="3"/>
        <v>302222.6643834397</v>
      </c>
      <c r="P34" s="175">
        <f t="shared" ca="1" si="3"/>
        <v>406801.70689378446</v>
      </c>
    </row>
    <row r="35" spans="2:16" s="177" customFormat="1" x14ac:dyDescent="0.35">
      <c r="B35" s="187" t="s">
        <v>387</v>
      </c>
      <c r="E35" s="192">
        <f>BS!E7</f>
        <v>10715</v>
      </c>
      <c r="F35" s="192">
        <f>BS!F7</f>
        <v>16701</v>
      </c>
      <c r="G35" s="192">
        <f ca="1">BS!G7</f>
        <v>44949.82641651787</v>
      </c>
      <c r="H35" s="192">
        <f ca="1">BS!H7</f>
        <v>70732.691424516001</v>
      </c>
      <c r="I35" s="192">
        <f ca="1">BS!I7</f>
        <v>2175.6556825500011</v>
      </c>
      <c r="J35" s="192">
        <f ca="1">BS!J7</f>
        <v>2486.6261593954987</v>
      </c>
      <c r="K35" s="192">
        <f ca="1">BS!K7</f>
        <v>38940.780869376707</v>
      </c>
      <c r="L35" s="192">
        <f ca="1">BS!L7</f>
        <v>116286.19666995938</v>
      </c>
      <c r="M35" s="192">
        <f ca="1">BS!M7</f>
        <v>205771.91821189938</v>
      </c>
      <c r="N35" s="192">
        <f ca="1">BS!N7</f>
        <v>302222.6643834397</v>
      </c>
      <c r="O35" s="192">
        <f ca="1">BS!O7</f>
        <v>406801.70689378446</v>
      </c>
      <c r="P35" s="192">
        <f ca="1">BS!P7</f>
        <v>519261.06065425125</v>
      </c>
    </row>
    <row r="36" spans="2:16" s="177" customFormat="1" x14ac:dyDescent="0.35">
      <c r="B36" s="155"/>
      <c r="E36" s="175"/>
      <c r="F36" s="175"/>
      <c r="G36" s="175"/>
      <c r="H36" s="175"/>
      <c r="I36" s="175"/>
      <c r="J36" s="175"/>
      <c r="K36" s="175"/>
      <c r="L36" s="175"/>
      <c r="M36" s="175"/>
      <c r="N36" s="175"/>
      <c r="O36" s="175"/>
      <c r="P36" s="175"/>
    </row>
    <row r="37" spans="2:16" s="177" customFormat="1" x14ac:dyDescent="0.35">
      <c r="B37" s="187" t="s">
        <v>388</v>
      </c>
      <c r="G37" s="226">
        <v>1.4999999999999999E-2</v>
      </c>
      <c r="H37" s="226">
        <v>1.4999999999999999E-2</v>
      </c>
      <c r="I37" s="226">
        <v>1.4999999999999999E-2</v>
      </c>
      <c r="J37" s="226">
        <v>1.4999999999999999E-2</v>
      </c>
      <c r="K37" s="226">
        <v>1.4999999999999999E-2</v>
      </c>
      <c r="L37" s="226">
        <v>1.4999999999999999E-2</v>
      </c>
      <c r="M37" s="226">
        <v>1.4999999999999999E-2</v>
      </c>
      <c r="N37" s="226">
        <v>1.4999999999999999E-2</v>
      </c>
      <c r="O37" s="226">
        <v>1.4999999999999999E-2</v>
      </c>
      <c r="P37" s="226">
        <v>1.4999999999999999E-2</v>
      </c>
    </row>
    <row r="39" spans="2:16" s="177" customFormat="1" x14ac:dyDescent="0.35">
      <c r="B39" s="177" t="s">
        <v>389</v>
      </c>
      <c r="G39" s="175">
        <f ca="1">AVERAGE(G34:G35)*G37</f>
        <v>462.38119812388402</v>
      </c>
      <c r="H39" s="175">
        <f t="shared" ref="H39:P39" ca="1" si="4">AVERAGE(H34:H35)*H37</f>
        <v>867.61888380775395</v>
      </c>
      <c r="I39" s="175">
        <f t="shared" ca="1" si="4"/>
        <v>546.81260330299494</v>
      </c>
      <c r="J39" s="175">
        <f t="shared" ca="1" si="4"/>
        <v>34.967113814591244</v>
      </c>
      <c r="K39" s="175">
        <f t="shared" ca="1" si="4"/>
        <v>310.70555271579155</v>
      </c>
      <c r="L39" s="175">
        <f t="shared" ca="1" si="4"/>
        <v>1164.2023315450206</v>
      </c>
      <c r="M39" s="175">
        <f t="shared" ca="1" si="4"/>
        <v>2415.4358616139407</v>
      </c>
      <c r="N39" s="175">
        <f t="shared" ca="1" si="4"/>
        <v>3809.9593694650425</v>
      </c>
      <c r="O39" s="175">
        <f t="shared" ca="1" si="4"/>
        <v>5317.6827845791813</v>
      </c>
      <c r="P39" s="175">
        <f t="shared" ca="1" si="4"/>
        <v>6945.4707566102679</v>
      </c>
    </row>
    <row r="41" spans="2:16" x14ac:dyDescent="0.35">
      <c r="B41" s="373" t="s">
        <v>370</v>
      </c>
      <c r="C41" s="374"/>
      <c r="D41" s="374"/>
      <c r="E41" s="374"/>
      <c r="F41" s="374"/>
      <c r="G41" s="374"/>
      <c r="H41" s="374"/>
      <c r="I41" s="374"/>
      <c r="J41" s="374"/>
      <c r="K41" s="374"/>
      <c r="L41" s="374"/>
      <c r="M41" s="374"/>
      <c r="N41" s="374"/>
      <c r="O41" s="374"/>
      <c r="P41" s="375"/>
    </row>
    <row r="42" spans="2:16" x14ac:dyDescent="0.35">
      <c r="B42" s="376"/>
      <c r="C42" s="328"/>
      <c r="D42" s="328"/>
      <c r="E42" s="328"/>
      <c r="F42" s="328"/>
      <c r="G42" s="328"/>
      <c r="H42" s="328"/>
      <c r="I42" s="328"/>
      <c r="J42" s="328"/>
      <c r="K42" s="328"/>
      <c r="L42" s="328"/>
      <c r="M42" s="328"/>
      <c r="N42" s="328"/>
      <c r="O42" s="328"/>
      <c r="P42" s="377"/>
    </row>
    <row r="43" spans="2:16" x14ac:dyDescent="0.35">
      <c r="B43" s="376" t="s">
        <v>239</v>
      </c>
      <c r="C43" s="328"/>
      <c r="D43" s="328"/>
      <c r="E43" s="328"/>
      <c r="F43" s="328"/>
      <c r="G43" s="378">
        <f ca="1">IF(Switch=1, G25+IF($C$5="Yes", G28, 0)+G30, 0)</f>
        <v>120.36</v>
      </c>
      <c r="H43" s="378">
        <f ca="1">IF(Switch=1, H25+IF($C$5="Yes", H28, 0)+H30, 0)</f>
        <v>120.36</v>
      </c>
      <c r="I43" s="378">
        <f ca="1">IF(Switch=1, I25+IF($C$5="Yes", I28, 0)+I30, 0)</f>
        <v>1399.2367315777274</v>
      </c>
      <c r="J43" s="378">
        <f ca="1">IF(Switch=1, J25+IF($C$5="Yes", J28, 0)+J30, 0)</f>
        <v>2087.6542799773047</v>
      </c>
      <c r="K43" s="378">
        <f ca="1">IF(Switch=1, K25+IF($C$5="Yes", K28, 0)+K30, 0)</f>
        <v>808.77754839957709</v>
      </c>
      <c r="L43" s="378">
        <f ca="1">IF(Switch=1, L25+IF($C$5="Yes", L28, 0)+L30, 0)</f>
        <v>120.36</v>
      </c>
      <c r="M43" s="378">
        <f ca="1">IF(Switch=1, M25+IF($C$5="Yes", M28, 0)+M30, 0)</f>
        <v>120.36</v>
      </c>
      <c r="N43" s="378">
        <f ca="1">IF(Switch=1, N25+IF($C$5="Yes", N28, 0)+N30, 0)</f>
        <v>120.36</v>
      </c>
      <c r="O43" s="378">
        <f ca="1">IF(Switch=1, O25+IF($C$5="Yes", O28, 0)+O30, 0)</f>
        <v>120.36</v>
      </c>
      <c r="P43" s="378">
        <f ca="1">IF(Switch=1, P25+IF($C$5="Yes", P28, 0)+P30, 0)</f>
        <v>120.36</v>
      </c>
    </row>
    <row r="44" spans="2:16" x14ac:dyDescent="0.35">
      <c r="B44" s="376" t="s">
        <v>238</v>
      </c>
      <c r="C44" s="328"/>
      <c r="D44" s="328"/>
      <c r="E44" s="328"/>
      <c r="F44" s="328"/>
      <c r="G44" s="379">
        <f t="shared" ref="G44:P44" ca="1" si="5">IF(Switch=1, G39, 0)</f>
        <v>462.38119812388402</v>
      </c>
      <c r="H44" s="379">
        <f t="shared" ca="1" si="5"/>
        <v>867.61888380775395</v>
      </c>
      <c r="I44" s="379">
        <f t="shared" ca="1" si="5"/>
        <v>546.81260330299494</v>
      </c>
      <c r="J44" s="379">
        <f t="shared" ca="1" si="5"/>
        <v>34.967113814591244</v>
      </c>
      <c r="K44" s="379">
        <f t="shared" ca="1" si="5"/>
        <v>310.70555271579155</v>
      </c>
      <c r="L44" s="379">
        <f t="shared" ca="1" si="5"/>
        <v>1164.2023315450206</v>
      </c>
      <c r="M44" s="379">
        <f t="shared" ca="1" si="5"/>
        <v>2415.4358616139407</v>
      </c>
      <c r="N44" s="379">
        <f t="shared" ca="1" si="5"/>
        <v>3809.9593694650425</v>
      </c>
      <c r="O44" s="379">
        <f t="shared" ca="1" si="5"/>
        <v>5317.6827845791813</v>
      </c>
      <c r="P44" s="380">
        <f t="shared" ca="1" si="5"/>
        <v>6945.4707566102679</v>
      </c>
    </row>
    <row r="45" spans="2:16" x14ac:dyDescent="0.35">
      <c r="B45" s="376"/>
      <c r="C45" s="328"/>
      <c r="D45" s="328"/>
      <c r="E45" s="328"/>
      <c r="F45" s="328"/>
      <c r="G45" s="328"/>
      <c r="H45" s="328"/>
      <c r="I45" s="328"/>
      <c r="J45" s="328"/>
      <c r="K45" s="328"/>
      <c r="L45" s="328"/>
      <c r="M45" s="328"/>
      <c r="N45" s="328"/>
      <c r="O45" s="328"/>
      <c r="P45" s="377"/>
    </row>
    <row r="46" spans="2:16" x14ac:dyDescent="0.35">
      <c r="B46" s="376" t="s">
        <v>371</v>
      </c>
      <c r="C46" s="328"/>
      <c r="D46" s="328"/>
      <c r="E46" s="372">
        <f>E12+IF($C$5="Yes",E19,0)</f>
        <v>3969</v>
      </c>
      <c r="F46" s="372">
        <f>F12+IF($C$5="Yes",F19,0)</f>
        <v>4012</v>
      </c>
      <c r="G46" s="372">
        <f>G12+IF($C$5="Yes",G19,0)</f>
        <v>4012</v>
      </c>
      <c r="H46" s="372">
        <f>H12+IF($C$5="Yes",H19,0)</f>
        <v>4012</v>
      </c>
      <c r="I46" s="372">
        <f>I12+IF($C$5="Yes",I19,0)</f>
        <v>4012</v>
      </c>
      <c r="J46" s="372">
        <f>J12+IF($C$5="Yes",J19,0)</f>
        <v>4012</v>
      </c>
      <c r="K46" s="372">
        <f>K12+IF($C$5="Yes",K19,0)</f>
        <v>4012</v>
      </c>
      <c r="L46" s="372">
        <f>L12+IF($C$5="Yes",L19,0)</f>
        <v>4012</v>
      </c>
      <c r="M46" s="372">
        <f>M12+IF($C$5="Yes",M19,0)</f>
        <v>4012</v>
      </c>
      <c r="N46" s="372">
        <f>N12+IF($C$5="Yes",N19,0)</f>
        <v>4012</v>
      </c>
      <c r="O46" s="372">
        <f>O12+IF($C$5="Yes",O19,0)</f>
        <v>4012</v>
      </c>
      <c r="P46" s="381">
        <f>P12+IF($C$5="Yes",P19,0)</f>
        <v>4012</v>
      </c>
    </row>
    <row r="47" spans="2:16" x14ac:dyDescent="0.35">
      <c r="B47" s="376" t="s">
        <v>364</v>
      </c>
      <c r="C47" s="328"/>
      <c r="D47" s="328"/>
      <c r="E47" s="372">
        <f>E10+IF($C$5="Yes", E20, 0)</f>
        <v>0</v>
      </c>
      <c r="F47" s="372">
        <f>F10+IF($C$5="Yes", F20, 0)</f>
        <v>0</v>
      </c>
      <c r="G47" s="372">
        <f>G10+IF($C$5="Yes", G20, 0)</f>
        <v>0</v>
      </c>
      <c r="H47" s="372">
        <f>H10+IF($C$5="Yes", H20, 0)</f>
        <v>0</v>
      </c>
      <c r="I47" s="372">
        <f>I10+IF($C$5="Yes", I20, 0)</f>
        <v>0</v>
      </c>
      <c r="J47" s="372">
        <f>J10+IF($C$5="Yes", J20, 0)</f>
        <v>0</v>
      </c>
      <c r="K47" s="372">
        <f>K10+IF($C$5="Yes", K20, 0)</f>
        <v>0</v>
      </c>
      <c r="L47" s="372">
        <f>L10+IF($C$5="Yes", L20, 0)</f>
        <v>0</v>
      </c>
      <c r="M47" s="372">
        <f>M10+IF($C$5="Yes", M20, 0)</f>
        <v>0</v>
      </c>
      <c r="N47" s="372">
        <f>N10+IF($C$5="Yes", N20, 0)</f>
        <v>0</v>
      </c>
      <c r="O47" s="372">
        <f>O10+IF($C$5="Yes", O20, 0)</f>
        <v>0</v>
      </c>
      <c r="P47" s="381">
        <f>P10+IF($C$5="Yes", P20, 0)</f>
        <v>0</v>
      </c>
    </row>
    <row r="48" spans="2:16" x14ac:dyDescent="0.35">
      <c r="B48" s="382" t="s">
        <v>365</v>
      </c>
      <c r="C48" s="383"/>
      <c r="D48" s="383"/>
      <c r="E48" s="384">
        <f>E11+IF($C$5="Yes", E21, 0)</f>
        <v>0</v>
      </c>
      <c r="F48" s="384">
        <f>F11+IF($C$5="Yes", F21, 0)</f>
        <v>0</v>
      </c>
      <c r="G48" s="384">
        <f>G11+IF($C$5="Yes", G21, 0)</f>
        <v>0</v>
      </c>
      <c r="H48" s="384">
        <f>H11+IF($C$5="Yes", H21, 0)</f>
        <v>0</v>
      </c>
      <c r="I48" s="384">
        <f>I11+IF($C$5="Yes", I21, 0)</f>
        <v>0</v>
      </c>
      <c r="J48" s="384">
        <f>J11+IF($C$5="Yes", J21, 0)</f>
        <v>0</v>
      </c>
      <c r="K48" s="384">
        <f>K11+IF($C$5="Yes", K21, 0)</f>
        <v>0</v>
      </c>
      <c r="L48" s="384">
        <f>L11+IF($C$5="Yes", L21, 0)</f>
        <v>0</v>
      </c>
      <c r="M48" s="384">
        <f>M11+IF($C$5="Yes", M21, 0)</f>
        <v>0</v>
      </c>
      <c r="N48" s="384">
        <f>N11+IF($C$5="Yes", N21, 0)</f>
        <v>0</v>
      </c>
      <c r="O48" s="384">
        <f>O11+IF($C$5="Yes", O21, 0)</f>
        <v>0</v>
      </c>
      <c r="P48" s="385">
        <f>P11+IF($C$5="Yes", P21, 0)</f>
        <v>0</v>
      </c>
    </row>
    <row r="51" spans="2:16" x14ac:dyDescent="0.35">
      <c r="B51" s="88" t="s">
        <v>88</v>
      </c>
      <c r="C51" s="89"/>
      <c r="D51" s="89"/>
      <c r="E51" s="89"/>
      <c r="F51" s="89"/>
      <c r="G51" s="89"/>
      <c r="H51" s="89"/>
      <c r="I51" s="89"/>
      <c r="J51" s="89"/>
      <c r="K51" s="89"/>
      <c r="L51" s="89"/>
      <c r="M51" s="89"/>
      <c r="N51" s="89"/>
      <c r="O51" s="89"/>
      <c r="P51" s="89"/>
    </row>
    <row r="53" spans="2:16" x14ac:dyDescent="0.35">
      <c r="B53" t="s">
        <v>88</v>
      </c>
      <c r="E53" s="180">
        <v>0</v>
      </c>
      <c r="F53" s="180">
        <v>0</v>
      </c>
      <c r="G53" s="178">
        <v>0</v>
      </c>
      <c r="H53" s="178">
        <v>0</v>
      </c>
      <c r="I53" s="178">
        <v>0</v>
      </c>
      <c r="J53" s="178">
        <v>0</v>
      </c>
      <c r="K53" s="178">
        <v>0</v>
      </c>
      <c r="L53" s="178">
        <v>0</v>
      </c>
      <c r="M53" s="178">
        <v>0</v>
      </c>
      <c r="N53" s="178">
        <v>0</v>
      </c>
      <c r="O53" s="178">
        <v>0</v>
      </c>
      <c r="P53" s="178">
        <v>0</v>
      </c>
    </row>
    <row r="55" spans="2:16" ht="29" x14ac:dyDescent="0.35">
      <c r="B55" s="162" t="s">
        <v>376</v>
      </c>
    </row>
    <row r="58" spans="2:16" x14ac:dyDescent="0.35">
      <c r="B58" s="88" t="s">
        <v>90</v>
      </c>
      <c r="C58" s="89"/>
      <c r="D58" s="89"/>
      <c r="E58" s="89"/>
      <c r="F58" s="89"/>
      <c r="G58" s="89"/>
      <c r="H58" s="89"/>
      <c r="I58" s="89"/>
      <c r="J58" s="89"/>
      <c r="K58" s="89"/>
      <c r="L58" s="89"/>
      <c r="M58" s="89"/>
      <c r="N58" s="89"/>
      <c r="O58" s="89"/>
      <c r="P58" s="89"/>
    </row>
    <row r="60" spans="2:16" x14ac:dyDescent="0.35">
      <c r="B60" t="s">
        <v>90</v>
      </c>
      <c r="E60" s="195">
        <f>BS!E51</f>
        <v>40247</v>
      </c>
      <c r="F60" s="195">
        <f>BS!F51</f>
        <v>45049</v>
      </c>
      <c r="G60" s="182">
        <f>G64</f>
        <v>55921.85</v>
      </c>
      <c r="H60" s="182">
        <f t="shared" ref="H60:P60" si="6">H64</f>
        <v>68425.600000000006</v>
      </c>
      <c r="I60" s="182">
        <f t="shared" si="6"/>
        <v>82684.3</v>
      </c>
      <c r="J60" s="182">
        <f t="shared" si="6"/>
        <v>98744.900000000009</v>
      </c>
      <c r="K60" s="182">
        <f t="shared" si="6"/>
        <v>116865.80000000002</v>
      </c>
      <c r="L60" s="182">
        <f t="shared" si="6"/>
        <v>135798.17639816715</v>
      </c>
      <c r="M60" s="182">
        <f t="shared" si="6"/>
        <v>156132.29053490015</v>
      </c>
      <c r="N60" s="182">
        <f t="shared" si="6"/>
        <v>177811.93547144346</v>
      </c>
      <c r="O60" s="182">
        <f t="shared" si="6"/>
        <v>200716.10914571866</v>
      </c>
      <c r="P60" s="182">
        <f t="shared" si="6"/>
        <v>224728.71002644778</v>
      </c>
    </row>
    <row r="61" spans="2:16" x14ac:dyDescent="0.35">
      <c r="E61" s="175"/>
      <c r="F61" s="175"/>
      <c r="G61" s="175"/>
      <c r="H61" s="175"/>
      <c r="I61" s="175"/>
      <c r="J61" s="175"/>
      <c r="K61" s="175"/>
      <c r="L61" s="175"/>
      <c r="M61" s="175"/>
      <c r="N61" s="175"/>
      <c r="O61" s="175"/>
      <c r="P61" s="175"/>
    </row>
    <row r="62" spans="2:16" x14ac:dyDescent="0.35">
      <c r="B62" s="191" t="s">
        <v>342</v>
      </c>
      <c r="E62" s="175"/>
      <c r="F62" s="175">
        <f>E64</f>
        <v>40247</v>
      </c>
      <c r="G62" s="175">
        <f t="shared" ref="G62:P62" si="7">F64</f>
        <v>45049</v>
      </c>
      <c r="H62" s="175">
        <f t="shared" si="7"/>
        <v>55921.85</v>
      </c>
      <c r="I62" s="175">
        <f t="shared" si="7"/>
        <v>68425.600000000006</v>
      </c>
      <c r="J62" s="175">
        <f t="shared" si="7"/>
        <v>82684.3</v>
      </c>
      <c r="K62" s="175">
        <f t="shared" si="7"/>
        <v>98744.900000000009</v>
      </c>
      <c r="L62" s="175">
        <f t="shared" si="7"/>
        <v>116865.80000000002</v>
      </c>
      <c r="M62" s="175">
        <f t="shared" si="7"/>
        <v>135798.17639816715</v>
      </c>
      <c r="N62" s="175">
        <f t="shared" si="7"/>
        <v>156132.29053490015</v>
      </c>
      <c r="O62" s="175">
        <f t="shared" si="7"/>
        <v>177811.93547144346</v>
      </c>
      <c r="P62" s="175">
        <f t="shared" si="7"/>
        <v>200716.10914571866</v>
      </c>
    </row>
    <row r="63" spans="2:16" x14ac:dyDescent="0.35">
      <c r="B63" t="s">
        <v>378</v>
      </c>
      <c r="E63" s="175"/>
      <c r="F63" s="175"/>
      <c r="G63" s="175">
        <f t="shared" ref="G63:P63" si="8">G71</f>
        <v>10872.85</v>
      </c>
      <c r="H63" s="175">
        <f t="shared" si="8"/>
        <v>12503.75</v>
      </c>
      <c r="I63" s="175">
        <f t="shared" si="8"/>
        <v>14258.7</v>
      </c>
      <c r="J63" s="175">
        <f t="shared" si="8"/>
        <v>16060.6</v>
      </c>
      <c r="K63" s="175">
        <f t="shared" si="8"/>
        <v>18120.900000000001</v>
      </c>
      <c r="L63" s="175">
        <f t="shared" si="8"/>
        <v>18932.376398167125</v>
      </c>
      <c r="M63" s="175">
        <f t="shared" si="8"/>
        <v>20334.114136733013</v>
      </c>
      <c r="N63" s="175">
        <f t="shared" si="8"/>
        <v>21679.644936543307</v>
      </c>
      <c r="O63" s="175">
        <f t="shared" si="8"/>
        <v>22904.173674275189</v>
      </c>
      <c r="P63" s="175">
        <f t="shared" si="8"/>
        <v>24012.600880729133</v>
      </c>
    </row>
    <row r="64" spans="2:16" x14ac:dyDescent="0.35">
      <c r="B64" t="s">
        <v>343</v>
      </c>
      <c r="E64" s="175">
        <f>E60</f>
        <v>40247</v>
      </c>
      <c r="F64" s="175">
        <f>F60</f>
        <v>45049</v>
      </c>
      <c r="G64" s="175">
        <f>G62+G63</f>
        <v>55921.85</v>
      </c>
      <c r="H64" s="175">
        <f t="shared" ref="H64:P64" si="9">H62+H63</f>
        <v>68425.600000000006</v>
      </c>
      <c r="I64" s="175">
        <f t="shared" si="9"/>
        <v>82684.3</v>
      </c>
      <c r="J64" s="175">
        <f t="shared" si="9"/>
        <v>98744.900000000009</v>
      </c>
      <c r="K64" s="175">
        <f t="shared" si="9"/>
        <v>116865.80000000002</v>
      </c>
      <c r="L64" s="175">
        <f t="shared" si="9"/>
        <v>135798.17639816715</v>
      </c>
      <c r="M64" s="175">
        <f t="shared" si="9"/>
        <v>156132.29053490015</v>
      </c>
      <c r="N64" s="175">
        <f t="shared" si="9"/>
        <v>177811.93547144346</v>
      </c>
      <c r="O64" s="175">
        <f t="shared" si="9"/>
        <v>200716.10914571866</v>
      </c>
      <c r="P64" s="175">
        <f t="shared" si="9"/>
        <v>224728.71002644778</v>
      </c>
    </row>
    <row r="66" spans="2:16" ht="29" x14ac:dyDescent="0.35">
      <c r="B66" s="162" t="s">
        <v>377</v>
      </c>
    </row>
    <row r="69" spans="2:16" x14ac:dyDescent="0.35">
      <c r="B69" s="155" t="s">
        <v>379</v>
      </c>
    </row>
    <row r="71" spans="2:16" x14ac:dyDescent="0.35">
      <c r="B71" t="s">
        <v>380</v>
      </c>
      <c r="E71" s="192">
        <f>CF!E10</f>
        <v>7679</v>
      </c>
      <c r="F71" s="192">
        <f>CF!F10</f>
        <v>9353</v>
      </c>
      <c r="G71" s="175">
        <f>AVERAGE(G75:G77)</f>
        <v>10872.85</v>
      </c>
      <c r="H71" s="175">
        <f t="shared" ref="H71:K71" si="10">AVERAGE(H75:H77)</f>
        <v>12503.75</v>
      </c>
      <c r="I71" s="175">
        <f t="shared" si="10"/>
        <v>14258.7</v>
      </c>
      <c r="J71" s="175">
        <f t="shared" si="10"/>
        <v>16060.6</v>
      </c>
      <c r="K71" s="175">
        <f t="shared" si="10"/>
        <v>18120.900000000001</v>
      </c>
      <c r="L71" s="175">
        <f>L72*L73</f>
        <v>18932.376398167125</v>
      </c>
      <c r="M71" s="175">
        <f t="shared" ref="M71:P71" si="11">M72*M73</f>
        <v>20334.114136733013</v>
      </c>
      <c r="N71" s="175">
        <f t="shared" si="11"/>
        <v>21679.644936543307</v>
      </c>
      <c r="O71" s="175">
        <f t="shared" si="11"/>
        <v>22904.173674275189</v>
      </c>
      <c r="P71" s="175">
        <f t="shared" si="11"/>
        <v>24012.600880729133</v>
      </c>
    </row>
    <row r="72" spans="2:16" x14ac:dyDescent="0.35">
      <c r="B72" t="s">
        <v>375</v>
      </c>
      <c r="E72" s="143">
        <f>IS!E5</f>
        <v>84709</v>
      </c>
      <c r="F72" s="143">
        <f>IS!F5</f>
        <v>110498</v>
      </c>
      <c r="G72" s="143">
        <f>IS!G5</f>
        <v>127157.23400000001</v>
      </c>
      <c r="H72" s="143">
        <f>IS!H5</f>
        <v>147775.91549799999</v>
      </c>
      <c r="I72" s="143">
        <f>IS!I5</f>
        <v>366334.47481736494</v>
      </c>
      <c r="J72" s="143">
        <f>IS!J5</f>
        <v>188372.39783484509</v>
      </c>
      <c r="K72" s="143">
        <f>IS!K5</f>
        <v>205765.60785863624</v>
      </c>
      <c r="L72" s="143">
        <f>IS!L5</f>
        <v>222733.83997843674</v>
      </c>
      <c r="M72" s="143">
        <f>IS!M5</f>
        <v>239224.87219685895</v>
      </c>
      <c r="N72" s="143">
        <f>IS!N5</f>
        <v>255054.64631227418</v>
      </c>
      <c r="O72" s="143">
        <f>IS!O5</f>
        <v>269460.86675617867</v>
      </c>
      <c r="P72" s="143">
        <f>IS!P5</f>
        <v>282501.18683210743</v>
      </c>
    </row>
    <row r="73" spans="2:16" x14ac:dyDescent="0.35">
      <c r="B73" s="132" t="s">
        <v>355</v>
      </c>
      <c r="E73" s="167">
        <f>E71/E72</f>
        <v>9.0651524631385094E-2</v>
      </c>
      <c r="F73" s="167">
        <f>F71/F72</f>
        <v>8.4644065955944897E-2</v>
      </c>
      <c r="G73" s="168">
        <f>G71/G72</f>
        <v>8.5507128914112732E-2</v>
      </c>
      <c r="H73" s="194">
        <f t="shared" ref="H73:K73" si="12">H71/H72</f>
        <v>8.4612908388100816E-2</v>
      </c>
      <c r="I73" s="194">
        <f t="shared" si="12"/>
        <v>3.8922626670909517E-2</v>
      </c>
      <c r="J73" s="194">
        <f t="shared" si="12"/>
        <v>8.5259837346664133E-2</v>
      </c>
      <c r="K73" s="194">
        <f t="shared" si="12"/>
        <v>8.8065737460116783E-2</v>
      </c>
      <c r="L73" s="193">
        <v>8.5000000000000006E-2</v>
      </c>
      <c r="M73" s="193">
        <v>8.5000000000000006E-2</v>
      </c>
      <c r="N73" s="193">
        <v>8.5000000000000006E-2</v>
      </c>
      <c r="O73" s="193">
        <v>8.5000000000000006E-2</v>
      </c>
      <c r="P73" s="193">
        <v>8.5000000000000006E-2</v>
      </c>
    </row>
    <row r="75" spans="2:16" x14ac:dyDescent="0.35">
      <c r="B75" t="s">
        <v>323</v>
      </c>
      <c r="C75" s="133">
        <v>43586</v>
      </c>
      <c r="E75" s="134"/>
      <c r="F75" s="134"/>
      <c r="G75" s="134">
        <v>10724.7</v>
      </c>
      <c r="H75" s="134">
        <v>12349.5</v>
      </c>
      <c r="I75" s="134">
        <v>14134.4</v>
      </c>
      <c r="J75" s="134">
        <v>16060.6</v>
      </c>
      <c r="K75" s="134">
        <v>18120.900000000001</v>
      </c>
      <c r="L75" s="134">
        <v>20316</v>
      </c>
      <c r="M75" s="134">
        <v>22646.2</v>
      </c>
      <c r="N75" s="134"/>
      <c r="O75" s="134"/>
      <c r="P75" s="134"/>
    </row>
    <row r="76" spans="2:16" x14ac:dyDescent="0.35">
      <c r="B76" t="s">
        <v>324</v>
      </c>
      <c r="C76" s="133">
        <v>43556</v>
      </c>
      <c r="E76" s="134"/>
      <c r="F76" s="134"/>
      <c r="G76" s="134">
        <v>11021</v>
      </c>
      <c r="H76" s="134">
        <v>12658</v>
      </c>
      <c r="I76" s="134">
        <v>14383</v>
      </c>
      <c r="J76" s="134"/>
      <c r="K76" s="134"/>
      <c r="L76" s="134"/>
      <c r="M76" s="134"/>
      <c r="N76" s="134"/>
      <c r="O76" s="134"/>
      <c r="P76" s="134"/>
    </row>
    <row r="77" spans="2:16" x14ac:dyDescent="0.35">
      <c r="B77" t="s">
        <v>325</v>
      </c>
      <c r="C77" s="133">
        <v>43556</v>
      </c>
      <c r="E77" s="134"/>
      <c r="F77" s="134"/>
      <c r="G77" s="134"/>
      <c r="H77" s="134"/>
      <c r="I77" s="134"/>
      <c r="J77" s="134"/>
      <c r="K77" s="134"/>
      <c r="L77" s="134"/>
      <c r="M77" s="134"/>
      <c r="N77" s="134"/>
      <c r="O77" s="134"/>
      <c r="P77" s="134"/>
    </row>
    <row r="80" spans="2:16" x14ac:dyDescent="0.35">
      <c r="B80" s="88" t="s">
        <v>66</v>
      </c>
      <c r="C80" s="89"/>
      <c r="D80" s="89"/>
      <c r="E80" s="89"/>
      <c r="F80" s="89"/>
      <c r="G80" s="89"/>
      <c r="H80" s="89"/>
      <c r="I80" s="89"/>
      <c r="J80" s="89"/>
      <c r="K80" s="89"/>
      <c r="L80" s="89"/>
      <c r="M80" s="89"/>
      <c r="N80" s="89"/>
      <c r="O80" s="89"/>
      <c r="P80" s="89"/>
    </row>
    <row r="82" spans="2:16" x14ac:dyDescent="0.35">
      <c r="B82" t="s">
        <v>66</v>
      </c>
      <c r="E82" s="180">
        <f>BS!E52</f>
        <v>-992</v>
      </c>
      <c r="F82" s="180">
        <f>BS!F52</f>
        <v>-2306</v>
      </c>
      <c r="G82" s="178">
        <f>F82</f>
        <v>-2306</v>
      </c>
      <c r="H82" s="178">
        <f t="shared" ref="H82:P82" si="13">G82</f>
        <v>-2306</v>
      </c>
      <c r="I82" s="178">
        <f t="shared" si="13"/>
        <v>-2306</v>
      </c>
      <c r="J82" s="178">
        <f t="shared" si="13"/>
        <v>-2306</v>
      </c>
      <c r="K82" s="178">
        <f t="shared" si="13"/>
        <v>-2306</v>
      </c>
      <c r="L82" s="178">
        <f t="shared" si="13"/>
        <v>-2306</v>
      </c>
      <c r="M82" s="178">
        <f t="shared" si="13"/>
        <v>-2306</v>
      </c>
      <c r="N82" s="178">
        <f t="shared" si="13"/>
        <v>-2306</v>
      </c>
      <c r="O82" s="178">
        <f t="shared" si="13"/>
        <v>-2306</v>
      </c>
      <c r="P82" s="178">
        <f t="shared" si="13"/>
        <v>-2306</v>
      </c>
    </row>
    <row r="84" spans="2:16" ht="29" x14ac:dyDescent="0.35">
      <c r="B84" s="162" t="s">
        <v>381</v>
      </c>
    </row>
    <row r="87" spans="2:16" x14ac:dyDescent="0.35">
      <c r="B87" s="88" t="s">
        <v>67</v>
      </c>
      <c r="C87" s="89"/>
      <c r="D87" s="89"/>
      <c r="E87" s="89"/>
      <c r="F87" s="89"/>
      <c r="G87" s="89"/>
      <c r="H87" s="89"/>
      <c r="I87" s="89"/>
      <c r="J87" s="89"/>
      <c r="K87" s="89"/>
      <c r="L87" s="89"/>
      <c r="M87" s="89"/>
      <c r="N87" s="89"/>
      <c r="O87" s="89"/>
      <c r="P87" s="89"/>
    </row>
    <row r="89" spans="2:16" x14ac:dyDescent="0.35">
      <c r="B89" t="s">
        <v>342</v>
      </c>
      <c r="E89" s="175"/>
      <c r="F89" s="175">
        <f>E92</f>
        <v>113247</v>
      </c>
      <c r="G89" s="175">
        <f t="shared" ref="G89:P89" si="14">F92</f>
        <v>134885</v>
      </c>
      <c r="H89" s="175">
        <f t="shared" ca="1" si="14"/>
        <v>163617.68488651788</v>
      </c>
      <c r="I89" s="175">
        <f t="shared" ca="1" si="14"/>
        <v>199329.30536630601</v>
      </c>
      <c r="J89" s="175">
        <f t="shared" ca="1" si="14"/>
        <v>49707.974675666337</v>
      </c>
      <c r="K89" s="175">
        <f t="shared" ca="1" si="14"/>
        <v>95715.624117114668</v>
      </c>
      <c r="L89" s="175">
        <f t="shared" ca="1" si="14"/>
        <v>149170.45987604844</v>
      </c>
      <c r="M89" s="175">
        <f t="shared" ca="1" si="14"/>
        <v>210257.27442379732</v>
      </c>
      <c r="N89" s="175">
        <f t="shared" ca="1" si="14"/>
        <v>279065.96748265042</v>
      </c>
      <c r="O89" s="175">
        <f t="shared" ca="1" si="14"/>
        <v>355182.5550034577</v>
      </c>
      <c r="P89" s="175">
        <f t="shared" ca="1" si="14"/>
        <v>438339.10412350995</v>
      </c>
    </row>
    <row r="90" spans="2:16" x14ac:dyDescent="0.35">
      <c r="B90" t="s">
        <v>1</v>
      </c>
      <c r="E90" s="175">
        <f>IS!E18</f>
        <v>12662</v>
      </c>
      <c r="F90" s="175">
        <f>IS!F18</f>
        <v>30736</v>
      </c>
      <c r="G90" s="192">
        <f ca="1">IS!G18</f>
        <v>28732.684886517869</v>
      </c>
      <c r="H90" s="192">
        <f ca="1">IS!H18</f>
        <v>35711.620479788136</v>
      </c>
      <c r="I90" s="192">
        <f ca="1">IS!I18</f>
        <v>-149621.33069063968</v>
      </c>
      <c r="J90" s="192">
        <f ca="1">IS!J18</f>
        <v>46007.649441448324</v>
      </c>
      <c r="K90" s="192">
        <f ca="1">IS!K18</f>
        <v>53454.835758933768</v>
      </c>
      <c r="L90" s="192">
        <f ca="1">IS!L18</f>
        <v>61086.814547748872</v>
      </c>
      <c r="M90" s="192">
        <f ca="1">IS!M18</f>
        <v>68808.693058853096</v>
      </c>
      <c r="N90" s="192">
        <f ca="1">IS!N18</f>
        <v>76116.587520807312</v>
      </c>
      <c r="O90" s="192">
        <f ca="1">IS!O18</f>
        <v>83156.549120052252</v>
      </c>
      <c r="P90" s="192">
        <f ca="1">IS!P18</f>
        <v>90095.662019663578</v>
      </c>
    </row>
    <row r="91" spans="2:16" x14ac:dyDescent="0.35">
      <c r="B91" t="s">
        <v>295</v>
      </c>
      <c r="E91" s="175">
        <v>0</v>
      </c>
      <c r="F91" s="175">
        <f>E91</f>
        <v>0</v>
      </c>
      <c r="G91" s="175">
        <f t="shared" ref="G91:P91" si="15">F91</f>
        <v>0</v>
      </c>
      <c r="H91" s="175">
        <f t="shared" si="15"/>
        <v>0</v>
      </c>
      <c r="I91" s="175">
        <f t="shared" si="15"/>
        <v>0</v>
      </c>
      <c r="J91" s="175">
        <f t="shared" si="15"/>
        <v>0</v>
      </c>
      <c r="K91" s="175">
        <f t="shared" si="15"/>
        <v>0</v>
      </c>
      <c r="L91" s="175">
        <f t="shared" si="15"/>
        <v>0</v>
      </c>
      <c r="M91" s="175">
        <f t="shared" si="15"/>
        <v>0</v>
      </c>
      <c r="N91" s="175">
        <f t="shared" si="15"/>
        <v>0</v>
      </c>
      <c r="O91" s="175">
        <f t="shared" si="15"/>
        <v>0</v>
      </c>
      <c r="P91" s="175">
        <f t="shared" si="15"/>
        <v>0</v>
      </c>
    </row>
    <row r="92" spans="2:16" x14ac:dyDescent="0.35">
      <c r="B92" t="s">
        <v>343</v>
      </c>
      <c r="E92" s="192" cm="1">
        <f t="array" ref="E92:F92">BS!E53:F53</f>
        <v>113247</v>
      </c>
      <c r="F92" s="192">
        <v>134885</v>
      </c>
      <c r="G92" s="175">
        <f t="shared" ref="G92:P92" ca="1" si="16">G89+G90-G91</f>
        <v>163617.68488651788</v>
      </c>
      <c r="H92" s="175">
        <f t="shared" ca="1" si="16"/>
        <v>199329.30536630601</v>
      </c>
      <c r="I92" s="175">
        <f t="shared" ca="1" si="16"/>
        <v>49707.974675666337</v>
      </c>
      <c r="J92" s="175">
        <f t="shared" ca="1" si="16"/>
        <v>95715.624117114668</v>
      </c>
      <c r="K92" s="175">
        <f t="shared" ca="1" si="16"/>
        <v>149170.45987604844</v>
      </c>
      <c r="L92" s="175">
        <f t="shared" ca="1" si="16"/>
        <v>210257.27442379732</v>
      </c>
      <c r="M92" s="175">
        <f t="shared" ca="1" si="16"/>
        <v>279065.96748265042</v>
      </c>
      <c r="N92" s="175">
        <f t="shared" ca="1" si="16"/>
        <v>355182.5550034577</v>
      </c>
      <c r="O92" s="175">
        <f t="shared" ca="1" si="16"/>
        <v>438339.10412350995</v>
      </c>
      <c r="P92" s="175">
        <f t="shared" ca="1" si="16"/>
        <v>528434.76614317356</v>
      </c>
    </row>
    <row r="94" spans="2:16" ht="29" x14ac:dyDescent="0.35">
      <c r="B94" s="162" t="s">
        <v>382</v>
      </c>
    </row>
  </sheetData>
  <dataValidations count="1">
    <dataValidation type="list" allowBlank="1" showInputMessage="1" showErrorMessage="1" sqref="C5" xr:uid="{46244B8E-37A5-48FB-9DEE-815E3FE772A1}">
      <formula1>"Yes, 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D6C0-B7AA-4EB5-8779-803EA5E5B4DC}">
  <dimension ref="B1:P43"/>
  <sheetViews>
    <sheetView showGridLines="0" workbookViewId="0">
      <pane xSplit="2" ySplit="1" topLeftCell="C2" activePane="bottomRight" state="frozen"/>
      <selection pane="topRight" activeCell="C1" sqref="C1"/>
      <selection pane="bottomLeft" activeCell="A2" sqref="A2"/>
      <selection pane="bottomRight" activeCell="E43" sqref="E43"/>
    </sheetView>
  </sheetViews>
  <sheetFormatPr defaultRowHeight="14.5" x14ac:dyDescent="0.35"/>
  <cols>
    <col min="2" max="2" width="57.08984375" customWidth="1"/>
    <col min="3" max="3" width="12.1796875" bestFit="1" customWidth="1"/>
    <col min="4" max="4" width="5.453125" customWidth="1"/>
    <col min="5" max="5" width="9.36328125" customWidth="1"/>
    <col min="6" max="6" width="10.1796875" customWidth="1"/>
    <col min="7" max="7" width="11.08984375" customWidth="1"/>
    <col min="8" max="8" width="11.453125" customWidth="1"/>
    <col min="9" max="9" width="12.7265625" customWidth="1"/>
    <col min="10" max="10" width="13.81640625" customWidth="1"/>
    <col min="11" max="11" width="13.08984375" customWidth="1"/>
    <col min="12" max="12" width="13.1796875" customWidth="1"/>
    <col min="13" max="13" width="10.54296875" customWidth="1"/>
  </cols>
  <sheetData>
    <row r="1" spans="2:16"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3" spans="2:16" x14ac:dyDescent="0.35">
      <c r="B3" s="88" t="s">
        <v>45</v>
      </c>
      <c r="C3" s="89"/>
      <c r="D3" s="89"/>
      <c r="E3" s="89"/>
      <c r="F3" s="89"/>
      <c r="G3" s="89"/>
      <c r="H3" s="89"/>
      <c r="I3" s="89"/>
      <c r="J3" s="89"/>
      <c r="K3" s="89"/>
      <c r="L3" s="89"/>
      <c r="M3" s="89"/>
      <c r="N3" s="89"/>
      <c r="O3" s="89"/>
      <c r="P3" s="89"/>
    </row>
    <row r="5" spans="2:16" x14ac:dyDescent="0.35">
      <c r="B5" t="s">
        <v>45</v>
      </c>
      <c r="E5" s="156">
        <f>BS!E10</f>
        <v>369</v>
      </c>
      <c r="F5" s="156">
        <f>BS!F10</f>
        <v>355</v>
      </c>
      <c r="G5">
        <f>F5</f>
        <v>355</v>
      </c>
      <c r="H5">
        <f t="shared" ref="H5:P5" si="1">G5</f>
        <v>355</v>
      </c>
      <c r="I5">
        <f t="shared" si="1"/>
        <v>355</v>
      </c>
      <c r="J5">
        <f t="shared" si="1"/>
        <v>355</v>
      </c>
      <c r="K5">
        <f t="shared" si="1"/>
        <v>355</v>
      </c>
      <c r="L5">
        <f t="shared" si="1"/>
        <v>355</v>
      </c>
      <c r="M5">
        <f t="shared" si="1"/>
        <v>355</v>
      </c>
      <c r="N5">
        <f t="shared" si="1"/>
        <v>355</v>
      </c>
      <c r="O5">
        <f t="shared" si="1"/>
        <v>355</v>
      </c>
      <c r="P5">
        <f t="shared" si="1"/>
        <v>355</v>
      </c>
    </row>
    <row r="7" spans="2:16" x14ac:dyDescent="0.35">
      <c r="B7" s="157" t="s">
        <v>335</v>
      </c>
    </row>
    <row r="10" spans="2:16" x14ac:dyDescent="0.35">
      <c r="B10" s="88" t="s">
        <v>6</v>
      </c>
      <c r="C10" s="89"/>
      <c r="D10" s="89"/>
      <c r="E10" s="89"/>
      <c r="F10" s="89"/>
      <c r="G10" s="89"/>
      <c r="H10" s="89"/>
      <c r="I10" s="89"/>
      <c r="J10" s="89"/>
      <c r="K10" s="89"/>
      <c r="L10" s="89"/>
      <c r="M10" s="89"/>
      <c r="N10" s="89"/>
      <c r="O10" s="89"/>
      <c r="P10" s="89"/>
    </row>
    <row r="12" spans="2:16" x14ac:dyDescent="0.35">
      <c r="B12" t="s">
        <v>6</v>
      </c>
      <c r="E12" s="156">
        <f>BS!E17</f>
        <v>680</v>
      </c>
      <c r="F12" s="156">
        <f>BS!F17</f>
        <v>737</v>
      </c>
      <c r="G12">
        <f>F12</f>
        <v>737</v>
      </c>
      <c r="H12">
        <f t="shared" ref="H12:P12" si="2">G12</f>
        <v>737</v>
      </c>
      <c r="I12">
        <f t="shared" si="2"/>
        <v>737</v>
      </c>
      <c r="J12">
        <f t="shared" si="2"/>
        <v>737</v>
      </c>
      <c r="K12">
        <f t="shared" si="2"/>
        <v>737</v>
      </c>
      <c r="L12">
        <f t="shared" si="2"/>
        <v>737</v>
      </c>
      <c r="M12">
        <f t="shared" si="2"/>
        <v>737</v>
      </c>
      <c r="N12">
        <f t="shared" si="2"/>
        <v>737</v>
      </c>
      <c r="O12">
        <f t="shared" si="2"/>
        <v>737</v>
      </c>
      <c r="P12">
        <f t="shared" si="2"/>
        <v>737</v>
      </c>
    </row>
    <row r="14" spans="2:16" x14ac:dyDescent="0.35">
      <c r="B14" s="157" t="s">
        <v>335</v>
      </c>
    </row>
    <row r="15" spans="2:16" x14ac:dyDescent="0.35">
      <c r="B15" s="42"/>
    </row>
    <row r="17" spans="2:16" x14ac:dyDescent="0.35">
      <c r="B17" s="88" t="s">
        <v>58</v>
      </c>
      <c r="C17" s="89"/>
      <c r="D17" s="89"/>
      <c r="E17" s="89"/>
      <c r="F17" s="89"/>
      <c r="G17" s="89"/>
      <c r="H17" s="89"/>
      <c r="I17" s="89"/>
      <c r="J17" s="89"/>
      <c r="K17" s="89"/>
      <c r="L17" s="89"/>
      <c r="M17" s="89"/>
      <c r="N17" s="89"/>
      <c r="O17" s="89"/>
      <c r="P17" s="89"/>
    </row>
    <row r="19" spans="2:16" x14ac:dyDescent="0.35">
      <c r="B19" t="s">
        <v>58</v>
      </c>
      <c r="E19" s="156">
        <f>BS!E36</f>
        <v>881</v>
      </c>
      <c r="F19" s="156">
        <f>BS!F36</f>
        <v>69</v>
      </c>
      <c r="G19">
        <f>F19</f>
        <v>69</v>
      </c>
      <c r="H19">
        <f t="shared" ref="H19" si="3">G19</f>
        <v>69</v>
      </c>
      <c r="I19">
        <f t="shared" ref="I19" si="4">H19</f>
        <v>69</v>
      </c>
      <c r="J19">
        <f t="shared" ref="J19" si="5">I19</f>
        <v>69</v>
      </c>
      <c r="K19">
        <f t="shared" ref="K19" si="6">J19</f>
        <v>69</v>
      </c>
      <c r="L19">
        <f t="shared" ref="L19" si="7">K19</f>
        <v>69</v>
      </c>
      <c r="M19">
        <f t="shared" ref="M19" si="8">L19</f>
        <v>69</v>
      </c>
      <c r="N19">
        <f t="shared" ref="N19" si="9">M19</f>
        <v>69</v>
      </c>
      <c r="O19">
        <f t="shared" ref="O19" si="10">N19</f>
        <v>69</v>
      </c>
      <c r="P19">
        <f t="shared" ref="P19" si="11">O19</f>
        <v>69</v>
      </c>
    </row>
    <row r="21" spans="2:16" x14ac:dyDescent="0.35">
      <c r="B21" s="157" t="s">
        <v>335</v>
      </c>
    </row>
    <row r="24" spans="2:16" x14ac:dyDescent="0.35">
      <c r="B24" s="88" t="s">
        <v>62</v>
      </c>
      <c r="C24" s="89"/>
      <c r="D24" s="89"/>
      <c r="E24" s="89"/>
      <c r="F24" s="89"/>
      <c r="G24" s="89"/>
      <c r="H24" s="89"/>
      <c r="I24" s="89"/>
      <c r="J24" s="89"/>
      <c r="K24" s="89"/>
      <c r="L24" s="89"/>
      <c r="M24" s="89"/>
      <c r="N24" s="89"/>
      <c r="O24" s="89"/>
      <c r="P24" s="89"/>
    </row>
    <row r="26" spans="2:16" x14ac:dyDescent="0.35">
      <c r="B26" t="s">
        <v>62</v>
      </c>
      <c r="E26" s="186">
        <f>BS!E42</f>
        <v>12812</v>
      </c>
      <c r="F26" s="186">
        <f>BS!F42</f>
        <v>11327</v>
      </c>
      <c r="G26" s="177">
        <f>F26</f>
        <v>11327</v>
      </c>
      <c r="H26" s="177">
        <f t="shared" ref="H26" si="12">G26</f>
        <v>11327</v>
      </c>
      <c r="I26" s="177">
        <f>BS!E42</f>
        <v>12812</v>
      </c>
      <c r="J26" s="177">
        <f>BS!F42</f>
        <v>11327</v>
      </c>
      <c r="K26" s="177">
        <f t="shared" ref="K26" si="13">J26</f>
        <v>11327</v>
      </c>
      <c r="L26" s="177">
        <f t="shared" ref="L26" si="14">K26</f>
        <v>11327</v>
      </c>
      <c r="M26" s="177">
        <f t="shared" ref="M26" si="15">L26</f>
        <v>11327</v>
      </c>
      <c r="N26" s="177">
        <f t="shared" ref="N26" si="16">M26</f>
        <v>11327</v>
      </c>
      <c r="O26" s="177">
        <f t="shared" ref="O26" si="17">N26</f>
        <v>11327</v>
      </c>
      <c r="P26" s="177">
        <f t="shared" ref="P26" si="18">O26</f>
        <v>11327</v>
      </c>
    </row>
    <row r="28" spans="2:16" x14ac:dyDescent="0.35">
      <c r="B28" s="157" t="s">
        <v>335</v>
      </c>
    </row>
    <row r="30" spans="2:16" x14ac:dyDescent="0.35">
      <c r="B30" s="88" t="s">
        <v>390</v>
      </c>
      <c r="C30" s="89"/>
      <c r="D30" s="89"/>
      <c r="E30" s="89"/>
      <c r="F30" s="89"/>
      <c r="G30" s="89"/>
      <c r="H30" s="89"/>
      <c r="I30" s="89"/>
      <c r="J30" s="89"/>
      <c r="K30" s="89"/>
      <c r="L30" s="89"/>
      <c r="M30" s="89"/>
      <c r="N30" s="89"/>
      <c r="O30" s="89"/>
      <c r="P30" s="89"/>
    </row>
    <row r="32" spans="2:16" x14ac:dyDescent="0.35">
      <c r="B32" t="s">
        <v>391</v>
      </c>
      <c r="E32" s="186">
        <f>BS!E43</f>
        <v>430</v>
      </c>
      <c r="F32" s="186">
        <f>BS!F43</f>
        <v>1264</v>
      </c>
      <c r="G32" s="187">
        <f>F32</f>
        <v>1264</v>
      </c>
      <c r="H32" s="187">
        <f t="shared" ref="H32:P32" si="19">G32</f>
        <v>1264</v>
      </c>
      <c r="I32" s="187">
        <f t="shared" si="19"/>
        <v>1264</v>
      </c>
      <c r="J32" s="187">
        <f t="shared" si="19"/>
        <v>1264</v>
      </c>
      <c r="K32" s="187">
        <f t="shared" si="19"/>
        <v>1264</v>
      </c>
      <c r="L32" s="187">
        <f t="shared" si="19"/>
        <v>1264</v>
      </c>
      <c r="M32" s="187">
        <f t="shared" si="19"/>
        <v>1264</v>
      </c>
      <c r="N32" s="187">
        <f t="shared" si="19"/>
        <v>1264</v>
      </c>
      <c r="O32" s="187">
        <f t="shared" si="19"/>
        <v>1264</v>
      </c>
      <c r="P32" s="187">
        <f t="shared" si="19"/>
        <v>1264</v>
      </c>
    </row>
    <row r="34" spans="2:16" x14ac:dyDescent="0.35">
      <c r="B34" s="157" t="s">
        <v>335</v>
      </c>
    </row>
    <row r="36" spans="2:16" s="177" customFormat="1" x14ac:dyDescent="0.35">
      <c r="B36" s="88" t="s">
        <v>392</v>
      </c>
      <c r="C36" s="89"/>
      <c r="D36" s="89"/>
      <c r="E36" s="89"/>
      <c r="F36" s="89"/>
      <c r="G36" s="89"/>
      <c r="H36" s="89"/>
      <c r="I36" s="89"/>
      <c r="J36" s="89"/>
      <c r="K36" s="89"/>
      <c r="L36" s="89"/>
      <c r="M36" s="89"/>
      <c r="N36" s="89"/>
      <c r="O36" s="89"/>
      <c r="P36" s="89"/>
    </row>
    <row r="38" spans="2:16" x14ac:dyDescent="0.35">
      <c r="B38" t="s">
        <v>393</v>
      </c>
      <c r="E38" s="227">
        <f>IS!E15</f>
        <v>27193</v>
      </c>
      <c r="F38" s="227">
        <f>IS!F15</f>
        <v>34913</v>
      </c>
      <c r="G38" s="227">
        <f ca="1">IS!G15</f>
        <v>36370.487198123883</v>
      </c>
      <c r="H38" s="227">
        <f ca="1">IS!H15</f>
        <v>45204.582885807766</v>
      </c>
      <c r="I38" s="227">
        <f ca="1">IS!I15</f>
        <v>-149621.33069063968</v>
      </c>
      <c r="J38" s="227">
        <f ca="1">IS!J15</f>
        <v>58237.530938542179</v>
      </c>
      <c r="K38" s="227">
        <f ca="1">IS!K15</f>
        <v>67664.349061941481</v>
      </c>
      <c r="L38" s="227">
        <f ca="1">IS!L15</f>
        <v>77325.081706011231</v>
      </c>
      <c r="M38" s="227">
        <f ca="1">IS!M15</f>
        <v>87099.611466902657</v>
      </c>
      <c r="N38" s="227">
        <f ca="1">IS!N15</f>
        <v>96350.110785832032</v>
      </c>
      <c r="O38" s="227">
        <f ca="1">IS!O15</f>
        <v>105261.45458234462</v>
      </c>
      <c r="P38" s="227">
        <f ca="1">IS!P15</f>
        <v>114045.1417970425</v>
      </c>
    </row>
    <row r="39" spans="2:16" x14ac:dyDescent="0.35">
      <c r="B39" t="s">
        <v>395</v>
      </c>
      <c r="E39" s="136">
        <f>E41/E38</f>
        <v>0.53436546169970212</v>
      </c>
      <c r="F39" s="136">
        <f>F41/F38</f>
        <v>0.1196402486179933</v>
      </c>
      <c r="G39" s="228">
        <v>0.21</v>
      </c>
      <c r="H39" s="229">
        <v>0.21</v>
      </c>
      <c r="I39" s="229">
        <v>0.21</v>
      </c>
      <c r="J39" s="229">
        <v>0.21</v>
      </c>
      <c r="K39" s="229">
        <v>0.21</v>
      </c>
      <c r="L39" s="229">
        <v>0.21</v>
      </c>
      <c r="M39" s="229">
        <v>0.21</v>
      </c>
      <c r="N39" s="229">
        <v>0.21</v>
      </c>
      <c r="O39" s="229">
        <v>0.21</v>
      </c>
      <c r="P39" s="229">
        <v>0.21</v>
      </c>
    </row>
    <row r="41" spans="2:16" x14ac:dyDescent="0.35">
      <c r="B41" t="s">
        <v>394</v>
      </c>
      <c r="E41" s="227">
        <f>IS!E17</f>
        <v>14531</v>
      </c>
      <c r="F41" s="227">
        <f>IS!F17</f>
        <v>4177</v>
      </c>
      <c r="G41" s="230">
        <f ca="1">MAX(0, G38*G39)</f>
        <v>7637.8023116060149</v>
      </c>
      <c r="H41" s="230">
        <f t="shared" ref="H41:P41" ca="1" si="20">MAX(0, H38*H39)</f>
        <v>9492.9624060196311</v>
      </c>
      <c r="I41" s="230">
        <f t="shared" ca="1" si="20"/>
        <v>0</v>
      </c>
      <c r="J41" s="230">
        <f t="shared" ca="1" si="20"/>
        <v>12229.881497093857</v>
      </c>
      <c r="K41" s="230">
        <f t="shared" ca="1" si="20"/>
        <v>14209.51330300771</v>
      </c>
      <c r="L41" s="230">
        <f t="shared" ca="1" si="20"/>
        <v>16238.267158262359</v>
      </c>
      <c r="M41" s="230">
        <f t="shared" ca="1" si="20"/>
        <v>18290.918408049558</v>
      </c>
      <c r="N41" s="230">
        <f t="shared" ca="1" si="20"/>
        <v>20233.523265024727</v>
      </c>
      <c r="O41" s="230">
        <f t="shared" ca="1" si="20"/>
        <v>22104.905462292369</v>
      </c>
      <c r="P41" s="230">
        <f t="shared" ca="1" si="20"/>
        <v>23949.479777378921</v>
      </c>
    </row>
    <row r="43" spans="2:16" x14ac:dyDescent="0.35">
      <c r="B43" s="157" t="s">
        <v>396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718F5-ECF7-4379-9E4A-364220B903B7}">
  <dimension ref="B1:P29"/>
  <sheetViews>
    <sheetView showGridLines="0" zoomScaleNormal="100" workbookViewId="0">
      <pane xSplit="2" ySplit="1" topLeftCell="C14" activePane="bottomRight" state="frozen"/>
      <selection pane="topRight" activeCell="C1" sqref="C1"/>
      <selection pane="bottomLeft" activeCell="A2" sqref="A2"/>
      <selection pane="bottomRight" activeCell="B29" sqref="B29"/>
    </sheetView>
  </sheetViews>
  <sheetFormatPr defaultRowHeight="14.5" x14ac:dyDescent="0.35"/>
  <cols>
    <col min="2" max="2" width="57.08984375" customWidth="1"/>
    <col min="3" max="3" width="12" customWidth="1"/>
    <col min="4" max="4" width="5.453125" customWidth="1"/>
    <col min="5" max="5" width="9.36328125" customWidth="1"/>
    <col min="6" max="6" width="10.1796875" customWidth="1"/>
    <col min="7" max="7" width="11.08984375" customWidth="1"/>
    <col min="8" max="8" width="11.453125" customWidth="1"/>
    <col min="9" max="9" width="12.7265625" customWidth="1"/>
    <col min="10" max="10" width="13.81640625" customWidth="1"/>
    <col min="11" max="11" width="13.08984375" customWidth="1"/>
    <col min="12" max="13" width="13.1796875" customWidth="1"/>
    <col min="14" max="16" width="10.36328125" bestFit="1" customWidth="1"/>
  </cols>
  <sheetData>
    <row r="1" spans="2:16"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3" spans="2:16" x14ac:dyDescent="0.35">
      <c r="B3" s="88" t="s">
        <v>49</v>
      </c>
      <c r="C3" s="89"/>
      <c r="D3" s="89"/>
      <c r="E3" s="89"/>
      <c r="F3" s="89"/>
      <c r="G3" s="89"/>
      <c r="H3" s="89"/>
      <c r="I3" s="89"/>
      <c r="J3" s="89"/>
      <c r="K3" s="89"/>
      <c r="L3" s="89"/>
      <c r="M3" s="89"/>
      <c r="N3" s="89"/>
      <c r="O3" s="89"/>
      <c r="P3" s="89"/>
    </row>
    <row r="5" spans="2:16" x14ac:dyDescent="0.35">
      <c r="B5" t="s">
        <v>49</v>
      </c>
      <c r="E5" s="143">
        <f>BS!E16</f>
        <v>7813</v>
      </c>
      <c r="F5" s="143">
        <f>BS!F16</f>
        <v>13859</v>
      </c>
      <c r="G5" s="137">
        <f>F5</f>
        <v>13859</v>
      </c>
      <c r="H5" s="158">
        <f t="shared" ref="H5:P5" si="1">G5</f>
        <v>13859</v>
      </c>
      <c r="I5" s="158">
        <f t="shared" si="1"/>
        <v>13859</v>
      </c>
      <c r="J5" s="158">
        <f t="shared" si="1"/>
        <v>13859</v>
      </c>
      <c r="K5" s="158">
        <f t="shared" si="1"/>
        <v>13859</v>
      </c>
      <c r="L5" s="158">
        <f t="shared" si="1"/>
        <v>13859</v>
      </c>
      <c r="M5" s="158">
        <f t="shared" si="1"/>
        <v>13859</v>
      </c>
      <c r="N5" s="158">
        <f t="shared" si="1"/>
        <v>13859</v>
      </c>
      <c r="O5" s="158">
        <f t="shared" si="1"/>
        <v>13859</v>
      </c>
      <c r="P5" s="158">
        <f t="shared" si="1"/>
        <v>13859</v>
      </c>
    </row>
    <row r="6" spans="2:16" x14ac:dyDescent="0.35">
      <c r="B6" s="132"/>
      <c r="E6" s="136"/>
      <c r="F6" s="136"/>
      <c r="G6" s="136"/>
      <c r="H6" s="136"/>
      <c r="I6" s="136"/>
      <c r="J6" s="136"/>
      <c r="K6" s="136"/>
      <c r="L6" s="136"/>
      <c r="M6" s="136"/>
      <c r="N6" s="136"/>
      <c r="O6" s="136"/>
      <c r="P6" s="136"/>
    </row>
    <row r="7" spans="2:16" ht="29" x14ac:dyDescent="0.35">
      <c r="B7" s="162" t="s">
        <v>340</v>
      </c>
    </row>
    <row r="9" spans="2:16" x14ac:dyDescent="0.35">
      <c r="B9" s="88" t="s">
        <v>52</v>
      </c>
      <c r="C9" s="89"/>
      <c r="D9" s="89"/>
      <c r="E9" s="89"/>
      <c r="F9" s="89"/>
      <c r="G9" s="89"/>
      <c r="H9" s="89"/>
      <c r="I9" s="89"/>
      <c r="J9" s="89"/>
      <c r="K9" s="89"/>
      <c r="L9" s="89"/>
      <c r="M9" s="89"/>
      <c r="N9" s="89"/>
      <c r="O9" s="89"/>
      <c r="P9" s="89"/>
    </row>
    <row r="11" spans="2:16" x14ac:dyDescent="0.35">
      <c r="B11" t="s">
        <v>52</v>
      </c>
      <c r="E11" s="143">
        <f>BS!E20</f>
        <v>16747</v>
      </c>
      <c r="F11" s="143">
        <f>BS!F20</f>
        <v>17888</v>
      </c>
      <c r="G11" s="137">
        <f>F11</f>
        <v>17888</v>
      </c>
      <c r="H11" s="158">
        <f t="shared" ref="H11" si="2">G11</f>
        <v>17888</v>
      </c>
      <c r="I11" s="158">
        <f t="shared" ref="I11" si="3">H11</f>
        <v>17888</v>
      </c>
      <c r="J11" s="158">
        <f t="shared" ref="J11" si="4">I11</f>
        <v>17888</v>
      </c>
      <c r="K11" s="158">
        <f t="shared" ref="K11" si="5">J11</f>
        <v>17888</v>
      </c>
      <c r="L11" s="158">
        <f t="shared" ref="L11" si="6">K11</f>
        <v>17888</v>
      </c>
      <c r="M11" s="158">
        <f t="shared" ref="M11" si="7">L11</f>
        <v>17888</v>
      </c>
      <c r="N11" s="158">
        <f t="shared" ref="N11" si="8">M11</f>
        <v>17888</v>
      </c>
      <c r="O11" s="158">
        <f t="shared" ref="O11" si="9">N11</f>
        <v>17888</v>
      </c>
      <c r="P11" s="158">
        <f t="shared" ref="P11" si="10">O11</f>
        <v>17888</v>
      </c>
    </row>
    <row r="12" spans="2:16" x14ac:dyDescent="0.35">
      <c r="B12" s="132"/>
      <c r="E12" s="136"/>
      <c r="F12" s="136"/>
      <c r="G12" s="136"/>
      <c r="H12" s="136"/>
      <c r="I12" s="136"/>
      <c r="J12" s="136"/>
      <c r="K12" s="136"/>
      <c r="L12" s="136"/>
      <c r="M12" s="136"/>
      <c r="N12" s="136"/>
      <c r="O12" s="136"/>
      <c r="P12" s="136"/>
    </row>
    <row r="13" spans="2:16" ht="29" x14ac:dyDescent="0.35">
      <c r="B13" s="162" t="s">
        <v>340</v>
      </c>
    </row>
    <row r="15" spans="2:16" x14ac:dyDescent="0.35">
      <c r="B15" s="88" t="s">
        <v>53</v>
      </c>
      <c r="C15" s="89"/>
      <c r="D15" s="89"/>
      <c r="E15" s="89"/>
      <c r="F15" s="89"/>
      <c r="G15" s="89"/>
      <c r="H15" s="89"/>
      <c r="I15" s="89"/>
      <c r="J15" s="89"/>
      <c r="K15" s="89"/>
      <c r="L15" s="89"/>
      <c r="M15" s="89"/>
      <c r="N15" s="89"/>
      <c r="O15" s="89"/>
      <c r="P15" s="89"/>
    </row>
    <row r="17" spans="2:16" x14ac:dyDescent="0.35">
      <c r="B17" t="s">
        <v>53</v>
      </c>
      <c r="E17" s="143">
        <f>BS!E21</f>
        <v>2672</v>
      </c>
      <c r="F17" s="143">
        <f>BS!F21</f>
        <v>2693</v>
      </c>
      <c r="G17" s="164">
        <f>F17</f>
        <v>2693</v>
      </c>
      <c r="H17" s="158">
        <f t="shared" ref="H17" si="11">G17</f>
        <v>2693</v>
      </c>
      <c r="I17" s="158">
        <f t="shared" ref="I17" si="12">H17</f>
        <v>2693</v>
      </c>
      <c r="J17" s="158">
        <f t="shared" ref="J17" si="13">I17</f>
        <v>2693</v>
      </c>
      <c r="K17" s="158">
        <f t="shared" ref="K17" si="14">J17</f>
        <v>2693</v>
      </c>
      <c r="L17" s="158">
        <f t="shared" ref="L17" si="15">K17</f>
        <v>2693</v>
      </c>
      <c r="M17" s="158">
        <f t="shared" ref="M17" si="16">L17</f>
        <v>2693</v>
      </c>
      <c r="N17" s="158">
        <f t="shared" ref="N17" si="17">M17</f>
        <v>2693</v>
      </c>
      <c r="O17" s="158">
        <f t="shared" ref="O17" si="18">N17</f>
        <v>2693</v>
      </c>
      <c r="P17" s="158">
        <f t="shared" ref="P17" si="19">O17</f>
        <v>2693</v>
      </c>
    </row>
    <row r="18" spans="2:16" x14ac:dyDescent="0.35">
      <c r="B18" s="132"/>
      <c r="E18" s="136"/>
      <c r="F18" s="136"/>
      <c r="G18" s="136"/>
      <c r="H18" s="136"/>
      <c r="I18" s="136"/>
      <c r="J18" s="136"/>
      <c r="K18" s="136"/>
      <c r="L18" s="136"/>
      <c r="M18" s="136"/>
      <c r="N18" s="136"/>
      <c r="O18" s="136"/>
      <c r="P18" s="136"/>
    </row>
    <row r="19" spans="2:16" ht="29" x14ac:dyDescent="0.35">
      <c r="B19" s="162" t="s">
        <v>340</v>
      </c>
    </row>
    <row r="21" spans="2:16" s="177" customFormat="1" x14ac:dyDescent="0.35">
      <c r="B21" s="88" t="s">
        <v>43</v>
      </c>
      <c r="C21" s="89"/>
      <c r="D21" s="89"/>
      <c r="E21" s="89"/>
      <c r="F21" s="89"/>
      <c r="G21" s="89"/>
      <c r="H21" s="89"/>
      <c r="I21" s="89"/>
      <c r="J21" s="89"/>
      <c r="K21" s="89"/>
      <c r="L21" s="89"/>
      <c r="M21" s="89"/>
      <c r="N21" s="89"/>
      <c r="O21" s="89"/>
      <c r="P21" s="89"/>
    </row>
    <row r="23" spans="2:16" x14ac:dyDescent="0.35">
      <c r="B23" t="s">
        <v>342</v>
      </c>
      <c r="E23" s="175"/>
      <c r="F23" s="175">
        <f>E26</f>
        <v>91156</v>
      </c>
      <c r="G23" s="175">
        <f t="shared" ref="G23:P23" si="20">F26</f>
        <v>92439</v>
      </c>
      <c r="H23" s="175">
        <f t="shared" si="20"/>
        <v>92439</v>
      </c>
      <c r="I23" s="175">
        <f t="shared" si="20"/>
        <v>92439</v>
      </c>
      <c r="J23" s="175">
        <f t="shared" si="20"/>
        <v>92439</v>
      </c>
      <c r="K23" s="175">
        <f t="shared" si="20"/>
        <v>92439</v>
      </c>
      <c r="L23" s="175">
        <f t="shared" si="20"/>
        <v>92439</v>
      </c>
      <c r="M23" s="175">
        <f t="shared" si="20"/>
        <v>92439</v>
      </c>
      <c r="N23" s="175">
        <f t="shared" si="20"/>
        <v>92439</v>
      </c>
      <c r="O23" s="175">
        <f t="shared" si="20"/>
        <v>92439</v>
      </c>
      <c r="P23" s="175">
        <f t="shared" si="20"/>
        <v>92439</v>
      </c>
    </row>
    <row r="24" spans="2:16" x14ac:dyDescent="0.35">
      <c r="B24" t="s">
        <v>21</v>
      </c>
      <c r="E24" s="175"/>
      <c r="F24" s="175"/>
      <c r="G24" s="176">
        <v>0</v>
      </c>
      <c r="H24" s="176">
        <v>0</v>
      </c>
      <c r="I24" s="176">
        <v>0</v>
      </c>
      <c r="J24" s="176">
        <v>0</v>
      </c>
      <c r="K24" s="176">
        <v>0</v>
      </c>
      <c r="L24" s="176">
        <v>0</v>
      </c>
      <c r="M24" s="176">
        <v>0</v>
      </c>
      <c r="N24" s="176">
        <v>0</v>
      </c>
      <c r="O24" s="176">
        <v>0</v>
      </c>
      <c r="P24" s="176">
        <v>0</v>
      </c>
    </row>
    <row r="25" spans="2:16" x14ac:dyDescent="0.35">
      <c r="B25" t="s">
        <v>22</v>
      </c>
      <c r="E25" s="175"/>
      <c r="F25" s="175"/>
      <c r="G25" s="176">
        <v>0</v>
      </c>
      <c r="H25" s="176">
        <v>0</v>
      </c>
      <c r="I25" s="176">
        <v>0</v>
      </c>
      <c r="J25" s="176">
        <v>0</v>
      </c>
      <c r="K25" s="176">
        <v>0</v>
      </c>
      <c r="L25" s="176">
        <v>0</v>
      </c>
      <c r="M25" s="176">
        <v>0</v>
      </c>
      <c r="N25" s="176">
        <v>0</v>
      </c>
      <c r="O25" s="176">
        <v>0</v>
      </c>
      <c r="P25" s="176">
        <v>0</v>
      </c>
    </row>
    <row r="26" spans="2:16" x14ac:dyDescent="0.35">
      <c r="B26" t="s">
        <v>343</v>
      </c>
      <c r="E26" s="175">
        <f>BS!E8</f>
        <v>91156</v>
      </c>
      <c r="F26" s="175">
        <f>BS!F8</f>
        <v>92439</v>
      </c>
      <c r="G26" s="175">
        <f>G23+G24-G25</f>
        <v>92439</v>
      </c>
      <c r="H26" s="175">
        <f t="shared" ref="H26:P26" si="21">H23+H24-H25</f>
        <v>92439</v>
      </c>
      <c r="I26" s="175">
        <f t="shared" si="21"/>
        <v>92439</v>
      </c>
      <c r="J26" s="175">
        <f t="shared" si="21"/>
        <v>92439</v>
      </c>
      <c r="K26" s="175">
        <f t="shared" si="21"/>
        <v>92439</v>
      </c>
      <c r="L26" s="175">
        <f t="shared" si="21"/>
        <v>92439</v>
      </c>
      <c r="M26" s="175">
        <f t="shared" si="21"/>
        <v>92439</v>
      </c>
      <c r="N26" s="175">
        <f t="shared" si="21"/>
        <v>92439</v>
      </c>
      <c r="O26" s="175">
        <f t="shared" si="21"/>
        <v>92439</v>
      </c>
      <c r="P26" s="175">
        <f t="shared" si="21"/>
        <v>92439</v>
      </c>
    </row>
    <row r="28" spans="2:16" ht="29" x14ac:dyDescent="0.35">
      <c r="B28" s="162" t="s">
        <v>383</v>
      </c>
    </row>
    <row r="29" spans="2:16" ht="29" x14ac:dyDescent="0.35">
      <c r="B29" s="162" t="s">
        <v>384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9523-8132-483B-B125-2C3470940973}">
  <dimension ref="A1:P356"/>
  <sheetViews>
    <sheetView showGridLines="0" workbookViewId="0">
      <pane xSplit="3" ySplit="1" topLeftCell="D2" activePane="bottomRight" state="frozen"/>
      <selection activeCell="B22" sqref="B22"/>
      <selection pane="topRight" activeCell="B22" sqref="B22"/>
      <selection pane="bottomLeft" activeCell="B22" sqref="B22"/>
      <selection pane="bottomRight" activeCell="B27" sqref="B27"/>
    </sheetView>
  </sheetViews>
  <sheetFormatPr defaultColWidth="8.1796875" defaultRowHeight="11.5" x14ac:dyDescent="0.25"/>
  <cols>
    <col min="1" max="1" width="8.1796875" style="93"/>
    <col min="2" max="2" width="22.81640625" style="93" bestFit="1" customWidth="1"/>
    <col min="3" max="3" width="8.1796875" style="93"/>
    <col min="4" max="16" width="9.6328125" style="93" customWidth="1"/>
    <col min="17" max="16384" width="8.1796875" style="93"/>
  </cols>
  <sheetData>
    <row r="1" spans="1:16" x14ac:dyDescent="0.25">
      <c r="D1" s="99"/>
      <c r="E1" s="99">
        <v>2017</v>
      </c>
      <c r="F1" s="99">
        <v>2018</v>
      </c>
      <c r="G1" s="100">
        <f t="shared" ref="G1:P1" si="0">+F1+1</f>
        <v>2019</v>
      </c>
      <c r="H1" s="100">
        <f t="shared" si="0"/>
        <v>2020</v>
      </c>
      <c r="I1" s="100">
        <f t="shared" si="0"/>
        <v>2021</v>
      </c>
      <c r="J1" s="100">
        <f t="shared" si="0"/>
        <v>2022</v>
      </c>
      <c r="K1" s="100">
        <f t="shared" si="0"/>
        <v>2023</v>
      </c>
      <c r="L1" s="100">
        <f t="shared" si="0"/>
        <v>2024</v>
      </c>
      <c r="M1" s="100">
        <f t="shared" si="0"/>
        <v>2025</v>
      </c>
      <c r="N1" s="100">
        <f t="shared" si="0"/>
        <v>2026</v>
      </c>
      <c r="O1" s="100">
        <f t="shared" si="0"/>
        <v>2027</v>
      </c>
      <c r="P1" s="100">
        <f t="shared" si="0"/>
        <v>2028</v>
      </c>
    </row>
    <row r="2" spans="1:16" x14ac:dyDescent="0.25">
      <c r="E2" s="99"/>
      <c r="F2" s="99"/>
      <c r="G2" s="94"/>
      <c r="H2" s="94"/>
      <c r="I2" s="94"/>
      <c r="J2" s="94"/>
      <c r="K2" s="94"/>
      <c r="L2" s="94"/>
      <c r="M2" s="94"/>
      <c r="N2" s="94"/>
      <c r="O2" s="94"/>
      <c r="P2" s="94"/>
    </row>
    <row r="3" spans="1:16" x14ac:dyDescent="0.25">
      <c r="E3" s="99"/>
      <c r="F3" s="99"/>
      <c r="G3" s="94"/>
      <c r="H3" s="94"/>
      <c r="I3" s="94"/>
      <c r="J3" s="94"/>
      <c r="K3" s="94"/>
      <c r="L3" s="94"/>
      <c r="M3" s="94"/>
      <c r="N3" s="94"/>
      <c r="O3" s="94"/>
      <c r="P3" s="94"/>
    </row>
    <row r="4" spans="1:16" x14ac:dyDescent="0.25">
      <c r="A4" s="93" t="s">
        <v>94</v>
      </c>
      <c r="B4" s="98" t="s">
        <v>95</v>
      </c>
      <c r="C4" s="97"/>
      <c r="D4" s="97"/>
      <c r="E4" s="97"/>
      <c r="F4" s="97"/>
      <c r="G4" s="97"/>
      <c r="H4" s="97"/>
      <c r="I4" s="97"/>
      <c r="J4" s="97"/>
      <c r="K4" s="97"/>
      <c r="L4" s="97"/>
      <c r="M4" s="97"/>
      <c r="N4" s="97"/>
      <c r="O4" s="97"/>
      <c r="P4" s="97"/>
    </row>
    <row r="5" spans="1:16" x14ac:dyDescent="0.25">
      <c r="E5" s="125"/>
      <c r="F5" s="125"/>
      <c r="G5" s="125"/>
      <c r="H5" s="125"/>
      <c r="I5" s="125"/>
      <c r="J5" s="125"/>
      <c r="K5" s="125"/>
      <c r="L5" s="125"/>
      <c r="M5" s="125"/>
      <c r="N5" s="125"/>
      <c r="O5" s="125"/>
      <c r="P5" s="125"/>
    </row>
    <row r="6" spans="1:16" x14ac:dyDescent="0.25">
      <c r="B6" s="93" t="s">
        <v>119</v>
      </c>
      <c r="C6" s="96">
        <v>43586</v>
      </c>
      <c r="E6" s="146"/>
      <c r="F6" s="146"/>
      <c r="G6" s="147">
        <f>+G74</f>
        <v>158262.39999999999</v>
      </c>
      <c r="H6" s="147">
        <f t="shared" ref="H6:M6" si="1">+H74</f>
        <v>182221.7</v>
      </c>
      <c r="I6" s="147">
        <f t="shared" si="1"/>
        <v>208537.9</v>
      </c>
      <c r="J6" s="147">
        <f t="shared" si="1"/>
        <v>236932.2</v>
      </c>
      <c r="K6" s="147">
        <f t="shared" si="1"/>
        <v>267300.8</v>
      </c>
      <c r="L6" s="147">
        <f t="shared" si="1"/>
        <v>299652.5</v>
      </c>
      <c r="M6" s="147">
        <f t="shared" si="1"/>
        <v>333991.7</v>
      </c>
      <c r="N6" s="146"/>
      <c r="O6" s="146"/>
      <c r="P6" s="146"/>
    </row>
    <row r="7" spans="1:16" x14ac:dyDescent="0.25">
      <c r="B7" s="93" t="s">
        <v>120</v>
      </c>
      <c r="C7" s="96">
        <v>43556</v>
      </c>
      <c r="E7" s="146"/>
      <c r="F7" s="146"/>
      <c r="G7" s="147">
        <f>G201</f>
        <v>162284</v>
      </c>
      <c r="H7" s="147">
        <f>H201</f>
        <v>190543</v>
      </c>
      <c r="I7" s="147">
        <f>I201</f>
        <v>220584</v>
      </c>
      <c r="J7" s="146"/>
      <c r="K7" s="146"/>
      <c r="L7" s="146"/>
      <c r="M7" s="146"/>
      <c r="N7" s="146"/>
      <c r="O7" s="146"/>
      <c r="P7" s="146"/>
    </row>
    <row r="8" spans="1:16" x14ac:dyDescent="0.25">
      <c r="B8" s="93" t="s">
        <v>121</v>
      </c>
      <c r="C8" s="96">
        <v>43556</v>
      </c>
      <c r="E8" s="146"/>
      <c r="F8" s="146"/>
      <c r="G8" s="147">
        <f>+G330</f>
        <v>159867</v>
      </c>
      <c r="H8" s="147">
        <f t="shared" ref="H8:K8" si="2">+H330</f>
        <v>185273</v>
      </c>
      <c r="I8" s="147">
        <f t="shared" si="2"/>
        <v>213464</v>
      </c>
      <c r="J8" s="147">
        <f t="shared" si="2"/>
        <v>244400</v>
      </c>
      <c r="K8" s="147">
        <f t="shared" si="2"/>
        <v>276006</v>
      </c>
      <c r="L8" s="146"/>
      <c r="M8" s="148"/>
      <c r="N8" s="146"/>
      <c r="O8" s="148"/>
      <c r="P8" s="146"/>
    </row>
    <row r="9" spans="1:16" x14ac:dyDescent="0.25">
      <c r="E9" s="125"/>
      <c r="F9" s="125"/>
      <c r="G9" s="125"/>
      <c r="H9" s="125"/>
      <c r="I9" s="125"/>
      <c r="J9" s="125"/>
      <c r="K9" s="125"/>
      <c r="L9" s="125"/>
      <c r="M9" s="125"/>
      <c r="N9" s="125"/>
      <c r="O9" s="125"/>
      <c r="P9" s="125"/>
    </row>
    <row r="10" spans="1:16" x14ac:dyDescent="0.25">
      <c r="B10" s="98" t="s">
        <v>77</v>
      </c>
      <c r="C10" s="97"/>
      <c r="D10" s="97"/>
      <c r="E10" s="97"/>
      <c r="F10" s="97"/>
      <c r="G10" s="97"/>
      <c r="H10" s="97"/>
      <c r="I10" s="97"/>
      <c r="J10" s="97"/>
      <c r="K10" s="97"/>
      <c r="L10" s="97"/>
      <c r="M10" s="97"/>
      <c r="N10" s="97"/>
      <c r="O10" s="97"/>
      <c r="P10" s="97"/>
    </row>
    <row r="12" spans="1:16" x14ac:dyDescent="0.25">
      <c r="B12" s="93" t="s">
        <v>119</v>
      </c>
      <c r="C12" s="96">
        <v>43586</v>
      </c>
      <c r="E12" s="126"/>
      <c r="F12" s="126"/>
      <c r="G12" s="127">
        <f>+G83</f>
        <v>34883.4</v>
      </c>
      <c r="H12" s="127">
        <f t="shared" ref="H12:M12" si="3">+H83</f>
        <v>41476.699999999997</v>
      </c>
      <c r="I12" s="127">
        <f t="shared" si="3"/>
        <v>49275.199999999997</v>
      </c>
      <c r="J12" s="127">
        <f t="shared" si="3"/>
        <v>60414.1</v>
      </c>
      <c r="K12" s="127">
        <f t="shared" si="3"/>
        <v>72189.8</v>
      </c>
      <c r="L12" s="127">
        <f t="shared" si="3"/>
        <v>85378.4</v>
      </c>
      <c r="M12" s="127">
        <f t="shared" si="3"/>
        <v>100246.7</v>
      </c>
      <c r="N12" s="126"/>
      <c r="O12" s="126"/>
      <c r="P12" s="126"/>
    </row>
    <row r="13" spans="1:16" x14ac:dyDescent="0.25">
      <c r="B13" s="93" t="s">
        <v>120</v>
      </c>
      <c r="C13" s="96">
        <v>43556</v>
      </c>
      <c r="E13" s="126"/>
      <c r="F13" s="126"/>
      <c r="G13" s="127">
        <f>G214</f>
        <v>33822</v>
      </c>
      <c r="H13" s="127">
        <f>H214</f>
        <v>39642</v>
      </c>
      <c r="I13" s="127">
        <f>I214</f>
        <v>44397</v>
      </c>
      <c r="J13" s="126"/>
      <c r="K13" s="126"/>
      <c r="L13" s="126"/>
      <c r="M13" s="126"/>
      <c r="N13" s="126"/>
      <c r="O13" s="126"/>
      <c r="P13" s="126"/>
    </row>
    <row r="14" spans="1:16" x14ac:dyDescent="0.25">
      <c r="B14" s="93" t="s">
        <v>121</v>
      </c>
      <c r="C14" s="96">
        <v>43556</v>
      </c>
      <c r="E14" s="126"/>
      <c r="F14" s="126"/>
      <c r="G14" s="127">
        <f>+G332</f>
        <v>34343</v>
      </c>
      <c r="H14" s="127">
        <f t="shared" ref="H14:K14" si="4">+H332</f>
        <v>42398</v>
      </c>
      <c r="I14" s="127">
        <f t="shared" si="4"/>
        <v>50100</v>
      </c>
      <c r="J14" s="127">
        <f t="shared" si="4"/>
        <v>59991</v>
      </c>
      <c r="K14" s="127">
        <f t="shared" si="4"/>
        <v>71201</v>
      </c>
      <c r="L14" s="126"/>
      <c r="M14" s="95"/>
      <c r="N14" s="126"/>
      <c r="O14" s="95"/>
      <c r="P14" s="126"/>
    </row>
    <row r="16" spans="1:16" x14ac:dyDescent="0.25">
      <c r="B16" s="98" t="s">
        <v>122</v>
      </c>
      <c r="C16" s="97"/>
      <c r="D16" s="97"/>
      <c r="E16" s="97"/>
      <c r="F16" s="97"/>
      <c r="G16" s="97"/>
      <c r="H16" s="97"/>
      <c r="I16" s="97"/>
      <c r="J16" s="97"/>
      <c r="K16" s="97"/>
      <c r="L16" s="97"/>
      <c r="M16" s="97"/>
      <c r="N16" s="97"/>
      <c r="O16" s="97"/>
      <c r="P16" s="97"/>
    </row>
    <row r="18" spans="2:16" x14ac:dyDescent="0.25">
      <c r="B18" s="94" t="s">
        <v>123</v>
      </c>
    </row>
    <row r="20" spans="2:16" x14ac:dyDescent="0.25">
      <c r="B20" s="93" t="s">
        <v>119</v>
      </c>
      <c r="C20" s="96">
        <v>43586</v>
      </c>
      <c r="E20" s="126"/>
      <c r="F20" s="126"/>
      <c r="G20" s="127">
        <f>+G94</f>
        <v>25135.4</v>
      </c>
      <c r="H20" s="127">
        <f>+H94</f>
        <v>28887.9</v>
      </c>
      <c r="I20" s="127">
        <f>+I94</f>
        <v>33004.400000000001</v>
      </c>
      <c r="J20" s="127">
        <f>+J94</f>
        <v>37436.300000000003</v>
      </c>
      <c r="K20" s="127">
        <f>+K94</f>
        <v>42175.5</v>
      </c>
      <c r="L20" s="126"/>
      <c r="M20" s="126"/>
      <c r="N20" s="126"/>
      <c r="O20" s="126"/>
      <c r="P20" s="126"/>
    </row>
    <row r="21" spans="2:16" x14ac:dyDescent="0.25">
      <c r="B21" s="93" t="s">
        <v>120</v>
      </c>
      <c r="C21" s="96">
        <v>43556</v>
      </c>
      <c r="E21" s="126"/>
      <c r="F21" s="126"/>
      <c r="G21" s="127">
        <f>+G239</f>
        <v>24635</v>
      </c>
      <c r="H21" s="127">
        <f>+H239</f>
        <v>28770</v>
      </c>
      <c r="I21" s="127">
        <f>+I239</f>
        <v>33215</v>
      </c>
      <c r="J21" s="126"/>
      <c r="K21" s="126"/>
      <c r="L21" s="126"/>
      <c r="M21" s="126"/>
      <c r="N21" s="126"/>
      <c r="O21" s="126"/>
      <c r="P21" s="126"/>
    </row>
    <row r="22" spans="2:16" x14ac:dyDescent="0.25">
      <c r="B22" s="93" t="s">
        <v>121</v>
      </c>
      <c r="C22" s="96">
        <v>43556</v>
      </c>
      <c r="E22" s="126"/>
      <c r="F22" s="126"/>
      <c r="G22" s="126"/>
      <c r="H22" s="126"/>
      <c r="I22" s="126"/>
      <c r="J22" s="126"/>
      <c r="K22" s="126"/>
      <c r="L22" s="126"/>
      <c r="M22" s="95"/>
      <c r="N22" s="126"/>
      <c r="O22" s="95"/>
      <c r="P22" s="126"/>
    </row>
    <row r="24" spans="2:16" x14ac:dyDescent="0.25">
      <c r="B24" s="94" t="s">
        <v>46</v>
      </c>
    </row>
    <row r="25" spans="2:16" x14ac:dyDescent="0.25">
      <c r="E25" s="125"/>
      <c r="F25" s="125"/>
      <c r="G25" s="125"/>
      <c r="H25" s="125"/>
      <c r="I25" s="125"/>
      <c r="J25" s="125"/>
      <c r="K25" s="125"/>
      <c r="L25" s="125"/>
      <c r="M25" s="125"/>
      <c r="N25" s="125"/>
      <c r="O25" s="125"/>
      <c r="P25" s="125"/>
    </row>
    <row r="26" spans="2:16" x14ac:dyDescent="0.25">
      <c r="B26" s="93" t="s">
        <v>119</v>
      </c>
      <c r="C26" s="96">
        <v>43586</v>
      </c>
      <c r="E26" s="126"/>
      <c r="F26" s="126"/>
      <c r="G26" s="127">
        <f>+G95</f>
        <v>846.7</v>
      </c>
      <c r="H26" s="127">
        <f>+H95</f>
        <v>855.7</v>
      </c>
      <c r="I26" s="127">
        <f>+I95</f>
        <v>865.1</v>
      </c>
      <c r="J26" s="127">
        <f>+J95</f>
        <v>875</v>
      </c>
      <c r="K26" s="127">
        <f>+K95</f>
        <v>885.3</v>
      </c>
      <c r="L26" s="126"/>
      <c r="M26" s="126"/>
      <c r="N26" s="126"/>
      <c r="O26" s="126"/>
      <c r="P26" s="126"/>
    </row>
    <row r="27" spans="2:16" x14ac:dyDescent="0.25">
      <c r="B27" s="93" t="s">
        <v>120</v>
      </c>
      <c r="C27" s="96">
        <v>43556</v>
      </c>
      <c r="E27" s="126"/>
      <c r="F27" s="126"/>
      <c r="G27" s="126"/>
      <c r="H27" s="126"/>
      <c r="I27" s="126"/>
      <c r="J27" s="126"/>
      <c r="K27" s="126"/>
      <c r="L27" s="126"/>
      <c r="M27" s="126"/>
      <c r="N27" s="126"/>
      <c r="O27" s="126"/>
      <c r="P27" s="126"/>
    </row>
    <row r="28" spans="2:16" x14ac:dyDescent="0.25">
      <c r="B28" s="93" t="s">
        <v>121</v>
      </c>
      <c r="C28" s="96">
        <v>43556</v>
      </c>
      <c r="E28" s="126"/>
      <c r="F28" s="126"/>
      <c r="G28" s="126"/>
      <c r="H28" s="126"/>
      <c r="I28" s="126"/>
      <c r="J28" s="126"/>
      <c r="K28" s="126"/>
      <c r="L28" s="126"/>
      <c r="M28" s="95"/>
      <c r="N28" s="126"/>
      <c r="O28" s="95"/>
      <c r="P28" s="126"/>
    </row>
    <row r="30" spans="2:16" x14ac:dyDescent="0.25">
      <c r="B30" s="94" t="s">
        <v>124</v>
      </c>
    </row>
    <row r="31" spans="2:16" x14ac:dyDescent="0.25">
      <c r="E31" s="125"/>
      <c r="F31" s="125"/>
      <c r="G31" s="125"/>
      <c r="H31" s="125"/>
      <c r="I31" s="125"/>
      <c r="J31" s="125"/>
      <c r="K31" s="125"/>
      <c r="L31" s="125"/>
      <c r="M31" s="125"/>
      <c r="N31" s="125"/>
      <c r="O31" s="125"/>
      <c r="P31" s="125"/>
    </row>
    <row r="32" spans="2:16" x14ac:dyDescent="0.25">
      <c r="B32" s="93" t="s">
        <v>119</v>
      </c>
      <c r="C32" s="96">
        <v>43586</v>
      </c>
      <c r="E32" s="126"/>
      <c r="F32" s="126"/>
      <c r="G32" s="127">
        <f>+G111</f>
        <v>4936.3</v>
      </c>
      <c r="H32" s="127">
        <f>+H111</f>
        <v>5611.7</v>
      </c>
      <c r="I32" s="127">
        <f>+I111</f>
        <v>6298.3</v>
      </c>
      <c r="J32" s="127">
        <f>+J111</f>
        <v>6923.2</v>
      </c>
      <c r="K32" s="127">
        <f>+K111</f>
        <v>7630.5</v>
      </c>
      <c r="L32" s="126"/>
      <c r="M32" s="126"/>
      <c r="N32" s="126"/>
      <c r="O32" s="126"/>
      <c r="P32" s="126"/>
    </row>
    <row r="33" spans="2:16" x14ac:dyDescent="0.25">
      <c r="B33" s="93" t="s">
        <v>120</v>
      </c>
      <c r="C33" s="96">
        <v>43556</v>
      </c>
      <c r="E33" s="126"/>
      <c r="F33" s="126"/>
      <c r="G33" s="127">
        <f>+G255</f>
        <v>5303</v>
      </c>
      <c r="H33" s="127">
        <f>+H255</f>
        <v>6203</v>
      </c>
      <c r="I33" s="127">
        <f>+I255</f>
        <v>7103</v>
      </c>
      <c r="J33" s="126"/>
      <c r="K33" s="126"/>
      <c r="L33" s="126"/>
      <c r="M33" s="126"/>
      <c r="N33" s="126"/>
      <c r="O33" s="126"/>
      <c r="P33" s="126"/>
    </row>
    <row r="34" spans="2:16" x14ac:dyDescent="0.25">
      <c r="B34" s="93" t="s">
        <v>121</v>
      </c>
      <c r="C34" s="96">
        <v>43556</v>
      </c>
      <c r="E34" s="126"/>
      <c r="F34" s="126"/>
      <c r="G34" s="126"/>
      <c r="H34" s="126"/>
      <c r="I34" s="126"/>
      <c r="J34" s="126"/>
      <c r="K34" s="126"/>
      <c r="L34" s="126"/>
      <c r="M34" s="95"/>
      <c r="N34" s="126"/>
      <c r="O34" s="95"/>
      <c r="P34" s="126"/>
    </row>
    <row r="36" spans="2:16" x14ac:dyDescent="0.25">
      <c r="B36" s="98" t="s">
        <v>125</v>
      </c>
      <c r="C36" s="97"/>
      <c r="D36" s="97"/>
      <c r="E36" s="97"/>
      <c r="F36" s="97"/>
      <c r="G36" s="97"/>
      <c r="H36" s="97"/>
      <c r="I36" s="97"/>
      <c r="J36" s="97"/>
      <c r="K36" s="97"/>
      <c r="L36" s="97"/>
      <c r="M36" s="97"/>
      <c r="N36" s="97"/>
      <c r="O36" s="97"/>
      <c r="P36" s="97"/>
    </row>
    <row r="38" spans="2:16" x14ac:dyDescent="0.25">
      <c r="B38" s="93" t="s">
        <v>119</v>
      </c>
      <c r="C38" s="96">
        <v>43586</v>
      </c>
      <c r="E38" s="126"/>
      <c r="F38" s="126"/>
      <c r="G38" s="127">
        <f>-G161</f>
        <v>25016.9</v>
      </c>
      <c r="H38" s="127">
        <f t="shared" ref="H38:M38" si="5">-H161</f>
        <v>25655.200000000001</v>
      </c>
      <c r="I38" s="127">
        <f t="shared" si="5"/>
        <v>26716.3</v>
      </c>
      <c r="J38" s="127">
        <f t="shared" si="5"/>
        <v>27857.8</v>
      </c>
      <c r="K38" s="127">
        <f t="shared" si="5"/>
        <v>28469.1</v>
      </c>
      <c r="L38" s="127">
        <f t="shared" si="5"/>
        <v>29315.1</v>
      </c>
      <c r="M38" s="127">
        <f t="shared" si="5"/>
        <v>30165.4</v>
      </c>
      <c r="N38" s="126"/>
      <c r="O38" s="126"/>
      <c r="P38" s="126"/>
    </row>
    <row r="39" spans="2:16" x14ac:dyDescent="0.25">
      <c r="B39" s="93" t="s">
        <v>120</v>
      </c>
      <c r="C39" s="96">
        <v>43556</v>
      </c>
      <c r="E39" s="126"/>
      <c r="F39" s="126"/>
      <c r="G39" s="127">
        <f>-G302</f>
        <v>27410</v>
      </c>
      <c r="H39" s="127">
        <f>-H302</f>
        <v>30930</v>
      </c>
      <c r="I39" s="127">
        <f>-I302</f>
        <v>34495</v>
      </c>
      <c r="J39" s="126"/>
      <c r="K39" s="126"/>
      <c r="L39" s="126"/>
      <c r="M39" s="126"/>
      <c r="N39" s="126"/>
      <c r="O39" s="126"/>
      <c r="P39" s="126"/>
    </row>
    <row r="40" spans="2:16" x14ac:dyDescent="0.25">
      <c r="B40" s="93" t="s">
        <v>121</v>
      </c>
      <c r="C40" s="96">
        <v>43556</v>
      </c>
      <c r="E40" s="126"/>
      <c r="F40" s="126"/>
      <c r="G40" s="127">
        <f>-G353</f>
        <v>25638</v>
      </c>
      <c r="H40" s="127">
        <f t="shared" ref="H40:K40" si="6">-H353</f>
        <v>27791</v>
      </c>
      <c r="I40" s="127">
        <f t="shared" si="6"/>
        <v>29885</v>
      </c>
      <c r="J40" s="127">
        <f t="shared" si="6"/>
        <v>31772</v>
      </c>
      <c r="K40" s="127">
        <f t="shared" si="6"/>
        <v>33121</v>
      </c>
      <c r="L40" s="126"/>
      <c r="M40" s="95"/>
      <c r="N40" s="126"/>
      <c r="O40" s="95"/>
      <c r="P40" s="126"/>
    </row>
    <row r="42" spans="2:16" x14ac:dyDescent="0.25">
      <c r="B42" s="98" t="s">
        <v>126</v>
      </c>
      <c r="C42" s="97"/>
      <c r="D42" s="97"/>
      <c r="E42" s="97"/>
      <c r="F42" s="97"/>
      <c r="G42" s="97"/>
      <c r="H42" s="97"/>
      <c r="I42" s="97"/>
      <c r="J42" s="97"/>
      <c r="K42" s="97"/>
      <c r="L42" s="97"/>
      <c r="M42" s="97"/>
      <c r="N42" s="97"/>
      <c r="O42" s="97"/>
      <c r="P42" s="97"/>
    </row>
    <row r="43" spans="2:16" x14ac:dyDescent="0.25">
      <c r="E43" s="125"/>
      <c r="F43" s="125"/>
      <c r="G43" s="125"/>
      <c r="H43" s="125"/>
      <c r="I43" s="125"/>
      <c r="J43" s="125"/>
      <c r="K43" s="125"/>
      <c r="L43" s="125"/>
      <c r="M43" s="125"/>
      <c r="N43" s="125"/>
      <c r="O43" s="125"/>
      <c r="P43" s="125"/>
    </row>
    <row r="44" spans="2:16" x14ac:dyDescent="0.25">
      <c r="B44" s="93" t="s">
        <v>119</v>
      </c>
      <c r="C44" s="96">
        <v>43586</v>
      </c>
      <c r="E44" s="126"/>
      <c r="F44" s="126"/>
      <c r="G44" s="127">
        <f>+G143</f>
        <v>11102.6</v>
      </c>
      <c r="H44" s="127">
        <f t="shared" ref="H44:M44" si="7">+H143</f>
        <v>14109.8</v>
      </c>
      <c r="I44" s="127">
        <f t="shared" si="7"/>
        <v>17129.599999999999</v>
      </c>
      <c r="J44" s="127">
        <f t="shared" si="7"/>
        <v>20270.400000000001</v>
      </c>
      <c r="K44" s="127">
        <f t="shared" si="7"/>
        <v>23495.8</v>
      </c>
      <c r="L44" s="127">
        <f t="shared" si="7"/>
        <v>26810.1</v>
      </c>
      <c r="M44" s="127">
        <f t="shared" si="7"/>
        <v>30231.1</v>
      </c>
      <c r="N44" s="126"/>
      <c r="O44" s="126"/>
      <c r="P44" s="126"/>
    </row>
    <row r="45" spans="2:16" x14ac:dyDescent="0.25">
      <c r="B45" s="93" t="s">
        <v>120</v>
      </c>
      <c r="C45" s="96">
        <v>43556</v>
      </c>
      <c r="E45" s="126"/>
      <c r="F45" s="126"/>
      <c r="G45" s="127">
        <f>+G281</f>
        <v>10158</v>
      </c>
      <c r="H45" s="127">
        <f>+H281</f>
        <v>12438</v>
      </c>
      <c r="I45" s="127">
        <f>+I281</f>
        <v>14770</v>
      </c>
      <c r="J45" s="126"/>
      <c r="K45" s="126"/>
      <c r="L45" s="126"/>
      <c r="M45" s="126"/>
      <c r="N45" s="126"/>
      <c r="O45" s="126"/>
      <c r="P45" s="126"/>
    </row>
    <row r="46" spans="2:16" x14ac:dyDescent="0.25">
      <c r="B46" s="93" t="s">
        <v>121</v>
      </c>
      <c r="C46" s="96">
        <v>43556</v>
      </c>
      <c r="E46" s="126"/>
      <c r="F46" s="126"/>
      <c r="G46" s="126"/>
      <c r="H46" s="126"/>
      <c r="I46" s="126"/>
      <c r="J46" s="126"/>
      <c r="K46" s="126"/>
      <c r="L46" s="126"/>
      <c r="M46" s="95"/>
      <c r="N46" s="126"/>
      <c r="O46" s="95"/>
      <c r="P46" s="126"/>
    </row>
    <row r="48" spans="2:16" x14ac:dyDescent="0.25">
      <c r="B48" s="98" t="s">
        <v>127</v>
      </c>
      <c r="C48" s="97"/>
      <c r="D48" s="97"/>
      <c r="E48" s="97"/>
      <c r="F48" s="97"/>
      <c r="G48" s="97"/>
      <c r="H48" s="97"/>
      <c r="I48" s="97"/>
      <c r="J48" s="97"/>
      <c r="K48" s="97"/>
      <c r="L48" s="97"/>
      <c r="M48" s="97"/>
      <c r="N48" s="97"/>
      <c r="O48" s="97"/>
      <c r="P48" s="97"/>
    </row>
    <row r="49" spans="2:16" x14ac:dyDescent="0.25">
      <c r="E49" s="125"/>
      <c r="F49" s="125"/>
      <c r="G49" s="125"/>
      <c r="H49" s="125"/>
      <c r="I49" s="125"/>
      <c r="J49" s="125"/>
      <c r="K49" s="125"/>
      <c r="L49" s="125"/>
      <c r="M49" s="125"/>
      <c r="N49" s="125"/>
      <c r="O49" s="125"/>
      <c r="P49" s="125"/>
    </row>
    <row r="50" spans="2:16" x14ac:dyDescent="0.25">
      <c r="B50" s="93" t="s">
        <v>119</v>
      </c>
      <c r="C50" s="96">
        <v>43586</v>
      </c>
      <c r="E50" s="126"/>
      <c r="F50" s="126"/>
      <c r="G50" s="127">
        <f>+G144</f>
        <v>751.2</v>
      </c>
      <c r="H50" s="127">
        <f t="shared" ref="H50:M50" si="8">+H144</f>
        <v>713.4</v>
      </c>
      <c r="I50" s="127">
        <f t="shared" si="8"/>
        <v>558.79999999999995</v>
      </c>
      <c r="J50" s="127">
        <f t="shared" si="8"/>
        <v>193.5</v>
      </c>
      <c r="K50" s="127">
        <f t="shared" si="8"/>
        <v>0</v>
      </c>
      <c r="L50" s="127">
        <f t="shared" si="8"/>
        <v>0</v>
      </c>
      <c r="M50" s="127">
        <f t="shared" si="8"/>
        <v>0</v>
      </c>
      <c r="N50" s="126"/>
      <c r="O50" s="126"/>
      <c r="P50" s="126"/>
    </row>
    <row r="51" spans="2:16" x14ac:dyDescent="0.25">
      <c r="B51" s="93" t="s">
        <v>120</v>
      </c>
      <c r="C51" s="96">
        <v>43556</v>
      </c>
      <c r="E51" s="126"/>
      <c r="F51" s="126"/>
      <c r="G51" s="126"/>
      <c r="H51" s="126"/>
      <c r="I51" s="126"/>
      <c r="J51" s="126"/>
      <c r="K51" s="126"/>
      <c r="L51" s="126"/>
      <c r="M51" s="126"/>
      <c r="N51" s="126"/>
      <c r="O51" s="126"/>
      <c r="P51" s="126"/>
    </row>
    <row r="52" spans="2:16" x14ac:dyDescent="0.25">
      <c r="B52" s="93" t="s">
        <v>121</v>
      </c>
      <c r="C52" s="96">
        <v>43556</v>
      </c>
      <c r="E52" s="126"/>
      <c r="F52" s="126"/>
      <c r="G52" s="126"/>
      <c r="H52" s="126"/>
      <c r="I52" s="126"/>
      <c r="J52" s="126"/>
      <c r="K52" s="126"/>
      <c r="L52" s="126"/>
      <c r="M52" s="95"/>
      <c r="N52" s="126"/>
      <c r="O52" s="95"/>
      <c r="P52" s="126"/>
    </row>
    <row r="54" spans="2:16" x14ac:dyDescent="0.25">
      <c r="B54" s="98" t="s">
        <v>128</v>
      </c>
      <c r="C54" s="97"/>
      <c r="D54" s="97"/>
      <c r="E54" s="97"/>
      <c r="F54" s="97"/>
      <c r="G54" s="97"/>
      <c r="H54" s="97"/>
      <c r="I54" s="97"/>
      <c r="J54" s="97"/>
      <c r="K54" s="97"/>
      <c r="L54" s="97"/>
      <c r="M54" s="97"/>
      <c r="N54" s="97"/>
      <c r="O54" s="97"/>
      <c r="P54" s="97"/>
    </row>
    <row r="56" spans="2:16" x14ac:dyDescent="0.25">
      <c r="B56" s="93" t="s">
        <v>119</v>
      </c>
      <c r="C56" s="96">
        <v>43586</v>
      </c>
      <c r="E56" s="126"/>
      <c r="F56" s="126"/>
      <c r="G56" s="127">
        <f>+G145</f>
        <v>10724.7</v>
      </c>
      <c r="H56" s="127">
        <f t="shared" ref="H56:M56" si="9">+H145</f>
        <v>12349.5</v>
      </c>
      <c r="I56" s="127">
        <f t="shared" si="9"/>
        <v>14134.4</v>
      </c>
      <c r="J56" s="127">
        <f t="shared" si="9"/>
        <v>16060.6</v>
      </c>
      <c r="K56" s="127">
        <f t="shared" si="9"/>
        <v>18120.900000000001</v>
      </c>
      <c r="L56" s="127">
        <f t="shared" si="9"/>
        <v>20316</v>
      </c>
      <c r="M56" s="127">
        <f t="shared" si="9"/>
        <v>22646.2</v>
      </c>
      <c r="N56" s="126"/>
      <c r="O56" s="126"/>
      <c r="P56" s="126"/>
    </row>
    <row r="57" spans="2:16" x14ac:dyDescent="0.25">
      <c r="B57" s="93" t="s">
        <v>120</v>
      </c>
      <c r="C57" s="96">
        <v>43556</v>
      </c>
      <c r="E57" s="126"/>
      <c r="F57" s="126"/>
      <c r="G57" s="127">
        <f>+G284</f>
        <v>11021</v>
      </c>
      <c r="H57" s="127">
        <f>+H284</f>
        <v>12658</v>
      </c>
      <c r="I57" s="127">
        <f>+I284</f>
        <v>14383</v>
      </c>
      <c r="J57" s="126"/>
      <c r="K57" s="126"/>
      <c r="L57" s="126"/>
      <c r="M57" s="126"/>
      <c r="N57" s="126"/>
      <c r="O57" s="126"/>
      <c r="P57" s="126"/>
    </row>
    <row r="58" spans="2:16" x14ac:dyDescent="0.25">
      <c r="B58" s="93" t="s">
        <v>121</v>
      </c>
      <c r="C58" s="96">
        <v>43556</v>
      </c>
      <c r="E58" s="126"/>
      <c r="F58" s="126"/>
      <c r="G58" s="126"/>
      <c r="H58" s="126"/>
      <c r="I58" s="126"/>
      <c r="J58" s="126"/>
      <c r="K58" s="126"/>
      <c r="L58" s="126"/>
      <c r="M58" s="95"/>
      <c r="N58" s="126"/>
      <c r="O58" s="95"/>
      <c r="P58" s="126"/>
    </row>
    <row r="70" spans="1:16" x14ac:dyDescent="0.25">
      <c r="A70" s="93" t="s">
        <v>94</v>
      </c>
      <c r="B70" s="101" t="s">
        <v>129</v>
      </c>
      <c r="C70" s="101"/>
      <c r="D70" s="101"/>
      <c r="E70" s="101"/>
      <c r="F70" s="101"/>
      <c r="G70" s="101"/>
      <c r="H70" s="101"/>
      <c r="I70" s="101"/>
      <c r="J70" s="101"/>
      <c r="K70" s="101"/>
      <c r="L70" s="101"/>
      <c r="M70" s="102"/>
      <c r="N70" s="103"/>
      <c r="O70" s="103"/>
      <c r="P70" s="103"/>
    </row>
    <row r="71" spans="1:16" x14ac:dyDescent="0.25">
      <c r="B71" s="92"/>
      <c r="C71" s="92"/>
      <c r="D71" s="92"/>
      <c r="E71" s="92"/>
      <c r="F71" s="92"/>
      <c r="G71" s="92"/>
      <c r="H71" s="92"/>
      <c r="I71" s="92"/>
      <c r="J71" s="92"/>
      <c r="K71" s="92"/>
      <c r="L71" s="92"/>
      <c r="M71" s="92"/>
    </row>
    <row r="72" spans="1:16" ht="12" thickBot="1" x14ac:dyDescent="0.3">
      <c r="B72" s="104" t="s">
        <v>130</v>
      </c>
      <c r="C72" s="105"/>
      <c r="D72" s="104"/>
      <c r="E72" s="104"/>
      <c r="F72" s="104"/>
      <c r="G72" s="104"/>
      <c r="H72" s="104"/>
      <c r="I72" s="104"/>
      <c r="J72" s="104"/>
      <c r="K72" s="104"/>
      <c r="L72" s="104"/>
      <c r="M72" s="104"/>
      <c r="N72" s="105"/>
      <c r="O72" s="105"/>
      <c r="P72" s="105"/>
    </row>
    <row r="73" spans="1:16" ht="12" thickTop="1" x14ac:dyDescent="0.25">
      <c r="B73" s="92"/>
      <c r="D73" s="92"/>
      <c r="E73" s="92"/>
      <c r="F73" s="92"/>
      <c r="G73" s="92"/>
      <c r="H73" s="92"/>
      <c r="I73" s="92"/>
      <c r="J73" s="92"/>
      <c r="K73" s="92"/>
      <c r="L73" s="92"/>
      <c r="M73" s="92"/>
    </row>
    <row r="74" spans="1:16" x14ac:dyDescent="0.25">
      <c r="B74" s="107" t="s">
        <v>131</v>
      </c>
      <c r="C74" s="108"/>
      <c r="D74" s="128"/>
      <c r="E74" s="128">
        <v>110855</v>
      </c>
      <c r="F74" s="128">
        <v>136819</v>
      </c>
      <c r="G74" s="128">
        <v>158262.39999999999</v>
      </c>
      <c r="H74" s="128">
        <v>182221.7</v>
      </c>
      <c r="I74" s="128">
        <v>208537.9</v>
      </c>
      <c r="J74" s="128">
        <v>236932.2</v>
      </c>
      <c r="K74" s="128">
        <v>267300.8</v>
      </c>
      <c r="L74" s="128">
        <v>299652.5</v>
      </c>
      <c r="M74" s="128">
        <v>333991.7</v>
      </c>
    </row>
    <row r="75" spans="1:16" ht="14.5" x14ac:dyDescent="0.35">
      <c r="B75" s="92" t="s">
        <v>132</v>
      </c>
      <c r="D75" s="129"/>
      <c r="E75" s="129">
        <v>21672</v>
      </c>
      <c r="F75" s="129">
        <v>26726</v>
      </c>
      <c r="G75" s="129">
        <v>30700.7</v>
      </c>
      <c r="H75" s="129">
        <v>36193.199999999997</v>
      </c>
      <c r="I75" s="129">
        <v>41087.4</v>
      </c>
      <c r="J75" s="129">
        <v>45558.6</v>
      </c>
      <c r="K75" s="129">
        <v>50280.800000000003</v>
      </c>
      <c r="L75" s="129">
        <v>55253.5</v>
      </c>
      <c r="M75" s="129">
        <v>60477.2</v>
      </c>
    </row>
    <row r="76" spans="1:16" ht="14.5" x14ac:dyDescent="0.35">
      <c r="B76" s="92" t="s">
        <v>133</v>
      </c>
      <c r="D76" s="129"/>
      <c r="E76" s="129">
        <v>89183</v>
      </c>
      <c r="F76" s="129">
        <v>110093</v>
      </c>
      <c r="G76" s="129">
        <v>127561.7</v>
      </c>
      <c r="H76" s="129">
        <v>146028.5</v>
      </c>
      <c r="I76" s="129">
        <v>167450.5</v>
      </c>
      <c r="J76" s="129">
        <v>191373.6</v>
      </c>
      <c r="K76" s="129">
        <v>217020</v>
      </c>
      <c r="L76" s="129">
        <v>244399</v>
      </c>
      <c r="M76" s="129">
        <v>273514.59999999998</v>
      </c>
    </row>
    <row r="77" spans="1:16" ht="14.5" x14ac:dyDescent="0.35">
      <c r="B77" s="92" t="s">
        <v>134</v>
      </c>
      <c r="D77" s="129"/>
      <c r="E77" s="129">
        <v>23911</v>
      </c>
      <c r="F77" s="129">
        <v>32823</v>
      </c>
      <c r="G77" s="129">
        <v>39259.599999999999</v>
      </c>
      <c r="H77" s="129">
        <v>46027.6</v>
      </c>
      <c r="I77" s="129">
        <v>52255</v>
      </c>
      <c r="J77" s="129">
        <v>57526.400000000001</v>
      </c>
      <c r="K77" s="129">
        <v>63830.5</v>
      </c>
      <c r="L77" s="129">
        <v>70292</v>
      </c>
      <c r="M77" s="129">
        <v>76723.3</v>
      </c>
    </row>
    <row r="78" spans="1:16" ht="14.5" x14ac:dyDescent="0.35">
      <c r="B78" s="92" t="s">
        <v>135</v>
      </c>
      <c r="D78" s="129"/>
      <c r="E78" s="129">
        <v>16625</v>
      </c>
      <c r="F78" s="129">
        <v>21419</v>
      </c>
      <c r="G78" s="129">
        <v>25520.6</v>
      </c>
      <c r="H78" s="129">
        <v>29701.599999999999</v>
      </c>
      <c r="I78" s="129">
        <v>34041.1</v>
      </c>
      <c r="J78" s="129">
        <v>38538.5</v>
      </c>
      <c r="K78" s="129">
        <v>43142</v>
      </c>
      <c r="L78" s="129">
        <v>47914.1</v>
      </c>
      <c r="M78" s="129">
        <v>52792.2</v>
      </c>
    </row>
    <row r="79" spans="1:16" ht="14.5" x14ac:dyDescent="0.35">
      <c r="B79" s="92" t="s">
        <v>136</v>
      </c>
      <c r="D79" s="129"/>
      <c r="E79" s="129">
        <v>12893</v>
      </c>
      <c r="F79" s="129">
        <v>16333</v>
      </c>
      <c r="G79" s="129">
        <v>18286.5</v>
      </c>
      <c r="H79" s="129">
        <v>20517.599999999999</v>
      </c>
      <c r="I79" s="129">
        <v>22999.9</v>
      </c>
      <c r="J79" s="129">
        <v>25516.6</v>
      </c>
      <c r="K79" s="129">
        <v>28078.9</v>
      </c>
      <c r="L79" s="129">
        <v>30600.799999999999</v>
      </c>
      <c r="M79" s="129">
        <v>33118.9</v>
      </c>
    </row>
    <row r="80" spans="1:16" ht="14.5" x14ac:dyDescent="0.35">
      <c r="B80" s="92" t="s">
        <v>137</v>
      </c>
      <c r="D80" s="129"/>
      <c r="E80" s="129">
        <v>6872</v>
      </c>
      <c r="F80" s="129">
        <v>8126</v>
      </c>
      <c r="G80" s="129">
        <v>7914.6</v>
      </c>
      <c r="H80" s="129">
        <v>8304.9</v>
      </c>
      <c r="I80" s="129">
        <v>8879.2000000000007</v>
      </c>
      <c r="J80" s="129">
        <v>9378</v>
      </c>
      <c r="K80" s="129">
        <v>9778.7999999999993</v>
      </c>
      <c r="L80" s="129">
        <v>10213.799999999999</v>
      </c>
      <c r="M80" s="129">
        <v>10633.5</v>
      </c>
    </row>
    <row r="81" spans="2:16" ht="14.5" x14ac:dyDescent="0.35">
      <c r="B81" s="92" t="s">
        <v>8</v>
      </c>
      <c r="D81" s="129"/>
      <c r="E81" s="129">
        <v>2736</v>
      </c>
      <c r="F81" s="129">
        <v>5071</v>
      </c>
      <c r="G81" s="129">
        <v>1697</v>
      </c>
      <c r="H81" s="129">
        <v>0</v>
      </c>
      <c r="I81" s="129">
        <v>0</v>
      </c>
      <c r="J81" s="129">
        <v>0</v>
      </c>
      <c r="K81" s="129">
        <v>0</v>
      </c>
      <c r="L81" s="129">
        <v>0</v>
      </c>
      <c r="M81" s="129">
        <v>0</v>
      </c>
    </row>
    <row r="82" spans="2:16" ht="14.5" x14ac:dyDescent="0.35">
      <c r="B82" s="92" t="s">
        <v>138</v>
      </c>
      <c r="D82" s="129"/>
      <c r="E82" s="129">
        <v>39126</v>
      </c>
      <c r="F82" s="129">
        <v>50949</v>
      </c>
      <c r="G82" s="129">
        <v>53418.7</v>
      </c>
      <c r="H82" s="129">
        <v>58524.2</v>
      </c>
      <c r="I82" s="129">
        <v>65920.3</v>
      </c>
      <c r="J82" s="129">
        <v>73433.100000000006</v>
      </c>
      <c r="K82" s="129">
        <v>80999.7</v>
      </c>
      <c r="L82" s="129">
        <v>88728.7</v>
      </c>
      <c r="M82" s="129">
        <v>96544.6</v>
      </c>
    </row>
    <row r="83" spans="2:16" x14ac:dyDescent="0.25">
      <c r="B83" s="107" t="s">
        <v>139</v>
      </c>
      <c r="C83" s="108"/>
      <c r="D83" s="128"/>
      <c r="E83" s="128">
        <v>26146</v>
      </c>
      <c r="F83" s="128">
        <v>26321</v>
      </c>
      <c r="G83" s="128">
        <v>34883.4</v>
      </c>
      <c r="H83" s="128">
        <v>41476.699999999997</v>
      </c>
      <c r="I83" s="128">
        <v>49275.199999999997</v>
      </c>
      <c r="J83" s="128">
        <v>60414.1</v>
      </c>
      <c r="K83" s="128">
        <v>72189.8</v>
      </c>
      <c r="L83" s="128">
        <v>85378.4</v>
      </c>
      <c r="M83" s="128">
        <v>100246.7</v>
      </c>
    </row>
    <row r="84" spans="2:16" ht="14.5" x14ac:dyDescent="0.35">
      <c r="B84" s="92" t="s">
        <v>140</v>
      </c>
      <c r="D84" s="129"/>
      <c r="E84" s="129">
        <v>1047</v>
      </c>
      <c r="F84" s="129">
        <v>8592</v>
      </c>
      <c r="G84" s="129">
        <v>3800.1</v>
      </c>
      <c r="H84" s="129">
        <v>6772.3</v>
      </c>
      <c r="I84" s="129">
        <v>12486.6</v>
      </c>
      <c r="J84" s="129">
        <v>20192.8</v>
      </c>
      <c r="K84" s="129">
        <v>30489.5</v>
      </c>
      <c r="L84" s="129">
        <v>43669.599999999999</v>
      </c>
      <c r="M84" s="129">
        <v>60365.9</v>
      </c>
    </row>
    <row r="85" spans="2:16" ht="14.5" x14ac:dyDescent="0.35">
      <c r="B85" s="92" t="s">
        <v>141</v>
      </c>
      <c r="D85" s="129"/>
      <c r="E85" s="129">
        <v>27193</v>
      </c>
      <c r="F85" s="129">
        <v>34913</v>
      </c>
      <c r="G85" s="129">
        <v>38683.4</v>
      </c>
      <c r="H85" s="129">
        <v>48249.1</v>
      </c>
      <c r="I85" s="129">
        <v>61761.7</v>
      </c>
      <c r="J85" s="129">
        <v>80606.899999999994</v>
      </c>
      <c r="K85" s="129">
        <v>102679.3</v>
      </c>
      <c r="L85" s="129">
        <v>129048</v>
      </c>
      <c r="M85" s="129">
        <v>160612.6</v>
      </c>
    </row>
    <row r="86" spans="2:16" ht="14.5" x14ac:dyDescent="0.35">
      <c r="B86" s="92" t="s">
        <v>142</v>
      </c>
      <c r="D86" s="129"/>
      <c r="E86" s="129">
        <v>14531</v>
      </c>
      <c r="F86" s="129">
        <v>4177</v>
      </c>
      <c r="G86" s="129">
        <v>6985.7</v>
      </c>
      <c r="H86" s="129">
        <v>8684.7999999999993</v>
      </c>
      <c r="I86" s="129">
        <v>11117.1</v>
      </c>
      <c r="J86" s="129">
        <v>14509.2</v>
      </c>
      <c r="K86" s="129">
        <v>18482.3</v>
      </c>
      <c r="L86" s="129">
        <v>23228.6</v>
      </c>
      <c r="M86" s="129">
        <v>28910.3</v>
      </c>
    </row>
    <row r="87" spans="2:16" ht="14.5" x14ac:dyDescent="0.35">
      <c r="B87" s="92" t="s">
        <v>143</v>
      </c>
      <c r="D87" s="129"/>
      <c r="E87" s="129">
        <v>12662</v>
      </c>
      <c r="F87" s="129">
        <v>30736</v>
      </c>
      <c r="G87" s="129">
        <v>31697.7</v>
      </c>
      <c r="H87" s="129">
        <v>39564.300000000003</v>
      </c>
      <c r="I87" s="129">
        <v>50644.6</v>
      </c>
      <c r="J87" s="129">
        <v>66097.7</v>
      </c>
      <c r="K87" s="129">
        <v>84197</v>
      </c>
      <c r="L87" s="129">
        <v>105819.4</v>
      </c>
      <c r="M87" s="129">
        <v>131702.29999999999</v>
      </c>
    </row>
    <row r="88" spans="2:16" x14ac:dyDescent="0.25">
      <c r="B88" s="92"/>
      <c r="D88" s="92"/>
      <c r="E88" s="92"/>
      <c r="F88" s="92"/>
      <c r="G88" s="92"/>
      <c r="H88" s="92"/>
      <c r="I88" s="92"/>
      <c r="J88" s="92"/>
      <c r="K88" s="92"/>
      <c r="L88" s="92"/>
      <c r="M88" s="92"/>
    </row>
    <row r="89" spans="2:16" ht="12" thickBot="1" x14ac:dyDescent="0.3">
      <c r="B89" s="104" t="s">
        <v>144</v>
      </c>
      <c r="C89" s="105"/>
      <c r="D89" s="104"/>
      <c r="E89" s="104"/>
      <c r="F89" s="104"/>
      <c r="G89" s="104"/>
      <c r="H89" s="104"/>
      <c r="I89" s="104"/>
      <c r="J89" s="104"/>
      <c r="K89" s="104"/>
      <c r="L89" s="104"/>
      <c r="M89" s="104"/>
      <c r="N89" s="105"/>
      <c r="O89" s="105"/>
      <c r="P89" s="105"/>
    </row>
    <row r="90" spans="2:16" ht="12" thickTop="1" x14ac:dyDescent="0.25">
      <c r="B90" s="92" t="s">
        <v>145</v>
      </c>
      <c r="D90" s="92"/>
      <c r="E90" s="92"/>
      <c r="F90" s="92"/>
      <c r="G90" s="92"/>
      <c r="H90" s="92"/>
      <c r="I90" s="92"/>
      <c r="J90" s="92"/>
      <c r="K90" s="92"/>
      <c r="L90" s="92"/>
      <c r="M90" s="92"/>
    </row>
    <row r="91" spans="2:16" x14ac:dyDescent="0.25">
      <c r="B91" s="92" t="s">
        <v>146</v>
      </c>
      <c r="D91" s="92"/>
      <c r="E91" s="92"/>
      <c r="F91" s="92"/>
      <c r="G91" s="92"/>
      <c r="H91" s="92"/>
      <c r="I91" s="92"/>
      <c r="J91" s="92"/>
      <c r="K91" s="92"/>
      <c r="L91" s="92"/>
      <c r="M91" s="92"/>
    </row>
    <row r="92" spans="2:16" ht="14.5" x14ac:dyDescent="0.35">
      <c r="B92" s="92" t="s">
        <v>147</v>
      </c>
      <c r="D92" s="129"/>
      <c r="E92" s="129">
        <v>10715</v>
      </c>
      <c r="F92" s="129">
        <v>16701</v>
      </c>
      <c r="G92" s="129">
        <v>41201.5</v>
      </c>
      <c r="H92" s="129">
        <v>82298</v>
      </c>
      <c r="I92" s="129">
        <v>136650.9</v>
      </c>
      <c r="J92" s="129">
        <v>210583.7</v>
      </c>
      <c r="K92" s="129">
        <v>307075</v>
      </c>
      <c r="L92" s="92"/>
      <c r="M92" s="92"/>
    </row>
    <row r="93" spans="2:16" ht="14.5" x14ac:dyDescent="0.35">
      <c r="B93" s="92" t="s">
        <v>148</v>
      </c>
      <c r="D93" s="129"/>
      <c r="E93" s="129">
        <v>91156</v>
      </c>
      <c r="F93" s="129">
        <v>92439</v>
      </c>
      <c r="G93" s="129">
        <v>94340</v>
      </c>
      <c r="H93" s="129">
        <v>94340</v>
      </c>
      <c r="I93" s="129">
        <v>94340</v>
      </c>
      <c r="J93" s="129">
        <v>94340</v>
      </c>
      <c r="K93" s="129">
        <v>94340</v>
      </c>
      <c r="L93" s="92"/>
      <c r="M93" s="92"/>
    </row>
    <row r="94" spans="2:16" x14ac:dyDescent="0.25">
      <c r="B94" s="107" t="s">
        <v>149</v>
      </c>
      <c r="C94" s="108"/>
      <c r="D94" s="128"/>
      <c r="E94" s="128">
        <v>18336</v>
      </c>
      <c r="F94" s="128">
        <v>20838</v>
      </c>
      <c r="G94" s="128">
        <v>25135.4</v>
      </c>
      <c r="H94" s="128">
        <v>28887.9</v>
      </c>
      <c r="I94" s="128">
        <v>33004.400000000001</v>
      </c>
      <c r="J94" s="128">
        <v>37436.300000000003</v>
      </c>
      <c r="K94" s="128">
        <v>42175.5</v>
      </c>
      <c r="L94" s="92"/>
      <c r="M94" s="92"/>
    </row>
    <row r="95" spans="2:16" x14ac:dyDescent="0.25">
      <c r="B95" s="107" t="s">
        <v>150</v>
      </c>
      <c r="C95" s="108"/>
      <c r="D95" s="128"/>
      <c r="E95" s="128">
        <v>749</v>
      </c>
      <c r="F95" s="128">
        <v>1107</v>
      </c>
      <c r="G95" s="128">
        <v>846.7</v>
      </c>
      <c r="H95" s="128">
        <v>855.7</v>
      </c>
      <c r="I95" s="128">
        <v>865.1</v>
      </c>
      <c r="J95" s="128">
        <v>875</v>
      </c>
      <c r="K95" s="128">
        <v>885.3</v>
      </c>
      <c r="L95" s="92"/>
      <c r="M95" s="92"/>
    </row>
    <row r="96" spans="2:16" ht="14.5" x14ac:dyDescent="0.35">
      <c r="B96" s="92" t="s">
        <v>151</v>
      </c>
      <c r="D96" s="129"/>
      <c r="E96" s="129">
        <v>0</v>
      </c>
      <c r="F96" s="129">
        <v>0</v>
      </c>
      <c r="G96" s="129">
        <v>0</v>
      </c>
      <c r="H96" s="129">
        <v>0</v>
      </c>
      <c r="I96" s="129">
        <v>0</v>
      </c>
      <c r="J96" s="129">
        <v>0</v>
      </c>
      <c r="K96" s="129">
        <v>0</v>
      </c>
      <c r="L96" s="92"/>
      <c r="M96" s="92"/>
    </row>
    <row r="97" spans="2:13" ht="14.5" x14ac:dyDescent="0.35">
      <c r="B97" s="92" t="s">
        <v>152</v>
      </c>
      <c r="D97" s="129"/>
      <c r="E97" s="129">
        <v>0</v>
      </c>
      <c r="F97" s="129">
        <v>0</v>
      </c>
      <c r="G97" s="129">
        <v>0</v>
      </c>
      <c r="H97" s="129">
        <v>0</v>
      </c>
      <c r="I97" s="129">
        <v>0</v>
      </c>
      <c r="J97" s="129">
        <v>0</v>
      </c>
      <c r="K97" s="129">
        <v>0</v>
      </c>
      <c r="L97" s="92"/>
      <c r="M97" s="92"/>
    </row>
    <row r="98" spans="2:13" ht="14.5" x14ac:dyDescent="0.35">
      <c r="B98" s="92" t="s">
        <v>153</v>
      </c>
      <c r="D98" s="129"/>
      <c r="E98" s="129">
        <v>369</v>
      </c>
      <c r="F98" s="129">
        <v>355</v>
      </c>
      <c r="G98" s="129">
        <v>111</v>
      </c>
      <c r="H98" s="129">
        <v>111</v>
      </c>
      <c r="I98" s="129">
        <v>111</v>
      </c>
      <c r="J98" s="129">
        <v>111</v>
      </c>
      <c r="K98" s="129">
        <v>111</v>
      </c>
      <c r="L98" s="92"/>
      <c r="M98" s="92"/>
    </row>
    <row r="99" spans="2:13" ht="14.5" x14ac:dyDescent="0.35">
      <c r="B99" s="92" t="s">
        <v>154</v>
      </c>
      <c r="D99" s="129"/>
      <c r="E99" s="129">
        <v>2983</v>
      </c>
      <c r="F99" s="129">
        <v>4236</v>
      </c>
      <c r="G99" s="129">
        <v>4594.7</v>
      </c>
      <c r="H99" s="129">
        <v>5264.2</v>
      </c>
      <c r="I99" s="129">
        <v>5904.3</v>
      </c>
      <c r="J99" s="129">
        <v>6504.2</v>
      </c>
      <c r="K99" s="129">
        <v>7170.3</v>
      </c>
      <c r="L99" s="92"/>
      <c r="M99" s="92"/>
    </row>
    <row r="100" spans="2:13" ht="14.5" x14ac:dyDescent="0.35">
      <c r="B100" s="92" t="s">
        <v>155</v>
      </c>
      <c r="D100" s="129"/>
      <c r="E100" s="129">
        <v>124308</v>
      </c>
      <c r="F100" s="129">
        <v>135676</v>
      </c>
      <c r="G100" s="129">
        <v>166229.4</v>
      </c>
      <c r="H100" s="129">
        <v>211756.7</v>
      </c>
      <c r="I100" s="129">
        <v>270875.59999999998</v>
      </c>
      <c r="J100" s="129">
        <v>349850.1</v>
      </c>
      <c r="K100" s="129">
        <v>451757.2</v>
      </c>
      <c r="L100" s="92"/>
      <c r="M100" s="92"/>
    </row>
    <row r="101" spans="2:13" ht="14.5" x14ac:dyDescent="0.35">
      <c r="B101" s="92" t="s">
        <v>156</v>
      </c>
      <c r="D101" s="129"/>
      <c r="E101" s="129">
        <v>2672</v>
      </c>
      <c r="F101" s="129">
        <v>2693</v>
      </c>
      <c r="G101" s="129">
        <v>2547</v>
      </c>
      <c r="H101" s="129">
        <v>2547</v>
      </c>
      <c r="I101" s="129">
        <v>2547</v>
      </c>
      <c r="J101" s="129">
        <v>2547</v>
      </c>
      <c r="K101" s="129">
        <v>2547</v>
      </c>
      <c r="L101" s="92"/>
      <c r="M101" s="92"/>
    </row>
    <row r="102" spans="2:13" ht="14.5" x14ac:dyDescent="0.35">
      <c r="B102" s="92" t="s">
        <v>152</v>
      </c>
      <c r="D102" s="129"/>
      <c r="E102" s="129">
        <v>680</v>
      </c>
      <c r="F102" s="129">
        <v>737</v>
      </c>
      <c r="G102" s="129">
        <v>750</v>
      </c>
      <c r="H102" s="129">
        <v>750</v>
      </c>
      <c r="I102" s="129">
        <v>750</v>
      </c>
      <c r="J102" s="129">
        <v>750</v>
      </c>
      <c r="K102" s="129">
        <v>750</v>
      </c>
      <c r="L102" s="92"/>
      <c r="M102" s="92"/>
    </row>
    <row r="103" spans="2:13" ht="14.5" x14ac:dyDescent="0.35">
      <c r="B103" s="92" t="s">
        <v>157</v>
      </c>
      <c r="D103" s="129"/>
      <c r="E103" s="129">
        <v>7813</v>
      </c>
      <c r="F103" s="129">
        <v>13859</v>
      </c>
      <c r="G103" s="129">
        <v>14474</v>
      </c>
      <c r="H103" s="129">
        <v>14474</v>
      </c>
      <c r="I103" s="129">
        <v>14474</v>
      </c>
      <c r="J103" s="129">
        <v>14474</v>
      </c>
      <c r="K103" s="129">
        <v>14474</v>
      </c>
      <c r="L103" s="92"/>
      <c r="M103" s="92"/>
    </row>
    <row r="104" spans="2:13" ht="14.5" x14ac:dyDescent="0.35">
      <c r="B104" s="92" t="s">
        <v>158</v>
      </c>
      <c r="D104" s="129"/>
      <c r="E104" s="129">
        <v>42383</v>
      </c>
      <c r="F104" s="129">
        <v>59719</v>
      </c>
      <c r="G104" s="129">
        <v>73542.899999999994</v>
      </c>
      <c r="H104" s="129">
        <v>85088.3</v>
      </c>
      <c r="I104" s="129">
        <v>94675.1</v>
      </c>
      <c r="J104" s="129">
        <v>102262.5</v>
      </c>
      <c r="K104" s="129">
        <v>107235.8</v>
      </c>
      <c r="L104" s="92"/>
      <c r="M104" s="92"/>
    </row>
    <row r="105" spans="2:13" ht="14.5" x14ac:dyDescent="0.35">
      <c r="B105" s="92" t="s">
        <v>159</v>
      </c>
      <c r="D105" s="129"/>
      <c r="E105" s="129">
        <v>2692</v>
      </c>
      <c r="F105" s="129">
        <v>2220</v>
      </c>
      <c r="G105" s="129">
        <v>1465.6</v>
      </c>
      <c r="H105" s="129">
        <v>752.3</v>
      </c>
      <c r="I105" s="129">
        <v>193.5</v>
      </c>
      <c r="J105" s="129">
        <v>0</v>
      </c>
      <c r="K105" s="129">
        <v>0</v>
      </c>
      <c r="L105" s="92"/>
      <c r="M105" s="92"/>
    </row>
    <row r="106" spans="2:13" ht="14.5" x14ac:dyDescent="0.35">
      <c r="B106" s="92" t="s">
        <v>52</v>
      </c>
      <c r="D106" s="129"/>
      <c r="E106" s="129">
        <v>16747</v>
      </c>
      <c r="F106" s="129">
        <v>17888</v>
      </c>
      <c r="G106" s="129">
        <v>17943</v>
      </c>
      <c r="H106" s="129">
        <v>17943</v>
      </c>
      <c r="I106" s="129">
        <v>17943</v>
      </c>
      <c r="J106" s="129">
        <v>17943</v>
      </c>
      <c r="K106" s="129">
        <v>17943</v>
      </c>
      <c r="L106" s="92"/>
      <c r="M106" s="92"/>
    </row>
    <row r="107" spans="2:13" ht="14.5" x14ac:dyDescent="0.35">
      <c r="B107" s="92" t="s">
        <v>160</v>
      </c>
      <c r="D107" s="129"/>
      <c r="E107" s="129">
        <v>197295</v>
      </c>
      <c r="F107" s="129">
        <v>232792</v>
      </c>
      <c r="G107" s="129">
        <v>276951.90000000002</v>
      </c>
      <c r="H107" s="129">
        <v>333311.40000000002</v>
      </c>
      <c r="I107" s="129">
        <v>401458.2</v>
      </c>
      <c r="J107" s="129">
        <v>487826.6</v>
      </c>
      <c r="K107" s="129">
        <v>594707</v>
      </c>
      <c r="L107" s="92"/>
      <c r="M107" s="92"/>
    </row>
    <row r="108" spans="2:13" ht="14.5" x14ac:dyDescent="0.35">
      <c r="B108" s="92" t="s">
        <v>145</v>
      </c>
      <c r="D108" s="129"/>
      <c r="E108" s="129"/>
      <c r="F108" s="129"/>
      <c r="G108" s="129"/>
      <c r="H108" s="129"/>
      <c r="I108" s="129"/>
      <c r="J108" s="129"/>
      <c r="K108" s="129"/>
      <c r="L108" s="92"/>
      <c r="M108" s="92"/>
    </row>
    <row r="109" spans="2:13" ht="14.5" x14ac:dyDescent="0.35">
      <c r="B109" s="92" t="s">
        <v>145</v>
      </c>
      <c r="D109" s="129"/>
      <c r="E109" s="129"/>
      <c r="F109" s="129"/>
      <c r="G109" s="129"/>
      <c r="H109" s="129"/>
      <c r="I109" s="129"/>
      <c r="J109" s="129"/>
      <c r="K109" s="129"/>
      <c r="L109" s="92"/>
      <c r="M109" s="92"/>
    </row>
    <row r="110" spans="2:13" ht="14.5" x14ac:dyDescent="0.35">
      <c r="B110" s="92" t="s">
        <v>161</v>
      </c>
      <c r="D110" s="129"/>
      <c r="E110" s="129"/>
      <c r="F110" s="129"/>
      <c r="G110" s="129"/>
      <c r="H110" s="129"/>
      <c r="I110" s="129"/>
      <c r="J110" s="129"/>
      <c r="K110" s="129"/>
      <c r="L110" s="92"/>
      <c r="M110" s="92"/>
    </row>
    <row r="111" spans="2:13" x14ac:dyDescent="0.25">
      <c r="B111" s="107" t="s">
        <v>162</v>
      </c>
      <c r="C111" s="108"/>
      <c r="D111" s="128"/>
      <c r="E111" s="128">
        <v>3137</v>
      </c>
      <c r="F111" s="128">
        <v>4378</v>
      </c>
      <c r="G111" s="128">
        <v>4936.3</v>
      </c>
      <c r="H111" s="128">
        <v>5611.7</v>
      </c>
      <c r="I111" s="128">
        <v>6298.3</v>
      </c>
      <c r="J111" s="128">
        <v>6923.2</v>
      </c>
      <c r="K111" s="128">
        <v>7630.5</v>
      </c>
      <c r="L111" s="92"/>
      <c r="M111" s="92"/>
    </row>
    <row r="112" spans="2:13" ht="14.5" x14ac:dyDescent="0.35">
      <c r="B112" s="92" t="s">
        <v>163</v>
      </c>
      <c r="D112" s="129"/>
      <c r="E112" s="129">
        <v>0</v>
      </c>
      <c r="F112" s="129">
        <v>0</v>
      </c>
      <c r="G112" s="129">
        <v>0</v>
      </c>
      <c r="H112" s="129">
        <v>0</v>
      </c>
      <c r="I112" s="129">
        <v>0</v>
      </c>
      <c r="J112" s="129">
        <v>0</v>
      </c>
      <c r="K112" s="129">
        <v>0</v>
      </c>
      <c r="L112" s="92"/>
      <c r="M112" s="92"/>
    </row>
    <row r="113" spans="2:13" ht="14.5" x14ac:dyDescent="0.35">
      <c r="B113" s="92" t="s">
        <v>164</v>
      </c>
      <c r="D113" s="129"/>
      <c r="E113" s="129">
        <v>4581</v>
      </c>
      <c r="F113" s="129">
        <v>6839</v>
      </c>
      <c r="G113" s="129">
        <v>6712.8</v>
      </c>
      <c r="H113" s="129">
        <v>7617.5</v>
      </c>
      <c r="I113" s="129">
        <v>8549.4</v>
      </c>
      <c r="J113" s="129">
        <v>9494.6</v>
      </c>
      <c r="K113" s="129">
        <v>10445.700000000001</v>
      </c>
      <c r="L113" s="92"/>
      <c r="M113" s="92"/>
    </row>
    <row r="114" spans="2:13" ht="14.5" x14ac:dyDescent="0.35">
      <c r="B114" s="92" t="s">
        <v>165</v>
      </c>
      <c r="D114" s="129"/>
      <c r="E114" s="129">
        <v>10177</v>
      </c>
      <c r="F114" s="129">
        <v>16958</v>
      </c>
      <c r="G114" s="129">
        <v>21327.1</v>
      </c>
      <c r="H114" s="129">
        <v>22952</v>
      </c>
      <c r="I114" s="129">
        <v>24603.9</v>
      </c>
      <c r="J114" s="129">
        <v>26107.5</v>
      </c>
      <c r="K114" s="129">
        <v>27809</v>
      </c>
      <c r="L114" s="92"/>
      <c r="M114" s="92"/>
    </row>
    <row r="115" spans="2:13" ht="14.5" x14ac:dyDescent="0.35">
      <c r="B115" s="92" t="s">
        <v>166</v>
      </c>
      <c r="D115" s="129"/>
      <c r="E115" s="129">
        <v>3975</v>
      </c>
      <c r="F115" s="129">
        <v>4592</v>
      </c>
      <c r="G115" s="129">
        <v>5391.5</v>
      </c>
      <c r="H115" s="129">
        <v>6319</v>
      </c>
      <c r="I115" s="129">
        <v>7073.3</v>
      </c>
      <c r="J115" s="129">
        <v>7840.8</v>
      </c>
      <c r="K115" s="129">
        <v>8649.2000000000007</v>
      </c>
      <c r="L115" s="92"/>
      <c r="M115" s="92"/>
    </row>
    <row r="116" spans="2:13" ht="14.5" x14ac:dyDescent="0.35">
      <c r="B116" s="92" t="s">
        <v>167</v>
      </c>
      <c r="D116" s="129"/>
      <c r="E116" s="129">
        <v>0</v>
      </c>
      <c r="F116" s="129">
        <v>0</v>
      </c>
      <c r="G116" s="129">
        <v>0</v>
      </c>
      <c r="H116" s="129">
        <v>0</v>
      </c>
      <c r="I116" s="129">
        <v>0</v>
      </c>
      <c r="J116" s="129">
        <v>0</v>
      </c>
      <c r="K116" s="129">
        <v>0</v>
      </c>
      <c r="L116" s="92"/>
      <c r="M116" s="92"/>
    </row>
    <row r="117" spans="2:13" ht="14.5" x14ac:dyDescent="0.35">
      <c r="B117" s="92" t="s">
        <v>168</v>
      </c>
      <c r="D117" s="129"/>
      <c r="E117" s="129">
        <v>1432</v>
      </c>
      <c r="F117" s="129">
        <v>1784</v>
      </c>
      <c r="G117" s="129">
        <v>2058.6</v>
      </c>
      <c r="H117" s="129">
        <v>2365.9</v>
      </c>
      <c r="I117" s="129">
        <v>2703.1</v>
      </c>
      <c r="J117" s="129">
        <v>3066</v>
      </c>
      <c r="K117" s="129">
        <v>3454.2</v>
      </c>
      <c r="L117" s="92"/>
      <c r="M117" s="92"/>
    </row>
    <row r="118" spans="2:13" ht="14.5" x14ac:dyDescent="0.35">
      <c r="B118" s="92" t="s">
        <v>169</v>
      </c>
      <c r="D118" s="129"/>
      <c r="E118" s="129">
        <v>881</v>
      </c>
      <c r="F118" s="129">
        <v>69</v>
      </c>
      <c r="G118" s="129">
        <v>0</v>
      </c>
      <c r="H118" s="129">
        <v>0</v>
      </c>
      <c r="I118" s="129">
        <v>0</v>
      </c>
      <c r="J118" s="129">
        <v>0</v>
      </c>
      <c r="K118" s="129">
        <v>0</v>
      </c>
      <c r="L118" s="92"/>
      <c r="M118" s="92"/>
    </row>
    <row r="119" spans="2:13" ht="14.5" x14ac:dyDescent="0.35">
      <c r="B119" s="92" t="s">
        <v>8</v>
      </c>
      <c r="D119" s="129"/>
      <c r="E119" s="129">
        <v>0</v>
      </c>
      <c r="F119" s="129">
        <v>0</v>
      </c>
      <c r="G119" s="129">
        <v>0</v>
      </c>
      <c r="H119" s="129">
        <v>0</v>
      </c>
      <c r="I119" s="129">
        <v>0</v>
      </c>
      <c r="J119" s="129">
        <v>0</v>
      </c>
      <c r="K119" s="129">
        <v>0</v>
      </c>
      <c r="L119" s="92"/>
      <c r="M119" s="92"/>
    </row>
    <row r="120" spans="2:13" ht="14.5" x14ac:dyDescent="0.35">
      <c r="B120" s="92" t="s">
        <v>170</v>
      </c>
      <c r="D120" s="129"/>
      <c r="E120" s="129">
        <v>24183</v>
      </c>
      <c r="F120" s="129">
        <v>34620</v>
      </c>
      <c r="G120" s="129">
        <v>40426.300000000003</v>
      </c>
      <c r="H120" s="129">
        <v>44866</v>
      </c>
      <c r="I120" s="129">
        <v>49227.9</v>
      </c>
      <c r="J120" s="129">
        <v>53432.1</v>
      </c>
      <c r="K120" s="129">
        <v>57988.6</v>
      </c>
      <c r="L120" s="92"/>
      <c r="M120" s="92"/>
    </row>
    <row r="121" spans="2:13" ht="14.5" x14ac:dyDescent="0.35">
      <c r="B121" s="92" t="s">
        <v>171</v>
      </c>
      <c r="D121" s="129"/>
      <c r="E121" s="129">
        <v>3969</v>
      </c>
      <c r="F121" s="129">
        <v>4012</v>
      </c>
      <c r="G121" s="129">
        <v>3952.9</v>
      </c>
      <c r="H121" s="129">
        <v>3958.8</v>
      </c>
      <c r="I121" s="129">
        <v>2964.8</v>
      </c>
      <c r="J121" s="129">
        <v>2970.7</v>
      </c>
      <c r="K121" s="129">
        <v>2976.7</v>
      </c>
      <c r="L121" s="92"/>
      <c r="M121" s="92"/>
    </row>
    <row r="122" spans="2:13" ht="14.5" x14ac:dyDescent="0.35">
      <c r="B122" s="92" t="s">
        <v>172</v>
      </c>
      <c r="D122" s="129"/>
      <c r="E122" s="129">
        <v>12812</v>
      </c>
      <c r="F122" s="129">
        <v>11327</v>
      </c>
      <c r="G122" s="129">
        <v>11605</v>
      </c>
      <c r="H122" s="129">
        <v>11605</v>
      </c>
      <c r="I122" s="129">
        <v>11605</v>
      </c>
      <c r="J122" s="129">
        <v>11605</v>
      </c>
      <c r="K122" s="129">
        <v>11605</v>
      </c>
      <c r="L122" s="92"/>
      <c r="M122" s="92"/>
    </row>
    <row r="123" spans="2:13" ht="14.5" x14ac:dyDescent="0.35">
      <c r="B123" s="92" t="s">
        <v>173</v>
      </c>
      <c r="D123" s="129"/>
      <c r="E123" s="129">
        <v>430</v>
      </c>
      <c r="F123" s="129">
        <v>1264</v>
      </c>
      <c r="G123" s="129">
        <v>1282</v>
      </c>
      <c r="H123" s="129">
        <v>1282</v>
      </c>
      <c r="I123" s="129">
        <v>1282</v>
      </c>
      <c r="J123" s="129">
        <v>1282</v>
      </c>
      <c r="K123" s="129">
        <v>1282</v>
      </c>
      <c r="L123" s="92"/>
      <c r="M123" s="92"/>
    </row>
    <row r="124" spans="2:13" ht="14.5" x14ac:dyDescent="0.35">
      <c r="B124" s="92" t="s">
        <v>174</v>
      </c>
      <c r="D124" s="129"/>
      <c r="E124" s="129">
        <v>3059</v>
      </c>
      <c r="F124" s="129">
        <v>3545</v>
      </c>
      <c r="G124" s="129">
        <v>9623</v>
      </c>
      <c r="H124" s="129">
        <v>9623</v>
      </c>
      <c r="I124" s="129">
        <v>9623</v>
      </c>
      <c r="J124" s="129">
        <v>9623</v>
      </c>
      <c r="K124" s="129">
        <v>9623</v>
      </c>
      <c r="L124" s="92"/>
      <c r="M124" s="92"/>
    </row>
    <row r="125" spans="2:13" ht="14.5" x14ac:dyDescent="0.35">
      <c r="B125" s="92" t="s">
        <v>175</v>
      </c>
      <c r="D125" s="129"/>
      <c r="E125" s="129">
        <v>0</v>
      </c>
      <c r="F125" s="129">
        <v>0</v>
      </c>
      <c r="G125" s="129">
        <v>0</v>
      </c>
      <c r="H125" s="129">
        <v>0</v>
      </c>
      <c r="I125" s="129">
        <v>0</v>
      </c>
      <c r="J125" s="129">
        <v>0</v>
      </c>
      <c r="K125" s="129">
        <v>0</v>
      </c>
      <c r="L125" s="92"/>
      <c r="M125" s="92"/>
    </row>
    <row r="126" spans="2:13" ht="14.5" x14ac:dyDescent="0.35">
      <c r="B126" s="92" t="s">
        <v>176</v>
      </c>
      <c r="D126" s="129"/>
      <c r="E126" s="129">
        <v>44793</v>
      </c>
      <c r="F126" s="129">
        <v>55164</v>
      </c>
      <c r="G126" s="129">
        <v>67280.100000000006</v>
      </c>
      <c r="H126" s="129">
        <v>71725.8</v>
      </c>
      <c r="I126" s="129">
        <v>75093.7</v>
      </c>
      <c r="J126" s="129">
        <v>79303.8</v>
      </c>
      <c r="K126" s="129">
        <v>83866.2</v>
      </c>
      <c r="L126" s="92"/>
      <c r="M126" s="92"/>
    </row>
    <row r="127" spans="2:13" x14ac:dyDescent="0.25">
      <c r="B127" s="92"/>
      <c r="D127" s="92"/>
      <c r="E127" s="92"/>
      <c r="F127" s="92"/>
      <c r="G127" s="92"/>
      <c r="H127" s="92"/>
      <c r="I127" s="92"/>
      <c r="J127" s="92"/>
      <c r="K127" s="92"/>
      <c r="L127" s="92"/>
      <c r="M127" s="92"/>
    </row>
    <row r="128" spans="2:13" ht="14.5" x14ac:dyDescent="0.35">
      <c r="B128" s="92" t="s">
        <v>177</v>
      </c>
      <c r="D128" s="129"/>
      <c r="E128" s="129"/>
      <c r="F128" s="129"/>
      <c r="G128" s="129"/>
      <c r="H128" s="129"/>
      <c r="I128" s="129"/>
      <c r="J128" s="129"/>
      <c r="K128" s="129"/>
      <c r="L128" s="92"/>
      <c r="M128" s="92"/>
    </row>
    <row r="129" spans="2:16" ht="14.5" x14ac:dyDescent="0.35">
      <c r="B129" s="92" t="s">
        <v>178</v>
      </c>
      <c r="D129" s="129"/>
      <c r="E129" s="129">
        <v>0</v>
      </c>
      <c r="F129" s="129">
        <v>0</v>
      </c>
      <c r="G129" s="129">
        <v>0</v>
      </c>
      <c r="H129" s="129">
        <v>0</v>
      </c>
      <c r="I129" s="129">
        <v>0</v>
      </c>
      <c r="J129" s="129">
        <v>0</v>
      </c>
      <c r="K129" s="129">
        <v>0</v>
      </c>
      <c r="L129" s="92"/>
      <c r="M129" s="92"/>
    </row>
    <row r="130" spans="2:16" ht="14.5" x14ac:dyDescent="0.35">
      <c r="B130" s="92" t="s">
        <v>179</v>
      </c>
      <c r="D130" s="129"/>
      <c r="E130" s="129">
        <v>0</v>
      </c>
      <c r="F130" s="129">
        <v>0</v>
      </c>
      <c r="G130" s="129">
        <v>0</v>
      </c>
      <c r="H130" s="129">
        <v>0</v>
      </c>
      <c r="I130" s="129">
        <v>0</v>
      </c>
      <c r="J130" s="129">
        <v>0</v>
      </c>
      <c r="K130" s="129">
        <v>0</v>
      </c>
      <c r="L130" s="92"/>
      <c r="M130" s="92"/>
    </row>
    <row r="131" spans="2:16" ht="14.5" x14ac:dyDescent="0.35">
      <c r="B131" s="92" t="s">
        <v>180</v>
      </c>
      <c r="D131" s="129"/>
      <c r="E131" s="129">
        <v>40247</v>
      </c>
      <c r="F131" s="129">
        <v>45049</v>
      </c>
      <c r="G131" s="129">
        <v>47691.1</v>
      </c>
      <c r="H131" s="129">
        <v>60040.6</v>
      </c>
      <c r="I131" s="129">
        <v>74175</v>
      </c>
      <c r="J131" s="129">
        <v>90235.6</v>
      </c>
      <c r="K131" s="129">
        <v>108356.5</v>
      </c>
      <c r="L131" s="92"/>
      <c r="M131" s="92"/>
    </row>
    <row r="132" spans="2:16" ht="14.5" x14ac:dyDescent="0.35">
      <c r="B132" s="92" t="s">
        <v>181</v>
      </c>
      <c r="D132" s="129"/>
      <c r="E132" s="129">
        <v>-992</v>
      </c>
      <c r="F132" s="129">
        <v>-2306</v>
      </c>
      <c r="G132" s="129">
        <v>-1780</v>
      </c>
      <c r="H132" s="129">
        <v>-1780</v>
      </c>
      <c r="I132" s="129">
        <v>-1780</v>
      </c>
      <c r="J132" s="129">
        <v>-1780</v>
      </c>
      <c r="K132" s="129">
        <v>-1780</v>
      </c>
      <c r="L132" s="92"/>
      <c r="M132" s="92"/>
    </row>
    <row r="133" spans="2:16" ht="14.5" x14ac:dyDescent="0.35">
      <c r="B133" s="92" t="s">
        <v>182</v>
      </c>
      <c r="D133" s="129"/>
      <c r="E133" s="129">
        <v>113247</v>
      </c>
      <c r="F133" s="129">
        <v>134885</v>
      </c>
      <c r="G133" s="129">
        <v>163760.70000000001</v>
      </c>
      <c r="H133" s="129">
        <v>203324.9</v>
      </c>
      <c r="I133" s="129">
        <v>253969.6</v>
      </c>
      <c r="J133" s="129">
        <v>320067.3</v>
      </c>
      <c r="K133" s="129">
        <v>404264.3</v>
      </c>
      <c r="L133" s="92"/>
      <c r="M133" s="92"/>
    </row>
    <row r="134" spans="2:16" ht="14.5" x14ac:dyDescent="0.35">
      <c r="B134" s="92" t="s">
        <v>8</v>
      </c>
      <c r="D134" s="129"/>
      <c r="E134" s="129">
        <v>0</v>
      </c>
      <c r="F134" s="129">
        <v>0</v>
      </c>
      <c r="G134" s="129">
        <v>0</v>
      </c>
      <c r="H134" s="129">
        <v>0</v>
      </c>
      <c r="I134" s="129">
        <v>0</v>
      </c>
      <c r="J134" s="129">
        <v>0</v>
      </c>
      <c r="K134" s="129">
        <v>0</v>
      </c>
      <c r="L134" s="92"/>
      <c r="M134" s="92"/>
    </row>
    <row r="135" spans="2:16" ht="14.5" x14ac:dyDescent="0.35">
      <c r="B135" s="92" t="s">
        <v>183</v>
      </c>
      <c r="D135" s="129"/>
      <c r="E135" s="129">
        <v>152502</v>
      </c>
      <c r="F135" s="129">
        <v>177628</v>
      </c>
      <c r="G135" s="129">
        <v>209671.8</v>
      </c>
      <c r="H135" s="129">
        <v>261585.5</v>
      </c>
      <c r="I135" s="129">
        <v>326364.5</v>
      </c>
      <c r="J135" s="129">
        <v>408522.8</v>
      </c>
      <c r="K135" s="129">
        <v>510840.7</v>
      </c>
      <c r="L135" s="92"/>
      <c r="M135" s="92"/>
    </row>
    <row r="136" spans="2:16" ht="14.5" x14ac:dyDescent="0.35">
      <c r="B136" s="92" t="s">
        <v>184</v>
      </c>
      <c r="D136" s="129"/>
      <c r="E136" s="129">
        <v>197295</v>
      </c>
      <c r="F136" s="129">
        <v>232792</v>
      </c>
      <c r="G136" s="129">
        <v>276951.90000000002</v>
      </c>
      <c r="H136" s="129">
        <v>333311.40000000002</v>
      </c>
      <c r="I136" s="129">
        <v>401458.2</v>
      </c>
      <c r="J136" s="129">
        <v>487826.6</v>
      </c>
      <c r="K136" s="129">
        <v>594707</v>
      </c>
      <c r="L136" s="92"/>
      <c r="M136" s="92"/>
    </row>
    <row r="137" spans="2:16" ht="14.5" x14ac:dyDescent="0.35">
      <c r="B137" s="92"/>
      <c r="D137" s="129"/>
      <c r="E137" s="129"/>
      <c r="F137" s="129"/>
      <c r="G137" s="129"/>
      <c r="H137" s="129"/>
      <c r="I137" s="129"/>
      <c r="J137" s="129"/>
      <c r="K137" s="129"/>
      <c r="L137" s="92"/>
      <c r="M137" s="92"/>
    </row>
    <row r="138" spans="2:16" ht="12" thickBot="1" x14ac:dyDescent="0.3">
      <c r="B138" s="104" t="s">
        <v>185</v>
      </c>
      <c r="C138" s="105"/>
      <c r="D138" s="104"/>
      <c r="E138" s="104"/>
      <c r="F138" s="104"/>
      <c r="G138" s="104"/>
      <c r="H138" s="104"/>
      <c r="I138" s="104"/>
      <c r="J138" s="104"/>
      <c r="K138" s="104"/>
      <c r="L138" s="104"/>
      <c r="M138" s="104"/>
      <c r="N138" s="105"/>
      <c r="O138" s="105"/>
      <c r="P138" s="105"/>
    </row>
    <row r="139" spans="2:16" ht="12" thickTop="1" x14ac:dyDescent="0.25">
      <c r="B139" s="92"/>
      <c r="D139" s="92"/>
      <c r="E139" s="92"/>
      <c r="F139" s="92"/>
      <c r="G139" s="92"/>
      <c r="H139" s="92"/>
      <c r="I139" s="92"/>
      <c r="J139" s="92"/>
      <c r="K139" s="92"/>
      <c r="L139" s="92"/>
      <c r="M139" s="92"/>
    </row>
    <row r="140" spans="2:16" x14ac:dyDescent="0.25">
      <c r="B140" s="92" t="s">
        <v>186</v>
      </c>
      <c r="D140" s="92"/>
      <c r="E140" s="92"/>
      <c r="F140" s="92"/>
      <c r="G140" s="92"/>
      <c r="H140" s="92"/>
      <c r="I140" s="92"/>
      <c r="J140" s="92"/>
      <c r="K140" s="92"/>
      <c r="L140" s="92"/>
      <c r="M140" s="92"/>
    </row>
    <row r="141" spans="2:16" x14ac:dyDescent="0.25">
      <c r="B141" s="92"/>
      <c r="D141" s="92"/>
      <c r="E141" s="92"/>
      <c r="F141" s="92"/>
      <c r="G141" s="92"/>
      <c r="H141" s="92"/>
      <c r="I141" s="92"/>
      <c r="J141" s="92"/>
      <c r="K141" s="92"/>
      <c r="L141" s="92"/>
      <c r="M141" s="92"/>
    </row>
    <row r="142" spans="2:16" ht="14.5" x14ac:dyDescent="0.35">
      <c r="B142" s="92" t="s">
        <v>143</v>
      </c>
      <c r="D142" s="92"/>
      <c r="E142" s="129">
        <v>12662</v>
      </c>
      <c r="F142" s="129">
        <v>30736</v>
      </c>
      <c r="G142" s="129">
        <v>31697.7</v>
      </c>
      <c r="H142" s="129">
        <v>39564.300000000003</v>
      </c>
      <c r="I142" s="129">
        <v>50644.6</v>
      </c>
      <c r="J142" s="129">
        <v>66097.7</v>
      </c>
      <c r="K142" s="129">
        <v>84197</v>
      </c>
      <c r="L142" s="129">
        <v>105819.4</v>
      </c>
      <c r="M142" s="129">
        <v>131702.29999999999</v>
      </c>
    </row>
    <row r="143" spans="2:16" x14ac:dyDescent="0.25">
      <c r="B143" s="107" t="s">
        <v>187</v>
      </c>
      <c r="C143" s="108"/>
      <c r="D143" s="107"/>
      <c r="E143" s="128">
        <v>6103</v>
      </c>
      <c r="F143" s="128">
        <v>8164</v>
      </c>
      <c r="G143" s="128">
        <v>11102.6</v>
      </c>
      <c r="H143" s="128">
        <v>14109.8</v>
      </c>
      <c r="I143" s="128">
        <v>17129.599999999999</v>
      </c>
      <c r="J143" s="128">
        <v>20270.400000000001</v>
      </c>
      <c r="K143" s="128">
        <v>23495.8</v>
      </c>
      <c r="L143" s="128">
        <v>26810.1</v>
      </c>
      <c r="M143" s="128">
        <v>30231.1</v>
      </c>
    </row>
    <row r="144" spans="2:16" x14ac:dyDescent="0.25">
      <c r="B144" s="107" t="s">
        <v>188</v>
      </c>
      <c r="C144" s="108"/>
      <c r="D144" s="107"/>
      <c r="E144" s="128">
        <v>812</v>
      </c>
      <c r="F144" s="128">
        <v>871</v>
      </c>
      <c r="G144" s="128">
        <v>751.2</v>
      </c>
      <c r="H144" s="128">
        <v>713.4</v>
      </c>
      <c r="I144" s="128">
        <v>558.79999999999995</v>
      </c>
      <c r="J144" s="128">
        <v>193.5</v>
      </c>
      <c r="K144" s="128">
        <v>0</v>
      </c>
      <c r="L144" s="128">
        <v>0</v>
      </c>
      <c r="M144" s="128">
        <v>0</v>
      </c>
    </row>
    <row r="145" spans="2:13" x14ac:dyDescent="0.25">
      <c r="B145" s="107" t="s">
        <v>189</v>
      </c>
      <c r="C145" s="108"/>
      <c r="D145" s="107"/>
      <c r="E145" s="128">
        <v>7679</v>
      </c>
      <c r="F145" s="128">
        <v>9353</v>
      </c>
      <c r="G145" s="128">
        <v>10724.7</v>
      </c>
      <c r="H145" s="128">
        <v>12349.5</v>
      </c>
      <c r="I145" s="128">
        <v>14134.4</v>
      </c>
      <c r="J145" s="128">
        <v>16060.6</v>
      </c>
      <c r="K145" s="128">
        <v>18120.900000000001</v>
      </c>
      <c r="L145" s="128">
        <v>20316</v>
      </c>
      <c r="M145" s="128">
        <v>22646.2</v>
      </c>
    </row>
    <row r="146" spans="2:13" ht="14.5" x14ac:dyDescent="0.35">
      <c r="B146" s="92" t="s">
        <v>190</v>
      </c>
      <c r="D146" s="92"/>
      <c r="E146" s="129">
        <v>0</v>
      </c>
      <c r="F146" s="129">
        <v>0</v>
      </c>
      <c r="G146" s="129">
        <v>0</v>
      </c>
      <c r="H146" s="129">
        <v>0</v>
      </c>
      <c r="I146" s="129">
        <v>0</v>
      </c>
      <c r="J146" s="129">
        <v>0</v>
      </c>
      <c r="K146" s="129">
        <v>0</v>
      </c>
      <c r="L146" s="129">
        <v>0</v>
      </c>
      <c r="M146" s="129">
        <v>0</v>
      </c>
    </row>
    <row r="147" spans="2:13" ht="14.5" x14ac:dyDescent="0.35">
      <c r="B147" s="92" t="s">
        <v>191</v>
      </c>
      <c r="D147" s="92"/>
      <c r="E147" s="129">
        <v>258</v>
      </c>
      <c r="F147" s="129">
        <v>778</v>
      </c>
      <c r="G147" s="129">
        <v>-73</v>
      </c>
      <c r="H147" s="129">
        <v>0</v>
      </c>
      <c r="I147" s="129">
        <v>0</v>
      </c>
      <c r="J147" s="129">
        <v>0</v>
      </c>
      <c r="K147" s="129">
        <v>0</v>
      </c>
      <c r="L147" s="129">
        <v>0</v>
      </c>
      <c r="M147" s="129">
        <v>0</v>
      </c>
    </row>
    <row r="148" spans="2:13" ht="14.5" x14ac:dyDescent="0.35">
      <c r="B148" s="92" t="s">
        <v>8</v>
      </c>
      <c r="D148" s="92"/>
      <c r="E148" s="129">
        <v>331</v>
      </c>
      <c r="F148" s="129">
        <v>-6839</v>
      </c>
      <c r="G148" s="129">
        <v>-1059</v>
      </c>
      <c r="H148" s="129">
        <v>0</v>
      </c>
      <c r="I148" s="129">
        <v>0</v>
      </c>
      <c r="J148" s="129">
        <v>0</v>
      </c>
      <c r="K148" s="129">
        <v>0</v>
      </c>
      <c r="L148" s="129">
        <v>0</v>
      </c>
      <c r="M148" s="129">
        <v>0</v>
      </c>
    </row>
    <row r="149" spans="2:13" ht="14.5" x14ac:dyDescent="0.35">
      <c r="B149" s="92" t="s">
        <v>192</v>
      </c>
      <c r="D149" s="92"/>
      <c r="E149" s="129">
        <v>-3768</v>
      </c>
      <c r="F149" s="129">
        <v>-2169</v>
      </c>
      <c r="G149" s="129">
        <v>-4814.3999999999996</v>
      </c>
      <c r="H149" s="129">
        <v>-3752.5</v>
      </c>
      <c r="I149" s="129">
        <v>-4116.5</v>
      </c>
      <c r="J149" s="129">
        <v>-4431.8999999999996</v>
      </c>
      <c r="K149" s="129">
        <v>-4739.3</v>
      </c>
      <c r="L149" s="129">
        <v>-5044.3999999999996</v>
      </c>
      <c r="M149" s="129">
        <v>-5350.6</v>
      </c>
    </row>
    <row r="150" spans="2:13" ht="14.5" x14ac:dyDescent="0.35">
      <c r="B150" s="92" t="s">
        <v>193</v>
      </c>
      <c r="D150" s="92"/>
      <c r="E150" s="129">
        <v>8211</v>
      </c>
      <c r="F150" s="129">
        <v>-2251</v>
      </c>
      <c r="G150" s="129">
        <v>1068</v>
      </c>
      <c r="H150" s="129">
        <v>0</v>
      </c>
      <c r="I150" s="129">
        <v>0</v>
      </c>
      <c r="J150" s="129">
        <v>0</v>
      </c>
      <c r="K150" s="129">
        <v>0</v>
      </c>
      <c r="L150" s="129">
        <v>0</v>
      </c>
      <c r="M150" s="129">
        <v>0</v>
      </c>
    </row>
    <row r="151" spans="2:13" ht="14.5" x14ac:dyDescent="0.35">
      <c r="B151" s="92" t="s">
        <v>150</v>
      </c>
      <c r="D151" s="92"/>
      <c r="E151" s="129">
        <v>0</v>
      </c>
      <c r="F151" s="129">
        <v>0</v>
      </c>
      <c r="G151" s="129">
        <v>206.3</v>
      </c>
      <c r="H151" s="129">
        <v>-9</v>
      </c>
      <c r="I151" s="129">
        <v>-9.4</v>
      </c>
      <c r="J151" s="129">
        <v>-9.9</v>
      </c>
      <c r="K151" s="129">
        <v>-10.4</v>
      </c>
      <c r="L151" s="129">
        <v>-10.3</v>
      </c>
      <c r="M151" s="129">
        <v>-10.3</v>
      </c>
    </row>
    <row r="152" spans="2:13" ht="14.5" x14ac:dyDescent="0.35">
      <c r="B152" s="92" t="s">
        <v>194</v>
      </c>
      <c r="D152" s="92"/>
      <c r="E152" s="129">
        <v>-2164</v>
      </c>
      <c r="F152" s="129">
        <v>-1207</v>
      </c>
      <c r="G152" s="129">
        <v>-453.7</v>
      </c>
      <c r="H152" s="129">
        <v>-669.5</v>
      </c>
      <c r="I152" s="129">
        <v>-640</v>
      </c>
      <c r="J152" s="129">
        <v>-600</v>
      </c>
      <c r="K152" s="129">
        <v>-666.1</v>
      </c>
      <c r="L152" s="129">
        <v>-678.5</v>
      </c>
      <c r="M152" s="129">
        <v>-688</v>
      </c>
    </row>
    <row r="153" spans="2:13" ht="14.5" x14ac:dyDescent="0.35">
      <c r="B153" s="92" t="s">
        <v>162</v>
      </c>
      <c r="D153" s="92"/>
      <c r="E153" s="129">
        <v>731</v>
      </c>
      <c r="F153" s="129">
        <v>1067</v>
      </c>
      <c r="G153" s="129">
        <v>801.3</v>
      </c>
      <c r="H153" s="129">
        <v>675.4</v>
      </c>
      <c r="I153" s="129">
        <v>686.6</v>
      </c>
      <c r="J153" s="129">
        <v>624.9</v>
      </c>
      <c r="K153" s="129">
        <v>707.3</v>
      </c>
      <c r="L153" s="129">
        <v>712.4</v>
      </c>
      <c r="M153" s="129">
        <v>713.4</v>
      </c>
    </row>
    <row r="154" spans="2:13" ht="14.5" x14ac:dyDescent="0.35">
      <c r="B154" s="92" t="s">
        <v>195</v>
      </c>
      <c r="D154" s="92"/>
      <c r="E154" s="129">
        <v>4891</v>
      </c>
      <c r="F154" s="129">
        <v>8614</v>
      </c>
      <c r="G154" s="129">
        <v>3356.9</v>
      </c>
      <c r="H154" s="129">
        <v>2529.6</v>
      </c>
      <c r="I154" s="129">
        <v>2583.8000000000002</v>
      </c>
      <c r="J154" s="129">
        <v>2448.8000000000002</v>
      </c>
      <c r="K154" s="129">
        <v>2652.6</v>
      </c>
      <c r="L154" s="129">
        <v>2685.8</v>
      </c>
      <c r="M154" s="129">
        <v>2697.8</v>
      </c>
    </row>
    <row r="155" spans="2:13" ht="14.5" x14ac:dyDescent="0.35">
      <c r="B155" s="92" t="s">
        <v>166</v>
      </c>
      <c r="D155" s="92"/>
      <c r="E155" s="129">
        <v>955</v>
      </c>
      <c r="F155" s="129">
        <v>483</v>
      </c>
      <c r="G155" s="129">
        <v>926.5</v>
      </c>
      <c r="H155" s="129">
        <v>927.4</v>
      </c>
      <c r="I155" s="129">
        <v>754.3</v>
      </c>
      <c r="J155" s="129">
        <v>767.5</v>
      </c>
      <c r="K155" s="129">
        <v>808.5</v>
      </c>
      <c r="L155" s="129">
        <v>849.4</v>
      </c>
      <c r="M155" s="129">
        <v>890.8</v>
      </c>
    </row>
    <row r="156" spans="2:13" ht="14.5" x14ac:dyDescent="0.35">
      <c r="B156" s="92" t="s">
        <v>168</v>
      </c>
      <c r="D156" s="92"/>
      <c r="E156" s="129">
        <v>390</v>
      </c>
      <c r="F156" s="129">
        <v>371</v>
      </c>
      <c r="G156" s="129">
        <v>310.60000000000002</v>
      </c>
      <c r="H156" s="129">
        <v>307.3</v>
      </c>
      <c r="I156" s="129">
        <v>337.1</v>
      </c>
      <c r="J156" s="129">
        <v>363</v>
      </c>
      <c r="K156" s="129">
        <v>388.1</v>
      </c>
      <c r="L156" s="129">
        <v>413.1</v>
      </c>
      <c r="M156" s="129">
        <v>438.2</v>
      </c>
    </row>
    <row r="157" spans="2:13" ht="14.5" x14ac:dyDescent="0.35">
      <c r="B157" s="92" t="s">
        <v>196</v>
      </c>
      <c r="D157" s="92"/>
      <c r="E157" s="129">
        <v>37091</v>
      </c>
      <c r="F157" s="129">
        <v>47971</v>
      </c>
      <c r="G157" s="129">
        <v>54545.599999999999</v>
      </c>
      <c r="H157" s="129">
        <v>66745.7</v>
      </c>
      <c r="I157" s="129">
        <v>82063.3</v>
      </c>
      <c r="J157" s="129">
        <v>101784.6</v>
      </c>
      <c r="K157" s="129">
        <v>124954.5</v>
      </c>
      <c r="L157" s="129">
        <v>151873</v>
      </c>
      <c r="M157" s="129">
        <v>183270.8</v>
      </c>
    </row>
    <row r="158" spans="2:13" ht="14.5" x14ac:dyDescent="0.35">
      <c r="B158" s="92"/>
      <c r="D158" s="92"/>
      <c r="E158" s="129"/>
      <c r="F158" s="129"/>
      <c r="G158" s="129"/>
      <c r="H158" s="129"/>
      <c r="I158" s="129"/>
      <c r="J158" s="129"/>
      <c r="K158" s="129"/>
      <c r="L158" s="129"/>
      <c r="M158" s="129"/>
    </row>
    <row r="159" spans="2:13" ht="14.5" x14ac:dyDescent="0.35">
      <c r="B159" s="92" t="s">
        <v>197</v>
      </c>
      <c r="D159" s="92"/>
      <c r="E159" s="129"/>
      <c r="F159" s="129"/>
      <c r="G159" s="129"/>
      <c r="H159" s="129"/>
      <c r="I159" s="129"/>
      <c r="J159" s="129"/>
      <c r="K159" s="129"/>
      <c r="L159" s="129"/>
      <c r="M159" s="129"/>
    </row>
    <row r="160" spans="2:13" ht="14.5" x14ac:dyDescent="0.35">
      <c r="B160" s="92"/>
      <c r="D160" s="92"/>
      <c r="E160" s="129"/>
      <c r="F160" s="129"/>
      <c r="G160" s="129"/>
      <c r="H160" s="129"/>
      <c r="I160" s="129"/>
      <c r="J160" s="129"/>
      <c r="K160" s="129"/>
      <c r="L160" s="129"/>
      <c r="M160" s="129"/>
    </row>
    <row r="161" spans="2:13" x14ac:dyDescent="0.25">
      <c r="B161" s="107" t="s">
        <v>198</v>
      </c>
      <c r="C161" s="108"/>
      <c r="D161" s="107"/>
      <c r="E161" s="128">
        <v>-13184</v>
      </c>
      <c r="F161" s="128">
        <v>-25139</v>
      </c>
      <c r="G161" s="128">
        <v>-25016.9</v>
      </c>
      <c r="H161" s="128">
        <v>-25655.200000000001</v>
      </c>
      <c r="I161" s="128">
        <v>-26716.3</v>
      </c>
      <c r="J161" s="128">
        <v>-27857.8</v>
      </c>
      <c r="K161" s="128">
        <v>-28469.1</v>
      </c>
      <c r="L161" s="128">
        <v>-29315.1</v>
      </c>
      <c r="M161" s="128">
        <v>-30165.4</v>
      </c>
    </row>
    <row r="162" spans="2:13" ht="14.5" x14ac:dyDescent="0.35">
      <c r="B162" s="92" t="s">
        <v>199</v>
      </c>
      <c r="D162" s="92"/>
      <c r="E162" s="129">
        <v>-92195</v>
      </c>
      <c r="F162" s="129">
        <v>-50158</v>
      </c>
      <c r="G162" s="129">
        <v>-20883</v>
      </c>
      <c r="H162" s="129">
        <v>0</v>
      </c>
      <c r="I162" s="129">
        <v>0</v>
      </c>
      <c r="J162" s="129">
        <v>0</v>
      </c>
      <c r="K162" s="129">
        <v>0</v>
      </c>
      <c r="L162" s="129">
        <v>0</v>
      </c>
      <c r="M162" s="129">
        <v>0</v>
      </c>
    </row>
    <row r="163" spans="2:13" ht="14.5" x14ac:dyDescent="0.35">
      <c r="B163" s="92" t="s">
        <v>200</v>
      </c>
      <c r="D163" s="92"/>
      <c r="E163" s="129">
        <v>74174</v>
      </c>
      <c r="F163" s="129">
        <v>48507</v>
      </c>
      <c r="G163" s="129">
        <v>21006</v>
      </c>
      <c r="H163" s="129">
        <v>0</v>
      </c>
      <c r="I163" s="129">
        <v>0</v>
      </c>
      <c r="J163" s="129">
        <v>0</v>
      </c>
      <c r="K163" s="129">
        <v>0</v>
      </c>
      <c r="L163" s="129">
        <v>0</v>
      </c>
      <c r="M163" s="129">
        <v>0</v>
      </c>
    </row>
    <row r="164" spans="2:13" ht="14.5" x14ac:dyDescent="0.35">
      <c r="B164" s="92" t="s">
        <v>201</v>
      </c>
      <c r="D164" s="92"/>
      <c r="E164" s="129">
        <v>-1427</v>
      </c>
      <c r="F164" s="129">
        <v>-321</v>
      </c>
      <c r="G164" s="129">
        <v>-808</v>
      </c>
      <c r="H164" s="129">
        <v>0</v>
      </c>
      <c r="I164" s="129">
        <v>0</v>
      </c>
      <c r="J164" s="129">
        <v>0</v>
      </c>
      <c r="K164" s="129">
        <v>0</v>
      </c>
      <c r="L164" s="129">
        <v>0</v>
      </c>
      <c r="M164" s="129">
        <v>0</v>
      </c>
    </row>
    <row r="165" spans="2:13" ht="14.5" x14ac:dyDescent="0.35">
      <c r="B165" s="92" t="s">
        <v>202</v>
      </c>
      <c r="D165" s="92"/>
      <c r="E165" s="129">
        <v>0</v>
      </c>
      <c r="F165" s="129">
        <v>0</v>
      </c>
      <c r="G165" s="129">
        <v>0</v>
      </c>
      <c r="H165" s="129">
        <v>0</v>
      </c>
      <c r="I165" s="129">
        <v>0</v>
      </c>
      <c r="J165" s="129">
        <v>0</v>
      </c>
      <c r="K165" s="129">
        <v>0</v>
      </c>
      <c r="L165" s="129">
        <v>0</v>
      </c>
      <c r="M165" s="129">
        <v>0</v>
      </c>
    </row>
    <row r="166" spans="2:13" ht="14.5" x14ac:dyDescent="0.35">
      <c r="B166" s="92" t="s">
        <v>203</v>
      </c>
      <c r="D166" s="92"/>
      <c r="E166" s="129">
        <v>0</v>
      </c>
      <c r="F166" s="129">
        <v>0</v>
      </c>
      <c r="G166" s="129">
        <v>0</v>
      </c>
      <c r="H166" s="129">
        <v>0</v>
      </c>
      <c r="I166" s="129">
        <v>0</v>
      </c>
      <c r="J166" s="129">
        <v>0</v>
      </c>
      <c r="K166" s="129">
        <v>0</v>
      </c>
      <c r="L166" s="129">
        <v>0</v>
      </c>
      <c r="M166" s="129">
        <v>0</v>
      </c>
    </row>
    <row r="167" spans="2:13" ht="14.5" x14ac:dyDescent="0.35">
      <c r="B167" s="92" t="s">
        <v>204</v>
      </c>
      <c r="D167" s="92"/>
      <c r="E167" s="129">
        <v>-287</v>
      </c>
      <c r="F167" s="129">
        <v>-1491</v>
      </c>
      <c r="G167" s="129">
        <v>-99</v>
      </c>
      <c r="H167" s="129">
        <v>0</v>
      </c>
      <c r="I167" s="129">
        <v>0</v>
      </c>
      <c r="J167" s="129">
        <v>0</v>
      </c>
      <c r="K167" s="129">
        <v>0</v>
      </c>
      <c r="L167" s="129">
        <v>0</v>
      </c>
      <c r="M167" s="129">
        <v>0</v>
      </c>
    </row>
    <row r="168" spans="2:13" ht="14.5" x14ac:dyDescent="0.35">
      <c r="B168" s="92" t="s">
        <v>8</v>
      </c>
      <c r="D168" s="92"/>
      <c r="E168" s="129">
        <v>1518</v>
      </c>
      <c r="F168" s="129">
        <v>98</v>
      </c>
      <c r="G168" s="129">
        <v>34</v>
      </c>
      <c r="H168" s="129">
        <v>0</v>
      </c>
      <c r="I168" s="129">
        <v>0</v>
      </c>
      <c r="J168" s="129">
        <v>0</v>
      </c>
      <c r="K168" s="129">
        <v>0</v>
      </c>
      <c r="L168" s="129">
        <v>0</v>
      </c>
      <c r="M168" s="129">
        <v>0</v>
      </c>
    </row>
    <row r="169" spans="2:13" ht="14.5" x14ac:dyDescent="0.35">
      <c r="B169" s="92" t="s">
        <v>205</v>
      </c>
      <c r="D169" s="92"/>
      <c r="E169" s="129">
        <v>-31401</v>
      </c>
      <c r="F169" s="129">
        <v>-28504</v>
      </c>
      <c r="G169" s="129">
        <v>-25766.9</v>
      </c>
      <c r="H169" s="129">
        <v>-25655.200000000001</v>
      </c>
      <c r="I169" s="129">
        <v>-26716.3</v>
      </c>
      <c r="J169" s="129">
        <v>-27857.8</v>
      </c>
      <c r="K169" s="129">
        <v>-28469.1</v>
      </c>
      <c r="L169" s="129">
        <v>-29315.1</v>
      </c>
      <c r="M169" s="129">
        <v>-30165.4</v>
      </c>
    </row>
    <row r="170" spans="2:13" ht="14.5" x14ac:dyDescent="0.35">
      <c r="B170" s="92"/>
      <c r="D170" s="92"/>
      <c r="E170" s="129"/>
      <c r="F170" s="129"/>
      <c r="G170" s="129"/>
      <c r="H170" s="129"/>
      <c r="I170" s="129"/>
      <c r="J170" s="129"/>
      <c r="K170" s="129"/>
      <c r="L170" s="129"/>
      <c r="M170" s="129"/>
    </row>
    <row r="171" spans="2:13" ht="14.5" x14ac:dyDescent="0.35">
      <c r="B171" s="92" t="s">
        <v>206</v>
      </c>
      <c r="D171" s="92"/>
      <c r="E171" s="129"/>
      <c r="F171" s="129"/>
      <c r="G171" s="129"/>
      <c r="H171" s="129"/>
      <c r="I171" s="129"/>
      <c r="J171" s="129"/>
      <c r="K171" s="129"/>
      <c r="L171" s="129"/>
      <c r="M171" s="129"/>
    </row>
    <row r="172" spans="2:13" ht="14.5" x14ac:dyDescent="0.35">
      <c r="B172" s="92"/>
      <c r="D172" s="92"/>
      <c r="E172" s="129"/>
      <c r="F172" s="129"/>
      <c r="G172" s="129"/>
      <c r="H172" s="129"/>
      <c r="I172" s="129"/>
      <c r="J172" s="129"/>
      <c r="K172" s="129"/>
      <c r="L172" s="129"/>
      <c r="M172" s="129"/>
    </row>
    <row r="173" spans="2:13" ht="14.5" x14ac:dyDescent="0.35">
      <c r="B173" s="92" t="s">
        <v>207</v>
      </c>
      <c r="D173" s="92"/>
      <c r="E173" s="129">
        <v>-4166</v>
      </c>
      <c r="F173" s="129">
        <v>-4993</v>
      </c>
      <c r="G173" s="129">
        <v>-1175</v>
      </c>
      <c r="H173" s="129">
        <v>0</v>
      </c>
      <c r="I173" s="129">
        <v>0</v>
      </c>
      <c r="J173" s="129">
        <v>0</v>
      </c>
      <c r="K173" s="129">
        <v>0</v>
      </c>
      <c r="L173" s="129">
        <v>0</v>
      </c>
      <c r="M173" s="129">
        <v>0</v>
      </c>
    </row>
    <row r="174" spans="2:13" ht="14.5" x14ac:dyDescent="0.35">
      <c r="B174" s="92" t="s">
        <v>208</v>
      </c>
      <c r="D174" s="92"/>
      <c r="E174" s="129">
        <v>0</v>
      </c>
      <c r="F174" s="129">
        <v>0</v>
      </c>
      <c r="G174" s="129">
        <v>0</v>
      </c>
      <c r="H174" s="129">
        <v>0</v>
      </c>
      <c r="I174" s="129">
        <v>0</v>
      </c>
      <c r="J174" s="129">
        <v>0</v>
      </c>
      <c r="K174" s="129">
        <v>0</v>
      </c>
      <c r="L174" s="129">
        <v>0</v>
      </c>
      <c r="M174" s="129">
        <v>0</v>
      </c>
    </row>
    <row r="175" spans="2:13" ht="14.5" x14ac:dyDescent="0.35">
      <c r="B175" s="92" t="s">
        <v>209</v>
      </c>
      <c r="D175" s="92"/>
      <c r="E175" s="129">
        <v>-4846</v>
      </c>
      <c r="F175" s="129">
        <v>-9075</v>
      </c>
      <c r="G175" s="129">
        <v>-3025</v>
      </c>
      <c r="H175" s="129">
        <v>0</v>
      </c>
      <c r="I175" s="129">
        <v>0</v>
      </c>
      <c r="J175" s="129">
        <v>0</v>
      </c>
      <c r="K175" s="129">
        <v>0</v>
      </c>
      <c r="L175" s="129">
        <v>0</v>
      </c>
      <c r="M175" s="129">
        <v>0</v>
      </c>
    </row>
    <row r="176" spans="2:13" ht="14.5" x14ac:dyDescent="0.35">
      <c r="B176" s="92" t="s">
        <v>210</v>
      </c>
      <c r="D176" s="92"/>
      <c r="E176" s="129">
        <v>4291</v>
      </c>
      <c r="F176" s="129">
        <v>6766</v>
      </c>
      <c r="G176" s="129">
        <v>201.9</v>
      </c>
      <c r="H176" s="129">
        <v>6</v>
      </c>
      <c r="I176" s="129">
        <v>-994.1</v>
      </c>
      <c r="J176" s="129">
        <v>5.9</v>
      </c>
      <c r="K176" s="129">
        <v>6</v>
      </c>
      <c r="L176" s="129">
        <v>-994.1</v>
      </c>
      <c r="M176" s="129">
        <v>6</v>
      </c>
    </row>
    <row r="177" spans="1:16" ht="14.5" x14ac:dyDescent="0.35">
      <c r="B177" s="92" t="s">
        <v>211</v>
      </c>
      <c r="D177" s="92"/>
      <c r="E177" s="129">
        <v>-4377</v>
      </c>
      <c r="F177" s="129">
        <v>-6827</v>
      </c>
      <c r="G177" s="129">
        <v>-345</v>
      </c>
      <c r="H177" s="129">
        <v>0</v>
      </c>
      <c r="I177" s="129">
        <v>0</v>
      </c>
      <c r="J177" s="129">
        <v>0</v>
      </c>
      <c r="K177" s="129">
        <v>0</v>
      </c>
      <c r="L177" s="129">
        <v>0</v>
      </c>
      <c r="M177" s="129">
        <v>0</v>
      </c>
    </row>
    <row r="178" spans="1:16" ht="14.5" x14ac:dyDescent="0.35">
      <c r="B178" s="92" t="s">
        <v>8</v>
      </c>
      <c r="D178" s="92"/>
      <c r="E178" s="129">
        <v>800</v>
      </c>
      <c r="F178" s="129">
        <v>950</v>
      </c>
      <c r="G178" s="129">
        <v>47</v>
      </c>
      <c r="H178" s="129">
        <v>0</v>
      </c>
      <c r="I178" s="129">
        <v>0</v>
      </c>
      <c r="J178" s="129">
        <v>0</v>
      </c>
      <c r="K178" s="129">
        <v>0</v>
      </c>
      <c r="L178" s="129">
        <v>0</v>
      </c>
      <c r="M178" s="129">
        <v>0</v>
      </c>
    </row>
    <row r="179" spans="1:16" ht="14.5" x14ac:dyDescent="0.35">
      <c r="B179" s="92" t="s">
        <v>212</v>
      </c>
      <c r="D179" s="92"/>
      <c r="E179" s="129">
        <v>-8298</v>
      </c>
      <c r="F179" s="129">
        <v>-13179</v>
      </c>
      <c r="G179" s="129">
        <v>-4296.2</v>
      </c>
      <c r="H179" s="129">
        <v>6</v>
      </c>
      <c r="I179" s="129">
        <v>-994.1</v>
      </c>
      <c r="J179" s="129">
        <v>5.9</v>
      </c>
      <c r="K179" s="129">
        <v>6</v>
      </c>
      <c r="L179" s="129">
        <v>-994.1</v>
      </c>
      <c r="M179" s="129">
        <v>6</v>
      </c>
    </row>
    <row r="180" spans="1:16" ht="14.5" x14ac:dyDescent="0.35">
      <c r="B180" s="92" t="s">
        <v>145</v>
      </c>
      <c r="D180" s="92"/>
      <c r="E180" s="129"/>
      <c r="F180" s="129"/>
      <c r="G180" s="129"/>
      <c r="H180" s="129"/>
      <c r="I180" s="129"/>
      <c r="J180" s="129"/>
      <c r="K180" s="129"/>
      <c r="L180" s="129"/>
      <c r="M180" s="129"/>
    </row>
    <row r="181" spans="1:16" ht="14.5" x14ac:dyDescent="0.35">
      <c r="B181" s="92" t="s">
        <v>213</v>
      </c>
      <c r="D181" s="92"/>
      <c r="E181" s="129">
        <v>405</v>
      </c>
      <c r="F181" s="129">
        <v>-302</v>
      </c>
      <c r="G181" s="129">
        <v>18</v>
      </c>
      <c r="H181" s="129">
        <v>0</v>
      </c>
      <c r="I181" s="129">
        <v>0</v>
      </c>
      <c r="J181" s="129">
        <v>0</v>
      </c>
      <c r="K181" s="129">
        <v>0</v>
      </c>
      <c r="L181" s="129">
        <v>0</v>
      </c>
      <c r="M181" s="129">
        <v>0</v>
      </c>
    </row>
    <row r="182" spans="1:16" ht="14.5" x14ac:dyDescent="0.35">
      <c r="B182" s="92"/>
      <c r="D182" s="92"/>
      <c r="E182" s="129"/>
      <c r="F182" s="129"/>
      <c r="G182" s="129"/>
      <c r="H182" s="129"/>
      <c r="I182" s="129"/>
      <c r="J182" s="129"/>
      <c r="K182" s="129"/>
      <c r="L182" s="129"/>
      <c r="M182" s="129"/>
    </row>
    <row r="183" spans="1:16" ht="14.5" x14ac:dyDescent="0.35">
      <c r="B183" s="92" t="s">
        <v>214</v>
      </c>
      <c r="D183" s="92"/>
      <c r="E183" s="129">
        <v>-2203</v>
      </c>
      <c r="F183" s="129">
        <v>5986</v>
      </c>
      <c r="G183" s="129">
        <v>24500.5</v>
      </c>
      <c r="H183" s="129">
        <v>41096.5</v>
      </c>
      <c r="I183" s="129">
        <v>54352.9</v>
      </c>
      <c r="J183" s="129">
        <v>73932.800000000003</v>
      </c>
      <c r="K183" s="129">
        <v>96491.4</v>
      </c>
      <c r="L183" s="129">
        <v>121563.8</v>
      </c>
      <c r="M183" s="129">
        <v>153111.4</v>
      </c>
    </row>
    <row r="184" spans="1:16" ht="14.5" x14ac:dyDescent="0.35">
      <c r="B184" s="92"/>
      <c r="D184" s="92"/>
      <c r="E184" s="129"/>
      <c r="F184" s="129"/>
      <c r="G184" s="129"/>
      <c r="H184" s="129"/>
      <c r="I184" s="129"/>
      <c r="J184" s="129"/>
      <c r="K184" s="129"/>
      <c r="L184" s="129"/>
      <c r="M184" s="129"/>
    </row>
    <row r="185" spans="1:16" ht="14.5" x14ac:dyDescent="0.35">
      <c r="B185" s="92" t="s">
        <v>215</v>
      </c>
      <c r="D185" s="92"/>
      <c r="E185" s="129">
        <v>12918</v>
      </c>
      <c r="F185" s="129">
        <v>10715</v>
      </c>
      <c r="G185" s="129">
        <v>16701</v>
      </c>
      <c r="H185" s="129">
        <v>41201.5</v>
      </c>
      <c r="I185" s="129">
        <v>82298</v>
      </c>
      <c r="J185" s="129">
        <v>136650.9</v>
      </c>
      <c r="K185" s="129">
        <v>210583.7</v>
      </c>
      <c r="L185" s="129">
        <v>307075</v>
      </c>
      <c r="M185" s="129">
        <v>428638.9</v>
      </c>
    </row>
    <row r="186" spans="1:16" ht="14.5" x14ac:dyDescent="0.35">
      <c r="B186" s="92" t="s">
        <v>216</v>
      </c>
      <c r="D186" s="92"/>
      <c r="E186" s="129">
        <v>10715</v>
      </c>
      <c r="F186" s="129">
        <v>16701</v>
      </c>
      <c r="G186" s="129">
        <v>41201.5</v>
      </c>
      <c r="H186" s="129">
        <v>82298</v>
      </c>
      <c r="I186" s="129">
        <v>136650.9</v>
      </c>
      <c r="J186" s="129">
        <v>210583.7</v>
      </c>
      <c r="K186" s="129">
        <v>307075</v>
      </c>
      <c r="L186" s="129">
        <v>428638.9</v>
      </c>
      <c r="M186" s="129">
        <v>581750.30000000005</v>
      </c>
    </row>
    <row r="187" spans="1:16" x14ac:dyDescent="0.25">
      <c r="D187" s="106"/>
      <c r="E187" s="106"/>
      <c r="F187" s="106"/>
      <c r="G187" s="106"/>
      <c r="H187" s="106"/>
      <c r="I187" s="106"/>
      <c r="J187" s="106"/>
      <c r="K187" s="106"/>
    </row>
    <row r="190" spans="1:16" x14ac:dyDescent="0.25">
      <c r="A190" s="93" t="s">
        <v>94</v>
      </c>
      <c r="B190" s="101" t="s">
        <v>217</v>
      </c>
      <c r="C190" s="101"/>
      <c r="D190" s="101"/>
      <c r="E190" s="101"/>
      <c r="F190" s="101"/>
      <c r="G190" s="101"/>
      <c r="H190" s="101"/>
      <c r="I190" s="101"/>
      <c r="J190" s="101"/>
      <c r="K190" s="101"/>
      <c r="L190" s="101"/>
      <c r="M190" s="102"/>
      <c r="N190" s="103"/>
      <c r="O190" s="103"/>
      <c r="P190" s="103"/>
    </row>
    <row r="192" spans="1:16" ht="12" thickBot="1" x14ac:dyDescent="0.3">
      <c r="B192" s="104" t="s">
        <v>130</v>
      </c>
      <c r="C192" s="105"/>
      <c r="D192" s="104"/>
      <c r="E192" s="104"/>
      <c r="F192" s="104"/>
      <c r="G192" s="104"/>
      <c r="H192" s="104"/>
      <c r="I192" s="104"/>
      <c r="J192" s="104"/>
      <c r="K192" s="104"/>
      <c r="L192" s="104"/>
      <c r="M192" s="104"/>
      <c r="N192" s="105"/>
      <c r="O192" s="105"/>
      <c r="P192" s="105"/>
    </row>
    <row r="193" spans="2:9" ht="12" thickTop="1" x14ac:dyDescent="0.25"/>
    <row r="194" spans="2:9" x14ac:dyDescent="0.25">
      <c r="B194" s="92" t="s">
        <v>95</v>
      </c>
      <c r="C194" s="92"/>
      <c r="D194" s="92"/>
      <c r="E194" s="92"/>
      <c r="F194" s="92"/>
      <c r="G194" s="92"/>
    </row>
    <row r="195" spans="2:9" x14ac:dyDescent="0.25">
      <c r="B195" s="92" t="s">
        <v>218</v>
      </c>
      <c r="C195" s="92"/>
      <c r="D195" s="92"/>
      <c r="E195" s="92"/>
      <c r="F195" s="92"/>
      <c r="G195" s="92"/>
    </row>
    <row r="196" spans="2:9" ht="14.5" x14ac:dyDescent="0.35">
      <c r="B196" s="92" t="s">
        <v>219</v>
      </c>
      <c r="C196" s="92"/>
      <c r="F196" s="129">
        <v>96336</v>
      </c>
      <c r="G196" s="129">
        <v>113754</v>
      </c>
      <c r="H196" s="129">
        <v>132820</v>
      </c>
      <c r="I196" s="129">
        <v>152748</v>
      </c>
    </row>
    <row r="197" spans="2:9" ht="14.5" x14ac:dyDescent="0.35">
      <c r="B197" s="92" t="s">
        <v>220</v>
      </c>
      <c r="C197" s="92"/>
      <c r="F197" s="129">
        <v>19982</v>
      </c>
      <c r="G197" s="129">
        <v>22065</v>
      </c>
      <c r="H197" s="129">
        <v>24061</v>
      </c>
      <c r="I197" s="129">
        <v>26106</v>
      </c>
    </row>
    <row r="198" spans="2:9" ht="14.5" x14ac:dyDescent="0.35">
      <c r="B198" s="92" t="s">
        <v>221</v>
      </c>
      <c r="C198" s="92"/>
      <c r="F198" s="129">
        <v>19906</v>
      </c>
      <c r="G198" s="129">
        <v>25722</v>
      </c>
      <c r="H198" s="129">
        <v>32732</v>
      </c>
      <c r="I198" s="129">
        <v>40595</v>
      </c>
    </row>
    <row r="199" spans="2:9" ht="14.5" x14ac:dyDescent="0.35">
      <c r="B199" s="92" t="s">
        <v>222</v>
      </c>
      <c r="C199" s="92"/>
      <c r="F199" s="129">
        <v>136224</v>
      </c>
      <c r="G199" s="129">
        <v>161540</v>
      </c>
      <c r="H199" s="129">
        <v>189613</v>
      </c>
      <c r="I199" s="129">
        <v>219449</v>
      </c>
    </row>
    <row r="200" spans="2:9" ht="14.5" x14ac:dyDescent="0.35">
      <c r="B200" s="92" t="s">
        <v>223</v>
      </c>
      <c r="C200" s="92"/>
      <c r="F200" s="129">
        <v>595</v>
      </c>
      <c r="G200" s="129">
        <v>744</v>
      </c>
      <c r="H200" s="129">
        <v>930</v>
      </c>
      <c r="I200" s="129">
        <v>1134</v>
      </c>
    </row>
    <row r="201" spans="2:9" ht="14.5" x14ac:dyDescent="0.35">
      <c r="B201" s="110" t="s">
        <v>224</v>
      </c>
      <c r="C201" s="110"/>
      <c r="D201" s="108"/>
      <c r="E201" s="108"/>
      <c r="F201" s="130">
        <v>136819</v>
      </c>
      <c r="G201" s="130">
        <v>162284</v>
      </c>
      <c r="H201" s="130">
        <v>190543</v>
      </c>
      <c r="I201" s="130">
        <v>220584</v>
      </c>
    </row>
    <row r="202" spans="2:9" ht="14.5" x14ac:dyDescent="0.35">
      <c r="B202" s="92" t="s">
        <v>225</v>
      </c>
      <c r="C202" s="92"/>
      <c r="F202" s="129">
        <v>-14154</v>
      </c>
      <c r="G202" s="129">
        <v>-15574</v>
      </c>
      <c r="H202" s="129">
        <v>-17080</v>
      </c>
      <c r="I202" s="129">
        <v>-18636</v>
      </c>
    </row>
    <row r="203" spans="2:9" ht="14.5" x14ac:dyDescent="0.35">
      <c r="B203" s="92" t="s">
        <v>226</v>
      </c>
      <c r="C203" s="92"/>
      <c r="F203" s="129">
        <v>-12572</v>
      </c>
      <c r="G203" s="129">
        <v>-15493</v>
      </c>
      <c r="H203" s="129">
        <v>-19019</v>
      </c>
      <c r="I203" s="129">
        <v>-22941</v>
      </c>
    </row>
    <row r="204" spans="2:9" ht="14.5" x14ac:dyDescent="0.35">
      <c r="B204" s="92" t="s">
        <v>227</v>
      </c>
      <c r="C204" s="92"/>
      <c r="F204" s="129">
        <v>110093</v>
      </c>
      <c r="G204" s="129">
        <v>131216</v>
      </c>
      <c r="H204" s="129">
        <v>154444</v>
      </c>
      <c r="I204" s="129">
        <v>179007</v>
      </c>
    </row>
    <row r="205" spans="2:9" ht="14.5" x14ac:dyDescent="0.35">
      <c r="B205" s="92" t="s">
        <v>228</v>
      </c>
      <c r="C205" s="92"/>
      <c r="F205" s="129">
        <v>-32823</v>
      </c>
      <c r="G205" s="129">
        <v>-42066</v>
      </c>
      <c r="H205" s="129">
        <v>-51983</v>
      </c>
      <c r="I205" s="129">
        <v>-62167</v>
      </c>
    </row>
    <row r="206" spans="2:9" ht="14.5" x14ac:dyDescent="0.35">
      <c r="B206" s="92" t="s">
        <v>229</v>
      </c>
      <c r="C206" s="92"/>
      <c r="F206" s="129">
        <v>77270</v>
      </c>
      <c r="G206" s="129">
        <v>89150</v>
      </c>
      <c r="H206" s="129">
        <v>102461</v>
      </c>
      <c r="I206" s="129">
        <v>116840</v>
      </c>
    </row>
    <row r="207" spans="2:9" ht="14.5" x14ac:dyDescent="0.35">
      <c r="B207" s="92" t="s">
        <v>230</v>
      </c>
      <c r="C207" s="92"/>
      <c r="F207" s="129"/>
      <c r="G207" s="129"/>
      <c r="H207" s="129"/>
      <c r="I207" s="129"/>
    </row>
    <row r="208" spans="2:9" ht="14.5" x14ac:dyDescent="0.35">
      <c r="B208" s="92" t="s">
        <v>231</v>
      </c>
      <c r="C208" s="92"/>
      <c r="F208" s="129">
        <v>-21419</v>
      </c>
      <c r="G208" s="129">
        <v>-25407</v>
      </c>
      <c r="H208" s="129">
        <v>-29955</v>
      </c>
      <c r="I208" s="129">
        <v>-35117</v>
      </c>
    </row>
    <row r="209" spans="2:9" ht="14.5" x14ac:dyDescent="0.35">
      <c r="B209" s="92" t="s">
        <v>232</v>
      </c>
      <c r="C209" s="92"/>
      <c r="F209" s="129">
        <v>-16333</v>
      </c>
      <c r="G209" s="129">
        <v>-20406</v>
      </c>
      <c r="H209" s="129">
        <v>-24414</v>
      </c>
      <c r="I209" s="129">
        <v>-28241</v>
      </c>
    </row>
    <row r="210" spans="2:9" ht="14.5" x14ac:dyDescent="0.35">
      <c r="B210" s="92" t="s">
        <v>233</v>
      </c>
      <c r="C210" s="92"/>
      <c r="F210" s="129">
        <v>-8126</v>
      </c>
      <c r="G210" s="129">
        <v>-7835</v>
      </c>
      <c r="H210" s="129">
        <v>-8450</v>
      </c>
      <c r="I210" s="129">
        <v>-9085</v>
      </c>
    </row>
    <row r="211" spans="2:9" ht="14.5" x14ac:dyDescent="0.35">
      <c r="B211" s="92" t="s">
        <v>8</v>
      </c>
      <c r="C211" s="92"/>
      <c r="F211" s="129">
        <v>-5071</v>
      </c>
      <c r="G211" s="129">
        <v>-1680</v>
      </c>
      <c r="H211" s="129">
        <v>0</v>
      </c>
      <c r="I211" s="129">
        <v>0</v>
      </c>
    </row>
    <row r="212" spans="2:9" ht="14.5" x14ac:dyDescent="0.35">
      <c r="B212" s="92" t="s">
        <v>234</v>
      </c>
      <c r="C212" s="92"/>
      <c r="F212" s="129">
        <v>-45878</v>
      </c>
      <c r="G212" s="129">
        <v>-53648</v>
      </c>
      <c r="H212" s="129">
        <v>-62819</v>
      </c>
      <c r="I212" s="129">
        <v>-72443</v>
      </c>
    </row>
    <row r="213" spans="2:9" ht="14.5" x14ac:dyDescent="0.35">
      <c r="B213" s="92" t="s">
        <v>235</v>
      </c>
      <c r="C213" s="92"/>
      <c r="F213" s="129">
        <v>31392</v>
      </c>
      <c r="G213" s="129">
        <v>35502</v>
      </c>
      <c r="H213" s="129">
        <v>39642</v>
      </c>
      <c r="I213" s="129">
        <v>44397</v>
      </c>
    </row>
    <row r="214" spans="2:9" ht="14.5" x14ac:dyDescent="0.35">
      <c r="B214" s="110" t="s">
        <v>236</v>
      </c>
      <c r="C214" s="110"/>
      <c r="D214" s="108"/>
      <c r="E214" s="108"/>
      <c r="F214" s="130">
        <v>26321</v>
      </c>
      <c r="G214" s="130">
        <v>33822</v>
      </c>
      <c r="H214" s="130">
        <v>39642</v>
      </c>
      <c r="I214" s="130">
        <v>44397</v>
      </c>
    </row>
    <row r="215" spans="2:9" ht="14.5" x14ac:dyDescent="0.35">
      <c r="B215" s="92" t="s">
        <v>237</v>
      </c>
      <c r="C215" s="92"/>
      <c r="F215" s="129"/>
      <c r="G215" s="129"/>
      <c r="H215" s="129"/>
      <c r="I215" s="129"/>
    </row>
    <row r="216" spans="2:9" ht="14.5" x14ac:dyDescent="0.35">
      <c r="B216" s="92" t="s">
        <v>238</v>
      </c>
      <c r="C216" s="92"/>
      <c r="F216" s="129">
        <v>1878</v>
      </c>
      <c r="G216" s="129">
        <v>2358</v>
      </c>
      <c r="H216" s="129">
        <v>2720</v>
      </c>
      <c r="I216" s="129">
        <v>3205</v>
      </c>
    </row>
    <row r="217" spans="2:9" ht="14.5" x14ac:dyDescent="0.35">
      <c r="B217" s="92" t="s">
        <v>239</v>
      </c>
      <c r="C217" s="92"/>
      <c r="F217" s="129">
        <v>-114</v>
      </c>
      <c r="G217" s="129">
        <v>-120</v>
      </c>
      <c r="H217" s="129">
        <v>-120</v>
      </c>
      <c r="I217" s="129">
        <v>-120</v>
      </c>
    </row>
    <row r="218" spans="2:9" ht="14.5" x14ac:dyDescent="0.35">
      <c r="B218" s="92" t="s">
        <v>240</v>
      </c>
      <c r="C218" s="92"/>
      <c r="F218" s="129">
        <v>-80</v>
      </c>
      <c r="G218" s="129">
        <v>-140</v>
      </c>
      <c r="H218" s="129">
        <v>-140</v>
      </c>
      <c r="I218" s="129">
        <v>-140</v>
      </c>
    </row>
    <row r="219" spans="2:9" ht="14.5" x14ac:dyDescent="0.35">
      <c r="B219" s="92" t="s">
        <v>241</v>
      </c>
      <c r="C219" s="92"/>
      <c r="F219" s="129">
        <v>6511</v>
      </c>
      <c r="G219" s="129">
        <v>0</v>
      </c>
      <c r="H219" s="129">
        <v>0</v>
      </c>
      <c r="I219" s="129">
        <v>0</v>
      </c>
    </row>
    <row r="220" spans="2:9" ht="14.5" x14ac:dyDescent="0.35">
      <c r="B220" s="92" t="s">
        <v>8</v>
      </c>
      <c r="C220" s="92"/>
      <c r="F220" s="129">
        <v>397</v>
      </c>
      <c r="G220" s="129">
        <v>0</v>
      </c>
      <c r="H220" s="129">
        <v>0</v>
      </c>
      <c r="I220" s="129">
        <v>0</v>
      </c>
    </row>
    <row r="221" spans="2:9" ht="14.5" x14ac:dyDescent="0.35">
      <c r="B221" s="92" t="s">
        <v>242</v>
      </c>
      <c r="C221" s="92"/>
      <c r="F221" s="129">
        <v>8592</v>
      </c>
      <c r="G221" s="129">
        <v>2098</v>
      </c>
      <c r="H221" s="129">
        <v>2460</v>
      </c>
      <c r="I221" s="129">
        <v>2945</v>
      </c>
    </row>
    <row r="222" spans="2:9" ht="14.5" x14ac:dyDescent="0.35">
      <c r="B222" s="92" t="s">
        <v>243</v>
      </c>
      <c r="C222" s="92"/>
      <c r="F222" s="129">
        <v>0</v>
      </c>
      <c r="G222" s="129">
        <v>0</v>
      </c>
      <c r="H222" s="129">
        <v>0</v>
      </c>
      <c r="I222" s="129">
        <v>0</v>
      </c>
    </row>
    <row r="223" spans="2:9" ht="14.5" x14ac:dyDescent="0.35">
      <c r="B223" s="92" t="s">
        <v>244</v>
      </c>
      <c r="C223" s="92"/>
      <c r="F223" s="129">
        <v>39984</v>
      </c>
      <c r="G223" s="129">
        <v>37600</v>
      </c>
      <c r="H223" s="129">
        <v>42103</v>
      </c>
      <c r="I223" s="129">
        <v>47342</v>
      </c>
    </row>
    <row r="224" spans="2:9" ht="14.5" x14ac:dyDescent="0.35">
      <c r="B224" s="92" t="s">
        <v>245</v>
      </c>
      <c r="C224" s="92"/>
      <c r="F224" s="129">
        <v>34913</v>
      </c>
      <c r="G224" s="129">
        <v>35920</v>
      </c>
      <c r="H224" s="129">
        <v>42103</v>
      </c>
      <c r="I224" s="129">
        <v>47342</v>
      </c>
    </row>
    <row r="225" spans="2:16" ht="14.5" x14ac:dyDescent="0.35">
      <c r="B225" s="92" t="s">
        <v>246</v>
      </c>
      <c r="C225" s="92"/>
      <c r="F225" s="129">
        <v>-5671</v>
      </c>
      <c r="G225" s="129">
        <v>-5098</v>
      </c>
      <c r="H225" s="129">
        <v>-5894</v>
      </c>
      <c r="I225" s="129">
        <v>-6628</v>
      </c>
    </row>
    <row r="226" spans="2:16" ht="14.5" x14ac:dyDescent="0.35">
      <c r="B226" s="92" t="s">
        <v>247</v>
      </c>
      <c r="C226" s="92"/>
      <c r="F226" s="129">
        <v>1494</v>
      </c>
      <c r="G226" s="129">
        <v>-352</v>
      </c>
      <c r="H226" s="129">
        <v>-211</v>
      </c>
      <c r="I226" s="129">
        <v>-237</v>
      </c>
    </row>
    <row r="227" spans="2:16" ht="14.5" x14ac:dyDescent="0.35">
      <c r="B227" s="92" t="s">
        <v>248</v>
      </c>
      <c r="C227" s="92"/>
      <c r="F227" s="129">
        <v>-4177</v>
      </c>
      <c r="G227" s="129">
        <v>-5449</v>
      </c>
      <c r="H227" s="129">
        <v>-6105</v>
      </c>
      <c r="I227" s="129">
        <v>-6865</v>
      </c>
    </row>
    <row r="228" spans="2:16" ht="14.5" x14ac:dyDescent="0.35">
      <c r="B228" s="92" t="s">
        <v>249</v>
      </c>
      <c r="C228" s="92"/>
      <c r="F228" s="129">
        <v>0</v>
      </c>
      <c r="G228" s="129">
        <v>0</v>
      </c>
      <c r="H228" s="129">
        <v>0</v>
      </c>
      <c r="I228" s="129">
        <v>0</v>
      </c>
    </row>
    <row r="229" spans="2:16" ht="14.5" x14ac:dyDescent="0.35">
      <c r="B229" s="92" t="s">
        <v>250</v>
      </c>
      <c r="C229" s="92"/>
      <c r="F229" s="129">
        <v>-4177</v>
      </c>
      <c r="G229" s="129">
        <v>-5449</v>
      </c>
      <c r="H229" s="129">
        <v>-6105</v>
      </c>
      <c r="I229" s="129">
        <v>-6865</v>
      </c>
    </row>
    <row r="230" spans="2:16" ht="14.5" x14ac:dyDescent="0.35">
      <c r="B230" s="92" t="s">
        <v>251</v>
      </c>
      <c r="C230" s="92"/>
      <c r="F230" s="129">
        <v>0</v>
      </c>
      <c r="G230" s="129">
        <v>0</v>
      </c>
      <c r="H230" s="129">
        <v>0</v>
      </c>
      <c r="I230" s="129">
        <v>0</v>
      </c>
    </row>
    <row r="231" spans="2:16" ht="14.5" x14ac:dyDescent="0.35">
      <c r="B231" s="92" t="s">
        <v>252</v>
      </c>
      <c r="C231" s="92"/>
      <c r="F231" s="129">
        <v>35807</v>
      </c>
      <c r="G231" s="129">
        <v>32150</v>
      </c>
      <c r="H231" s="129">
        <v>35998</v>
      </c>
      <c r="I231" s="129">
        <v>40477</v>
      </c>
    </row>
    <row r="232" spans="2:16" ht="14.5" x14ac:dyDescent="0.35">
      <c r="B232" s="92" t="s">
        <v>253</v>
      </c>
      <c r="C232" s="92"/>
      <c r="F232" s="129">
        <v>30736</v>
      </c>
      <c r="G232" s="129">
        <v>30470</v>
      </c>
      <c r="H232" s="129">
        <v>35998</v>
      </c>
      <c r="I232" s="129">
        <v>40477</v>
      </c>
    </row>
    <row r="233" spans="2:16" ht="14.5" x14ac:dyDescent="0.35">
      <c r="B233" s="92"/>
      <c r="C233" s="92"/>
      <c r="F233" s="129"/>
      <c r="G233" s="129"/>
      <c r="H233" s="129"/>
      <c r="I233" s="129"/>
    </row>
    <row r="234" spans="2:16" ht="12" thickBot="1" x14ac:dyDescent="0.3">
      <c r="B234" s="104" t="s">
        <v>144</v>
      </c>
      <c r="C234" s="105"/>
      <c r="D234" s="104"/>
      <c r="E234" s="104"/>
      <c r="F234" s="104"/>
      <c r="G234" s="104"/>
      <c r="H234" s="104"/>
      <c r="I234" s="104"/>
      <c r="J234" s="104"/>
      <c r="K234" s="104"/>
      <c r="L234" s="104"/>
      <c r="M234" s="104"/>
      <c r="N234" s="105"/>
      <c r="O234" s="105"/>
      <c r="P234" s="105"/>
    </row>
    <row r="235" spans="2:16" ht="12" thickTop="1" x14ac:dyDescent="0.25">
      <c r="B235" s="92"/>
      <c r="D235" s="92"/>
      <c r="E235" s="92"/>
      <c r="F235" s="92"/>
      <c r="G235" s="92"/>
      <c r="H235" s="92"/>
      <c r="I235" s="92"/>
      <c r="J235" s="92"/>
      <c r="K235" s="92"/>
      <c r="L235" s="92"/>
      <c r="M235" s="92"/>
    </row>
    <row r="236" spans="2:16" ht="14.5" x14ac:dyDescent="0.35">
      <c r="B236" s="92" t="s">
        <v>82</v>
      </c>
      <c r="C236" s="92"/>
      <c r="D236" s="92"/>
      <c r="E236" s="92"/>
      <c r="F236" s="129"/>
      <c r="G236" s="129"/>
      <c r="H236" s="129"/>
      <c r="I236" s="129"/>
    </row>
    <row r="237" spans="2:16" ht="14.5" x14ac:dyDescent="0.35">
      <c r="B237" s="92" t="s">
        <v>42</v>
      </c>
      <c r="C237" s="92"/>
      <c r="D237" s="92"/>
      <c r="E237" s="92"/>
      <c r="F237" s="129">
        <v>16701</v>
      </c>
      <c r="G237" s="129">
        <v>31675</v>
      </c>
      <c r="H237" s="129">
        <v>50705</v>
      </c>
      <c r="I237" s="129">
        <v>74896</v>
      </c>
    </row>
    <row r="238" spans="2:16" ht="14.5" x14ac:dyDescent="0.35">
      <c r="B238" s="92" t="s">
        <v>43</v>
      </c>
      <c r="C238" s="92"/>
      <c r="D238" s="92"/>
      <c r="E238" s="92"/>
      <c r="F238" s="129">
        <v>92439</v>
      </c>
      <c r="G238" s="129">
        <v>92439</v>
      </c>
      <c r="H238" s="129">
        <v>92439</v>
      </c>
      <c r="I238" s="129">
        <v>92439</v>
      </c>
    </row>
    <row r="239" spans="2:16" ht="14.5" x14ac:dyDescent="0.35">
      <c r="B239" s="110" t="s">
        <v>254</v>
      </c>
      <c r="C239" s="110"/>
      <c r="D239" s="110"/>
      <c r="E239" s="110"/>
      <c r="F239" s="130">
        <v>20838</v>
      </c>
      <c r="G239" s="130">
        <v>24635</v>
      </c>
      <c r="H239" s="130">
        <v>28770</v>
      </c>
      <c r="I239" s="130">
        <v>33215</v>
      </c>
    </row>
    <row r="240" spans="2:16" ht="14.5" x14ac:dyDescent="0.35">
      <c r="B240" s="92" t="s">
        <v>255</v>
      </c>
      <c r="C240" s="92"/>
      <c r="D240" s="92"/>
      <c r="E240" s="92"/>
      <c r="F240" s="129">
        <v>0</v>
      </c>
      <c r="G240" s="129">
        <v>0</v>
      </c>
      <c r="H240" s="129">
        <v>0</v>
      </c>
      <c r="I240" s="129">
        <v>0</v>
      </c>
    </row>
    <row r="241" spans="2:9" ht="14.5" x14ac:dyDescent="0.35">
      <c r="B241" s="92" t="s">
        <v>256</v>
      </c>
      <c r="C241" s="92"/>
      <c r="D241" s="92"/>
      <c r="E241" s="92"/>
      <c r="F241" s="129">
        <v>0</v>
      </c>
      <c r="G241" s="129">
        <v>0</v>
      </c>
      <c r="H241" s="129">
        <v>0</v>
      </c>
      <c r="I241" s="129">
        <v>0</v>
      </c>
    </row>
    <row r="242" spans="2:9" ht="14.5" x14ac:dyDescent="0.35">
      <c r="B242" s="92" t="s">
        <v>45</v>
      </c>
      <c r="C242" s="92"/>
      <c r="D242" s="92"/>
      <c r="E242" s="92"/>
      <c r="F242" s="129">
        <v>355</v>
      </c>
      <c r="G242" s="129">
        <v>355</v>
      </c>
      <c r="H242" s="129">
        <v>355</v>
      </c>
      <c r="I242" s="129">
        <v>355</v>
      </c>
    </row>
    <row r="243" spans="2:9" ht="14.5" x14ac:dyDescent="0.35">
      <c r="B243" s="92" t="s">
        <v>257</v>
      </c>
      <c r="C243" s="92"/>
      <c r="D243" s="92"/>
      <c r="E243" s="92"/>
      <c r="F243" s="129">
        <v>5343</v>
      </c>
      <c r="G243" s="129">
        <v>5616</v>
      </c>
      <c r="H243" s="129">
        <v>5902</v>
      </c>
      <c r="I243" s="129">
        <v>6202</v>
      </c>
    </row>
    <row r="244" spans="2:9" ht="14.5" x14ac:dyDescent="0.35">
      <c r="B244" s="92" t="s">
        <v>258</v>
      </c>
      <c r="C244" s="92"/>
      <c r="D244" s="92"/>
      <c r="E244" s="92"/>
      <c r="F244" s="129">
        <v>135676</v>
      </c>
      <c r="G244" s="129">
        <v>154720</v>
      </c>
      <c r="H244" s="129">
        <v>178170</v>
      </c>
      <c r="I244" s="129">
        <v>207107</v>
      </c>
    </row>
    <row r="245" spans="2:9" ht="14.5" x14ac:dyDescent="0.35">
      <c r="B245" s="92" t="s">
        <v>259</v>
      </c>
      <c r="C245" s="92"/>
      <c r="D245" s="92"/>
      <c r="E245" s="92"/>
      <c r="F245" s="129">
        <v>3430</v>
      </c>
      <c r="G245" s="129">
        <v>3569</v>
      </c>
      <c r="H245" s="129">
        <v>3714</v>
      </c>
      <c r="I245" s="129">
        <v>3864</v>
      </c>
    </row>
    <row r="246" spans="2:9" ht="14.5" x14ac:dyDescent="0.35">
      <c r="B246" s="92" t="s">
        <v>49</v>
      </c>
      <c r="C246" s="92"/>
      <c r="D246" s="92"/>
      <c r="E246" s="92"/>
      <c r="F246" s="129">
        <v>13859</v>
      </c>
      <c r="G246" s="129">
        <v>13859</v>
      </c>
      <c r="H246" s="129">
        <v>13859</v>
      </c>
      <c r="I246" s="129">
        <v>13859</v>
      </c>
    </row>
    <row r="247" spans="2:9" ht="14.5" x14ac:dyDescent="0.35">
      <c r="B247" s="92" t="s">
        <v>260</v>
      </c>
      <c r="C247" s="92"/>
      <c r="D247" s="92"/>
      <c r="E247" s="92"/>
      <c r="F247" s="129">
        <v>59719</v>
      </c>
      <c r="G247" s="129">
        <v>76971</v>
      </c>
      <c r="H247" s="129">
        <v>95463</v>
      </c>
      <c r="I247" s="129">
        <v>115189</v>
      </c>
    </row>
    <row r="248" spans="2:9" ht="14.5" x14ac:dyDescent="0.35">
      <c r="B248" s="92" t="s">
        <v>51</v>
      </c>
      <c r="C248" s="92"/>
      <c r="D248" s="92"/>
      <c r="E248" s="92"/>
      <c r="F248" s="129">
        <v>2220</v>
      </c>
      <c r="G248" s="129">
        <v>2220</v>
      </c>
      <c r="H248" s="129">
        <v>2220</v>
      </c>
      <c r="I248" s="129">
        <v>2220</v>
      </c>
    </row>
    <row r="249" spans="2:9" ht="14.5" x14ac:dyDescent="0.35">
      <c r="B249" s="92" t="s">
        <v>52</v>
      </c>
      <c r="C249" s="92"/>
      <c r="D249" s="92"/>
      <c r="E249" s="92"/>
      <c r="F249" s="129">
        <v>17888</v>
      </c>
      <c r="G249" s="129">
        <v>17292</v>
      </c>
      <c r="H249" s="129">
        <v>16767</v>
      </c>
      <c r="I249" s="129">
        <v>16317</v>
      </c>
    </row>
    <row r="250" spans="2:9" ht="14.5" x14ac:dyDescent="0.35">
      <c r="B250" s="92" t="s">
        <v>12</v>
      </c>
      <c r="C250" s="92"/>
      <c r="D250" s="92"/>
      <c r="E250" s="92"/>
      <c r="F250" s="129">
        <v>0</v>
      </c>
      <c r="G250" s="129">
        <v>0</v>
      </c>
      <c r="H250" s="129">
        <v>0</v>
      </c>
      <c r="I250" s="129">
        <v>0</v>
      </c>
    </row>
    <row r="251" spans="2:9" ht="14.5" x14ac:dyDescent="0.35">
      <c r="B251" s="92" t="s">
        <v>82</v>
      </c>
      <c r="C251" s="92"/>
      <c r="D251" s="92"/>
      <c r="E251" s="92"/>
      <c r="F251" s="129">
        <v>232792</v>
      </c>
      <c r="G251" s="129">
        <v>268631</v>
      </c>
      <c r="H251" s="129">
        <v>310193</v>
      </c>
      <c r="I251" s="129">
        <v>358556</v>
      </c>
    </row>
    <row r="252" spans="2:9" ht="14.5" x14ac:dyDescent="0.35">
      <c r="B252" s="92"/>
      <c r="C252" s="92"/>
      <c r="D252" s="92"/>
      <c r="E252" s="92"/>
      <c r="F252" s="129"/>
      <c r="G252" s="129"/>
      <c r="H252" s="129"/>
      <c r="I252" s="129"/>
    </row>
    <row r="253" spans="2:9" ht="14.5" x14ac:dyDescent="0.35">
      <c r="B253" s="92" t="s">
        <v>261</v>
      </c>
      <c r="C253" s="92"/>
      <c r="D253" s="92"/>
      <c r="E253" s="92"/>
      <c r="F253" s="129"/>
      <c r="G253" s="129"/>
      <c r="H253" s="129"/>
      <c r="I253" s="129"/>
    </row>
    <row r="254" spans="2:9" ht="14.5" x14ac:dyDescent="0.35">
      <c r="B254" s="92" t="s">
        <v>262</v>
      </c>
      <c r="C254" s="92"/>
      <c r="D254" s="92"/>
      <c r="E254" s="92"/>
      <c r="F254" s="129">
        <v>0</v>
      </c>
      <c r="G254" s="129">
        <v>0</v>
      </c>
      <c r="H254" s="129">
        <v>0</v>
      </c>
      <c r="I254" s="129">
        <v>0</v>
      </c>
    </row>
    <row r="255" spans="2:9" ht="14.5" x14ac:dyDescent="0.35">
      <c r="B255" s="110" t="s">
        <v>13</v>
      </c>
      <c r="C255" s="110"/>
      <c r="D255" s="110"/>
      <c r="E255" s="110"/>
      <c r="F255" s="130">
        <v>4378</v>
      </c>
      <c r="G255" s="130">
        <v>5303</v>
      </c>
      <c r="H255" s="130">
        <v>6203</v>
      </c>
      <c r="I255" s="130">
        <v>7103</v>
      </c>
    </row>
    <row r="256" spans="2:9" ht="14.5" x14ac:dyDescent="0.35">
      <c r="B256" s="92" t="s">
        <v>56</v>
      </c>
      <c r="C256" s="92"/>
      <c r="D256" s="92"/>
      <c r="E256" s="92"/>
      <c r="F256" s="129">
        <v>6839</v>
      </c>
      <c r="G256" s="129">
        <v>6892</v>
      </c>
      <c r="H256" s="129">
        <v>7179</v>
      </c>
      <c r="I256" s="129">
        <v>7848</v>
      </c>
    </row>
    <row r="257" spans="2:9" ht="14.5" x14ac:dyDescent="0.35">
      <c r="B257" s="92" t="s">
        <v>57</v>
      </c>
      <c r="C257" s="92"/>
      <c r="D257" s="92"/>
      <c r="E257" s="92"/>
      <c r="F257" s="129">
        <v>16958</v>
      </c>
      <c r="G257" s="129">
        <v>20757</v>
      </c>
      <c r="H257" s="129">
        <v>22540</v>
      </c>
      <c r="I257" s="129">
        <v>24399</v>
      </c>
    </row>
    <row r="258" spans="2:9" ht="14.5" x14ac:dyDescent="0.35">
      <c r="B258" s="92" t="s">
        <v>263</v>
      </c>
      <c r="C258" s="92"/>
      <c r="D258" s="92"/>
      <c r="E258" s="92"/>
      <c r="F258" s="129">
        <v>0</v>
      </c>
      <c r="G258" s="129">
        <v>0</v>
      </c>
      <c r="H258" s="129">
        <v>0</v>
      </c>
      <c r="I258" s="129">
        <v>0</v>
      </c>
    </row>
    <row r="259" spans="2:9" ht="14.5" x14ac:dyDescent="0.35">
      <c r="B259" s="92" t="s">
        <v>15</v>
      </c>
      <c r="C259" s="92"/>
      <c r="D259" s="92"/>
      <c r="E259" s="92"/>
      <c r="F259" s="129">
        <v>4592</v>
      </c>
      <c r="G259" s="129">
        <v>4750</v>
      </c>
      <c r="H259" s="129">
        <v>5547</v>
      </c>
      <c r="I259" s="129">
        <v>6404</v>
      </c>
    </row>
    <row r="260" spans="2:9" ht="14.5" x14ac:dyDescent="0.35">
      <c r="B260" s="92" t="s">
        <v>16</v>
      </c>
      <c r="C260" s="92"/>
      <c r="D260" s="92"/>
      <c r="E260" s="92"/>
      <c r="F260" s="129">
        <v>1784</v>
      </c>
      <c r="G260" s="129">
        <v>2328</v>
      </c>
      <c r="H260" s="129">
        <v>2719</v>
      </c>
      <c r="I260" s="129">
        <v>3139</v>
      </c>
    </row>
    <row r="261" spans="2:9" ht="14.5" x14ac:dyDescent="0.35">
      <c r="B261" s="92" t="s">
        <v>58</v>
      </c>
      <c r="C261" s="92"/>
      <c r="D261" s="92"/>
      <c r="E261" s="92"/>
      <c r="F261" s="129">
        <v>69</v>
      </c>
      <c r="G261" s="129">
        <v>421</v>
      </c>
      <c r="H261" s="129">
        <v>631</v>
      </c>
      <c r="I261" s="129">
        <v>868</v>
      </c>
    </row>
    <row r="262" spans="2:9" ht="14.5" x14ac:dyDescent="0.35">
      <c r="B262" s="92" t="s">
        <v>8</v>
      </c>
      <c r="C262" s="92"/>
      <c r="D262" s="92"/>
      <c r="E262" s="92"/>
      <c r="F262" s="129">
        <v>0</v>
      </c>
      <c r="G262" s="129">
        <v>0</v>
      </c>
      <c r="H262" s="129">
        <v>0</v>
      </c>
      <c r="I262" s="129">
        <v>0</v>
      </c>
    </row>
    <row r="263" spans="2:9" ht="14.5" x14ac:dyDescent="0.35">
      <c r="B263" s="92" t="s">
        <v>264</v>
      </c>
      <c r="C263" s="92"/>
      <c r="D263" s="92"/>
      <c r="E263" s="92"/>
      <c r="F263" s="129">
        <v>34620</v>
      </c>
      <c r="G263" s="129">
        <v>40451</v>
      </c>
      <c r="H263" s="129">
        <v>44819</v>
      </c>
      <c r="I263" s="129">
        <v>49762</v>
      </c>
    </row>
    <row r="264" spans="2:9" ht="14.5" x14ac:dyDescent="0.35">
      <c r="B264" s="92" t="s">
        <v>265</v>
      </c>
      <c r="C264" s="92"/>
      <c r="D264" s="92"/>
      <c r="E264" s="92"/>
      <c r="F264" s="129">
        <v>4012</v>
      </c>
      <c r="G264" s="129">
        <v>4012</v>
      </c>
      <c r="H264" s="129">
        <v>4012</v>
      </c>
      <c r="I264" s="129">
        <v>4012</v>
      </c>
    </row>
    <row r="265" spans="2:9" ht="14.5" x14ac:dyDescent="0.35">
      <c r="B265" s="92" t="s">
        <v>266</v>
      </c>
      <c r="C265" s="92"/>
      <c r="D265" s="92"/>
      <c r="E265" s="92"/>
      <c r="F265" s="129">
        <v>0</v>
      </c>
      <c r="G265" s="129">
        <v>0</v>
      </c>
      <c r="H265" s="129">
        <v>0</v>
      </c>
      <c r="I265" s="129">
        <v>0</v>
      </c>
    </row>
    <row r="266" spans="2:9" ht="14.5" x14ac:dyDescent="0.35">
      <c r="B266" s="92" t="s">
        <v>61</v>
      </c>
      <c r="C266" s="92"/>
      <c r="D266" s="92"/>
      <c r="E266" s="92"/>
      <c r="F266" s="129">
        <v>396</v>
      </c>
      <c r="G266" s="129">
        <v>396</v>
      </c>
      <c r="H266" s="129">
        <v>396</v>
      </c>
      <c r="I266" s="129">
        <v>396</v>
      </c>
    </row>
    <row r="267" spans="2:9" ht="14.5" x14ac:dyDescent="0.35">
      <c r="B267" s="92" t="s">
        <v>267</v>
      </c>
      <c r="C267" s="92"/>
      <c r="D267" s="92"/>
      <c r="E267" s="92"/>
      <c r="F267" s="129">
        <v>12591</v>
      </c>
      <c r="G267" s="129">
        <v>13108</v>
      </c>
      <c r="H267" s="129">
        <v>13646</v>
      </c>
      <c r="I267" s="129">
        <v>14206</v>
      </c>
    </row>
    <row r="268" spans="2:9" ht="14.5" x14ac:dyDescent="0.35">
      <c r="B268" s="92" t="s">
        <v>268</v>
      </c>
      <c r="C268" s="92"/>
      <c r="D268" s="92"/>
      <c r="E268" s="92"/>
      <c r="F268" s="129">
        <v>3545</v>
      </c>
      <c r="G268" s="129">
        <v>3545</v>
      </c>
      <c r="H268" s="129">
        <v>3545</v>
      </c>
      <c r="I268" s="129">
        <v>3545</v>
      </c>
    </row>
    <row r="269" spans="2:9" ht="14.5" x14ac:dyDescent="0.35">
      <c r="B269" s="92" t="s">
        <v>269</v>
      </c>
      <c r="C269" s="92"/>
      <c r="D269" s="92"/>
      <c r="E269" s="92"/>
      <c r="F269" s="129">
        <v>0</v>
      </c>
      <c r="G269" s="129">
        <v>0</v>
      </c>
      <c r="H269" s="129">
        <v>0</v>
      </c>
      <c r="I269" s="129">
        <v>0</v>
      </c>
    </row>
    <row r="270" spans="2:9" ht="14.5" x14ac:dyDescent="0.35">
      <c r="B270" s="92" t="s">
        <v>270</v>
      </c>
      <c r="C270" s="92"/>
      <c r="D270" s="92"/>
      <c r="E270" s="92"/>
      <c r="F270" s="129">
        <v>0</v>
      </c>
      <c r="G270" s="129">
        <v>0</v>
      </c>
      <c r="H270" s="129">
        <v>0</v>
      </c>
      <c r="I270" s="129">
        <v>0</v>
      </c>
    </row>
    <row r="271" spans="2:9" ht="14.5" x14ac:dyDescent="0.35">
      <c r="B271" s="92" t="s">
        <v>271</v>
      </c>
      <c r="C271" s="92"/>
      <c r="D271" s="92"/>
      <c r="E271" s="92"/>
      <c r="F271" s="129">
        <v>45049</v>
      </c>
      <c r="G271" s="129">
        <v>44070</v>
      </c>
      <c r="H271" s="129">
        <v>44728</v>
      </c>
      <c r="I271" s="129">
        <v>47111</v>
      </c>
    </row>
    <row r="272" spans="2:9" ht="14.5" x14ac:dyDescent="0.35">
      <c r="B272" s="92" t="s">
        <v>272</v>
      </c>
      <c r="C272" s="92"/>
      <c r="D272" s="92"/>
      <c r="E272" s="92"/>
      <c r="F272" s="129">
        <v>0</v>
      </c>
      <c r="G272" s="129">
        <v>0</v>
      </c>
      <c r="H272" s="129">
        <v>0</v>
      </c>
      <c r="I272" s="129">
        <v>0</v>
      </c>
    </row>
    <row r="273" spans="2:16" ht="14.5" x14ac:dyDescent="0.35">
      <c r="B273" s="92" t="s">
        <v>273</v>
      </c>
      <c r="C273" s="92"/>
      <c r="D273" s="92"/>
      <c r="E273" s="92"/>
      <c r="F273" s="129">
        <v>-2306</v>
      </c>
      <c r="G273" s="129">
        <v>-2306</v>
      </c>
      <c r="H273" s="129">
        <v>-2306</v>
      </c>
      <c r="I273" s="129">
        <v>-2306</v>
      </c>
    </row>
    <row r="274" spans="2:16" ht="14.5" x14ac:dyDescent="0.35">
      <c r="B274" s="92" t="s">
        <v>274</v>
      </c>
      <c r="C274" s="92"/>
      <c r="D274" s="92"/>
      <c r="E274" s="92"/>
      <c r="F274" s="129">
        <v>134885</v>
      </c>
      <c r="G274" s="129">
        <v>165355</v>
      </c>
      <c r="H274" s="129">
        <v>201353</v>
      </c>
      <c r="I274" s="129">
        <v>241831</v>
      </c>
    </row>
    <row r="275" spans="2:16" ht="14.5" x14ac:dyDescent="0.35">
      <c r="B275" s="92" t="s">
        <v>275</v>
      </c>
      <c r="C275" s="92"/>
      <c r="D275" s="92"/>
      <c r="E275" s="92"/>
      <c r="F275" s="129">
        <v>232792</v>
      </c>
      <c r="G275" s="129">
        <v>268631</v>
      </c>
      <c r="H275" s="129">
        <v>310193</v>
      </c>
      <c r="I275" s="129">
        <v>358556</v>
      </c>
    </row>
    <row r="277" spans="2:16" ht="12" thickBot="1" x14ac:dyDescent="0.3">
      <c r="B277" s="104" t="s">
        <v>185</v>
      </c>
      <c r="C277" s="105"/>
      <c r="D277" s="104"/>
      <c r="E277" s="104"/>
      <c r="F277" s="104"/>
      <c r="G277" s="104"/>
      <c r="H277" s="104"/>
      <c r="I277" s="104"/>
      <c r="J277" s="104"/>
      <c r="K277" s="104"/>
      <c r="L277" s="104"/>
      <c r="M277" s="104"/>
      <c r="N277" s="105"/>
      <c r="O277" s="105"/>
      <c r="P277" s="105"/>
    </row>
    <row r="278" spans="2:16" ht="12" thickTop="1" x14ac:dyDescent="0.25">
      <c r="B278" s="92"/>
      <c r="D278" s="92"/>
      <c r="E278" s="92"/>
      <c r="F278" s="92"/>
      <c r="G278" s="92"/>
      <c r="H278" s="92"/>
      <c r="I278" s="92"/>
      <c r="J278" s="92"/>
      <c r="K278" s="92"/>
      <c r="L278" s="92"/>
      <c r="M278" s="92"/>
    </row>
    <row r="279" spans="2:16" x14ac:dyDescent="0.25">
      <c r="B279" s="92" t="s">
        <v>276</v>
      </c>
      <c r="C279" s="92"/>
      <c r="D279" s="92"/>
      <c r="E279" s="92"/>
      <c r="F279" s="92"/>
      <c r="G279" s="92"/>
      <c r="H279" s="92"/>
    </row>
    <row r="280" spans="2:16" ht="14.5" x14ac:dyDescent="0.35">
      <c r="B280" s="92" t="s">
        <v>253</v>
      </c>
      <c r="C280" s="92"/>
      <c r="D280" s="92"/>
      <c r="F280" s="129">
        <v>30736</v>
      </c>
      <c r="G280" s="129">
        <v>30470</v>
      </c>
      <c r="H280" s="129">
        <v>35998</v>
      </c>
      <c r="I280" s="129">
        <v>40477</v>
      </c>
    </row>
    <row r="281" spans="2:16" ht="14.5" x14ac:dyDescent="0.35">
      <c r="B281" s="110" t="s">
        <v>277</v>
      </c>
      <c r="C281" s="110"/>
      <c r="D281" s="110"/>
      <c r="E281" s="108"/>
      <c r="F281" s="130">
        <v>8164</v>
      </c>
      <c r="G281" s="130">
        <v>10158</v>
      </c>
      <c r="H281" s="130">
        <v>12438</v>
      </c>
      <c r="I281" s="130">
        <v>14770</v>
      </c>
    </row>
    <row r="282" spans="2:16" ht="14.5" x14ac:dyDescent="0.35">
      <c r="B282" s="92" t="s">
        <v>278</v>
      </c>
      <c r="C282" s="92"/>
      <c r="D282" s="92"/>
      <c r="F282" s="129">
        <v>871</v>
      </c>
      <c r="G282" s="129">
        <v>996</v>
      </c>
      <c r="H282" s="129">
        <v>925</v>
      </c>
      <c r="I282" s="129">
        <v>850</v>
      </c>
    </row>
    <row r="283" spans="2:16" ht="14.5" x14ac:dyDescent="0.35">
      <c r="B283" s="92" t="s">
        <v>279</v>
      </c>
      <c r="C283" s="92"/>
      <c r="D283" s="92"/>
      <c r="F283" s="129">
        <v>9035</v>
      </c>
      <c r="G283" s="129">
        <v>11154</v>
      </c>
      <c r="H283" s="129">
        <v>13363</v>
      </c>
      <c r="I283" s="129">
        <v>15620</v>
      </c>
    </row>
    <row r="284" spans="2:16" ht="14.5" x14ac:dyDescent="0.35">
      <c r="B284" s="110" t="s">
        <v>5</v>
      </c>
      <c r="C284" s="110"/>
      <c r="D284" s="110"/>
      <c r="E284" s="108"/>
      <c r="F284" s="130">
        <v>9353</v>
      </c>
      <c r="G284" s="130">
        <v>11021</v>
      </c>
      <c r="H284" s="130">
        <v>12658</v>
      </c>
      <c r="I284" s="130">
        <v>14383</v>
      </c>
    </row>
    <row r="285" spans="2:16" ht="14.5" x14ac:dyDescent="0.35">
      <c r="B285" s="92" t="s">
        <v>6</v>
      </c>
      <c r="C285" s="92"/>
      <c r="D285" s="92"/>
      <c r="F285" s="129">
        <v>778</v>
      </c>
      <c r="G285" s="129">
        <v>352</v>
      </c>
      <c r="H285" s="129">
        <v>211</v>
      </c>
      <c r="I285" s="129">
        <v>237</v>
      </c>
    </row>
    <row r="286" spans="2:16" ht="14.5" x14ac:dyDescent="0.35">
      <c r="B286" s="92" t="s">
        <v>8</v>
      </c>
      <c r="C286" s="92"/>
      <c r="D286" s="92"/>
      <c r="F286" s="129">
        <v>-6839</v>
      </c>
      <c r="G286" s="129">
        <v>0</v>
      </c>
      <c r="H286" s="129">
        <v>0</v>
      </c>
      <c r="I286" s="129">
        <v>0</v>
      </c>
    </row>
    <row r="287" spans="2:16" ht="14.5" x14ac:dyDescent="0.35">
      <c r="B287" s="92" t="s">
        <v>280</v>
      </c>
      <c r="C287" s="92"/>
      <c r="D287" s="92"/>
      <c r="F287" s="129"/>
      <c r="G287" s="129"/>
      <c r="H287" s="129"/>
      <c r="I287" s="129"/>
    </row>
    <row r="288" spans="2:16" ht="14.5" x14ac:dyDescent="0.35">
      <c r="B288" s="92" t="s">
        <v>281</v>
      </c>
      <c r="C288" s="92"/>
      <c r="D288" s="92"/>
      <c r="F288" s="129">
        <v>-2169</v>
      </c>
      <c r="G288" s="129">
        <v>-3797</v>
      </c>
      <c r="H288" s="129">
        <v>-4135</v>
      </c>
      <c r="I288" s="129">
        <v>-4444</v>
      </c>
    </row>
    <row r="289" spans="2:9" ht="14.5" x14ac:dyDescent="0.35">
      <c r="B289" s="92" t="s">
        <v>11</v>
      </c>
      <c r="C289" s="92"/>
      <c r="D289" s="92"/>
      <c r="F289" s="129">
        <v>-2251</v>
      </c>
      <c r="G289" s="129">
        <v>517</v>
      </c>
      <c r="H289" s="129">
        <v>538</v>
      </c>
      <c r="I289" s="129">
        <v>560</v>
      </c>
    </row>
    <row r="290" spans="2:9" ht="14.5" x14ac:dyDescent="0.35">
      <c r="B290" s="92" t="s">
        <v>12</v>
      </c>
      <c r="C290" s="92"/>
      <c r="D290" s="92"/>
      <c r="F290" s="129">
        <v>-1207</v>
      </c>
      <c r="G290" s="129">
        <v>-411</v>
      </c>
      <c r="H290" s="129">
        <v>-431</v>
      </c>
      <c r="I290" s="129">
        <v>-451</v>
      </c>
    </row>
    <row r="291" spans="2:9" ht="14.5" x14ac:dyDescent="0.35">
      <c r="B291" s="92" t="s">
        <v>13</v>
      </c>
      <c r="C291" s="92"/>
      <c r="D291" s="92"/>
      <c r="F291" s="129">
        <v>1067</v>
      </c>
      <c r="G291" s="129">
        <v>925</v>
      </c>
      <c r="H291" s="129">
        <v>900</v>
      </c>
      <c r="I291" s="129">
        <v>900</v>
      </c>
    </row>
    <row r="292" spans="2:9" ht="14.5" x14ac:dyDescent="0.35">
      <c r="B292" s="92" t="s">
        <v>14</v>
      </c>
      <c r="C292" s="92"/>
      <c r="D292" s="92"/>
      <c r="F292" s="129">
        <v>8614</v>
      </c>
      <c r="G292" s="129">
        <v>3852</v>
      </c>
      <c r="H292" s="129">
        <v>2069</v>
      </c>
      <c r="I292" s="129">
        <v>2529</v>
      </c>
    </row>
    <row r="293" spans="2:9" ht="14.5" x14ac:dyDescent="0.35">
      <c r="B293" s="92" t="s">
        <v>15</v>
      </c>
      <c r="C293" s="92"/>
      <c r="D293" s="92"/>
      <c r="F293" s="129">
        <v>483</v>
      </c>
      <c r="G293" s="129">
        <v>158</v>
      </c>
      <c r="H293" s="129">
        <v>797</v>
      </c>
      <c r="I293" s="129">
        <v>857</v>
      </c>
    </row>
    <row r="294" spans="2:9" ht="14.5" x14ac:dyDescent="0.35">
      <c r="B294" s="92" t="s">
        <v>16</v>
      </c>
      <c r="C294" s="92"/>
      <c r="D294" s="92"/>
      <c r="F294" s="129">
        <v>371</v>
      </c>
      <c r="G294" s="129">
        <v>544</v>
      </c>
      <c r="H294" s="129">
        <v>391</v>
      </c>
      <c r="I294" s="129">
        <v>420</v>
      </c>
    </row>
    <row r="295" spans="2:9" ht="14.5" x14ac:dyDescent="0.35">
      <c r="B295" s="92" t="s">
        <v>282</v>
      </c>
      <c r="C295" s="92"/>
      <c r="D295" s="92"/>
      <c r="F295" s="129">
        <v>0</v>
      </c>
      <c r="G295" s="129">
        <v>0</v>
      </c>
      <c r="H295" s="129">
        <v>0</v>
      </c>
      <c r="I295" s="129">
        <v>0</v>
      </c>
    </row>
    <row r="296" spans="2:9" ht="14.5" x14ac:dyDescent="0.35">
      <c r="B296" s="92" t="s">
        <v>283</v>
      </c>
      <c r="C296" s="92"/>
      <c r="D296" s="92"/>
      <c r="F296" s="129">
        <v>47971</v>
      </c>
      <c r="G296" s="129">
        <v>54785</v>
      </c>
      <c r="H296" s="129">
        <v>62359</v>
      </c>
      <c r="I296" s="129">
        <v>71087</v>
      </c>
    </row>
    <row r="297" spans="2:9" ht="14.5" x14ac:dyDescent="0.35">
      <c r="B297" s="92"/>
      <c r="C297" s="92"/>
      <c r="D297" s="92"/>
      <c r="F297" s="129"/>
      <c r="G297" s="129"/>
      <c r="H297" s="129"/>
      <c r="I297" s="129"/>
    </row>
    <row r="298" spans="2:9" ht="14.5" x14ac:dyDescent="0.35">
      <c r="B298" s="92" t="s">
        <v>284</v>
      </c>
      <c r="C298" s="92"/>
      <c r="D298" s="92"/>
      <c r="F298" s="129"/>
      <c r="G298" s="129"/>
      <c r="H298" s="129"/>
      <c r="I298" s="129"/>
    </row>
    <row r="299" spans="2:9" ht="14.5" x14ac:dyDescent="0.35">
      <c r="B299" s="92" t="s">
        <v>285</v>
      </c>
      <c r="C299" s="92"/>
      <c r="D299" s="92"/>
      <c r="F299" s="129">
        <v>-25460</v>
      </c>
      <c r="G299" s="129">
        <v>-27270</v>
      </c>
      <c r="H299" s="129">
        <v>-30770</v>
      </c>
      <c r="I299" s="129">
        <v>-34295</v>
      </c>
    </row>
    <row r="300" spans="2:9" ht="14.5" x14ac:dyDescent="0.35">
      <c r="B300" s="92" t="s">
        <v>286</v>
      </c>
      <c r="C300" s="92"/>
      <c r="D300" s="92"/>
      <c r="F300" s="129">
        <v>-181</v>
      </c>
      <c r="G300" s="129">
        <v>-340</v>
      </c>
      <c r="H300" s="129">
        <v>-380</v>
      </c>
      <c r="I300" s="129">
        <v>-420</v>
      </c>
    </row>
    <row r="301" spans="2:9" ht="14.5" x14ac:dyDescent="0.35">
      <c r="B301" s="92" t="s">
        <v>287</v>
      </c>
      <c r="C301" s="92"/>
      <c r="D301" s="92"/>
      <c r="F301" s="129">
        <v>502</v>
      </c>
      <c r="G301" s="129">
        <v>200</v>
      </c>
      <c r="H301" s="129">
        <v>220</v>
      </c>
      <c r="I301" s="129">
        <v>220</v>
      </c>
    </row>
    <row r="302" spans="2:9" ht="14.5" x14ac:dyDescent="0.35">
      <c r="B302" s="110" t="s">
        <v>288</v>
      </c>
      <c r="C302" s="110"/>
      <c r="D302" s="110"/>
      <c r="E302" s="108"/>
      <c r="F302" s="130">
        <v>-25139</v>
      </c>
      <c r="G302" s="130">
        <v>-27410</v>
      </c>
      <c r="H302" s="130">
        <v>-30930</v>
      </c>
      <c r="I302" s="130">
        <v>-34495</v>
      </c>
    </row>
    <row r="303" spans="2:9" ht="14.5" x14ac:dyDescent="0.35">
      <c r="B303" s="92" t="s">
        <v>21</v>
      </c>
      <c r="C303" s="92"/>
      <c r="D303" s="92"/>
      <c r="F303" s="129">
        <v>-50158</v>
      </c>
      <c r="G303" s="129">
        <v>0</v>
      </c>
      <c r="H303" s="129">
        <v>0</v>
      </c>
      <c r="I303" s="129">
        <v>0</v>
      </c>
    </row>
    <row r="304" spans="2:9" ht="14.5" x14ac:dyDescent="0.35">
      <c r="B304" s="92" t="s">
        <v>22</v>
      </c>
      <c r="C304" s="92"/>
      <c r="D304" s="92"/>
      <c r="F304" s="129">
        <v>48507</v>
      </c>
      <c r="G304" s="129">
        <v>0</v>
      </c>
      <c r="H304" s="129">
        <v>0</v>
      </c>
      <c r="I304" s="129">
        <v>0</v>
      </c>
    </row>
    <row r="305" spans="2:9" ht="14.5" x14ac:dyDescent="0.35">
      <c r="B305" s="92" t="s">
        <v>289</v>
      </c>
      <c r="C305" s="92"/>
      <c r="D305" s="92"/>
      <c r="F305" s="129">
        <v>-321</v>
      </c>
      <c r="G305" s="129">
        <v>0</v>
      </c>
      <c r="H305" s="129">
        <v>0</v>
      </c>
      <c r="I305" s="129">
        <v>0</v>
      </c>
    </row>
    <row r="306" spans="2:9" ht="14.5" x14ac:dyDescent="0.35">
      <c r="B306" s="92" t="s">
        <v>290</v>
      </c>
      <c r="C306" s="92"/>
      <c r="D306" s="92"/>
      <c r="F306" s="129">
        <v>0</v>
      </c>
      <c r="G306" s="129">
        <v>0</v>
      </c>
      <c r="H306" s="129">
        <v>0</v>
      </c>
      <c r="I306" s="129">
        <v>0</v>
      </c>
    </row>
    <row r="307" spans="2:9" ht="14.5" x14ac:dyDescent="0.35">
      <c r="B307" s="92" t="s">
        <v>26</v>
      </c>
      <c r="C307" s="92"/>
      <c r="D307" s="92"/>
      <c r="F307" s="129">
        <v>0</v>
      </c>
      <c r="G307" s="129">
        <v>0</v>
      </c>
      <c r="H307" s="129">
        <v>0</v>
      </c>
      <c r="I307" s="129">
        <v>0</v>
      </c>
    </row>
    <row r="308" spans="2:9" ht="14.5" x14ac:dyDescent="0.35">
      <c r="B308" s="92" t="s">
        <v>291</v>
      </c>
      <c r="C308" s="92"/>
      <c r="D308" s="92"/>
      <c r="F308" s="129">
        <v>-1393</v>
      </c>
      <c r="G308" s="129">
        <v>-400</v>
      </c>
      <c r="H308" s="129">
        <v>-400</v>
      </c>
      <c r="I308" s="129">
        <v>-400</v>
      </c>
    </row>
    <row r="309" spans="2:9" ht="14.5" x14ac:dyDescent="0.35">
      <c r="B309" s="92" t="s">
        <v>284</v>
      </c>
      <c r="C309" s="92"/>
      <c r="D309" s="92"/>
      <c r="F309" s="129">
        <v>-28504</v>
      </c>
      <c r="G309" s="129">
        <v>-27810</v>
      </c>
      <c r="H309" s="129">
        <v>-31330</v>
      </c>
      <c r="I309" s="129">
        <v>-34895</v>
      </c>
    </row>
    <row r="310" spans="2:9" ht="14.5" x14ac:dyDescent="0.35">
      <c r="B310" s="92"/>
      <c r="C310" s="92"/>
      <c r="D310" s="92"/>
      <c r="F310" s="129"/>
      <c r="G310" s="129"/>
      <c r="H310" s="129"/>
      <c r="I310" s="129"/>
    </row>
    <row r="311" spans="2:9" ht="14.5" x14ac:dyDescent="0.35">
      <c r="B311" s="92" t="s">
        <v>292</v>
      </c>
      <c r="C311" s="92"/>
      <c r="D311" s="92"/>
      <c r="F311" s="129"/>
      <c r="G311" s="129"/>
      <c r="H311" s="129"/>
      <c r="I311" s="129"/>
    </row>
    <row r="312" spans="2:9" ht="14.5" x14ac:dyDescent="0.35">
      <c r="B312" s="92" t="s">
        <v>293</v>
      </c>
      <c r="C312" s="92"/>
      <c r="D312" s="92"/>
      <c r="F312" s="129">
        <v>-61</v>
      </c>
      <c r="G312" s="129">
        <v>0</v>
      </c>
      <c r="H312" s="129">
        <v>0</v>
      </c>
      <c r="I312" s="129">
        <v>0</v>
      </c>
    </row>
    <row r="313" spans="2:9" ht="14.5" x14ac:dyDescent="0.35">
      <c r="B313" s="92" t="s">
        <v>266</v>
      </c>
      <c r="C313" s="92"/>
      <c r="D313" s="92"/>
      <c r="F313" s="129">
        <v>0</v>
      </c>
      <c r="G313" s="129">
        <v>0</v>
      </c>
      <c r="H313" s="129">
        <v>0</v>
      </c>
      <c r="I313" s="129">
        <v>0</v>
      </c>
    </row>
    <row r="314" spans="2:9" ht="14.5" x14ac:dyDescent="0.35">
      <c r="B314" s="92" t="s">
        <v>294</v>
      </c>
      <c r="C314" s="92"/>
      <c r="D314" s="92"/>
      <c r="F314" s="129">
        <v>0</v>
      </c>
      <c r="G314" s="129">
        <v>0</v>
      </c>
      <c r="H314" s="129">
        <v>0</v>
      </c>
      <c r="I314" s="129">
        <v>0</v>
      </c>
    </row>
    <row r="315" spans="2:9" ht="14.5" x14ac:dyDescent="0.35">
      <c r="B315" s="92" t="s">
        <v>295</v>
      </c>
      <c r="C315" s="92"/>
      <c r="D315" s="92"/>
      <c r="F315" s="129">
        <v>0</v>
      </c>
      <c r="G315" s="129">
        <v>0</v>
      </c>
      <c r="H315" s="129">
        <v>0</v>
      </c>
      <c r="I315" s="129">
        <v>0</v>
      </c>
    </row>
    <row r="316" spans="2:9" ht="14.5" x14ac:dyDescent="0.35">
      <c r="B316" s="92" t="s">
        <v>296</v>
      </c>
      <c r="C316" s="92"/>
      <c r="D316" s="92"/>
      <c r="F316" s="129">
        <v>-13118</v>
      </c>
      <c r="G316" s="129">
        <v>-12000</v>
      </c>
      <c r="H316" s="129">
        <v>-12000</v>
      </c>
      <c r="I316" s="129">
        <v>-12000</v>
      </c>
    </row>
    <row r="317" spans="2:9" ht="14.5" x14ac:dyDescent="0.35">
      <c r="B317" s="92" t="s">
        <v>297</v>
      </c>
      <c r="C317" s="92"/>
      <c r="D317" s="92"/>
      <c r="F317" s="129">
        <v>-13179</v>
      </c>
      <c r="G317" s="129">
        <v>-12000</v>
      </c>
      <c r="H317" s="129">
        <v>-12000</v>
      </c>
      <c r="I317" s="129">
        <v>-12000</v>
      </c>
    </row>
    <row r="318" spans="2:9" ht="14.5" x14ac:dyDescent="0.35">
      <c r="B318" s="92"/>
      <c r="C318" s="92"/>
      <c r="D318" s="92"/>
      <c r="F318" s="129"/>
      <c r="G318" s="129"/>
      <c r="H318" s="129"/>
      <c r="I318" s="129"/>
    </row>
    <row r="319" spans="2:9" ht="14.5" x14ac:dyDescent="0.35">
      <c r="B319" s="92" t="s">
        <v>298</v>
      </c>
      <c r="C319" s="92"/>
      <c r="D319" s="92"/>
      <c r="F319" s="129">
        <v>-302</v>
      </c>
      <c r="G319" s="129">
        <v>0</v>
      </c>
      <c r="H319" s="129">
        <v>0</v>
      </c>
      <c r="I319" s="129">
        <v>0</v>
      </c>
    </row>
    <row r="320" spans="2:9" ht="14.5" x14ac:dyDescent="0.35">
      <c r="B320" s="92" t="s">
        <v>299</v>
      </c>
      <c r="C320" s="92"/>
      <c r="D320" s="92"/>
      <c r="F320" s="129">
        <v>0</v>
      </c>
      <c r="G320" s="129">
        <v>0</v>
      </c>
      <c r="H320" s="129">
        <v>0</v>
      </c>
      <c r="I320" s="129">
        <v>0</v>
      </c>
    </row>
    <row r="321" spans="1:16" ht="14.5" x14ac:dyDescent="0.35">
      <c r="B321" s="92" t="s">
        <v>300</v>
      </c>
      <c r="C321" s="92"/>
      <c r="D321" s="92"/>
      <c r="F321" s="129">
        <v>5986</v>
      </c>
      <c r="G321" s="129">
        <v>14975</v>
      </c>
      <c r="H321" s="129">
        <v>19029</v>
      </c>
      <c r="I321" s="129">
        <v>24192</v>
      </c>
    </row>
    <row r="322" spans="1:16" ht="14.5" x14ac:dyDescent="0.35">
      <c r="B322" s="92" t="s">
        <v>301</v>
      </c>
      <c r="C322" s="92"/>
      <c r="D322" s="92"/>
      <c r="F322" s="129">
        <v>10715</v>
      </c>
      <c r="G322" s="129">
        <v>16701</v>
      </c>
      <c r="H322" s="129">
        <v>31675</v>
      </c>
      <c r="I322" s="129">
        <v>50705</v>
      </c>
    </row>
    <row r="323" spans="1:16" ht="14.5" x14ac:dyDescent="0.35">
      <c r="B323" s="92" t="s">
        <v>302</v>
      </c>
      <c r="C323" s="92"/>
      <c r="D323" s="92"/>
      <c r="F323" s="129">
        <v>16701</v>
      </c>
      <c r="G323" s="129">
        <v>31675</v>
      </c>
      <c r="H323" s="129">
        <v>50705</v>
      </c>
      <c r="I323" s="129">
        <v>74896</v>
      </c>
    </row>
    <row r="324" spans="1:16" x14ac:dyDescent="0.25">
      <c r="F324" s="131"/>
      <c r="G324" s="131"/>
      <c r="H324" s="131"/>
      <c r="I324" s="131"/>
    </row>
    <row r="326" spans="1:16" x14ac:dyDescent="0.25">
      <c r="A326" s="93" t="s">
        <v>94</v>
      </c>
      <c r="B326" s="101" t="s">
        <v>303</v>
      </c>
      <c r="C326" s="101"/>
      <c r="D326" s="101"/>
      <c r="E326" s="101"/>
      <c r="F326" s="101"/>
      <c r="G326" s="101"/>
      <c r="H326" s="101"/>
      <c r="I326" s="101"/>
      <c r="J326" s="101"/>
      <c r="K326" s="101"/>
      <c r="L326" s="101"/>
      <c r="M326" s="102"/>
      <c r="N326" s="103"/>
      <c r="O326" s="103"/>
      <c r="P326" s="103"/>
    </row>
    <row r="328" spans="1:16" ht="12" thickBot="1" x14ac:dyDescent="0.3">
      <c r="B328" s="104" t="s">
        <v>130</v>
      </c>
      <c r="C328" s="105"/>
      <c r="D328" s="104"/>
      <c r="E328" s="104"/>
      <c r="F328" s="104"/>
      <c r="G328" s="104"/>
      <c r="H328" s="104"/>
      <c r="I328" s="104"/>
      <c r="J328" s="104"/>
      <c r="K328" s="104"/>
      <c r="L328" s="104"/>
      <c r="M328" s="104"/>
      <c r="N328" s="105"/>
      <c r="O328" s="105"/>
      <c r="P328" s="105"/>
    </row>
    <row r="329" spans="1:16" ht="12" thickTop="1" x14ac:dyDescent="0.25">
      <c r="B329" s="92"/>
      <c r="D329" s="92"/>
      <c r="E329" s="92"/>
      <c r="F329" s="92"/>
      <c r="G329" s="92"/>
      <c r="H329" s="92"/>
      <c r="I329" s="92"/>
      <c r="J329" s="92"/>
      <c r="K329" s="92"/>
      <c r="L329" s="92"/>
      <c r="M329" s="92"/>
    </row>
    <row r="330" spans="1:16" x14ac:dyDescent="0.25">
      <c r="B330" s="108" t="s">
        <v>95</v>
      </c>
      <c r="C330" s="108"/>
      <c r="D330" s="108"/>
      <c r="E330" s="128">
        <v>110855</v>
      </c>
      <c r="F330" s="128">
        <v>136819</v>
      </c>
      <c r="G330" s="128">
        <v>159867</v>
      </c>
      <c r="H330" s="128">
        <v>185273</v>
      </c>
      <c r="I330" s="128">
        <v>213464</v>
      </c>
      <c r="J330" s="128">
        <v>244400</v>
      </c>
      <c r="K330" s="128">
        <v>276006</v>
      </c>
    </row>
    <row r="331" spans="1:16" x14ac:dyDescent="0.25">
      <c r="B331" s="93" t="s">
        <v>304</v>
      </c>
      <c r="E331" s="131">
        <v>43476</v>
      </c>
      <c r="F331" s="131">
        <v>49780</v>
      </c>
      <c r="G331" s="131">
        <v>57692</v>
      </c>
      <c r="H331" s="131">
        <v>67492</v>
      </c>
      <c r="I331" s="131">
        <v>78925</v>
      </c>
      <c r="J331" s="131">
        <v>92932</v>
      </c>
      <c r="K331" s="131">
        <v>108747</v>
      </c>
    </row>
    <row r="332" spans="1:16" x14ac:dyDescent="0.25">
      <c r="B332" s="108" t="s">
        <v>139</v>
      </c>
      <c r="C332" s="108"/>
      <c r="D332" s="108"/>
      <c r="E332" s="128">
        <v>26146</v>
      </c>
      <c r="F332" s="128">
        <v>26321</v>
      </c>
      <c r="G332" s="128">
        <v>34343</v>
      </c>
      <c r="H332" s="128">
        <v>42398</v>
      </c>
      <c r="I332" s="128">
        <v>50100</v>
      </c>
      <c r="J332" s="128">
        <v>59991</v>
      </c>
      <c r="K332" s="128">
        <v>71201</v>
      </c>
    </row>
    <row r="333" spans="1:16" x14ac:dyDescent="0.25">
      <c r="B333" s="93" t="s">
        <v>143</v>
      </c>
      <c r="E333" s="131">
        <v>15398</v>
      </c>
      <c r="F333" s="131">
        <v>35175</v>
      </c>
      <c r="G333" s="131">
        <v>37665</v>
      </c>
      <c r="H333" s="131">
        <v>41733</v>
      </c>
      <c r="I333" s="131">
        <v>47375</v>
      </c>
      <c r="J333" s="131">
        <v>54061</v>
      </c>
      <c r="K333" s="131">
        <v>58889</v>
      </c>
    </row>
    <row r="335" spans="1:16" ht="12" thickBot="1" x14ac:dyDescent="0.3">
      <c r="B335" s="104" t="s">
        <v>144</v>
      </c>
      <c r="C335" s="105"/>
      <c r="D335" s="104"/>
      <c r="E335" s="104"/>
      <c r="F335" s="104"/>
      <c r="G335" s="104"/>
      <c r="H335" s="104"/>
      <c r="I335" s="104"/>
      <c r="J335" s="104"/>
      <c r="K335" s="104"/>
      <c r="L335" s="104"/>
      <c r="M335" s="104"/>
      <c r="N335" s="105"/>
      <c r="O335" s="105"/>
      <c r="P335" s="105"/>
    </row>
    <row r="336" spans="1:16" ht="12" thickTop="1" x14ac:dyDescent="0.25">
      <c r="B336" s="92"/>
      <c r="D336" s="92"/>
      <c r="E336" s="92"/>
      <c r="F336" s="92"/>
      <c r="G336" s="92"/>
      <c r="H336" s="92"/>
      <c r="I336" s="92"/>
      <c r="J336" s="92"/>
      <c r="K336" s="92"/>
      <c r="L336" s="92"/>
      <c r="M336" s="92"/>
    </row>
    <row r="337" spans="2:16" x14ac:dyDescent="0.25">
      <c r="B337" s="93" t="s">
        <v>305</v>
      </c>
      <c r="E337" s="131">
        <v>10715</v>
      </c>
      <c r="F337" s="131">
        <v>16701</v>
      </c>
      <c r="G337" s="131">
        <v>31663</v>
      </c>
      <c r="H337" s="131">
        <v>48856</v>
      </c>
      <c r="I337" s="131">
        <v>62046</v>
      </c>
      <c r="J337" s="131">
        <v>78840</v>
      </c>
      <c r="K337" s="131">
        <v>97403</v>
      </c>
    </row>
    <row r="338" spans="2:16" x14ac:dyDescent="0.25">
      <c r="B338" s="93" t="s">
        <v>306</v>
      </c>
      <c r="E338" s="131">
        <v>124308</v>
      </c>
      <c r="F338" s="131">
        <v>135676</v>
      </c>
      <c r="G338" s="131">
        <v>153193</v>
      </c>
      <c r="H338" s="131">
        <v>172238</v>
      </c>
      <c r="I338" s="131">
        <v>187563</v>
      </c>
      <c r="J338" s="131">
        <v>206801</v>
      </c>
      <c r="K338" s="131">
        <v>228124</v>
      </c>
    </row>
    <row r="339" spans="2:16" x14ac:dyDescent="0.25">
      <c r="B339" s="93" t="s">
        <v>307</v>
      </c>
      <c r="E339" s="131">
        <v>42383</v>
      </c>
      <c r="F339" s="131">
        <v>59719</v>
      </c>
      <c r="G339" s="131">
        <v>73015</v>
      </c>
      <c r="H339" s="131">
        <v>87490</v>
      </c>
      <c r="I339" s="131">
        <v>101435</v>
      </c>
      <c r="J339" s="131">
        <v>114120</v>
      </c>
      <c r="K339" s="131">
        <v>124384</v>
      </c>
    </row>
    <row r="340" spans="2:16" x14ac:dyDescent="0.25">
      <c r="B340" s="93" t="s">
        <v>160</v>
      </c>
      <c r="E340" s="131">
        <v>197295</v>
      </c>
      <c r="F340" s="131">
        <v>232792</v>
      </c>
      <c r="G340" s="131">
        <v>272822</v>
      </c>
      <c r="H340" s="131">
        <v>306342</v>
      </c>
      <c r="I340" s="131">
        <v>335611</v>
      </c>
      <c r="J340" s="131">
        <v>367535</v>
      </c>
      <c r="K340" s="131">
        <v>399122</v>
      </c>
    </row>
    <row r="341" spans="2:16" x14ac:dyDescent="0.25">
      <c r="B341" s="93" t="s">
        <v>308</v>
      </c>
      <c r="E341" s="131">
        <v>24183</v>
      </c>
      <c r="F341" s="131">
        <v>34620</v>
      </c>
      <c r="G341" s="131">
        <v>34910</v>
      </c>
      <c r="H341" s="131">
        <v>34910</v>
      </c>
      <c r="I341" s="131">
        <v>34910</v>
      </c>
      <c r="J341" s="131">
        <v>34910</v>
      </c>
      <c r="K341" s="131">
        <v>34910</v>
      </c>
    </row>
    <row r="342" spans="2:16" x14ac:dyDescent="0.25">
      <c r="B342" s="93" t="s">
        <v>309</v>
      </c>
      <c r="E342" s="131">
        <v>3969</v>
      </c>
      <c r="F342" s="131">
        <v>4012</v>
      </c>
      <c r="G342" s="131">
        <v>4012</v>
      </c>
      <c r="H342" s="131">
        <v>4012</v>
      </c>
      <c r="I342" s="131">
        <v>3012</v>
      </c>
      <c r="J342" s="131">
        <v>3012</v>
      </c>
      <c r="K342" s="131">
        <v>3012</v>
      </c>
    </row>
    <row r="343" spans="2:16" x14ac:dyDescent="0.25">
      <c r="B343" s="93" t="s">
        <v>176</v>
      </c>
      <c r="E343" s="131">
        <v>44793</v>
      </c>
      <c r="F343" s="131">
        <v>55164</v>
      </c>
      <c r="G343" s="131">
        <v>61823</v>
      </c>
      <c r="H343" s="131">
        <v>61823</v>
      </c>
      <c r="I343" s="131">
        <v>60823</v>
      </c>
      <c r="J343" s="131">
        <v>60823</v>
      </c>
      <c r="K343" s="131">
        <v>60823</v>
      </c>
    </row>
    <row r="344" spans="2:16" x14ac:dyDescent="0.25">
      <c r="B344" s="93" t="s">
        <v>310</v>
      </c>
      <c r="E344" s="131">
        <v>152502</v>
      </c>
      <c r="F344" s="131">
        <v>177628</v>
      </c>
      <c r="G344" s="131">
        <v>211577</v>
      </c>
      <c r="H344" s="131">
        <v>245097</v>
      </c>
      <c r="I344" s="131">
        <v>275366</v>
      </c>
      <c r="J344" s="131">
        <v>307290</v>
      </c>
      <c r="K344" s="131">
        <v>338877</v>
      </c>
    </row>
    <row r="345" spans="2:16" x14ac:dyDescent="0.25">
      <c r="B345" s="93" t="s">
        <v>311</v>
      </c>
      <c r="E345" s="131">
        <v>197295</v>
      </c>
      <c r="F345" s="131">
        <v>232792</v>
      </c>
      <c r="G345" s="131">
        <v>273400</v>
      </c>
      <c r="H345" s="131">
        <v>306920</v>
      </c>
      <c r="I345" s="131">
        <v>336189</v>
      </c>
      <c r="J345" s="131">
        <v>368113</v>
      </c>
      <c r="K345" s="131">
        <v>399700</v>
      </c>
    </row>
    <row r="347" spans="2:16" ht="12" thickBot="1" x14ac:dyDescent="0.3">
      <c r="B347" s="104" t="s">
        <v>185</v>
      </c>
      <c r="C347" s="105"/>
      <c r="D347" s="104"/>
      <c r="E347" s="104"/>
      <c r="F347" s="104"/>
      <c r="G347" s="104"/>
      <c r="H347" s="104"/>
      <c r="I347" s="104"/>
      <c r="J347" s="104"/>
      <c r="K347" s="104"/>
      <c r="L347" s="104"/>
      <c r="M347" s="104"/>
      <c r="N347" s="105"/>
      <c r="O347" s="105"/>
      <c r="P347" s="105"/>
    </row>
    <row r="348" spans="2:16" ht="12" thickTop="1" x14ac:dyDescent="0.25">
      <c r="B348" s="92"/>
      <c r="D348" s="92"/>
      <c r="E348" s="92"/>
      <c r="F348" s="92"/>
      <c r="G348" s="92"/>
      <c r="H348" s="92"/>
      <c r="I348" s="92"/>
      <c r="J348" s="92"/>
      <c r="K348" s="92"/>
      <c r="L348" s="92"/>
      <c r="M348" s="92"/>
    </row>
    <row r="349" spans="2:16" x14ac:dyDescent="0.25">
      <c r="B349" s="93" t="s">
        <v>312</v>
      </c>
      <c r="E349" s="131">
        <v>12662</v>
      </c>
      <c r="F349" s="131">
        <v>30104</v>
      </c>
      <c r="G349" s="131">
        <v>35983</v>
      </c>
      <c r="H349" s="131">
        <v>41733</v>
      </c>
      <c r="I349" s="131">
        <v>47375</v>
      </c>
      <c r="J349" s="131">
        <v>54061</v>
      </c>
      <c r="K349" s="131">
        <v>58889</v>
      </c>
    </row>
    <row r="350" spans="2:16" x14ac:dyDescent="0.25">
      <c r="B350" s="93" t="s">
        <v>313</v>
      </c>
      <c r="E350" s="131">
        <v>6915</v>
      </c>
      <c r="F350" s="131">
        <v>9035</v>
      </c>
      <c r="G350" s="131">
        <v>11126</v>
      </c>
      <c r="H350" s="131">
        <v>13316</v>
      </c>
      <c r="I350" s="131">
        <v>15941</v>
      </c>
      <c r="J350" s="131">
        <v>19086</v>
      </c>
      <c r="K350" s="131">
        <v>22857</v>
      </c>
    </row>
    <row r="351" spans="2:16" x14ac:dyDescent="0.25">
      <c r="B351" s="93" t="s">
        <v>314</v>
      </c>
      <c r="E351" s="131">
        <v>17514</v>
      </c>
      <c r="F351" s="131">
        <v>8200</v>
      </c>
      <c r="G351" s="131">
        <v>8032</v>
      </c>
      <c r="H351" s="131">
        <v>9925</v>
      </c>
      <c r="I351" s="131">
        <v>10750</v>
      </c>
      <c r="J351" s="131">
        <v>11410</v>
      </c>
      <c r="K351" s="131">
        <v>11929</v>
      </c>
    </row>
    <row r="352" spans="2:16" x14ac:dyDescent="0.25">
      <c r="B352" s="93" t="s">
        <v>315</v>
      </c>
      <c r="E352" s="131">
        <v>37091</v>
      </c>
      <c r="F352" s="131">
        <v>47339</v>
      </c>
      <c r="G352" s="131">
        <v>55140</v>
      </c>
      <c r="H352" s="131">
        <v>64974</v>
      </c>
      <c r="I352" s="131">
        <v>74066</v>
      </c>
      <c r="J352" s="131">
        <v>84558</v>
      </c>
      <c r="K352" s="131">
        <v>93675</v>
      </c>
    </row>
    <row r="353" spans="2:11" x14ac:dyDescent="0.25">
      <c r="B353" s="108" t="s">
        <v>316</v>
      </c>
      <c r="C353" s="108"/>
      <c r="D353" s="108"/>
      <c r="E353" s="128">
        <v>-13184</v>
      </c>
      <c r="F353" s="128">
        <v>-25139</v>
      </c>
      <c r="G353" s="128">
        <v>-25638</v>
      </c>
      <c r="H353" s="128">
        <v>-27791</v>
      </c>
      <c r="I353" s="128">
        <v>-29885</v>
      </c>
      <c r="J353" s="128">
        <v>-31772</v>
      </c>
      <c r="K353" s="128">
        <v>-33121</v>
      </c>
    </row>
    <row r="354" spans="2:11" x14ac:dyDescent="0.25">
      <c r="B354" s="93" t="s">
        <v>317</v>
      </c>
      <c r="E354" s="131">
        <v>23907</v>
      </c>
      <c r="F354" s="131">
        <v>22200</v>
      </c>
      <c r="G354" s="131">
        <v>29502</v>
      </c>
      <c r="H354" s="131">
        <v>37183</v>
      </c>
      <c r="I354" s="131">
        <v>44181</v>
      </c>
      <c r="J354" s="131">
        <v>52785</v>
      </c>
      <c r="K354" s="131">
        <v>60554</v>
      </c>
    </row>
    <row r="355" spans="2:11" x14ac:dyDescent="0.25">
      <c r="B355" s="93" t="s">
        <v>318</v>
      </c>
      <c r="E355" s="131">
        <v>-4846</v>
      </c>
      <c r="F355" s="131">
        <v>-9075</v>
      </c>
      <c r="G355" s="131">
        <v>-12025</v>
      </c>
      <c r="H355" s="131">
        <v>-20000</v>
      </c>
      <c r="I355" s="131">
        <v>-30000</v>
      </c>
      <c r="J355" s="131">
        <v>-36000</v>
      </c>
      <c r="K355" s="131">
        <v>-42000</v>
      </c>
    </row>
    <row r="356" spans="2:11" x14ac:dyDescent="0.25">
      <c r="E356" s="109"/>
      <c r="F356" s="109"/>
      <c r="G356" s="109"/>
      <c r="H356" s="109"/>
      <c r="I356" s="109"/>
      <c r="J356" s="109"/>
      <c r="K356" s="109"/>
    </row>
  </sheetData>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8CDC-C5A3-42E2-8CEC-06ABABAE85E0}">
  <sheetPr>
    <tabColor theme="4" tint="-0.249977111117893"/>
  </sheetPr>
  <dimension ref="A1"/>
  <sheetViews>
    <sheetView workbookViewId="0">
      <selection activeCell="O34" sqref="O34"/>
    </sheetView>
  </sheetViews>
  <sheetFormatPr defaultRowHeight="14.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4CA6-F532-4C6D-8878-8D89849699EB}">
  <dimension ref="A1:P312"/>
  <sheetViews>
    <sheetView showGridLines="0" workbookViewId="0">
      <pane xSplit="2" ySplit="1" topLeftCell="C254" activePane="bottomRight" state="frozen"/>
      <selection pane="topRight" activeCell="C1" sqref="C1"/>
      <selection pane="bottomLeft" activeCell="A2" sqref="A2"/>
      <selection pane="bottomRight" activeCell="E299" sqref="E299"/>
    </sheetView>
  </sheetViews>
  <sheetFormatPr defaultRowHeight="14.5" x14ac:dyDescent="0.35"/>
  <cols>
    <col min="2" max="2" width="57.08984375" customWidth="1"/>
    <col min="3" max="3" width="12.08984375" customWidth="1"/>
    <col min="4" max="4" width="5.453125" customWidth="1"/>
    <col min="5" max="5" width="9.36328125" customWidth="1"/>
    <col min="6" max="6" width="10.1796875" customWidth="1"/>
    <col min="7" max="7" width="11.08984375" customWidth="1"/>
    <col min="8" max="8" width="11.453125" customWidth="1"/>
    <col min="9" max="9" width="12.7265625" customWidth="1"/>
    <col min="10" max="10" width="13.81640625" customWidth="1"/>
    <col min="11" max="11" width="13.08984375" customWidth="1"/>
    <col min="12" max="12" width="13.1796875" customWidth="1"/>
    <col min="13" max="13" width="11.08984375" customWidth="1"/>
    <col min="14" max="16" width="10.36328125" bestFit="1" customWidth="1"/>
  </cols>
  <sheetData>
    <row r="1" spans="2:16" s="28" customFormat="1" ht="12" x14ac:dyDescent="0.25">
      <c r="B1" s="57" t="s">
        <v>81</v>
      </c>
      <c r="C1" s="58"/>
      <c r="E1" s="86">
        <v>2017</v>
      </c>
      <c r="F1" s="87">
        <f>E1+1</f>
        <v>2018</v>
      </c>
      <c r="G1" s="32">
        <f t="shared" ref="G1:P1" si="0">F1+1</f>
        <v>2019</v>
      </c>
      <c r="H1" s="32">
        <f t="shared" si="0"/>
        <v>2020</v>
      </c>
      <c r="I1" s="32">
        <f t="shared" si="0"/>
        <v>2021</v>
      </c>
      <c r="J1" s="32">
        <f t="shared" si="0"/>
        <v>2022</v>
      </c>
      <c r="K1" s="32">
        <f t="shared" si="0"/>
        <v>2023</v>
      </c>
      <c r="L1" s="32">
        <f t="shared" si="0"/>
        <v>2024</v>
      </c>
      <c r="M1" s="32">
        <f t="shared" si="0"/>
        <v>2025</v>
      </c>
      <c r="N1" s="32">
        <f t="shared" si="0"/>
        <v>2026</v>
      </c>
      <c r="O1" s="32">
        <f t="shared" si="0"/>
        <v>2027</v>
      </c>
      <c r="P1" s="32">
        <f t="shared" si="0"/>
        <v>2028</v>
      </c>
    </row>
    <row r="3" spans="2:16" s="177" customFormat="1" x14ac:dyDescent="0.35"/>
    <row r="4" spans="2:16" s="177" customFormat="1" x14ac:dyDescent="0.35">
      <c r="B4" s="155" t="s">
        <v>468</v>
      </c>
      <c r="C4" s="333" t="s">
        <v>471</v>
      </c>
    </row>
    <row r="6" spans="2:16" s="177" customFormat="1" x14ac:dyDescent="0.35">
      <c r="B6" s="88" t="s">
        <v>95</v>
      </c>
      <c r="C6" s="89"/>
      <c r="D6" s="89"/>
      <c r="E6" s="89"/>
      <c r="F6" s="89"/>
      <c r="G6" s="89"/>
      <c r="H6" s="89"/>
      <c r="I6" s="89"/>
      <c r="J6" s="89"/>
      <c r="K6" s="89"/>
      <c r="L6" s="89"/>
      <c r="M6" s="89"/>
      <c r="N6" s="89"/>
      <c r="O6" s="89"/>
      <c r="P6" s="89"/>
    </row>
    <row r="8" spans="2:16" x14ac:dyDescent="0.35">
      <c r="B8" s="335" t="s">
        <v>472</v>
      </c>
    </row>
    <row r="10" spans="2:16" x14ac:dyDescent="0.35">
      <c r="B10" t="s">
        <v>438</v>
      </c>
    </row>
    <row r="11" spans="2:16" x14ac:dyDescent="0.35">
      <c r="B11" s="285" t="s">
        <v>439</v>
      </c>
      <c r="E11" s="289">
        <f>E12+E13</f>
        <v>95375</v>
      </c>
      <c r="F11" s="289">
        <f>F12+F13</f>
        <v>116318</v>
      </c>
      <c r="G11" s="175">
        <f>G12+G13</f>
        <v>136965.75</v>
      </c>
      <c r="H11" s="175">
        <f t="shared" ref="H11:P11" si="1">H12+H13</f>
        <v>159758.39999999999</v>
      </c>
      <c r="I11" s="175">
        <f t="shared" si="1"/>
        <v>178422.77</v>
      </c>
      <c r="J11" s="175">
        <f t="shared" si="1"/>
        <v>202701.6</v>
      </c>
      <c r="K11" s="175">
        <f t="shared" si="1"/>
        <v>220976.77</v>
      </c>
      <c r="L11" s="175">
        <f t="shared" si="1"/>
        <v>238660.08670000004</v>
      </c>
      <c r="M11" s="175">
        <f t="shared" si="1"/>
        <v>255327.53127000001</v>
      </c>
      <c r="N11" s="175">
        <f t="shared" si="1"/>
        <v>271175.44700400007</v>
      </c>
      <c r="O11" s="175">
        <f t="shared" si="1"/>
        <v>285227.26562148007</v>
      </c>
      <c r="P11" s="175">
        <f t="shared" si="1"/>
        <v>297085.02834956406</v>
      </c>
    </row>
    <row r="12" spans="2:16" x14ac:dyDescent="0.35">
      <c r="B12" s="235" t="s">
        <v>440</v>
      </c>
      <c r="E12" s="287">
        <v>77788</v>
      </c>
      <c r="F12" s="287">
        <v>96336</v>
      </c>
      <c r="G12" s="175">
        <f>G31</f>
        <v>114971.24999999999</v>
      </c>
      <c r="H12" s="175">
        <f t="shared" ref="H12:P12" si="2">H31</f>
        <v>134736</v>
      </c>
      <c r="I12" s="175">
        <f t="shared" si="2"/>
        <v>151169.65</v>
      </c>
      <c r="J12" s="175">
        <f t="shared" si="2"/>
        <v>172512</v>
      </c>
      <c r="K12" s="175">
        <f t="shared" si="2"/>
        <v>188891.15</v>
      </c>
      <c r="L12" s="175">
        <f t="shared" si="2"/>
        <v>204882.20900000003</v>
      </c>
      <c r="M12" s="175">
        <f t="shared" si="2"/>
        <v>220109.94075000001</v>
      </c>
      <c r="N12" s="175">
        <f t="shared" si="2"/>
        <v>234196.97695800004</v>
      </c>
      <c r="O12" s="175">
        <f t="shared" si="2"/>
        <v>246769.65677364008</v>
      </c>
      <c r="P12" s="175">
        <f t="shared" si="2"/>
        <v>257473.69123628887</v>
      </c>
    </row>
    <row r="13" spans="2:16" x14ac:dyDescent="0.35">
      <c r="B13" s="235" t="s">
        <v>475</v>
      </c>
      <c r="E13" s="287">
        <v>17587</v>
      </c>
      <c r="F13" s="287">
        <v>19982</v>
      </c>
      <c r="G13" s="175">
        <f t="shared" ref="G13:P13" si="3">G39</f>
        <v>21994.5</v>
      </c>
      <c r="H13" s="175">
        <f t="shared" si="3"/>
        <v>25022.400000000001</v>
      </c>
      <c r="I13" s="175">
        <f t="shared" si="3"/>
        <v>27253.119999999999</v>
      </c>
      <c r="J13" s="175">
        <f t="shared" si="3"/>
        <v>30189.599999999999</v>
      </c>
      <c r="K13" s="175">
        <f t="shared" si="3"/>
        <v>32085.62</v>
      </c>
      <c r="L13" s="175">
        <f t="shared" si="3"/>
        <v>33777.877700000005</v>
      </c>
      <c r="M13" s="175">
        <f t="shared" si="3"/>
        <v>35217.590520000005</v>
      </c>
      <c r="N13" s="175">
        <f t="shared" si="3"/>
        <v>36978.470046000002</v>
      </c>
      <c r="O13" s="175">
        <f t="shared" si="3"/>
        <v>38457.608847840005</v>
      </c>
      <c r="P13" s="175">
        <f t="shared" si="3"/>
        <v>39611.337113275207</v>
      </c>
    </row>
    <row r="14" spans="2:16" x14ac:dyDescent="0.35">
      <c r="B14" s="285" t="s">
        <v>441</v>
      </c>
      <c r="E14" s="287">
        <v>15003</v>
      </c>
      <c r="F14" s="287">
        <v>19906</v>
      </c>
      <c r="G14" s="234">
        <f t="shared" ref="G14:P14" si="4">G96</f>
        <v>25476.2</v>
      </c>
      <c r="H14" s="234">
        <f t="shared" si="4"/>
        <v>31545.151999999998</v>
      </c>
      <c r="I14" s="234">
        <f t="shared" si="4"/>
        <v>37980.688880000002</v>
      </c>
      <c r="J14" s="234">
        <f t="shared" si="4"/>
        <v>44508.379220799994</v>
      </c>
      <c r="K14" s="234">
        <f t="shared" si="4"/>
        <v>51135.463017824004</v>
      </c>
      <c r="L14" s="234">
        <f t="shared" si="4"/>
        <v>58085.247779856007</v>
      </c>
      <c r="M14" s="234">
        <f t="shared" si="4"/>
        <v>65864.695440839045</v>
      </c>
      <c r="N14" s="234">
        <f t="shared" si="4"/>
        <v>72993.23436050539</v>
      </c>
      <c r="O14" s="234">
        <f t="shared" si="4"/>
        <v>79864.637477294367</v>
      </c>
      <c r="P14" s="234">
        <f t="shared" si="4"/>
        <v>87094.820204013493</v>
      </c>
    </row>
    <row r="15" spans="2:16" x14ac:dyDescent="0.35">
      <c r="B15" t="s">
        <v>222</v>
      </c>
      <c r="E15" s="290">
        <f>E11+E14</f>
        <v>110378</v>
      </c>
      <c r="F15" s="290">
        <f>F11+F14</f>
        <v>136224</v>
      </c>
      <c r="G15" s="290">
        <f t="shared" ref="G15:P15" si="5">G11+G14</f>
        <v>162441.95000000001</v>
      </c>
      <c r="H15" s="290">
        <f t="shared" si="5"/>
        <v>191303.552</v>
      </c>
      <c r="I15" s="290">
        <f t="shared" si="5"/>
        <v>216403.45887999999</v>
      </c>
      <c r="J15" s="290">
        <f t="shared" si="5"/>
        <v>247209.97922079999</v>
      </c>
      <c r="K15" s="290">
        <f t="shared" si="5"/>
        <v>272112.23301782401</v>
      </c>
      <c r="L15" s="290">
        <f t="shared" si="5"/>
        <v>296745.33447985607</v>
      </c>
      <c r="M15" s="290">
        <f t="shared" si="5"/>
        <v>321192.22671083908</v>
      </c>
      <c r="N15" s="290">
        <f t="shared" si="5"/>
        <v>344168.68136450544</v>
      </c>
      <c r="O15" s="290">
        <f t="shared" si="5"/>
        <v>365091.90309877443</v>
      </c>
      <c r="P15" s="290">
        <f t="shared" si="5"/>
        <v>384179.84855357755</v>
      </c>
    </row>
    <row r="16" spans="2:16" x14ac:dyDescent="0.35">
      <c r="E16" s="289"/>
      <c r="F16" s="289"/>
    </row>
    <row r="17" spans="2:16" x14ac:dyDescent="0.35">
      <c r="B17" t="s">
        <v>223</v>
      </c>
      <c r="E17" s="288"/>
      <c r="F17" s="288"/>
    </row>
    <row r="18" spans="2:16" x14ac:dyDescent="0.35">
      <c r="B18" s="285" t="s">
        <v>442</v>
      </c>
      <c r="E18" s="286">
        <v>477</v>
      </c>
      <c r="F18" s="286">
        <v>595</v>
      </c>
      <c r="G18" s="234">
        <f t="shared" ref="G18:P18" si="6">G101</f>
        <v>743.75</v>
      </c>
      <c r="H18" s="234">
        <f t="shared" si="6"/>
        <v>929.6875</v>
      </c>
      <c r="I18" s="234">
        <f t="shared" si="6"/>
        <v>1162.109375</v>
      </c>
      <c r="J18" s="234">
        <f t="shared" si="6"/>
        <v>1452.63671875</v>
      </c>
      <c r="K18" s="234">
        <f t="shared" si="6"/>
        <v>1815.7958984375</v>
      </c>
      <c r="L18" s="234">
        <f t="shared" si="6"/>
        <v>2269.744873046875</v>
      </c>
      <c r="M18" s="234">
        <f t="shared" si="6"/>
        <v>2837.1810913085938</v>
      </c>
      <c r="N18" s="234">
        <f t="shared" si="6"/>
        <v>3546.4763641357422</v>
      </c>
      <c r="O18" s="234">
        <f t="shared" si="6"/>
        <v>4433.0954551696777</v>
      </c>
      <c r="P18" s="234">
        <f t="shared" si="6"/>
        <v>5541.3693189620972</v>
      </c>
    </row>
    <row r="20" spans="2:16" s="337" customFormat="1" ht="15" thickBot="1" x14ac:dyDescent="0.4">
      <c r="B20" s="336" t="s">
        <v>473</v>
      </c>
      <c r="E20" s="338">
        <f>E15+E18</f>
        <v>110855</v>
      </c>
      <c r="F20" s="338">
        <f t="shared" ref="F20:P20" si="7">F15+F18</f>
        <v>136819</v>
      </c>
      <c r="G20" s="338">
        <f t="shared" si="7"/>
        <v>163185.70000000001</v>
      </c>
      <c r="H20" s="338">
        <f t="shared" si="7"/>
        <v>192233.2395</v>
      </c>
      <c r="I20" s="338">
        <f t="shared" si="7"/>
        <v>217565.56825499999</v>
      </c>
      <c r="J20" s="338">
        <f t="shared" si="7"/>
        <v>248662.61593954999</v>
      </c>
      <c r="K20" s="338">
        <f t="shared" si="7"/>
        <v>273928.02891626151</v>
      </c>
      <c r="L20" s="338">
        <f t="shared" si="7"/>
        <v>299015.07935290295</v>
      </c>
      <c r="M20" s="338">
        <f t="shared" si="7"/>
        <v>324029.40780214767</v>
      </c>
      <c r="N20" s="338">
        <f t="shared" si="7"/>
        <v>347715.15772864118</v>
      </c>
      <c r="O20" s="338">
        <f t="shared" si="7"/>
        <v>369524.99855394411</v>
      </c>
      <c r="P20" s="338">
        <f t="shared" si="7"/>
        <v>389721.21787253965</v>
      </c>
    </row>
    <row r="24" spans="2:16" s="321" customFormat="1" x14ac:dyDescent="0.35">
      <c r="B24" s="315" t="s">
        <v>440</v>
      </c>
    </row>
    <row r="26" spans="2:16" x14ac:dyDescent="0.35">
      <c r="B26" t="s">
        <v>443</v>
      </c>
      <c r="C26" t="s">
        <v>446</v>
      </c>
      <c r="E26" s="293">
        <v>232270</v>
      </c>
      <c r="F26" s="293">
        <v>283350</v>
      </c>
      <c r="G26" s="293">
        <v>333250</v>
      </c>
      <c r="H26" s="293">
        <v>384960</v>
      </c>
      <c r="I26" s="293">
        <v>425830</v>
      </c>
      <c r="J26" s="293">
        <v>479200</v>
      </c>
      <c r="K26" s="293">
        <v>517510</v>
      </c>
      <c r="L26" s="291">
        <f>K26*(1+L27)</f>
        <v>553735.70000000007</v>
      </c>
      <c r="M26" s="234">
        <f>L26*(1+M27)</f>
        <v>586959.84200000006</v>
      </c>
      <c r="N26" s="234">
        <f t="shared" ref="N26:P26" si="8">M26*(1+N27)</f>
        <v>616307.83410000009</v>
      </c>
      <c r="O26" s="234">
        <f t="shared" si="8"/>
        <v>640960.14746400015</v>
      </c>
      <c r="P26" s="234">
        <f t="shared" si="8"/>
        <v>660188.95188792015</v>
      </c>
    </row>
    <row r="27" spans="2:16" x14ac:dyDescent="0.35">
      <c r="B27" s="294" t="s">
        <v>322</v>
      </c>
      <c r="F27" s="295">
        <f>F26/E26-1</f>
        <v>0.21991647651440127</v>
      </c>
      <c r="G27" s="295">
        <f t="shared" ref="G27:K27" si="9">G26/F26-1</f>
        <v>0.17610728780659968</v>
      </c>
      <c r="H27" s="295">
        <f t="shared" si="9"/>
        <v>0.15516879219804958</v>
      </c>
      <c r="I27" s="295">
        <f t="shared" si="9"/>
        <v>0.10616687448046558</v>
      </c>
      <c r="J27" s="295">
        <f t="shared" si="9"/>
        <v>0.12533170514054914</v>
      </c>
      <c r="K27" s="295">
        <f t="shared" si="9"/>
        <v>7.9945742904841355E-2</v>
      </c>
      <c r="L27" s="296">
        <v>7.0000000000000007E-2</v>
      </c>
      <c r="M27" s="297">
        <f>L27-1%</f>
        <v>6.0000000000000005E-2</v>
      </c>
      <c r="N27" s="297">
        <f t="shared" ref="N27:P27" si="10">M27-1%</f>
        <v>0.05</v>
      </c>
      <c r="O27" s="297">
        <f t="shared" si="10"/>
        <v>0.04</v>
      </c>
      <c r="P27" s="297">
        <f t="shared" si="10"/>
        <v>0.03</v>
      </c>
    </row>
    <row r="28" spans="2:16" s="177" customFormat="1" x14ac:dyDescent="0.35"/>
    <row r="29" spans="2:16" x14ac:dyDescent="0.35">
      <c r="B29" t="s">
        <v>444</v>
      </c>
      <c r="E29" s="136">
        <f>E12/E26</f>
        <v>0.33490334524475823</v>
      </c>
      <c r="F29" s="136">
        <f>F12/F26</f>
        <v>0.33998941238750663</v>
      </c>
      <c r="G29" s="141">
        <v>0.34499999999999997</v>
      </c>
      <c r="H29" s="141">
        <f>G29+0.5%</f>
        <v>0.35</v>
      </c>
      <c r="I29" s="141">
        <f t="shared" ref="I29:P29" si="11">H29+0.5%</f>
        <v>0.35499999999999998</v>
      </c>
      <c r="J29" s="141">
        <f t="shared" si="11"/>
        <v>0.36</v>
      </c>
      <c r="K29" s="141">
        <f t="shared" si="11"/>
        <v>0.36499999999999999</v>
      </c>
      <c r="L29" s="141">
        <f t="shared" si="11"/>
        <v>0.37</v>
      </c>
      <c r="M29" s="141">
        <f t="shared" si="11"/>
        <v>0.375</v>
      </c>
      <c r="N29" s="141">
        <f t="shared" si="11"/>
        <v>0.38</v>
      </c>
      <c r="O29" s="141">
        <f t="shared" si="11"/>
        <v>0.38500000000000001</v>
      </c>
      <c r="P29" s="141">
        <f t="shared" si="11"/>
        <v>0.39</v>
      </c>
    </row>
    <row r="31" spans="2:16" s="322" customFormat="1" ht="15" thickBot="1" x14ac:dyDescent="0.4">
      <c r="B31" s="322" t="s">
        <v>445</v>
      </c>
      <c r="E31" s="323">
        <f>E12</f>
        <v>77788</v>
      </c>
      <c r="F31" s="323">
        <f>F12</f>
        <v>96336</v>
      </c>
      <c r="G31" s="323">
        <f>G29*G26</f>
        <v>114971.24999999999</v>
      </c>
      <c r="H31" s="323">
        <f t="shared" ref="H31:P31" si="12">H29*H26</f>
        <v>134736</v>
      </c>
      <c r="I31" s="323">
        <f t="shared" si="12"/>
        <v>151169.65</v>
      </c>
      <c r="J31" s="323">
        <f t="shared" si="12"/>
        <v>172512</v>
      </c>
      <c r="K31" s="323">
        <f t="shared" si="12"/>
        <v>188891.15</v>
      </c>
      <c r="L31" s="323">
        <f t="shared" si="12"/>
        <v>204882.20900000003</v>
      </c>
      <c r="M31" s="323">
        <f t="shared" si="12"/>
        <v>220109.94075000001</v>
      </c>
      <c r="N31" s="323">
        <f t="shared" si="12"/>
        <v>234196.97695800004</v>
      </c>
      <c r="O31" s="323">
        <f t="shared" si="12"/>
        <v>246769.65677364008</v>
      </c>
      <c r="P31" s="323">
        <f t="shared" si="12"/>
        <v>257473.69123628887</v>
      </c>
    </row>
    <row r="32" spans="2:16" ht="15" thickTop="1" x14ac:dyDescent="0.35"/>
    <row r="35" spans="2:16" s="321" customFormat="1" x14ac:dyDescent="0.35">
      <c r="B35" s="315" t="s">
        <v>220</v>
      </c>
    </row>
    <row r="36" spans="2:16" x14ac:dyDescent="0.35">
      <c r="B36" s="177"/>
      <c r="C36" s="177"/>
      <c r="D36" s="177"/>
      <c r="E36" s="177"/>
      <c r="F36" s="177"/>
      <c r="G36" s="177"/>
      <c r="H36" s="177"/>
      <c r="I36" s="177"/>
      <c r="J36" s="177"/>
      <c r="K36" s="177"/>
      <c r="L36" s="177"/>
      <c r="M36" s="177"/>
      <c r="N36" s="177"/>
      <c r="O36" s="177"/>
      <c r="P36" s="177"/>
    </row>
    <row r="37" spans="2:16" s="177" customFormat="1" x14ac:dyDescent="0.35">
      <c r="B37" s="177" t="s">
        <v>444</v>
      </c>
      <c r="E37" s="136">
        <f>E13/E26</f>
        <v>7.571791449606062E-2</v>
      </c>
      <c r="F37" s="136">
        <f>F13/F26</f>
        <v>7.0520557614257989E-2</v>
      </c>
      <c r="G37" s="141">
        <v>6.6000000000000003E-2</v>
      </c>
      <c r="H37" s="141">
        <f>G37-0.1%</f>
        <v>6.5000000000000002E-2</v>
      </c>
      <c r="I37" s="141">
        <f t="shared" ref="I37:M37" si="13">H37-0.1%</f>
        <v>6.4000000000000001E-2</v>
      </c>
      <c r="J37" s="141">
        <f t="shared" si="13"/>
        <v>6.3E-2</v>
      </c>
      <c r="K37" s="141">
        <f t="shared" si="13"/>
        <v>6.2E-2</v>
      </c>
      <c r="L37" s="141">
        <f t="shared" si="13"/>
        <v>6.0999999999999999E-2</v>
      </c>
      <c r="M37" s="141">
        <f t="shared" si="13"/>
        <v>0.06</v>
      </c>
      <c r="N37" s="141">
        <f>M37</f>
        <v>0.06</v>
      </c>
      <c r="O37" s="141">
        <f t="shared" ref="O37:P37" si="14">N37</f>
        <v>0.06</v>
      </c>
      <c r="P37" s="141">
        <f t="shared" si="14"/>
        <v>0.06</v>
      </c>
    </row>
    <row r="38" spans="2:16" x14ac:dyDescent="0.35">
      <c r="B38" s="177"/>
      <c r="C38" s="177"/>
      <c r="D38" s="177"/>
      <c r="E38" s="177"/>
      <c r="F38" s="177"/>
      <c r="G38" s="177"/>
      <c r="H38" s="177"/>
      <c r="I38" s="177"/>
      <c r="J38" s="177"/>
      <c r="K38" s="177"/>
      <c r="L38" s="177"/>
      <c r="M38" s="177"/>
      <c r="N38" s="177"/>
      <c r="O38" s="177"/>
      <c r="P38" s="177"/>
    </row>
    <row r="39" spans="2:16" s="325" customFormat="1" ht="15" thickBot="1" x14ac:dyDescent="0.4">
      <c r="B39" s="322" t="s">
        <v>445</v>
      </c>
      <c r="C39" s="322"/>
      <c r="D39" s="322"/>
      <c r="E39" s="323">
        <f>E13</f>
        <v>17587</v>
      </c>
      <c r="F39" s="323">
        <f>F13</f>
        <v>19982</v>
      </c>
      <c r="G39" s="324">
        <f>G37*G26</f>
        <v>21994.5</v>
      </c>
      <c r="H39" s="323">
        <f t="shared" ref="H39:P39" si="15">H37*H26</f>
        <v>25022.400000000001</v>
      </c>
      <c r="I39" s="323">
        <f t="shared" si="15"/>
        <v>27253.119999999999</v>
      </c>
      <c r="J39" s="323">
        <f t="shared" si="15"/>
        <v>30189.599999999999</v>
      </c>
      <c r="K39" s="323">
        <f t="shared" si="15"/>
        <v>32085.62</v>
      </c>
      <c r="L39" s="323">
        <f t="shared" si="15"/>
        <v>33777.877700000005</v>
      </c>
      <c r="M39" s="323">
        <f t="shared" si="15"/>
        <v>35217.590520000005</v>
      </c>
      <c r="N39" s="323">
        <f t="shared" si="15"/>
        <v>36978.470046000002</v>
      </c>
      <c r="O39" s="323">
        <f t="shared" si="15"/>
        <v>38457.608847840005</v>
      </c>
      <c r="P39" s="323">
        <f t="shared" si="15"/>
        <v>39611.337113275207</v>
      </c>
    </row>
    <row r="40" spans="2:16" ht="15" thickTop="1" x14ac:dyDescent="0.35"/>
    <row r="43" spans="2:16" s="321" customFormat="1" x14ac:dyDescent="0.35">
      <c r="B43" s="315" t="s">
        <v>447</v>
      </c>
    </row>
    <row r="46" spans="2:16" x14ac:dyDescent="0.35">
      <c r="B46" s="173" t="s">
        <v>448</v>
      </c>
    </row>
    <row r="48" spans="2:16" s="177" customFormat="1" x14ac:dyDescent="0.35">
      <c r="B48" s="177" t="s">
        <v>454</v>
      </c>
      <c r="C48" s="177" t="s">
        <v>451</v>
      </c>
      <c r="E48" s="293">
        <v>19500</v>
      </c>
      <c r="F48" s="293">
        <v>24800</v>
      </c>
      <c r="G48" s="175">
        <f>F48*(1+G49)</f>
        <v>30504</v>
      </c>
      <c r="H48" s="175">
        <f t="shared" ref="H48:P48" si="16">G48*(1+H49)</f>
        <v>36604.799999999996</v>
      </c>
      <c r="I48" s="175">
        <f t="shared" si="16"/>
        <v>42827.615999999995</v>
      </c>
      <c r="J48" s="175">
        <f t="shared" si="16"/>
        <v>48823.482239999998</v>
      </c>
      <c r="K48" s="175">
        <f t="shared" si="16"/>
        <v>54194.0652864</v>
      </c>
      <c r="L48" s="175">
        <f t="shared" si="16"/>
        <v>59613.471815040008</v>
      </c>
      <c r="M48" s="175">
        <f t="shared" si="16"/>
        <v>64978.684278393615</v>
      </c>
      <c r="N48" s="175">
        <f t="shared" si="16"/>
        <v>70176.979020665109</v>
      </c>
      <c r="O48" s="175">
        <f t="shared" si="16"/>
        <v>75089.367552111667</v>
      </c>
      <c r="P48" s="175">
        <f t="shared" si="16"/>
        <v>79594.729605238375</v>
      </c>
    </row>
    <row r="49" spans="2:16" s="303" customFormat="1" x14ac:dyDescent="0.35">
      <c r="B49" s="294" t="s">
        <v>322</v>
      </c>
      <c r="E49" s="157"/>
      <c r="F49" s="304">
        <f>F48/E48-1</f>
        <v>0.27179487179487172</v>
      </c>
      <c r="G49" s="305">
        <v>0.23</v>
      </c>
      <c r="H49" s="306">
        <v>0.2</v>
      </c>
      <c r="I49" s="306">
        <v>0.17</v>
      </c>
      <c r="J49" s="306">
        <v>0.14000000000000001</v>
      </c>
      <c r="K49" s="306">
        <v>0.11</v>
      </c>
      <c r="L49" s="306">
        <v>0.1</v>
      </c>
      <c r="M49" s="306">
        <v>0.09</v>
      </c>
      <c r="N49" s="306">
        <v>0.08</v>
      </c>
      <c r="O49" s="306">
        <v>7.0000000000000007E-2</v>
      </c>
      <c r="P49" s="306">
        <v>0.06</v>
      </c>
    </row>
    <row r="50" spans="2:16" s="177" customFormat="1" x14ac:dyDescent="0.35"/>
    <row r="51" spans="2:16" s="177" customFormat="1" x14ac:dyDescent="0.35">
      <c r="B51" s="177" t="s">
        <v>452</v>
      </c>
      <c r="C51" s="298" t="s">
        <v>453</v>
      </c>
      <c r="F51" s="185">
        <v>0.25</v>
      </c>
      <c r="G51" s="185">
        <v>0.2</v>
      </c>
      <c r="H51" s="185">
        <v>0.19</v>
      </c>
      <c r="I51" s="185">
        <v>0.18</v>
      </c>
      <c r="J51" s="185">
        <v>0.17</v>
      </c>
      <c r="K51" s="185">
        <v>0.16</v>
      </c>
      <c r="L51" s="185">
        <v>0.15</v>
      </c>
      <c r="M51" s="185">
        <f>L51</f>
        <v>0.15</v>
      </c>
      <c r="N51" s="185">
        <f t="shared" ref="N51:P51" si="17">M51</f>
        <v>0.15</v>
      </c>
      <c r="O51" s="185">
        <f t="shared" si="17"/>
        <v>0.15</v>
      </c>
      <c r="P51" s="185">
        <f t="shared" si="17"/>
        <v>0.15</v>
      </c>
    </row>
    <row r="52" spans="2:16" s="177" customFormat="1" x14ac:dyDescent="0.35">
      <c r="C52" s="298"/>
      <c r="F52" s="185"/>
    </row>
    <row r="53" spans="2:16" s="155" customFormat="1" x14ac:dyDescent="0.35">
      <c r="B53" s="155" t="s">
        <v>457</v>
      </c>
      <c r="C53" s="301"/>
      <c r="F53" s="302">
        <f>F48*F51</f>
        <v>6200</v>
      </c>
      <c r="G53" s="302">
        <f>G48*G51</f>
        <v>6100.8</v>
      </c>
      <c r="H53" s="302">
        <f t="shared" ref="H53:P53" si="18">H48*H51</f>
        <v>6954.9119999999994</v>
      </c>
      <c r="I53" s="302">
        <f t="shared" si="18"/>
        <v>7708.9708799999989</v>
      </c>
      <c r="J53" s="302">
        <f t="shared" si="18"/>
        <v>8299.9919807999995</v>
      </c>
      <c r="K53" s="302">
        <f t="shared" si="18"/>
        <v>8671.0504458239993</v>
      </c>
      <c r="L53" s="302">
        <f t="shared" si="18"/>
        <v>8942.0207722560008</v>
      </c>
      <c r="M53" s="302">
        <f t="shared" si="18"/>
        <v>9746.8026417590427</v>
      </c>
      <c r="N53" s="302">
        <f t="shared" si="18"/>
        <v>10526.546853099766</v>
      </c>
      <c r="O53" s="302">
        <f t="shared" si="18"/>
        <v>11263.40513281675</v>
      </c>
      <c r="P53" s="302">
        <f t="shared" si="18"/>
        <v>11939.209440785757</v>
      </c>
    </row>
    <row r="54" spans="2:16" s="177" customFormat="1" x14ac:dyDescent="0.35">
      <c r="C54" s="298"/>
      <c r="F54" s="299"/>
      <c r="G54" s="299"/>
      <c r="H54" s="299"/>
      <c r="I54" s="299"/>
      <c r="J54" s="299"/>
      <c r="K54" s="299"/>
      <c r="L54" s="299"/>
      <c r="M54" s="299"/>
      <c r="N54" s="299"/>
      <c r="O54" s="299"/>
      <c r="P54" s="299"/>
    </row>
    <row r="55" spans="2:16" s="177" customFormat="1" x14ac:dyDescent="0.35">
      <c r="C55" s="298"/>
      <c r="F55" s="299"/>
      <c r="G55" s="299"/>
      <c r="H55" s="299"/>
      <c r="I55" s="299"/>
      <c r="J55" s="299"/>
      <c r="K55" s="299"/>
      <c r="L55" s="299"/>
      <c r="M55" s="299"/>
      <c r="N55" s="299"/>
      <c r="O55" s="299"/>
      <c r="P55" s="299"/>
    </row>
    <row r="56" spans="2:16" s="177" customFormat="1" x14ac:dyDescent="0.35">
      <c r="B56" s="173" t="s">
        <v>449</v>
      </c>
      <c r="C56" s="298"/>
      <c r="F56" s="299"/>
      <c r="G56" s="299"/>
      <c r="H56" s="299"/>
      <c r="I56" s="299"/>
      <c r="J56" s="299"/>
      <c r="K56" s="299"/>
      <c r="L56" s="299"/>
      <c r="M56" s="299"/>
      <c r="N56" s="299"/>
      <c r="O56" s="299"/>
      <c r="P56" s="299"/>
    </row>
    <row r="57" spans="2:16" s="177" customFormat="1" x14ac:dyDescent="0.35">
      <c r="C57" s="298"/>
      <c r="F57" s="299"/>
      <c r="G57" s="299"/>
      <c r="H57" s="299"/>
      <c r="I57" s="299"/>
      <c r="J57" s="299"/>
      <c r="K57" s="299"/>
      <c r="L57" s="299"/>
      <c r="M57" s="299"/>
      <c r="N57" s="299"/>
      <c r="O57" s="299"/>
      <c r="P57" s="299"/>
    </row>
    <row r="58" spans="2:16" s="177" customFormat="1" x14ac:dyDescent="0.35">
      <c r="B58" s="177" t="s">
        <v>458</v>
      </c>
      <c r="C58" s="298"/>
      <c r="F58" s="299"/>
      <c r="G58" s="299"/>
      <c r="H58" s="299"/>
      <c r="I58" s="299"/>
      <c r="J58" s="299"/>
      <c r="K58" s="299"/>
      <c r="L58" s="299"/>
      <c r="M58" s="299"/>
      <c r="N58" s="299"/>
      <c r="O58" s="299"/>
      <c r="P58" s="299"/>
    </row>
    <row r="60" spans="2:16" x14ac:dyDescent="0.35">
      <c r="B60" t="s">
        <v>456</v>
      </c>
      <c r="C60" t="s">
        <v>455</v>
      </c>
      <c r="F60" s="234">
        <v>182400</v>
      </c>
      <c r="G60" s="234">
        <v>214300</v>
      </c>
      <c r="H60" s="234">
        <v>249800</v>
      </c>
      <c r="I60" s="234">
        <v>289100</v>
      </c>
      <c r="J60" s="234">
        <v>331200</v>
      </c>
      <c r="K60" s="307">
        <f>J60*(1+K61)</f>
        <v>377568.00000000006</v>
      </c>
      <c r="L60" s="175">
        <f t="shared" ref="L60:P60" si="19">K60*(1+L61)</f>
        <v>426651.84</v>
      </c>
      <c r="M60" s="175">
        <f t="shared" si="19"/>
        <v>477850.06080000009</v>
      </c>
      <c r="N60" s="175">
        <f t="shared" si="19"/>
        <v>530413.56748800015</v>
      </c>
      <c r="O60" s="175">
        <f t="shared" si="19"/>
        <v>583454.92423680017</v>
      </c>
      <c r="P60" s="175">
        <f t="shared" si="19"/>
        <v>635965.86741811223</v>
      </c>
    </row>
    <row r="61" spans="2:16" x14ac:dyDescent="0.35">
      <c r="B61" s="294" t="s">
        <v>322</v>
      </c>
      <c r="G61" s="295">
        <f>G60/F60-1</f>
        <v>0.17489035087719307</v>
      </c>
      <c r="H61" s="295">
        <f t="shared" ref="H61:J61" si="20">H60/G60-1</f>
        <v>0.16565562295846936</v>
      </c>
      <c r="I61" s="295">
        <f t="shared" si="20"/>
        <v>0.15732586068855081</v>
      </c>
      <c r="J61" s="295">
        <f t="shared" si="20"/>
        <v>0.14562435143548935</v>
      </c>
      <c r="K61" s="308">
        <v>0.14000000000000001</v>
      </c>
      <c r="L61" s="136">
        <v>0.13</v>
      </c>
      <c r="M61" s="136">
        <v>0.12</v>
      </c>
      <c r="N61" s="136">
        <v>0.11</v>
      </c>
      <c r="O61" s="136">
        <v>0.1</v>
      </c>
      <c r="P61" s="236">
        <v>0.09</v>
      </c>
    </row>
    <row r="62" spans="2:16" s="177" customFormat="1" x14ac:dyDescent="0.35">
      <c r="B62" s="294"/>
      <c r="G62" s="295"/>
      <c r="H62" s="295"/>
      <c r="I62" s="295"/>
      <c r="J62" s="295"/>
      <c r="K62" s="309"/>
      <c r="L62" s="136"/>
      <c r="M62" s="136"/>
      <c r="N62" s="136"/>
      <c r="O62" s="136"/>
      <c r="P62" s="236"/>
    </row>
    <row r="63" spans="2:16" s="177" customFormat="1" x14ac:dyDescent="0.35">
      <c r="B63" s="149" t="s">
        <v>444</v>
      </c>
      <c r="F63" s="310">
        <f>F68/F60</f>
        <v>2.4671052631578948E-2</v>
      </c>
      <c r="G63" s="311">
        <f>IF($C$4="Bull", G64, IF($C$4="Base", G65, IF($C$4="Bear", G66)))</f>
        <v>3.6000000000000004E-2</v>
      </c>
      <c r="H63" s="311">
        <f t="shared" ref="H63:P63" si="21">IF($C$4="Bull", H64, IF($C$4="Base", H65, IF($C$4="Bear", H66)))</f>
        <v>4.0500000000000001E-2</v>
      </c>
      <c r="I63" s="311">
        <f t="shared" si="21"/>
        <v>4.4999999999999998E-2</v>
      </c>
      <c r="J63" s="311">
        <f t="shared" si="21"/>
        <v>4.9499999999999995E-2</v>
      </c>
      <c r="K63" s="311">
        <f t="shared" si="21"/>
        <v>5.3999999999999992E-2</v>
      </c>
      <c r="L63" s="311">
        <f t="shared" si="21"/>
        <v>5.849999999999999E-2</v>
      </c>
      <c r="M63" s="311">
        <f t="shared" si="21"/>
        <v>6.3E-2</v>
      </c>
      <c r="N63" s="311">
        <f t="shared" si="21"/>
        <v>6.5699999999999995E-2</v>
      </c>
      <c r="O63" s="311">
        <f t="shared" si="21"/>
        <v>6.7500000000000004E-2</v>
      </c>
      <c r="P63" s="311">
        <f t="shared" si="21"/>
        <v>6.9750000000000006E-2</v>
      </c>
    </row>
    <row r="64" spans="2:16" s="177" customFormat="1" x14ac:dyDescent="0.35">
      <c r="B64" s="149" t="s">
        <v>469</v>
      </c>
      <c r="F64" s="310"/>
      <c r="G64" s="332">
        <f>G65*(1.1)</f>
        <v>4.4000000000000004E-2</v>
      </c>
      <c r="H64" s="332">
        <f t="shared" ref="H64:P64" si="22">H65*(1.1)</f>
        <v>4.9500000000000002E-2</v>
      </c>
      <c r="I64" s="332">
        <f t="shared" si="22"/>
        <v>5.5E-2</v>
      </c>
      <c r="J64" s="332">
        <f t="shared" si="22"/>
        <v>6.0499999999999998E-2</v>
      </c>
      <c r="K64" s="332">
        <f t="shared" si="22"/>
        <v>6.5999999999999989E-2</v>
      </c>
      <c r="L64" s="332">
        <f t="shared" si="22"/>
        <v>7.1499999999999994E-2</v>
      </c>
      <c r="M64" s="332">
        <f t="shared" si="22"/>
        <v>7.6999999999999999E-2</v>
      </c>
      <c r="N64" s="332">
        <f t="shared" si="22"/>
        <v>8.0299999999999996E-2</v>
      </c>
      <c r="O64" s="332">
        <f t="shared" si="22"/>
        <v>8.2500000000000004E-2</v>
      </c>
      <c r="P64" s="332">
        <f t="shared" si="22"/>
        <v>8.5250000000000006E-2</v>
      </c>
    </row>
    <row r="65" spans="2:16" s="177" customFormat="1" x14ac:dyDescent="0.35">
      <c r="B65" s="149" t="s">
        <v>470</v>
      </c>
      <c r="F65" s="310"/>
      <c r="G65" s="332">
        <v>0.04</v>
      </c>
      <c r="H65" s="332">
        <v>4.4999999999999998E-2</v>
      </c>
      <c r="I65" s="332">
        <v>4.9999999999999996E-2</v>
      </c>
      <c r="J65" s="332">
        <v>5.4999999999999993E-2</v>
      </c>
      <c r="K65" s="332">
        <v>5.9999999999999991E-2</v>
      </c>
      <c r="L65" s="332">
        <v>6.4999999999999988E-2</v>
      </c>
      <c r="M65" s="332">
        <v>6.9999999999999993E-2</v>
      </c>
      <c r="N65" s="332">
        <v>7.2999999999999995E-2</v>
      </c>
      <c r="O65" s="332">
        <v>7.4999999999999997E-2</v>
      </c>
      <c r="P65" s="332">
        <v>7.7499999999999999E-2</v>
      </c>
    </row>
    <row r="66" spans="2:16" s="177" customFormat="1" x14ac:dyDescent="0.35">
      <c r="B66" s="149" t="s">
        <v>471</v>
      </c>
      <c r="F66" s="136"/>
      <c r="G66" s="332">
        <f>G65*0.9</f>
        <v>3.6000000000000004E-2</v>
      </c>
      <c r="H66" s="332">
        <f t="shared" ref="H66:P66" si="23">H65*0.9</f>
        <v>4.0500000000000001E-2</v>
      </c>
      <c r="I66" s="332">
        <f t="shared" si="23"/>
        <v>4.4999999999999998E-2</v>
      </c>
      <c r="J66" s="332">
        <f t="shared" si="23"/>
        <v>4.9499999999999995E-2</v>
      </c>
      <c r="K66" s="332">
        <f t="shared" si="23"/>
        <v>5.3999999999999992E-2</v>
      </c>
      <c r="L66" s="332">
        <f t="shared" si="23"/>
        <v>5.849999999999999E-2</v>
      </c>
      <c r="M66" s="332">
        <f t="shared" si="23"/>
        <v>6.3E-2</v>
      </c>
      <c r="N66" s="332">
        <f t="shared" si="23"/>
        <v>6.5699999999999995E-2</v>
      </c>
      <c r="O66" s="332">
        <f t="shared" si="23"/>
        <v>6.7500000000000004E-2</v>
      </c>
      <c r="P66" s="332">
        <f t="shared" si="23"/>
        <v>6.9750000000000006E-2</v>
      </c>
    </row>
    <row r="67" spans="2:16" s="177" customFormat="1" x14ac:dyDescent="0.35">
      <c r="B67" s="294"/>
      <c r="G67" s="295"/>
      <c r="H67" s="295"/>
      <c r="I67" s="295"/>
      <c r="J67" s="295"/>
      <c r="K67" s="309"/>
      <c r="L67" s="136"/>
      <c r="M67" s="136"/>
      <c r="N67" s="136"/>
      <c r="O67" s="136"/>
      <c r="P67" s="236"/>
    </row>
    <row r="68" spans="2:16" s="177" customFormat="1" x14ac:dyDescent="0.35">
      <c r="B68" s="149" t="s">
        <v>459</v>
      </c>
      <c r="F68" s="293">
        <v>4500</v>
      </c>
      <c r="G68" s="314">
        <f>G60*G63</f>
        <v>7714.8000000000011</v>
      </c>
      <c r="H68" s="312">
        <f t="shared" ref="H68:P68" si="24">H60*H63</f>
        <v>10116.9</v>
      </c>
      <c r="I68" s="312">
        <f t="shared" si="24"/>
        <v>13009.5</v>
      </c>
      <c r="J68" s="312">
        <f t="shared" si="24"/>
        <v>16394.399999999998</v>
      </c>
      <c r="K68" s="312">
        <f t="shared" si="24"/>
        <v>20388.671999999999</v>
      </c>
      <c r="L68" s="312">
        <f t="shared" si="24"/>
        <v>24959.132639999996</v>
      </c>
      <c r="M68" s="312">
        <f t="shared" si="24"/>
        <v>30104.553830400007</v>
      </c>
      <c r="N68" s="312">
        <f t="shared" si="24"/>
        <v>34848.171383961606</v>
      </c>
      <c r="O68" s="312">
        <f t="shared" si="24"/>
        <v>39383.207385984017</v>
      </c>
      <c r="P68" s="312">
        <f t="shared" si="24"/>
        <v>44358.619252413329</v>
      </c>
    </row>
    <row r="69" spans="2:16" s="177" customFormat="1" x14ac:dyDescent="0.35">
      <c r="B69" s="149"/>
      <c r="F69" s="293"/>
      <c r="G69" s="314"/>
      <c r="H69" s="312"/>
      <c r="I69" s="312"/>
      <c r="J69" s="312"/>
      <c r="K69" s="312"/>
      <c r="L69" s="312"/>
      <c r="M69" s="312"/>
      <c r="N69" s="312"/>
      <c r="O69" s="312"/>
      <c r="P69" s="312"/>
    </row>
    <row r="70" spans="2:16" s="177" customFormat="1" x14ac:dyDescent="0.35">
      <c r="B70" s="149" t="s">
        <v>461</v>
      </c>
      <c r="C70" s="177" t="s">
        <v>463</v>
      </c>
      <c r="F70" s="293">
        <f>5*20*12</f>
        <v>1200</v>
      </c>
      <c r="G70" s="313">
        <f>F70*(1+G71)</f>
        <v>1440</v>
      </c>
      <c r="H70" s="314">
        <f t="shared" ref="H70:P70" si="25">G70*(1+H71)</f>
        <v>1555.2</v>
      </c>
      <c r="I70" s="314">
        <f t="shared" si="25"/>
        <v>1664.0640000000001</v>
      </c>
      <c r="J70" s="314">
        <f t="shared" si="25"/>
        <v>1763.9078400000001</v>
      </c>
      <c r="K70" s="314">
        <f t="shared" si="25"/>
        <v>1852.1032320000002</v>
      </c>
      <c r="L70" s="314">
        <f t="shared" si="25"/>
        <v>1944.7083936000004</v>
      </c>
      <c r="M70" s="314">
        <f t="shared" si="25"/>
        <v>2041.9438132800005</v>
      </c>
      <c r="N70" s="314">
        <f t="shared" si="25"/>
        <v>2144.0410039440007</v>
      </c>
      <c r="O70" s="314">
        <f t="shared" si="25"/>
        <v>2251.2430541412009</v>
      </c>
      <c r="P70" s="314">
        <f t="shared" si="25"/>
        <v>2363.8052068482612</v>
      </c>
    </row>
    <row r="71" spans="2:16" s="177" customFormat="1" x14ac:dyDescent="0.35">
      <c r="B71" s="294" t="s">
        <v>322</v>
      </c>
      <c r="F71" s="293"/>
      <c r="G71" s="316">
        <v>0.2</v>
      </c>
      <c r="H71" s="141">
        <v>0.08</v>
      </c>
      <c r="I71" s="141">
        <v>7.0000000000000007E-2</v>
      </c>
      <c r="J71" s="141">
        <v>0.06</v>
      </c>
      <c r="K71" s="141">
        <v>0.05</v>
      </c>
      <c r="L71" s="141">
        <f>K71</f>
        <v>0.05</v>
      </c>
      <c r="M71" s="141">
        <f t="shared" ref="M71:P71" si="26">L71</f>
        <v>0.05</v>
      </c>
      <c r="N71" s="141">
        <f t="shared" si="26"/>
        <v>0.05</v>
      </c>
      <c r="O71" s="141">
        <f t="shared" si="26"/>
        <v>0.05</v>
      </c>
      <c r="P71" s="141">
        <f t="shared" si="26"/>
        <v>0.05</v>
      </c>
    </row>
    <row r="73" spans="2:16" s="155" customFormat="1" x14ac:dyDescent="0.35">
      <c r="B73" s="155" t="s">
        <v>460</v>
      </c>
      <c r="F73" s="292">
        <f>F70+F68</f>
        <v>5700</v>
      </c>
      <c r="G73" s="292">
        <f t="shared" ref="G73:P73" si="27">G70+G68</f>
        <v>9154.8000000000011</v>
      </c>
      <c r="H73" s="292">
        <f t="shared" si="27"/>
        <v>11672.1</v>
      </c>
      <c r="I73" s="292">
        <f t="shared" si="27"/>
        <v>14673.564</v>
      </c>
      <c r="J73" s="292">
        <f t="shared" si="27"/>
        <v>18158.307839999998</v>
      </c>
      <c r="K73" s="292">
        <f t="shared" si="27"/>
        <v>22240.775232</v>
      </c>
      <c r="L73" s="292">
        <f t="shared" si="27"/>
        <v>26903.841033599998</v>
      </c>
      <c r="M73" s="292">
        <f t="shared" si="27"/>
        <v>32146.497643680006</v>
      </c>
      <c r="N73" s="292">
        <f t="shared" si="27"/>
        <v>36992.212387905609</v>
      </c>
      <c r="O73" s="292">
        <f t="shared" si="27"/>
        <v>41634.45044012522</v>
      </c>
      <c r="P73" s="292">
        <f t="shared" si="27"/>
        <v>46722.424459261587</v>
      </c>
    </row>
    <row r="74" spans="2:16" s="177" customFormat="1" x14ac:dyDescent="0.35"/>
    <row r="75" spans="2:16" s="177" customFormat="1" x14ac:dyDescent="0.35"/>
    <row r="76" spans="2:16" x14ac:dyDescent="0.35">
      <c r="B76" s="155" t="s">
        <v>450</v>
      </c>
      <c r="C76" s="177" t="s">
        <v>464</v>
      </c>
    </row>
    <row r="78" spans="2:16" s="177" customFormat="1" x14ac:dyDescent="0.35"/>
    <row r="79" spans="2:16" s="177" customFormat="1" x14ac:dyDescent="0.35">
      <c r="B79" s="177" t="s">
        <v>462</v>
      </c>
      <c r="F79" s="293">
        <v>3423</v>
      </c>
      <c r="G79" s="293">
        <v>4373</v>
      </c>
      <c r="H79" s="293">
        <v>5678</v>
      </c>
      <c r="I79" s="293">
        <v>6915</v>
      </c>
      <c r="J79" s="291">
        <v>7952</v>
      </c>
      <c r="K79" s="234">
        <f>J79*(1+K80)</f>
        <v>8747.2000000000007</v>
      </c>
      <c r="L79" s="234">
        <f t="shared" ref="L79:P79" si="28">K79*(1+L80)</f>
        <v>9446.9760000000006</v>
      </c>
      <c r="M79" s="234">
        <f t="shared" si="28"/>
        <v>10013.79456</v>
      </c>
      <c r="N79" s="234">
        <f t="shared" si="28"/>
        <v>10414.3463424</v>
      </c>
      <c r="O79" s="234">
        <f t="shared" si="28"/>
        <v>10830.920196096</v>
      </c>
      <c r="P79" s="234">
        <f t="shared" si="28"/>
        <v>11264.157003939841</v>
      </c>
    </row>
    <row r="80" spans="2:16" s="177" customFormat="1" x14ac:dyDescent="0.35">
      <c r="B80" s="294" t="s">
        <v>322</v>
      </c>
      <c r="F80" s="300"/>
      <c r="G80" s="319">
        <v>0.27800000000000002</v>
      </c>
      <c r="H80" s="319">
        <v>0.29799999999999999</v>
      </c>
      <c r="I80" s="319">
        <v>0.218</v>
      </c>
      <c r="J80" s="305">
        <v>0.15</v>
      </c>
      <c r="K80" s="306">
        <v>0.1</v>
      </c>
      <c r="L80" s="306">
        <v>0.08</v>
      </c>
      <c r="M80" s="306">
        <v>0.06</v>
      </c>
      <c r="N80" s="306">
        <v>0.04</v>
      </c>
      <c r="O80" s="306">
        <v>0.04</v>
      </c>
      <c r="P80" s="306">
        <v>0.04</v>
      </c>
    </row>
    <row r="81" spans="2:16" s="177" customFormat="1" x14ac:dyDescent="0.35"/>
    <row r="82" spans="2:16" s="177" customFormat="1" x14ac:dyDescent="0.35">
      <c r="B82" s="177" t="s">
        <v>465</v>
      </c>
      <c r="F82" s="293">
        <v>980</v>
      </c>
      <c r="G82" s="293">
        <v>1284</v>
      </c>
      <c r="H82" s="293">
        <v>1656</v>
      </c>
      <c r="I82" s="293">
        <v>2087</v>
      </c>
      <c r="J82" s="291">
        <f>I82*(1+J83)</f>
        <v>2400.0499999999997</v>
      </c>
      <c r="K82" s="317">
        <f t="shared" ref="K82:P82" si="29">J82*(1+K83)</f>
        <v>2640.0549999999998</v>
      </c>
      <c r="L82" s="317">
        <f t="shared" si="29"/>
        <v>2851.2593999999999</v>
      </c>
      <c r="M82" s="317">
        <f t="shared" si="29"/>
        <v>3022.3349640000001</v>
      </c>
      <c r="N82" s="317">
        <f t="shared" si="29"/>
        <v>3143.2283625600003</v>
      </c>
      <c r="O82" s="317">
        <f t="shared" si="29"/>
        <v>3268.9574970624003</v>
      </c>
      <c r="P82" s="317">
        <f t="shared" si="29"/>
        <v>3399.7157969448963</v>
      </c>
    </row>
    <row r="83" spans="2:16" s="177" customFormat="1" x14ac:dyDescent="0.35">
      <c r="B83" s="294" t="s">
        <v>322</v>
      </c>
      <c r="F83" s="300"/>
      <c r="G83" s="319">
        <f>G82/F82-1</f>
        <v>0.31020408163265301</v>
      </c>
      <c r="H83" s="319">
        <f t="shared" ref="H83:I83" si="30">H82/G82-1</f>
        <v>0.28971962616822422</v>
      </c>
      <c r="I83" s="319">
        <f t="shared" si="30"/>
        <v>0.26026570048309172</v>
      </c>
      <c r="J83" s="305">
        <v>0.15</v>
      </c>
      <c r="K83" s="306">
        <v>0.1</v>
      </c>
      <c r="L83" s="306">
        <v>0.08</v>
      </c>
      <c r="M83" s="306">
        <v>0.06</v>
      </c>
      <c r="N83" s="306">
        <v>0.04</v>
      </c>
      <c r="O83" s="306">
        <v>0.04</v>
      </c>
      <c r="P83" s="306">
        <v>0.04</v>
      </c>
    </row>
    <row r="84" spans="2:16" s="177" customFormat="1" x14ac:dyDescent="0.35"/>
    <row r="85" spans="2:16" s="177" customFormat="1" x14ac:dyDescent="0.35">
      <c r="B85" s="177" t="s">
        <v>466</v>
      </c>
      <c r="F85" s="234">
        <v>1200</v>
      </c>
      <c r="G85" s="307">
        <f>F85*(1+G86)</f>
        <v>1680</v>
      </c>
      <c r="H85" s="175">
        <f t="shared" ref="H85:P85" si="31">G85*(1+H86)</f>
        <v>2268</v>
      </c>
      <c r="I85" s="175">
        <f t="shared" si="31"/>
        <v>2948.4</v>
      </c>
      <c r="J85" s="175">
        <f t="shared" si="31"/>
        <v>3685.5</v>
      </c>
      <c r="K85" s="175">
        <f t="shared" si="31"/>
        <v>4422.6000000000004</v>
      </c>
      <c r="L85" s="175">
        <f t="shared" si="31"/>
        <v>5085.9900000000007</v>
      </c>
      <c r="M85" s="175">
        <f t="shared" si="31"/>
        <v>5594.5890000000009</v>
      </c>
      <c r="N85" s="175">
        <f t="shared" si="31"/>
        <v>6042.1561200000015</v>
      </c>
      <c r="O85" s="175">
        <f t="shared" si="31"/>
        <v>6404.6854872000022</v>
      </c>
      <c r="P85" s="175">
        <f t="shared" si="31"/>
        <v>6660.8729066880023</v>
      </c>
    </row>
    <row r="86" spans="2:16" s="177" customFormat="1" x14ac:dyDescent="0.35">
      <c r="B86" s="294" t="s">
        <v>322</v>
      </c>
      <c r="F86" s="300"/>
      <c r="G86" s="318">
        <v>0.4</v>
      </c>
      <c r="H86" s="306">
        <f>G86-5%</f>
        <v>0.35000000000000003</v>
      </c>
      <c r="I86" s="306">
        <f t="shared" ref="I86:M86" si="32">H86-5%</f>
        <v>0.30000000000000004</v>
      </c>
      <c r="J86" s="306">
        <f t="shared" si="32"/>
        <v>0.25000000000000006</v>
      </c>
      <c r="K86" s="306">
        <f t="shared" si="32"/>
        <v>0.20000000000000007</v>
      </c>
      <c r="L86" s="306">
        <f t="shared" si="32"/>
        <v>0.15000000000000008</v>
      </c>
      <c r="M86" s="306">
        <f t="shared" si="32"/>
        <v>0.10000000000000007</v>
      </c>
      <c r="N86" s="306">
        <v>0.08</v>
      </c>
      <c r="O86" s="306">
        <v>0.06</v>
      </c>
      <c r="P86" s="306">
        <v>0.04</v>
      </c>
    </row>
    <row r="88" spans="2:16" s="155" customFormat="1" x14ac:dyDescent="0.35">
      <c r="B88" s="155" t="s">
        <v>467</v>
      </c>
      <c r="F88" s="292">
        <f>F85+F82+F79</f>
        <v>5603</v>
      </c>
      <c r="G88" s="292">
        <f t="shared" ref="G88:P88" si="33">G85+G82+G79</f>
        <v>7337</v>
      </c>
      <c r="H88" s="292">
        <f t="shared" si="33"/>
        <v>9602</v>
      </c>
      <c r="I88" s="292">
        <f t="shared" si="33"/>
        <v>11950.4</v>
      </c>
      <c r="J88" s="292">
        <f t="shared" si="33"/>
        <v>14037.55</v>
      </c>
      <c r="K88" s="292">
        <f t="shared" si="33"/>
        <v>15809.855000000001</v>
      </c>
      <c r="L88" s="292">
        <f t="shared" si="33"/>
        <v>17384.225400000003</v>
      </c>
      <c r="M88" s="292">
        <f t="shared" si="33"/>
        <v>18630.718524000004</v>
      </c>
      <c r="N88" s="292">
        <f t="shared" si="33"/>
        <v>19599.730824960003</v>
      </c>
      <c r="O88" s="292">
        <f t="shared" si="33"/>
        <v>20504.563180358404</v>
      </c>
      <c r="P88" s="292">
        <f t="shared" si="33"/>
        <v>21324.74570757274</v>
      </c>
    </row>
    <row r="91" spans="2:16" x14ac:dyDescent="0.35">
      <c r="B91" s="155" t="s">
        <v>8</v>
      </c>
    </row>
    <row r="93" spans="2:16" s="173" customFormat="1" x14ac:dyDescent="0.35">
      <c r="B93" s="173" t="s">
        <v>447</v>
      </c>
      <c r="F93" s="334">
        <f>F14-F73-F53-F88</f>
        <v>2403</v>
      </c>
      <c r="G93" s="329">
        <f>F93*(1+G94)</f>
        <v>2883.6</v>
      </c>
      <c r="H93" s="329">
        <f t="shared" ref="H93:P93" si="34">G93*(1+H94)</f>
        <v>3316.1399999999994</v>
      </c>
      <c r="I93" s="329">
        <f t="shared" si="34"/>
        <v>3647.7539999999995</v>
      </c>
      <c r="J93" s="329">
        <f t="shared" si="34"/>
        <v>4012.5293999999999</v>
      </c>
      <c r="K93" s="329">
        <f t="shared" si="34"/>
        <v>4413.7823400000007</v>
      </c>
      <c r="L93" s="329">
        <f t="shared" si="34"/>
        <v>4855.1605740000014</v>
      </c>
      <c r="M93" s="329">
        <f t="shared" si="34"/>
        <v>5340.6766314000015</v>
      </c>
      <c r="N93" s="329">
        <f t="shared" si="34"/>
        <v>5874.7442945400026</v>
      </c>
      <c r="O93" s="329">
        <f t="shared" si="34"/>
        <v>6462.2187239940031</v>
      </c>
      <c r="P93" s="329">
        <f t="shared" si="34"/>
        <v>7108.4405963934041</v>
      </c>
    </row>
    <row r="94" spans="2:16" s="177" customFormat="1" x14ac:dyDescent="0.35">
      <c r="B94" s="294" t="s">
        <v>322</v>
      </c>
      <c r="F94" s="300"/>
      <c r="G94" s="305">
        <v>0.2</v>
      </c>
      <c r="H94" s="306">
        <v>0.15</v>
      </c>
      <c r="I94" s="306">
        <f t="shared" ref="I94" si="35">H94-5%</f>
        <v>9.9999999999999992E-2</v>
      </c>
      <c r="J94" s="306">
        <f>I94</f>
        <v>9.9999999999999992E-2</v>
      </c>
      <c r="K94" s="306">
        <f t="shared" ref="K94:P94" si="36">J94</f>
        <v>9.9999999999999992E-2</v>
      </c>
      <c r="L94" s="306">
        <f t="shared" si="36"/>
        <v>9.9999999999999992E-2</v>
      </c>
      <c r="M94" s="306">
        <f t="shared" si="36"/>
        <v>9.9999999999999992E-2</v>
      </c>
      <c r="N94" s="306">
        <f t="shared" si="36"/>
        <v>9.9999999999999992E-2</v>
      </c>
      <c r="O94" s="306">
        <f t="shared" si="36"/>
        <v>9.9999999999999992E-2</v>
      </c>
      <c r="P94" s="306">
        <f t="shared" si="36"/>
        <v>9.9999999999999992E-2</v>
      </c>
    </row>
    <row r="96" spans="2:16" s="155" customFormat="1" x14ac:dyDescent="0.35">
      <c r="B96" s="155" t="s">
        <v>441</v>
      </c>
      <c r="F96" s="320">
        <f t="shared" ref="F96:P96" si="37">F93+F73+F53+F88</f>
        <v>19906</v>
      </c>
      <c r="G96" s="292">
        <f t="shared" si="37"/>
        <v>25476.2</v>
      </c>
      <c r="H96" s="292">
        <f t="shared" si="37"/>
        <v>31545.151999999998</v>
      </c>
      <c r="I96" s="292">
        <f t="shared" si="37"/>
        <v>37980.688880000002</v>
      </c>
      <c r="J96" s="292">
        <f t="shared" si="37"/>
        <v>44508.379220799994</v>
      </c>
      <c r="K96" s="292">
        <f t="shared" si="37"/>
        <v>51135.463017824004</v>
      </c>
      <c r="L96" s="292">
        <f t="shared" si="37"/>
        <v>58085.247779856007</v>
      </c>
      <c r="M96" s="292">
        <f t="shared" si="37"/>
        <v>65864.695440839045</v>
      </c>
      <c r="N96" s="292">
        <f t="shared" si="37"/>
        <v>72993.23436050539</v>
      </c>
      <c r="O96" s="292">
        <f t="shared" si="37"/>
        <v>79864.637477294367</v>
      </c>
      <c r="P96" s="292">
        <f t="shared" si="37"/>
        <v>87094.820204013493</v>
      </c>
    </row>
    <row r="97" spans="2:16" s="177" customFormat="1" x14ac:dyDescent="0.35">
      <c r="B97" s="294" t="s">
        <v>322</v>
      </c>
      <c r="F97" s="300"/>
      <c r="G97" s="319">
        <f>G96/F96-1</f>
        <v>0.27982517833818954</v>
      </c>
      <c r="H97" s="319">
        <f t="shared" ref="H97:P97" si="38">H96/G96-1</f>
        <v>0.23822045674001613</v>
      </c>
      <c r="I97" s="319">
        <f t="shared" si="38"/>
        <v>0.20401033033538729</v>
      </c>
      <c r="J97" s="319">
        <f t="shared" si="38"/>
        <v>0.17186866624310659</v>
      </c>
      <c r="K97" s="319">
        <f t="shared" si="38"/>
        <v>0.14889519486090363</v>
      </c>
      <c r="L97" s="319">
        <f>L96/K96-1</f>
        <v>0.13590929566061716</v>
      </c>
      <c r="M97" s="319">
        <f t="shared" si="38"/>
        <v>0.13393155677784607</v>
      </c>
      <c r="N97" s="319">
        <f>N96/M96-1</f>
        <v>0.10823004451708629</v>
      </c>
      <c r="O97" s="319">
        <f t="shared" si="38"/>
        <v>9.413753448507145E-2</v>
      </c>
      <c r="P97" s="319">
        <f t="shared" si="38"/>
        <v>9.0530464484668505E-2</v>
      </c>
    </row>
    <row r="101" spans="2:16" s="325" customFormat="1" ht="15" thickBot="1" x14ac:dyDescent="0.4">
      <c r="B101" s="322" t="s">
        <v>223</v>
      </c>
      <c r="E101" s="322">
        <f>E18</f>
        <v>477</v>
      </c>
      <c r="F101" s="322">
        <f>F18</f>
        <v>595</v>
      </c>
      <c r="G101" s="326">
        <f>F101*(1+G102)</f>
        <v>743.75</v>
      </c>
      <c r="H101" s="327">
        <f t="shared" ref="H101" si="39">G101*(1+H102)</f>
        <v>929.6875</v>
      </c>
      <c r="I101" s="327">
        <f t="shared" ref="I101" si="40">H101*(1+I102)</f>
        <v>1162.109375</v>
      </c>
      <c r="J101" s="327">
        <f t="shared" ref="J101" si="41">I101*(1+J102)</f>
        <v>1452.63671875</v>
      </c>
      <c r="K101" s="327">
        <f t="shared" ref="K101" si="42">J101*(1+K102)</f>
        <v>1815.7958984375</v>
      </c>
      <c r="L101" s="327">
        <f t="shared" ref="L101" si="43">K101*(1+L102)</f>
        <v>2269.744873046875</v>
      </c>
      <c r="M101" s="327">
        <f t="shared" ref="M101" si="44">L101*(1+M102)</f>
        <v>2837.1810913085938</v>
      </c>
      <c r="N101" s="327">
        <f t="shared" ref="N101" si="45">M101*(1+N102)</f>
        <v>3546.4763641357422</v>
      </c>
      <c r="O101" s="327">
        <f t="shared" ref="O101" si="46">N101*(1+O102)</f>
        <v>4433.0954551696777</v>
      </c>
      <c r="P101" s="327">
        <f t="shared" ref="P101" si="47">O101*(1+P102)</f>
        <v>5541.3693189620972</v>
      </c>
    </row>
    <row r="102" spans="2:16" ht="15" thickTop="1" x14ac:dyDescent="0.35">
      <c r="B102" s="294" t="s">
        <v>322</v>
      </c>
      <c r="E102" s="328"/>
      <c r="F102" s="330">
        <f>F101/E101-1</f>
        <v>0.24737945492662483</v>
      </c>
      <c r="G102" s="331">
        <v>0.25</v>
      </c>
      <c r="H102" s="331">
        <v>0.25</v>
      </c>
      <c r="I102" s="331">
        <v>0.25</v>
      </c>
      <c r="J102" s="331">
        <v>0.25</v>
      </c>
      <c r="K102" s="331">
        <v>0.25</v>
      </c>
      <c r="L102" s="331">
        <v>0.25</v>
      </c>
      <c r="M102" s="331">
        <v>0.25</v>
      </c>
      <c r="N102" s="331">
        <v>0.25</v>
      </c>
      <c r="O102" s="331">
        <v>0.25</v>
      </c>
      <c r="P102" s="331">
        <v>0.25</v>
      </c>
    </row>
    <row r="106" spans="2:16" s="177" customFormat="1" x14ac:dyDescent="0.35">
      <c r="B106" s="88" t="s">
        <v>327</v>
      </c>
      <c r="C106" s="89"/>
      <c r="D106" s="89"/>
      <c r="E106" s="89"/>
      <c r="F106" s="89"/>
      <c r="G106" s="89"/>
      <c r="H106" s="89"/>
      <c r="I106" s="89"/>
      <c r="J106" s="89"/>
      <c r="K106" s="89"/>
      <c r="L106" s="89"/>
      <c r="M106" s="89"/>
      <c r="N106" s="89"/>
      <c r="O106" s="89"/>
      <c r="P106" s="89"/>
    </row>
    <row r="109" spans="2:16" x14ac:dyDescent="0.35">
      <c r="B109" s="4" t="s">
        <v>71</v>
      </c>
      <c r="C109" s="60"/>
      <c r="D109" s="52"/>
      <c r="E109" s="63">
        <f t="shared" ref="E109:P109" si="48">E111+E127+E130+E133+E136</f>
        <v>84709</v>
      </c>
      <c r="F109" s="63">
        <f t="shared" si="48"/>
        <v>110498</v>
      </c>
      <c r="G109" s="63">
        <f t="shared" si="48"/>
        <v>127157.23400000001</v>
      </c>
      <c r="H109" s="63">
        <f t="shared" si="48"/>
        <v>147775.91549799999</v>
      </c>
      <c r="I109" s="63">
        <f t="shared" si="48"/>
        <v>366334.47481736494</v>
      </c>
      <c r="J109" s="63">
        <f t="shared" si="48"/>
        <v>188372.39783484509</v>
      </c>
      <c r="K109" s="63">
        <f t="shared" si="48"/>
        <v>205765.60785863624</v>
      </c>
      <c r="L109" s="63">
        <f t="shared" si="48"/>
        <v>222733.83997843674</v>
      </c>
      <c r="M109" s="63">
        <f t="shared" si="48"/>
        <v>239224.87219685895</v>
      </c>
      <c r="N109" s="63">
        <f t="shared" si="48"/>
        <v>255054.64631227418</v>
      </c>
      <c r="O109" s="63">
        <f t="shared" si="48"/>
        <v>269460.86675617867</v>
      </c>
      <c r="P109" s="63">
        <f t="shared" si="48"/>
        <v>282501.18683210743</v>
      </c>
    </row>
    <row r="110" spans="2:16" s="177" customFormat="1" x14ac:dyDescent="0.35">
      <c r="B110" s="4"/>
      <c r="C110" s="60"/>
      <c r="D110" s="52"/>
      <c r="E110" s="63"/>
      <c r="F110" s="63"/>
      <c r="G110" s="63"/>
      <c r="H110" s="63"/>
      <c r="I110" s="63"/>
      <c r="J110" s="63"/>
      <c r="K110" s="63"/>
      <c r="L110" s="63"/>
      <c r="M110" s="63"/>
      <c r="N110" s="63"/>
      <c r="O110" s="63"/>
      <c r="P110" s="63"/>
    </row>
    <row r="111" spans="2:16" s="187" customFormat="1" x14ac:dyDescent="0.35">
      <c r="B111" s="79" t="s">
        <v>478</v>
      </c>
      <c r="C111" s="61"/>
      <c r="D111" s="76"/>
      <c r="E111" s="340">
        <f>E122+E113</f>
        <v>45583</v>
      </c>
      <c r="F111" s="340">
        <f>F113+F122</f>
        <v>59549</v>
      </c>
      <c r="G111" s="340">
        <f t="shared" ref="G111:P111" si="49">G113+G122</f>
        <v>71692.566500000001</v>
      </c>
      <c r="H111" s="340">
        <f t="shared" si="49"/>
        <v>85360.933874999988</v>
      </c>
      <c r="I111" s="340">
        <f t="shared" si="49"/>
        <v>96416.554763749999</v>
      </c>
      <c r="J111" s="340">
        <f t="shared" si="49"/>
        <v>109477.06998488749</v>
      </c>
      <c r="K111" s="340">
        <f t="shared" si="49"/>
        <v>119596.46992906538</v>
      </c>
      <c r="L111" s="340">
        <f t="shared" si="49"/>
        <v>129468.39435522574</v>
      </c>
      <c r="M111" s="340">
        <f t="shared" si="49"/>
        <v>139028.33233223693</v>
      </c>
      <c r="N111" s="340">
        <f t="shared" si="49"/>
        <v>148313.0497085203</v>
      </c>
      <c r="O111" s="340">
        <f t="shared" si="49"/>
        <v>156701.60043649844</v>
      </c>
      <c r="P111" s="340">
        <f t="shared" si="49"/>
        <v>164175.40750400364</v>
      </c>
    </row>
    <row r="112" spans="2:16" s="187" customFormat="1" x14ac:dyDescent="0.35">
      <c r="B112" s="79"/>
      <c r="C112" s="61"/>
      <c r="D112" s="76"/>
      <c r="E112" s="339"/>
      <c r="F112" s="339"/>
      <c r="G112" s="6"/>
      <c r="H112" s="76"/>
      <c r="I112" s="76"/>
      <c r="J112" s="76"/>
      <c r="K112" s="76"/>
      <c r="L112" s="76"/>
      <c r="M112" s="76"/>
      <c r="N112" s="76"/>
      <c r="O112" s="76"/>
      <c r="P112" s="76"/>
    </row>
    <row r="113" spans="2:16" s="187" customFormat="1" x14ac:dyDescent="0.35">
      <c r="B113" s="341" t="s">
        <v>479</v>
      </c>
      <c r="C113" s="61"/>
      <c r="D113" s="76"/>
      <c r="E113" s="340">
        <f>E116+E119</f>
        <v>21672</v>
      </c>
      <c r="F113" s="340">
        <f t="shared" ref="F113:P113" si="50">F116+F119</f>
        <v>26726</v>
      </c>
      <c r="G113" s="340">
        <f t="shared" si="50"/>
        <v>31712.07</v>
      </c>
      <c r="H113" s="340">
        <f t="shared" si="50"/>
        <v>37302.623999999996</v>
      </c>
      <c r="I113" s="340">
        <f t="shared" si="50"/>
        <v>42025.162700000001</v>
      </c>
      <c r="J113" s="340">
        <f t="shared" si="50"/>
        <v>47311.415999999997</v>
      </c>
      <c r="K113" s="340">
        <f t="shared" si="50"/>
        <v>51114.462699999996</v>
      </c>
      <c r="L113" s="340">
        <f t="shared" si="50"/>
        <v>54714.624517000004</v>
      </c>
      <c r="M113" s="340">
        <f t="shared" si="50"/>
        <v>58020.980381700007</v>
      </c>
      <c r="N113" s="340">
        <f t="shared" si="50"/>
        <v>61384.260276360001</v>
      </c>
      <c r="O113" s="340">
        <f t="shared" si="50"/>
        <v>64320.350798012412</v>
      </c>
      <c r="P113" s="340">
        <f t="shared" si="50"/>
        <v>66745.103035868728</v>
      </c>
    </row>
    <row r="114" spans="2:16" s="187" customFormat="1" x14ac:dyDescent="0.35">
      <c r="B114" s="343" t="s">
        <v>477</v>
      </c>
      <c r="C114" s="61"/>
      <c r="D114" s="76"/>
      <c r="E114" s="345">
        <f>E113/E11</f>
        <v>0.22722935779816514</v>
      </c>
      <c r="F114" s="345">
        <f t="shared" ref="F114:P114" si="51">F113/F11</f>
        <v>0.22976667411750545</v>
      </c>
      <c r="G114" s="345">
        <f t="shared" si="51"/>
        <v>0.23153284671532848</v>
      </c>
      <c r="H114" s="345">
        <f t="shared" si="51"/>
        <v>0.23349397590361445</v>
      </c>
      <c r="I114" s="345">
        <f t="shared" si="51"/>
        <v>0.23553699284009549</v>
      </c>
      <c r="J114" s="345">
        <f t="shared" si="51"/>
        <v>0.23340425531914891</v>
      </c>
      <c r="K114" s="345">
        <f t="shared" si="51"/>
        <v>0.23131147540983607</v>
      </c>
      <c r="L114" s="345">
        <f t="shared" si="51"/>
        <v>0.22925754060324824</v>
      </c>
      <c r="M114" s="345">
        <f t="shared" si="51"/>
        <v>0.22724137931034485</v>
      </c>
      <c r="N114" s="345">
        <f t="shared" si="51"/>
        <v>0.22636363636363629</v>
      </c>
      <c r="O114" s="345">
        <f t="shared" si="51"/>
        <v>0.22550561797752808</v>
      </c>
      <c r="P114" s="345">
        <f t="shared" si="51"/>
        <v>0.22466666666666668</v>
      </c>
    </row>
    <row r="115" spans="2:16" s="187" customFormat="1" x14ac:dyDescent="0.35">
      <c r="B115" s="341"/>
      <c r="C115" s="61"/>
      <c r="D115" s="76"/>
      <c r="E115" s="339"/>
      <c r="F115" s="339"/>
      <c r="G115" s="6"/>
      <c r="H115" s="76"/>
      <c r="I115" s="76"/>
      <c r="J115" s="76"/>
      <c r="K115" s="76"/>
      <c r="L115" s="76"/>
      <c r="M115" s="76"/>
      <c r="N115" s="76"/>
      <c r="O115" s="76"/>
      <c r="P115" s="76"/>
    </row>
    <row r="116" spans="2:16" s="187" customFormat="1" x14ac:dyDescent="0.35">
      <c r="B116" s="342" t="s">
        <v>480</v>
      </c>
      <c r="C116" s="61"/>
      <c r="D116" s="76"/>
      <c r="E116" s="339">
        <v>9031</v>
      </c>
      <c r="F116" s="339">
        <v>12572</v>
      </c>
      <c r="G116" s="6">
        <f>G12*G117</f>
        <v>16095.975</v>
      </c>
      <c r="H116" s="6">
        <f t="shared" ref="H116:P116" si="52">H12*H117</f>
        <v>19536.719999999998</v>
      </c>
      <c r="I116" s="6">
        <f t="shared" si="52"/>
        <v>22675.447499999998</v>
      </c>
      <c r="J116" s="6">
        <f t="shared" si="52"/>
        <v>25876.799999999999</v>
      </c>
      <c r="K116" s="6">
        <f t="shared" si="52"/>
        <v>28333.672499999997</v>
      </c>
      <c r="L116" s="6">
        <f t="shared" si="52"/>
        <v>30732.331350000004</v>
      </c>
      <c r="M116" s="6">
        <f t="shared" si="52"/>
        <v>33016.4911125</v>
      </c>
      <c r="N116" s="6">
        <f t="shared" si="52"/>
        <v>35129.546543700002</v>
      </c>
      <c r="O116" s="6">
        <f t="shared" si="52"/>
        <v>37015.44851604601</v>
      </c>
      <c r="P116" s="6">
        <f t="shared" si="52"/>
        <v>38621.05368544333</v>
      </c>
    </row>
    <row r="117" spans="2:16" s="187" customFormat="1" x14ac:dyDescent="0.35">
      <c r="B117" s="344" t="s">
        <v>474</v>
      </c>
      <c r="C117" s="61"/>
      <c r="D117" s="76"/>
      <c r="E117" s="345">
        <f>E116/E12</f>
        <v>0.11609759860132668</v>
      </c>
      <c r="F117" s="345">
        <f>F116/F12</f>
        <v>0.13050157781099486</v>
      </c>
      <c r="G117" s="348">
        <v>0.14000000000000001</v>
      </c>
      <c r="H117" s="347">
        <v>0.14499999999999999</v>
      </c>
      <c r="I117" s="347">
        <v>0.15</v>
      </c>
      <c r="J117" s="347">
        <v>0.15</v>
      </c>
      <c r="K117" s="347">
        <v>0.15</v>
      </c>
      <c r="L117" s="347">
        <v>0.15</v>
      </c>
      <c r="M117" s="347">
        <v>0.15</v>
      </c>
      <c r="N117" s="347">
        <v>0.15</v>
      </c>
      <c r="O117" s="347">
        <v>0.15</v>
      </c>
      <c r="P117" s="347">
        <v>0.15</v>
      </c>
    </row>
    <row r="118" spans="2:16" s="187" customFormat="1" x14ac:dyDescent="0.35">
      <c r="B118" s="342"/>
      <c r="C118" s="61"/>
      <c r="D118" s="76"/>
      <c r="E118" s="339"/>
      <c r="F118" s="339"/>
      <c r="G118" s="6"/>
      <c r="H118" s="76"/>
      <c r="I118" s="76"/>
      <c r="J118" s="76"/>
      <c r="K118" s="76"/>
      <c r="L118" s="76"/>
      <c r="M118" s="76"/>
      <c r="N118" s="76"/>
      <c r="O118" s="76"/>
      <c r="P118" s="76"/>
    </row>
    <row r="119" spans="2:16" s="187" customFormat="1" x14ac:dyDescent="0.35">
      <c r="B119" s="342" t="s">
        <v>481</v>
      </c>
      <c r="C119" s="61"/>
      <c r="D119" s="76"/>
      <c r="E119" s="339">
        <v>12641</v>
      </c>
      <c r="F119" s="339">
        <v>14154</v>
      </c>
      <c r="G119" s="6">
        <f>G120*G13</f>
        <v>15616.094999999999</v>
      </c>
      <c r="H119" s="6">
        <f t="shared" ref="H119:P119" si="53">H120*H13</f>
        <v>17765.903999999999</v>
      </c>
      <c r="I119" s="6">
        <f t="shared" si="53"/>
        <v>19349.715199999999</v>
      </c>
      <c r="J119" s="6">
        <f t="shared" si="53"/>
        <v>21434.615999999998</v>
      </c>
      <c r="K119" s="6">
        <f t="shared" si="53"/>
        <v>22780.790199999999</v>
      </c>
      <c r="L119" s="6">
        <f t="shared" si="53"/>
        <v>23982.293167000003</v>
      </c>
      <c r="M119" s="6">
        <f t="shared" si="53"/>
        <v>25004.489269200003</v>
      </c>
      <c r="N119" s="6">
        <f t="shared" si="53"/>
        <v>26254.713732659999</v>
      </c>
      <c r="O119" s="6">
        <f t="shared" si="53"/>
        <v>27304.902281966402</v>
      </c>
      <c r="P119" s="6">
        <f t="shared" si="53"/>
        <v>28124.049350425397</v>
      </c>
    </row>
    <row r="120" spans="2:16" s="187" customFormat="1" x14ac:dyDescent="0.35">
      <c r="B120" s="344" t="s">
        <v>476</v>
      </c>
      <c r="C120" s="61"/>
      <c r="D120" s="76"/>
      <c r="E120" s="345">
        <f>E119/E13</f>
        <v>0.71876954568715523</v>
      </c>
      <c r="F120" s="345">
        <f>F119/F13</f>
        <v>0.70833750375337801</v>
      </c>
      <c r="G120" s="348">
        <v>0.71</v>
      </c>
      <c r="H120" s="346">
        <f>G120</f>
        <v>0.71</v>
      </c>
      <c r="I120" s="346">
        <f t="shared" ref="I120:P120" si="54">H120</f>
        <v>0.71</v>
      </c>
      <c r="J120" s="346">
        <f t="shared" si="54"/>
        <v>0.71</v>
      </c>
      <c r="K120" s="346">
        <f t="shared" si="54"/>
        <v>0.71</v>
      </c>
      <c r="L120" s="346">
        <f t="shared" si="54"/>
        <v>0.71</v>
      </c>
      <c r="M120" s="346">
        <f t="shared" si="54"/>
        <v>0.71</v>
      </c>
      <c r="N120" s="346">
        <f t="shared" si="54"/>
        <v>0.71</v>
      </c>
      <c r="O120" s="346">
        <f t="shared" si="54"/>
        <v>0.71</v>
      </c>
      <c r="P120" s="346">
        <f t="shared" si="54"/>
        <v>0.71</v>
      </c>
    </row>
    <row r="121" spans="2:16" s="187" customFormat="1" x14ac:dyDescent="0.35">
      <c r="B121" s="344"/>
      <c r="C121" s="61"/>
      <c r="D121" s="76"/>
      <c r="E121" s="345"/>
      <c r="F121" s="345"/>
      <c r="G121" s="349"/>
      <c r="H121" s="347"/>
      <c r="I121" s="347"/>
      <c r="J121" s="347"/>
      <c r="K121" s="347"/>
      <c r="L121" s="347"/>
      <c r="M121" s="347"/>
      <c r="N121" s="347"/>
      <c r="O121" s="347"/>
      <c r="P121" s="347"/>
    </row>
    <row r="122" spans="2:16" s="187" customFormat="1" x14ac:dyDescent="0.35">
      <c r="B122" s="341" t="s">
        <v>482</v>
      </c>
      <c r="C122" s="61"/>
      <c r="D122" s="76"/>
      <c r="E122" s="339">
        <v>23911</v>
      </c>
      <c r="F122" s="339">
        <v>32823</v>
      </c>
      <c r="G122" s="6">
        <f>G20*G123</f>
        <v>39980.496500000001</v>
      </c>
      <c r="H122" s="6">
        <f t="shared" ref="H122:P122" si="55">H20*H123</f>
        <v>48058.309874999999</v>
      </c>
      <c r="I122" s="6">
        <f t="shared" si="55"/>
        <v>54391.392063749998</v>
      </c>
      <c r="J122" s="6">
        <f t="shared" si="55"/>
        <v>62165.653984887496</v>
      </c>
      <c r="K122" s="6">
        <f t="shared" si="55"/>
        <v>68482.007229065377</v>
      </c>
      <c r="L122" s="6">
        <f t="shared" si="55"/>
        <v>74753.769838225737</v>
      </c>
      <c r="M122" s="6">
        <f t="shared" si="55"/>
        <v>81007.351950536919</v>
      </c>
      <c r="N122" s="6">
        <f t="shared" si="55"/>
        <v>86928.789432160294</v>
      </c>
      <c r="O122" s="6">
        <f t="shared" si="55"/>
        <v>92381.249638486028</v>
      </c>
      <c r="P122" s="6">
        <f t="shared" si="55"/>
        <v>97430.304468134913</v>
      </c>
    </row>
    <row r="123" spans="2:16" s="187" customFormat="1" x14ac:dyDescent="0.35">
      <c r="B123" s="343" t="s">
        <v>477</v>
      </c>
      <c r="C123" s="61"/>
      <c r="D123" s="76"/>
      <c r="E123" s="345">
        <f>E122/E20</f>
        <v>0.21569617969419511</v>
      </c>
      <c r="F123" s="345">
        <f t="shared" ref="F123" si="56">F122/F20</f>
        <v>0.23990089095812717</v>
      </c>
      <c r="G123" s="348">
        <v>0.245</v>
      </c>
      <c r="H123" s="346">
        <v>0.25</v>
      </c>
      <c r="I123" s="346">
        <f>H123</f>
        <v>0.25</v>
      </c>
      <c r="J123" s="346">
        <f t="shared" ref="J123:P123" si="57">I123</f>
        <v>0.25</v>
      </c>
      <c r="K123" s="346">
        <f t="shared" si="57"/>
        <v>0.25</v>
      </c>
      <c r="L123" s="346">
        <f t="shared" si="57"/>
        <v>0.25</v>
      </c>
      <c r="M123" s="346">
        <f t="shared" si="57"/>
        <v>0.25</v>
      </c>
      <c r="N123" s="346">
        <f t="shared" si="57"/>
        <v>0.25</v>
      </c>
      <c r="O123" s="346">
        <f t="shared" si="57"/>
        <v>0.25</v>
      </c>
      <c r="P123" s="346">
        <f t="shared" si="57"/>
        <v>0.25</v>
      </c>
    </row>
    <row r="124" spans="2:16" s="187" customFormat="1" x14ac:dyDescent="0.35">
      <c r="B124" s="343"/>
      <c r="C124" s="61"/>
      <c r="D124" s="76"/>
      <c r="E124" s="345"/>
      <c r="F124" s="345"/>
      <c r="G124" s="345"/>
      <c r="H124" s="345"/>
      <c r="I124" s="345"/>
      <c r="J124" s="345"/>
      <c r="K124" s="345"/>
      <c r="L124" s="345"/>
      <c r="M124" s="345"/>
      <c r="N124" s="345"/>
      <c r="O124" s="345"/>
      <c r="P124" s="345"/>
    </row>
    <row r="125" spans="2:16" s="187" customFormat="1" x14ac:dyDescent="0.35">
      <c r="B125" s="343"/>
      <c r="C125" s="61"/>
      <c r="D125" s="76"/>
      <c r="E125" s="345"/>
      <c r="F125" s="345"/>
      <c r="G125" s="345"/>
      <c r="H125" s="345"/>
      <c r="I125" s="345"/>
      <c r="J125" s="345"/>
      <c r="K125" s="345"/>
      <c r="L125" s="345"/>
      <c r="M125" s="345"/>
      <c r="N125" s="345"/>
      <c r="O125" s="345"/>
      <c r="P125" s="345"/>
    </row>
    <row r="126" spans="2:16" s="187" customFormat="1" x14ac:dyDescent="0.35">
      <c r="B126" s="343"/>
      <c r="C126" s="61"/>
      <c r="D126" s="76"/>
      <c r="E126" s="345"/>
      <c r="F126" s="345"/>
      <c r="G126" s="345"/>
      <c r="H126" s="345"/>
      <c r="I126" s="345"/>
      <c r="J126" s="345"/>
      <c r="K126" s="345"/>
      <c r="L126" s="345"/>
      <c r="M126" s="345"/>
      <c r="N126" s="345"/>
      <c r="O126" s="345"/>
      <c r="P126" s="345"/>
    </row>
    <row r="127" spans="2:16" x14ac:dyDescent="0.35">
      <c r="B127" s="79" t="s">
        <v>483</v>
      </c>
      <c r="C127" s="61"/>
      <c r="D127" s="76"/>
      <c r="E127" s="339">
        <v>16625</v>
      </c>
      <c r="F127" s="339">
        <v>21419</v>
      </c>
      <c r="G127" s="6">
        <f>G128*G20</f>
        <v>25293.783500000001</v>
      </c>
      <c r="H127" s="6">
        <f t="shared" ref="H127:P127" si="58">H128*H20</f>
        <v>29796.1521225</v>
      </c>
      <c r="I127" s="6">
        <f t="shared" si="58"/>
        <v>33722.663079524995</v>
      </c>
      <c r="J127" s="6">
        <f t="shared" si="58"/>
        <v>38542.705470630244</v>
      </c>
      <c r="K127" s="6">
        <f t="shared" si="58"/>
        <v>42458.844482020533</v>
      </c>
      <c r="L127" s="6">
        <f t="shared" si="58"/>
        <v>46347.337299699953</v>
      </c>
      <c r="M127" s="6">
        <f t="shared" si="58"/>
        <v>50224.558209332892</v>
      </c>
      <c r="N127" s="6">
        <f t="shared" si="58"/>
        <v>53895.849447939385</v>
      </c>
      <c r="O127" s="6">
        <f t="shared" si="58"/>
        <v>57276.374775861339</v>
      </c>
      <c r="P127" s="6">
        <f t="shared" si="58"/>
        <v>60406.788770243649</v>
      </c>
    </row>
    <row r="128" spans="2:16" s="187" customFormat="1" x14ac:dyDescent="0.35">
      <c r="B128" s="343" t="s">
        <v>487</v>
      </c>
      <c r="C128" s="61"/>
      <c r="D128" s="76"/>
      <c r="E128" s="345">
        <f>E127/E20</f>
        <v>0.14997068242298497</v>
      </c>
      <c r="F128" s="345">
        <f>F127/F20</f>
        <v>0.15654989438601363</v>
      </c>
      <c r="G128" s="348">
        <v>0.155</v>
      </c>
      <c r="H128" s="346">
        <f>G128</f>
        <v>0.155</v>
      </c>
      <c r="I128" s="346">
        <f t="shared" ref="I128:P128" si="59">H128</f>
        <v>0.155</v>
      </c>
      <c r="J128" s="346">
        <f t="shared" si="59"/>
        <v>0.155</v>
      </c>
      <c r="K128" s="346">
        <f t="shared" si="59"/>
        <v>0.155</v>
      </c>
      <c r="L128" s="346">
        <f t="shared" si="59"/>
        <v>0.155</v>
      </c>
      <c r="M128" s="346">
        <f t="shared" si="59"/>
        <v>0.155</v>
      </c>
      <c r="N128" s="346">
        <f t="shared" si="59"/>
        <v>0.155</v>
      </c>
      <c r="O128" s="346">
        <f t="shared" si="59"/>
        <v>0.155</v>
      </c>
      <c r="P128" s="346">
        <f t="shared" si="59"/>
        <v>0.155</v>
      </c>
    </row>
    <row r="129" spans="2:16" s="177" customFormat="1" x14ac:dyDescent="0.35">
      <c r="B129" s="79"/>
      <c r="C129" s="61"/>
      <c r="D129" s="76"/>
      <c r="E129" s="339"/>
      <c r="F129" s="339"/>
      <c r="G129" s="6"/>
      <c r="H129" s="76"/>
      <c r="I129" s="76"/>
      <c r="J129" s="76"/>
      <c r="K129" s="76"/>
      <c r="L129" s="76"/>
      <c r="M129" s="76"/>
      <c r="N129" s="76"/>
      <c r="O129" s="76"/>
      <c r="P129" s="76"/>
    </row>
    <row r="130" spans="2:16" x14ac:dyDescent="0.35">
      <c r="B130" s="79" t="s">
        <v>484</v>
      </c>
      <c r="C130" s="61"/>
      <c r="D130" s="76"/>
      <c r="E130" s="339">
        <v>12893</v>
      </c>
      <c r="F130" s="339">
        <v>16333</v>
      </c>
      <c r="G130" s="6">
        <f t="shared" ref="G130:P130" si="60">G131*G20</f>
        <v>19582.284</v>
      </c>
      <c r="H130" s="6">
        <f t="shared" si="60"/>
        <v>22875.755500499999</v>
      </c>
      <c r="I130" s="6">
        <f t="shared" si="60"/>
        <v>25672.737054089997</v>
      </c>
      <c r="J130" s="6">
        <f t="shared" si="60"/>
        <v>29093.526064927348</v>
      </c>
      <c r="K130" s="6">
        <f t="shared" si="60"/>
        <v>31775.651354286332</v>
      </c>
      <c r="L130" s="6">
        <f t="shared" si="60"/>
        <v>34386.734125583833</v>
      </c>
      <c r="M130" s="6">
        <f t="shared" si="60"/>
        <v>36939.352489444835</v>
      </c>
      <c r="N130" s="6">
        <f t="shared" si="60"/>
        <v>39291.812823336448</v>
      </c>
      <c r="O130" s="6">
        <f t="shared" si="60"/>
        <v>41386.799838041734</v>
      </c>
      <c r="P130" s="6">
        <f t="shared" si="60"/>
        <v>43259.055183851895</v>
      </c>
    </row>
    <row r="131" spans="2:16" s="187" customFormat="1" x14ac:dyDescent="0.35">
      <c r="B131" s="343" t="s">
        <v>487</v>
      </c>
      <c r="C131" s="61"/>
      <c r="D131" s="76"/>
      <c r="E131" s="345">
        <f>E130/E20</f>
        <v>0.11630508321681476</v>
      </c>
      <c r="F131" s="345">
        <f>F130/F20</f>
        <v>0.1193766947573071</v>
      </c>
      <c r="G131" s="348">
        <v>0.12</v>
      </c>
      <c r="H131" s="346">
        <v>0.11899999999999999</v>
      </c>
      <c r="I131" s="346">
        <f>H131-0.1%</f>
        <v>0.11799999999999999</v>
      </c>
      <c r="J131" s="346">
        <f t="shared" ref="J131:P131" si="61">I131-0.1%</f>
        <v>0.11699999999999999</v>
      </c>
      <c r="K131" s="346">
        <f t="shared" si="61"/>
        <v>0.11599999999999999</v>
      </c>
      <c r="L131" s="346">
        <f t="shared" si="61"/>
        <v>0.11499999999999999</v>
      </c>
      <c r="M131" s="346">
        <f t="shared" si="61"/>
        <v>0.11399999999999999</v>
      </c>
      <c r="N131" s="346">
        <f t="shared" si="61"/>
        <v>0.11299999999999999</v>
      </c>
      <c r="O131" s="346">
        <f t="shared" si="61"/>
        <v>0.11199999999999999</v>
      </c>
      <c r="P131" s="346">
        <f t="shared" si="61"/>
        <v>0.11099999999999999</v>
      </c>
    </row>
    <row r="132" spans="2:16" s="177" customFormat="1" x14ac:dyDescent="0.35">
      <c r="B132" s="79"/>
      <c r="C132" s="61"/>
      <c r="D132" s="76"/>
      <c r="E132" s="339"/>
      <c r="F132" s="339"/>
      <c r="G132" s="6"/>
      <c r="H132" s="76"/>
      <c r="I132" s="76"/>
      <c r="J132" s="76"/>
      <c r="K132" s="76"/>
      <c r="L132" s="76"/>
      <c r="M132" s="76"/>
      <c r="N132" s="76"/>
      <c r="O132" s="76"/>
      <c r="P132" s="76"/>
    </row>
    <row r="133" spans="2:16" x14ac:dyDescent="0.35">
      <c r="B133" s="79" t="s">
        <v>485</v>
      </c>
      <c r="C133" s="61"/>
      <c r="D133" s="76"/>
      <c r="E133" s="339">
        <v>6872</v>
      </c>
      <c r="F133" s="339">
        <v>8126</v>
      </c>
      <c r="G133" s="6">
        <f>F133*(1+G134)</f>
        <v>8938.6</v>
      </c>
      <c r="H133" s="6">
        <f t="shared" ref="H133:P133" si="62">G133*(1+H134)</f>
        <v>9743.0740000000005</v>
      </c>
      <c r="I133" s="6">
        <f t="shared" si="62"/>
        <v>10522.519920000001</v>
      </c>
      <c r="J133" s="6">
        <f t="shared" si="62"/>
        <v>11259.096314400002</v>
      </c>
      <c r="K133" s="6">
        <f t="shared" si="62"/>
        <v>11934.642093264003</v>
      </c>
      <c r="L133" s="6">
        <f t="shared" si="62"/>
        <v>12531.374197927204</v>
      </c>
      <c r="M133" s="6">
        <f t="shared" si="62"/>
        <v>13032.629165844291</v>
      </c>
      <c r="N133" s="6">
        <f t="shared" si="62"/>
        <v>13553.934332478064</v>
      </c>
      <c r="O133" s="6">
        <f t="shared" si="62"/>
        <v>14096.091705777188</v>
      </c>
      <c r="P133" s="6">
        <f t="shared" si="62"/>
        <v>14659.935374008275</v>
      </c>
    </row>
    <row r="134" spans="2:16" s="187" customFormat="1" x14ac:dyDescent="0.35">
      <c r="B134" s="343" t="s">
        <v>322</v>
      </c>
      <c r="C134" s="61"/>
      <c r="D134" s="76"/>
      <c r="E134" s="345"/>
      <c r="F134" s="345">
        <f>F133/E133-1</f>
        <v>0.18247962747380675</v>
      </c>
      <c r="G134" s="348">
        <v>0.1</v>
      </c>
      <c r="H134" s="346">
        <f>G134-1%</f>
        <v>9.0000000000000011E-2</v>
      </c>
      <c r="I134" s="346">
        <f t="shared" ref="I134:M134" si="63">H134-1%</f>
        <v>8.0000000000000016E-2</v>
      </c>
      <c r="J134" s="346">
        <f t="shared" si="63"/>
        <v>7.0000000000000021E-2</v>
      </c>
      <c r="K134" s="346">
        <f t="shared" si="63"/>
        <v>6.0000000000000019E-2</v>
      </c>
      <c r="L134" s="346">
        <f t="shared" si="63"/>
        <v>5.0000000000000017E-2</v>
      </c>
      <c r="M134" s="346">
        <f t="shared" si="63"/>
        <v>4.0000000000000015E-2</v>
      </c>
      <c r="N134" s="346">
        <f>M134</f>
        <v>4.0000000000000015E-2</v>
      </c>
      <c r="O134" s="346">
        <f t="shared" ref="O134:P134" si="64">N134</f>
        <v>4.0000000000000015E-2</v>
      </c>
      <c r="P134" s="346">
        <f t="shared" si="64"/>
        <v>4.0000000000000015E-2</v>
      </c>
    </row>
    <row r="135" spans="2:16" s="177" customFormat="1" x14ac:dyDescent="0.35">
      <c r="B135" s="79"/>
      <c r="C135" s="61"/>
      <c r="D135" s="76"/>
      <c r="E135" s="339"/>
      <c r="F135" s="339"/>
      <c r="G135" s="6"/>
      <c r="H135" s="76"/>
      <c r="I135" s="76"/>
      <c r="J135" s="76"/>
      <c r="K135" s="76"/>
      <c r="L135" s="76"/>
      <c r="M135" s="76"/>
      <c r="N135" s="76"/>
      <c r="O135" s="76"/>
      <c r="P135" s="76"/>
    </row>
    <row r="136" spans="2:16" x14ac:dyDescent="0.35">
      <c r="B136" s="79" t="s">
        <v>486</v>
      </c>
      <c r="C136" s="61"/>
      <c r="D136" s="76"/>
      <c r="E136" s="339">
        <v>2736</v>
      </c>
      <c r="F136" s="339">
        <v>5071</v>
      </c>
      <c r="G136" s="6">
        <f>'OM (Op. Model)'!G186</f>
        <v>1650</v>
      </c>
      <c r="H136" s="6">
        <f>'OM (Op. Model)'!H186</f>
        <v>0</v>
      </c>
      <c r="I136" s="6">
        <f>'OM (Op. Model)'!I186</f>
        <v>200000</v>
      </c>
      <c r="J136" s="6">
        <f>'OM (Op. Model)'!J186</f>
        <v>0</v>
      </c>
      <c r="K136" s="6">
        <f>'OM (Op. Model)'!K186</f>
        <v>0</v>
      </c>
      <c r="L136" s="6">
        <f>'OM (Op. Model)'!L186</f>
        <v>0</v>
      </c>
      <c r="M136" s="6">
        <f>'OM (Op. Model)'!M186</f>
        <v>0</v>
      </c>
      <c r="N136" s="6">
        <f>'OM (Op. Model)'!N186</f>
        <v>0</v>
      </c>
      <c r="O136" s="6">
        <f>'OM (Op. Model)'!O186</f>
        <v>0</v>
      </c>
      <c r="P136" s="6">
        <f>'OM (Op. Model)'!P186</f>
        <v>0</v>
      </c>
    </row>
    <row r="137" spans="2:16" x14ac:dyDescent="0.35">
      <c r="E137" s="187"/>
      <c r="F137" s="187"/>
    </row>
    <row r="139" spans="2:16" s="177" customFormat="1" x14ac:dyDescent="0.35">
      <c r="B139" s="88" t="s">
        <v>316</v>
      </c>
      <c r="C139" s="89"/>
      <c r="D139" s="89"/>
      <c r="E139" s="89"/>
      <c r="F139" s="89"/>
      <c r="G139" s="89"/>
      <c r="H139" s="89"/>
      <c r="I139" s="89"/>
      <c r="J139" s="89"/>
      <c r="K139" s="89"/>
      <c r="L139" s="89"/>
      <c r="M139" s="89"/>
      <c r="N139" s="89"/>
      <c r="O139" s="89"/>
      <c r="P139" s="89"/>
    </row>
    <row r="141" spans="2:16" x14ac:dyDescent="0.35">
      <c r="B141" t="s">
        <v>316</v>
      </c>
      <c r="E141" s="192">
        <f>-CF!E27</f>
        <v>13184</v>
      </c>
      <c r="F141" s="192">
        <f>-CF!F27</f>
        <v>25139</v>
      </c>
      <c r="G141" s="192">
        <f>-CF!G27</f>
        <v>26021.633333333331</v>
      </c>
      <c r="H141" s="192">
        <f>-CF!H27</f>
        <v>28125.399999999998</v>
      </c>
      <c r="I141" s="192">
        <f>-CF!I27</f>
        <v>30365.433333333334</v>
      </c>
      <c r="J141" s="192">
        <f>-CF!J27</f>
        <v>29814.9</v>
      </c>
      <c r="K141" s="192">
        <f>-CF!K27</f>
        <v>30795.05</v>
      </c>
      <c r="L141" s="192">
        <f>-CF!L27</f>
        <v>29315.1</v>
      </c>
      <c r="M141" s="192">
        <f>-CF!M27</f>
        <v>30165.4</v>
      </c>
      <c r="N141" s="192">
        <f>-CF!N27</f>
        <v>34771.515772864121</v>
      </c>
      <c r="O141" s="192">
        <f>-CF!O27</f>
        <v>36952.49985539441</v>
      </c>
      <c r="P141" s="192">
        <f>-CF!P27</f>
        <v>38972.121787253964</v>
      </c>
    </row>
    <row r="144" spans="2:16" s="177" customFormat="1" x14ac:dyDescent="0.35">
      <c r="B144" s="88" t="s">
        <v>126</v>
      </c>
      <c r="C144" s="89"/>
      <c r="D144" s="89"/>
      <c r="E144" s="89"/>
      <c r="F144" s="89"/>
      <c r="G144" s="89"/>
      <c r="H144" s="89"/>
      <c r="I144" s="89"/>
      <c r="J144" s="89"/>
      <c r="K144" s="89"/>
      <c r="L144" s="89"/>
      <c r="M144" s="89"/>
      <c r="N144" s="89"/>
      <c r="O144" s="89"/>
      <c r="P144" s="89"/>
    </row>
    <row r="146" spans="2:16" x14ac:dyDescent="0.35">
      <c r="B146" s="155" t="s">
        <v>493</v>
      </c>
    </row>
    <row r="148" spans="2:16" x14ac:dyDescent="0.35">
      <c r="B148" t="s">
        <v>494</v>
      </c>
      <c r="C148" s="192">
        <f>BS!F18</f>
        <v>59719</v>
      </c>
      <c r="E148" s="192"/>
      <c r="G148" s="175"/>
      <c r="H148" s="175"/>
      <c r="I148" s="175"/>
      <c r="J148" s="175"/>
      <c r="K148" s="175"/>
      <c r="L148" s="175"/>
      <c r="M148" s="175"/>
      <c r="N148" s="175"/>
      <c r="O148" s="175"/>
      <c r="P148" s="175"/>
    </row>
    <row r="149" spans="2:16" x14ac:dyDescent="0.35">
      <c r="B149" t="s">
        <v>495</v>
      </c>
      <c r="C149" s="360">
        <v>10</v>
      </c>
    </row>
    <row r="151" spans="2:16" x14ac:dyDescent="0.35">
      <c r="B151" t="s">
        <v>496</v>
      </c>
      <c r="G151" s="175">
        <f>MAX(0, MIN($C$148-SUM($E$151:F151), $C$148/$C$149))</f>
        <v>5971.9</v>
      </c>
      <c r="H151" s="175">
        <f>MAX(0, MIN($C$148-SUM($E$151:G151), $C$148/$C$149))</f>
        <v>5971.9</v>
      </c>
      <c r="I151" s="175">
        <f>MAX(0, MIN($C$148-SUM($E$151:H151), $C$148/$C$149))</f>
        <v>5971.9</v>
      </c>
      <c r="J151" s="175">
        <f>MAX(0, MIN($C$148-SUM($E$151:I151), $C$148/$C$149))</f>
        <v>5971.9</v>
      </c>
      <c r="K151" s="175">
        <f>MAX(0, MIN($C$148-SUM($E$151:J151), $C$148/$C$149))</f>
        <v>5971.9</v>
      </c>
      <c r="L151" s="175">
        <f>MAX(0, MIN($C$148-SUM($E$151:K151), $C$148/$C$149))</f>
        <v>5971.9</v>
      </c>
      <c r="M151" s="175">
        <f>MAX(0, MIN($C$148-SUM($E$151:L151), $C$148/$C$149))</f>
        <v>5971.9</v>
      </c>
      <c r="N151" s="175">
        <f>MAX(0, MIN($C$148-SUM($E$151:M151), $C$148/$C$149))</f>
        <v>5971.9</v>
      </c>
      <c r="O151" s="175">
        <f>MAX(0, MIN($C$148-SUM($E$151:N151), $C$148/$C$149))</f>
        <v>5971.9</v>
      </c>
      <c r="P151" s="175">
        <f>MAX(0, MIN($C$148-SUM($E$151:O151), $C$148/$C$149))</f>
        <v>5971.8999999999942</v>
      </c>
    </row>
    <row r="154" spans="2:16" x14ac:dyDescent="0.35">
      <c r="B154" s="155" t="s">
        <v>497</v>
      </c>
    </row>
    <row r="156" spans="2:16" x14ac:dyDescent="0.35">
      <c r="B156" t="s">
        <v>498</v>
      </c>
      <c r="G156" s="175">
        <f>G$141*G157</f>
        <v>13010.816666666666</v>
      </c>
      <c r="H156" s="175">
        <f t="shared" ref="H156:P156" si="65">H$141*H157</f>
        <v>14062.699999999999</v>
      </c>
      <c r="I156" s="175">
        <f t="shared" si="65"/>
        <v>15182.716666666667</v>
      </c>
      <c r="J156" s="175">
        <f t="shared" si="65"/>
        <v>14907.45</v>
      </c>
      <c r="K156" s="175">
        <f t="shared" si="65"/>
        <v>15397.525</v>
      </c>
      <c r="L156" s="175">
        <f t="shared" si="65"/>
        <v>14657.55</v>
      </c>
      <c r="M156" s="175">
        <f t="shared" si="65"/>
        <v>15082.7</v>
      </c>
      <c r="N156" s="175">
        <f t="shared" si="65"/>
        <v>17385.75788643206</v>
      </c>
      <c r="O156" s="175">
        <f t="shared" si="65"/>
        <v>18476.249927697205</v>
      </c>
      <c r="P156" s="175">
        <f t="shared" si="65"/>
        <v>19486.060893626982</v>
      </c>
    </row>
    <row r="157" spans="2:16" x14ac:dyDescent="0.35">
      <c r="B157" s="132" t="s">
        <v>500</v>
      </c>
      <c r="G157" s="361">
        <f>50%</f>
        <v>0.5</v>
      </c>
      <c r="H157" s="306">
        <f>G157</f>
        <v>0.5</v>
      </c>
      <c r="I157" s="306">
        <f t="shared" ref="I157:P157" si="66">H157</f>
        <v>0.5</v>
      </c>
      <c r="J157" s="306">
        <f t="shared" si="66"/>
        <v>0.5</v>
      </c>
      <c r="K157" s="306">
        <f t="shared" si="66"/>
        <v>0.5</v>
      </c>
      <c r="L157" s="306">
        <f t="shared" si="66"/>
        <v>0.5</v>
      </c>
      <c r="M157" s="306">
        <f t="shared" si="66"/>
        <v>0.5</v>
      </c>
      <c r="N157" s="306">
        <f t="shared" si="66"/>
        <v>0.5</v>
      </c>
      <c r="O157" s="306">
        <f t="shared" si="66"/>
        <v>0.5</v>
      </c>
      <c r="P157" s="306">
        <f t="shared" si="66"/>
        <v>0.5</v>
      </c>
    </row>
    <row r="159" spans="2:16" x14ac:dyDescent="0.35">
      <c r="B159" s="177" t="s">
        <v>499</v>
      </c>
      <c r="G159" s="175">
        <f>G$141*G160</f>
        <v>13010.816666666666</v>
      </c>
      <c r="H159" s="175">
        <f t="shared" ref="H159" si="67">H$141*H160</f>
        <v>14062.699999999999</v>
      </c>
      <c r="I159" s="175">
        <f t="shared" ref="I159" si="68">I$141*I160</f>
        <v>15182.716666666667</v>
      </c>
      <c r="J159" s="175">
        <f t="shared" ref="J159" si="69">J$141*J160</f>
        <v>14907.45</v>
      </c>
      <c r="K159" s="175">
        <f t="shared" ref="K159" si="70">K$141*K160</f>
        <v>15397.525</v>
      </c>
      <c r="L159" s="175">
        <f t="shared" ref="L159" si="71">L$141*L160</f>
        <v>14657.55</v>
      </c>
      <c r="M159" s="175">
        <f t="shared" ref="M159" si="72">M$141*M160</f>
        <v>15082.7</v>
      </c>
      <c r="N159" s="175">
        <f t="shared" ref="N159" si="73">N$141*N160</f>
        <v>17385.75788643206</v>
      </c>
      <c r="O159" s="175">
        <f t="shared" ref="O159" si="74">O$141*O160</f>
        <v>18476.249927697205</v>
      </c>
      <c r="P159" s="175">
        <f t="shared" ref="P159" si="75">P$141*P160</f>
        <v>19486.060893626982</v>
      </c>
    </row>
    <row r="160" spans="2:16" x14ac:dyDescent="0.35">
      <c r="B160" s="132" t="s">
        <v>500</v>
      </c>
      <c r="G160" s="361">
        <f>50%</f>
        <v>0.5</v>
      </c>
      <c r="H160" s="306">
        <f>G160</f>
        <v>0.5</v>
      </c>
      <c r="I160" s="306">
        <f t="shared" ref="I160:P160" si="76">H160</f>
        <v>0.5</v>
      </c>
      <c r="J160" s="306">
        <f t="shared" si="76"/>
        <v>0.5</v>
      </c>
      <c r="K160" s="306">
        <f t="shared" si="76"/>
        <v>0.5</v>
      </c>
      <c r="L160" s="306">
        <f t="shared" si="76"/>
        <v>0.5</v>
      </c>
      <c r="M160" s="306">
        <f t="shared" si="76"/>
        <v>0.5</v>
      </c>
      <c r="N160" s="306">
        <f t="shared" si="76"/>
        <v>0.5</v>
      </c>
      <c r="O160" s="306">
        <f t="shared" si="76"/>
        <v>0.5</v>
      </c>
      <c r="P160" s="306">
        <f t="shared" si="76"/>
        <v>0.5</v>
      </c>
    </row>
    <row r="162" spans="2:16" x14ac:dyDescent="0.35">
      <c r="B162" s="177" t="s">
        <v>501</v>
      </c>
      <c r="G162" s="175">
        <f>G$141*G163</f>
        <v>0</v>
      </c>
      <c r="H162" s="175">
        <f t="shared" ref="H162" si="77">H$141*H163</f>
        <v>0</v>
      </c>
      <c r="I162" s="175">
        <f t="shared" ref="I162" si="78">I$141*I163</f>
        <v>0</v>
      </c>
      <c r="J162" s="175">
        <f t="shared" ref="J162" si="79">J$141*J163</f>
        <v>0</v>
      </c>
      <c r="K162" s="175">
        <f t="shared" ref="K162" si="80">K$141*K163</f>
        <v>0</v>
      </c>
      <c r="L162" s="175">
        <f t="shared" ref="L162" si="81">L$141*L163</f>
        <v>0</v>
      </c>
      <c r="M162" s="175">
        <f t="shared" ref="M162" si="82">M$141*M163</f>
        <v>0</v>
      </c>
      <c r="N162" s="175">
        <f t="shared" ref="N162" si="83">N$141*N163</f>
        <v>0</v>
      </c>
      <c r="O162" s="175">
        <f t="shared" ref="O162" si="84">O$141*O163</f>
        <v>0</v>
      </c>
      <c r="P162" s="175">
        <f t="shared" ref="P162" si="85">P$141*P163</f>
        <v>0</v>
      </c>
    </row>
    <row r="163" spans="2:16" x14ac:dyDescent="0.35">
      <c r="B163" s="132" t="s">
        <v>500</v>
      </c>
      <c r="G163" s="319">
        <f>1-G157-G160</f>
        <v>0</v>
      </c>
      <c r="H163" s="319">
        <f t="shared" ref="H163:P163" si="86">1-H157-H160</f>
        <v>0</v>
      </c>
      <c r="I163" s="319">
        <f t="shared" si="86"/>
        <v>0</v>
      </c>
      <c r="J163" s="319">
        <f t="shared" si="86"/>
        <v>0</v>
      </c>
      <c r="K163" s="319">
        <f t="shared" si="86"/>
        <v>0</v>
      </c>
      <c r="L163" s="319">
        <f t="shared" si="86"/>
        <v>0</v>
      </c>
      <c r="M163" s="319">
        <f t="shared" si="86"/>
        <v>0</v>
      </c>
      <c r="N163" s="319">
        <f t="shared" si="86"/>
        <v>0</v>
      </c>
      <c r="O163" s="319">
        <f t="shared" si="86"/>
        <v>0</v>
      </c>
      <c r="P163" s="319">
        <f t="shared" si="86"/>
        <v>0</v>
      </c>
    </row>
    <row r="166" spans="2:16" x14ac:dyDescent="0.35">
      <c r="B166" t="s">
        <v>502</v>
      </c>
      <c r="C166" s="360">
        <v>15</v>
      </c>
    </row>
    <row r="167" spans="2:16" s="177" customFormat="1" x14ac:dyDescent="0.35">
      <c r="B167" s="177" t="s">
        <v>503</v>
      </c>
      <c r="C167" s="360">
        <v>4</v>
      </c>
    </row>
    <row r="168" spans="2:16" x14ac:dyDescent="0.35">
      <c r="B168" s="362" t="s">
        <v>504</v>
      </c>
      <c r="C168" s="360">
        <v>10</v>
      </c>
    </row>
    <row r="170" spans="2:16" x14ac:dyDescent="0.35">
      <c r="B170" s="315" t="s">
        <v>505</v>
      </c>
      <c r="C170" s="321"/>
      <c r="D170" s="321"/>
      <c r="E170" s="321"/>
      <c r="F170" s="321"/>
      <c r="G170" s="321"/>
      <c r="H170" s="321"/>
      <c r="I170" s="321"/>
      <c r="J170" s="321"/>
      <c r="K170" s="321"/>
      <c r="L170" s="321"/>
      <c r="M170" s="321"/>
      <c r="N170" s="321"/>
      <c r="O170" s="321"/>
      <c r="P170" s="321"/>
    </row>
    <row r="172" spans="2:16" s="177" customFormat="1" x14ac:dyDescent="0.35">
      <c r="B172" s="155" t="s">
        <v>508</v>
      </c>
    </row>
    <row r="173" spans="2:16" s="177" customFormat="1" x14ac:dyDescent="0.35"/>
    <row r="174" spans="2:16" x14ac:dyDescent="0.35">
      <c r="B174" t="s">
        <v>506</v>
      </c>
      <c r="C174" t="s">
        <v>507</v>
      </c>
    </row>
    <row r="175" spans="2:16" x14ac:dyDescent="0.35">
      <c r="B175" cm="1">
        <f t="array" ref="B175:B184">TRANSPOSE($G$1:$P$1)</f>
        <v>2019</v>
      </c>
      <c r="C175" s="175" cm="1">
        <f t="array" ref="C175:C184">TRANSPOSE(G159:P159)</f>
        <v>13010.816666666666</v>
      </c>
      <c r="D175" s="175"/>
      <c r="E175" s="175"/>
      <c r="F175" s="175"/>
      <c r="G175" s="178">
        <f>IF($B175&gt;G$1, 0, IF($B175=G$1, $C175/$C$166/2, MIN($C175-SUM($E175:F175), $C175/$C$166)))</f>
        <v>433.69388888888886</v>
      </c>
      <c r="H175" s="178">
        <f>IF($B175&gt;H$1, 0, IF($B175=H$1, $C175/$C$166/2, MIN($C175-SUM($E175:G175), $C175/$C$166)))</f>
        <v>867.38777777777773</v>
      </c>
      <c r="I175" s="178">
        <f>IF($B175&gt;I$1, 0, IF($B175=I$1, $C175/$C$166/2, MIN($C175-SUM($E175:H175), $C175/$C$166)))</f>
        <v>867.38777777777773</v>
      </c>
      <c r="J175" s="178">
        <f>IF($B175&gt;J$1, 0, IF($B175=J$1, $C175/$C$166/2, MIN($C175-SUM($E175:I175), $C175/$C$166)))</f>
        <v>867.38777777777773</v>
      </c>
      <c r="K175" s="178">
        <f>IF($B175&gt;K$1, 0, IF($B175=K$1, $C175/$C$166/2, MIN($C175-SUM($E175:J175), $C175/$C$166)))</f>
        <v>867.38777777777773</v>
      </c>
      <c r="L175" s="178">
        <f>IF($B175&gt;L$1, 0, IF($B175=L$1, $C175/$C$166/2, MIN($C175-SUM($E175:K175), $C175/$C$166)))</f>
        <v>867.38777777777773</v>
      </c>
      <c r="M175" s="178">
        <f>IF($B175&gt;M$1, 0, IF($B175=M$1, $C175/$C$166/2, MIN($C175-SUM($E175:L175), $C175/$C$166)))</f>
        <v>867.38777777777773</v>
      </c>
      <c r="N175" s="178">
        <f>IF($B175&gt;N$1, 0, IF($B175=N$1, $C175/$C$166/2, MIN($C175-SUM($E175:M175), $C175/$C$166)))</f>
        <v>867.38777777777773</v>
      </c>
      <c r="O175" s="178">
        <f>IF($B175&gt;O$1, 0, IF($B175=O$1, $C175/$C$166/2, MIN($C175-SUM($E175:N175), $C175/$C$166)))</f>
        <v>867.38777777777773</v>
      </c>
      <c r="P175" s="178">
        <f>IF($B175&gt;P$1, 0, IF($B175=P$1, $C175/$C$166/2, MIN($C175-SUM($E175:O175), $C175/$C$166)))</f>
        <v>867.38777777777773</v>
      </c>
    </row>
    <row r="176" spans="2:16" x14ac:dyDescent="0.35">
      <c r="B176">
        <v>2020</v>
      </c>
      <c r="C176" s="175">
        <v>14062.699999999999</v>
      </c>
      <c r="D176" s="175"/>
      <c r="E176" s="175"/>
      <c r="F176" s="175"/>
      <c r="G176" s="178">
        <f>IF($B176&gt;G$1, 0, IF($B176=G$1, $C176/$C$166/2, MIN($C176-SUM($E176:F176), $C176/$C$166)))</f>
        <v>0</v>
      </c>
      <c r="H176" s="178">
        <f>IF($B176&gt;H$1, 0, IF($B176=H$1, $C176/$C$166/2, MIN($C176-SUM($E176:G176), $C176/$C$166)))</f>
        <v>468.7566666666666</v>
      </c>
      <c r="I176" s="178">
        <f>IF($B176&gt;I$1, 0, IF($B176=I$1, $C176/$C$166/2, MIN($C176-SUM($E176:H176), $C176/$C$166)))</f>
        <v>937.51333333333321</v>
      </c>
      <c r="J176" s="178">
        <f>IF($B176&gt;J$1, 0, IF($B176=J$1, $C176/$C$166/2, MIN($C176-SUM($E176:I176), $C176/$C$166)))</f>
        <v>937.51333333333321</v>
      </c>
      <c r="K176" s="178">
        <f>IF($B176&gt;K$1, 0, IF($B176=K$1, $C176/$C$166/2, MIN($C176-SUM($E176:J176), $C176/$C$166)))</f>
        <v>937.51333333333321</v>
      </c>
      <c r="L176" s="178">
        <f>IF($B176&gt;L$1, 0, IF($B176=L$1, $C176/$C$166/2, MIN($C176-SUM($E176:K176), $C176/$C$166)))</f>
        <v>937.51333333333321</v>
      </c>
      <c r="M176" s="178">
        <f>IF($B176&gt;M$1, 0, IF($B176=M$1, $C176/$C$166/2, MIN($C176-SUM($E176:L176), $C176/$C$166)))</f>
        <v>937.51333333333321</v>
      </c>
      <c r="N176" s="178">
        <f>IF($B176&gt;N$1, 0, IF($B176=N$1, $C176/$C$166/2, MIN($C176-SUM($E176:M176), $C176/$C$166)))</f>
        <v>937.51333333333321</v>
      </c>
      <c r="O176" s="178">
        <f>IF($B176&gt;O$1, 0, IF($B176=O$1, $C176/$C$166/2, MIN($C176-SUM($E176:N176), $C176/$C$166)))</f>
        <v>937.51333333333321</v>
      </c>
      <c r="P176" s="178">
        <f>IF($B176&gt;P$1, 0, IF($B176=P$1, $C176/$C$166/2, MIN($C176-SUM($E176:O176), $C176/$C$166)))</f>
        <v>937.51333333333321</v>
      </c>
    </row>
    <row r="177" spans="1:16" x14ac:dyDescent="0.35">
      <c r="B177">
        <v>2021</v>
      </c>
      <c r="C177" s="175">
        <v>15182.716666666667</v>
      </c>
      <c r="D177" s="175"/>
      <c r="E177" s="175"/>
      <c r="F177" s="175"/>
      <c r="G177" s="178">
        <f>IF($B177&gt;G$1, 0, IF($B177=G$1, $C177/$C$166/2, MIN($C177-SUM($E177:F177), $C177/$C$166)))</f>
        <v>0</v>
      </c>
      <c r="H177" s="178">
        <f>IF($B177&gt;H$1, 0, IF($B177=H$1, $C177/$C$166/2, MIN($C177-SUM($E177:G177), $C177/$C$166)))</f>
        <v>0</v>
      </c>
      <c r="I177" s="178">
        <f>IF($B177&gt;I$1, 0, IF($B177=I$1, $C177/$C$166/2, MIN($C177-SUM($E177:H177), $C177/$C$166)))</f>
        <v>506.09055555555557</v>
      </c>
      <c r="J177" s="178">
        <f>IF($B177&gt;J$1, 0, IF($B177=J$1, $C177/$C$166/2, MIN($C177-SUM($E177:I177), $C177/$C$166)))</f>
        <v>1012.1811111111111</v>
      </c>
      <c r="K177" s="178">
        <f>IF($B177&gt;K$1, 0, IF($B177=K$1, $C177/$C$166/2, MIN($C177-SUM($E177:J177), $C177/$C$166)))</f>
        <v>1012.1811111111111</v>
      </c>
      <c r="L177" s="178">
        <f>IF($B177&gt;L$1, 0, IF($B177=L$1, $C177/$C$166/2, MIN($C177-SUM($E177:K177), $C177/$C$166)))</f>
        <v>1012.1811111111111</v>
      </c>
      <c r="M177" s="178">
        <f>IF($B177&gt;M$1, 0, IF($B177=M$1, $C177/$C$166/2, MIN($C177-SUM($E177:L177), $C177/$C$166)))</f>
        <v>1012.1811111111111</v>
      </c>
      <c r="N177" s="178">
        <f>IF($B177&gt;N$1, 0, IF($B177=N$1, $C177/$C$166/2, MIN($C177-SUM($E177:M177), $C177/$C$166)))</f>
        <v>1012.1811111111111</v>
      </c>
      <c r="O177" s="178">
        <f>IF($B177&gt;O$1, 0, IF($B177=O$1, $C177/$C$166/2, MIN($C177-SUM($E177:N177), $C177/$C$166)))</f>
        <v>1012.1811111111111</v>
      </c>
      <c r="P177" s="178">
        <f>IF($B177&gt;P$1, 0, IF($B177=P$1, $C177/$C$166/2, MIN($C177-SUM($E177:O177), $C177/$C$166)))</f>
        <v>1012.1811111111111</v>
      </c>
    </row>
    <row r="178" spans="1:16" x14ac:dyDescent="0.35">
      <c r="B178">
        <v>2022</v>
      </c>
      <c r="C178" s="175">
        <v>14907.45</v>
      </c>
      <c r="D178" s="175"/>
      <c r="E178" s="175"/>
      <c r="F178" s="175"/>
      <c r="G178" s="178">
        <f>IF($B178&gt;G$1, 0, IF($B178=G$1, $C178/$C$166/2, MIN($C178-SUM($E178:F178), $C178/$C$166)))</f>
        <v>0</v>
      </c>
      <c r="H178" s="178">
        <f>IF($B178&gt;H$1, 0, IF($B178=H$1, $C178/$C$166/2, MIN($C178-SUM($E178:G178), $C178/$C$166)))</f>
        <v>0</v>
      </c>
      <c r="I178" s="178">
        <f>IF($B178&gt;I$1, 0, IF($B178=I$1, $C178/$C$166/2, MIN($C178-SUM($E178:H178), $C178/$C$166)))</f>
        <v>0</v>
      </c>
      <c r="J178" s="178">
        <f>IF($B178&gt;J$1, 0, IF($B178=J$1, $C178/$C$166/2, MIN($C178-SUM($E178:I178), $C178/$C$166)))</f>
        <v>496.91500000000002</v>
      </c>
      <c r="K178" s="178">
        <f>IF($B178&gt;K$1, 0, IF($B178=K$1, $C178/$C$166/2, MIN($C178-SUM($E178:J178), $C178/$C$166)))</f>
        <v>993.83</v>
      </c>
      <c r="L178" s="178">
        <f>IF($B178&gt;L$1, 0, IF($B178=L$1, $C178/$C$166/2, MIN($C178-SUM($E178:K178), $C178/$C$166)))</f>
        <v>993.83</v>
      </c>
      <c r="M178" s="178">
        <f>IF($B178&gt;M$1, 0, IF($B178=M$1, $C178/$C$166/2, MIN($C178-SUM($E178:L178), $C178/$C$166)))</f>
        <v>993.83</v>
      </c>
      <c r="N178" s="178">
        <f>IF($B178&gt;N$1, 0, IF($B178=N$1, $C178/$C$166/2, MIN($C178-SUM($E178:M178), $C178/$C$166)))</f>
        <v>993.83</v>
      </c>
      <c r="O178" s="178">
        <f>IF($B178&gt;O$1, 0, IF($B178=O$1, $C178/$C$166/2, MIN($C178-SUM($E178:N178), $C178/$C$166)))</f>
        <v>993.83</v>
      </c>
      <c r="P178" s="178">
        <f>IF($B178&gt;P$1, 0, IF($B178=P$1, $C178/$C$166/2, MIN($C178-SUM($E178:O178), $C178/$C$166)))</f>
        <v>993.83</v>
      </c>
    </row>
    <row r="179" spans="1:16" x14ac:dyDescent="0.35">
      <c r="B179">
        <v>2023</v>
      </c>
      <c r="C179" s="175">
        <v>15397.525</v>
      </c>
      <c r="D179" s="175"/>
      <c r="E179" s="175"/>
      <c r="F179" s="175"/>
      <c r="G179" s="178">
        <f>IF($B179&gt;G$1, 0, IF($B179=G$1, $C179/$C$166/2, MIN($C179-SUM($E179:F179), $C179/$C$166)))</f>
        <v>0</v>
      </c>
      <c r="H179" s="178">
        <f>IF($B179&gt;H$1, 0, IF($B179=H$1, $C179/$C$166/2, MIN($C179-SUM($E179:G179), $C179/$C$166)))</f>
        <v>0</v>
      </c>
      <c r="I179" s="178">
        <f>IF($B179&gt;I$1, 0, IF($B179=I$1, $C179/$C$166/2, MIN($C179-SUM($E179:H179), $C179/$C$166)))</f>
        <v>0</v>
      </c>
      <c r="J179" s="178">
        <f>IF($B179&gt;J$1, 0, IF($B179=J$1, $C179/$C$166/2, MIN($C179-SUM($E179:I179), $C179/$C$166)))</f>
        <v>0</v>
      </c>
      <c r="K179" s="178">
        <f>IF($B179&gt;K$1, 0, IF($B179=K$1, $C179/$C$166/2, MIN($C179-SUM($E179:J179), $C179/$C$166)))</f>
        <v>513.25083333333328</v>
      </c>
      <c r="L179" s="178">
        <f>IF($B179&gt;L$1, 0, IF($B179=L$1, $C179/$C$166/2, MIN($C179-SUM($E179:K179), $C179/$C$166)))</f>
        <v>1026.5016666666666</v>
      </c>
      <c r="M179" s="178">
        <f>IF($B179&gt;M$1, 0, IF($B179=M$1, $C179/$C$166/2, MIN($C179-SUM($E179:L179), $C179/$C$166)))</f>
        <v>1026.5016666666666</v>
      </c>
      <c r="N179" s="178">
        <f>IF($B179&gt;N$1, 0, IF($B179=N$1, $C179/$C$166/2, MIN($C179-SUM($E179:M179), $C179/$C$166)))</f>
        <v>1026.5016666666666</v>
      </c>
      <c r="O179" s="178">
        <f>IF($B179&gt;O$1, 0, IF($B179=O$1, $C179/$C$166/2, MIN($C179-SUM($E179:N179), $C179/$C$166)))</f>
        <v>1026.5016666666666</v>
      </c>
      <c r="P179" s="178">
        <f>IF($B179&gt;P$1, 0, IF($B179=P$1, $C179/$C$166/2, MIN($C179-SUM($E179:O179), $C179/$C$166)))</f>
        <v>1026.5016666666666</v>
      </c>
    </row>
    <row r="180" spans="1:16" x14ac:dyDescent="0.35">
      <c r="B180">
        <v>2024</v>
      </c>
      <c r="C180" s="175">
        <v>14657.55</v>
      </c>
      <c r="D180" s="175"/>
      <c r="E180" s="175"/>
      <c r="F180" s="175"/>
      <c r="G180" s="178">
        <f>IF($B180&gt;G$1, 0, IF($B180=G$1, $C180/$C$166/2, MIN($C180-SUM($E180:F180), $C180/$C$166)))</f>
        <v>0</v>
      </c>
      <c r="H180" s="178">
        <f>IF($B180&gt;H$1, 0, IF($B180=H$1, $C180/$C$166/2, MIN($C180-SUM($E180:G180), $C180/$C$166)))</f>
        <v>0</v>
      </c>
      <c r="I180" s="178">
        <f>IF($B180&gt;I$1, 0, IF($B180=I$1, $C180/$C$166/2, MIN($C180-SUM($E180:H180), $C180/$C$166)))</f>
        <v>0</v>
      </c>
      <c r="J180" s="178">
        <f>IF($B180&gt;J$1, 0, IF($B180=J$1, $C180/$C$166/2, MIN($C180-SUM($E180:I180), $C180/$C$166)))</f>
        <v>0</v>
      </c>
      <c r="K180" s="178">
        <f>IF($B180&gt;K$1, 0, IF($B180=K$1, $C180/$C$166/2, MIN($C180-SUM($E180:J180), $C180/$C$166)))</f>
        <v>0</v>
      </c>
      <c r="L180" s="178">
        <f>IF($B180&gt;L$1, 0, IF($B180=L$1, $C180/$C$166/2, MIN($C180-SUM($E180:K180), $C180/$C$166)))</f>
        <v>488.58499999999998</v>
      </c>
      <c r="M180" s="178">
        <f>IF($B180&gt;M$1, 0, IF($B180=M$1, $C180/$C$166/2, MIN($C180-SUM($E180:L180), $C180/$C$166)))</f>
        <v>977.17</v>
      </c>
      <c r="N180" s="178">
        <f>IF($B180&gt;N$1, 0, IF($B180=N$1, $C180/$C$166/2, MIN($C180-SUM($E180:M180), $C180/$C$166)))</f>
        <v>977.17</v>
      </c>
      <c r="O180" s="178">
        <f>IF($B180&gt;O$1, 0, IF($B180=O$1, $C180/$C$166/2, MIN($C180-SUM($E180:N180), $C180/$C$166)))</f>
        <v>977.17</v>
      </c>
      <c r="P180" s="178">
        <f>IF($B180&gt;P$1, 0, IF($B180=P$1, $C180/$C$166/2, MIN($C180-SUM($E180:O180), $C180/$C$166)))</f>
        <v>977.17</v>
      </c>
    </row>
    <row r="181" spans="1:16" x14ac:dyDescent="0.35">
      <c r="B181">
        <v>2025</v>
      </c>
      <c r="C181" s="175">
        <v>15082.7</v>
      </c>
      <c r="D181" s="175"/>
      <c r="E181" s="175"/>
      <c r="F181" s="175"/>
      <c r="G181" s="178">
        <f>IF($B181&gt;G$1, 0, IF($B181=G$1, $C181/$C$166/2, MIN($C181-SUM($E181:F181), $C181/$C$166)))</f>
        <v>0</v>
      </c>
      <c r="H181" s="178">
        <f>IF($B181&gt;H$1, 0, IF($B181=H$1, $C181/$C$166/2, MIN($C181-SUM($E181:G181), $C181/$C$166)))</f>
        <v>0</v>
      </c>
      <c r="I181" s="178">
        <f>IF($B181&gt;I$1, 0, IF($B181=I$1, $C181/$C$166/2, MIN($C181-SUM($E181:H181), $C181/$C$166)))</f>
        <v>0</v>
      </c>
      <c r="J181" s="178">
        <f>IF($B181&gt;J$1, 0, IF($B181=J$1, $C181/$C$166/2, MIN($C181-SUM($E181:I181), $C181/$C$166)))</f>
        <v>0</v>
      </c>
      <c r="K181" s="178">
        <f>IF($B181&gt;K$1, 0, IF($B181=K$1, $C181/$C$166/2, MIN($C181-SUM($E181:J181), $C181/$C$166)))</f>
        <v>0</v>
      </c>
      <c r="L181" s="178">
        <f>IF($B181&gt;L$1, 0, IF($B181=L$1, $C181/$C$166/2, MIN($C181-SUM($E181:K181), $C181/$C$166)))</f>
        <v>0</v>
      </c>
      <c r="M181" s="178">
        <f>IF($B181&gt;M$1, 0, IF($B181=M$1, $C181/$C$166/2, MIN($C181-SUM($E181:L181), $C181/$C$166)))</f>
        <v>502.75666666666672</v>
      </c>
      <c r="N181" s="178">
        <f>IF($B181&gt;N$1, 0, IF($B181=N$1, $C181/$C$166/2, MIN($C181-SUM($E181:M181), $C181/$C$166)))</f>
        <v>1005.5133333333334</v>
      </c>
      <c r="O181" s="178">
        <f>IF($B181&gt;O$1, 0, IF($B181=O$1, $C181/$C$166/2, MIN($C181-SUM($E181:N181), $C181/$C$166)))</f>
        <v>1005.5133333333334</v>
      </c>
      <c r="P181" s="178">
        <f>IF($B181&gt;P$1, 0, IF($B181=P$1, $C181/$C$166/2, MIN($C181-SUM($E181:O181), $C181/$C$166)))</f>
        <v>1005.5133333333334</v>
      </c>
    </row>
    <row r="182" spans="1:16" x14ac:dyDescent="0.35">
      <c r="B182">
        <v>2026</v>
      </c>
      <c r="C182" s="175">
        <v>17385.75788643206</v>
      </c>
      <c r="D182" s="175"/>
      <c r="E182" s="175"/>
      <c r="F182" s="175"/>
      <c r="G182" s="178">
        <f>IF($B182&gt;G$1, 0, IF($B182=G$1, $C182/$C$166/2, MIN($C182-SUM($E182:F182), $C182/$C$166)))</f>
        <v>0</v>
      </c>
      <c r="H182" s="178">
        <f>IF($B182&gt;H$1, 0, IF($B182=H$1, $C182/$C$166/2, MIN($C182-SUM($E182:G182), $C182/$C$166)))</f>
        <v>0</v>
      </c>
      <c r="I182" s="178">
        <f>IF($B182&gt;I$1, 0, IF($B182=I$1, $C182/$C$166/2, MIN($C182-SUM($E182:H182), $C182/$C$166)))</f>
        <v>0</v>
      </c>
      <c r="J182" s="178">
        <f>IF($B182&gt;J$1, 0, IF($B182=J$1, $C182/$C$166/2, MIN($C182-SUM($E182:I182), $C182/$C$166)))</f>
        <v>0</v>
      </c>
      <c r="K182" s="178">
        <f>IF($B182&gt;K$1, 0, IF($B182=K$1, $C182/$C$166/2, MIN($C182-SUM($E182:J182), $C182/$C$166)))</f>
        <v>0</v>
      </c>
      <c r="L182" s="178">
        <f>IF($B182&gt;L$1, 0, IF($B182=L$1, $C182/$C$166/2, MIN($C182-SUM($E182:K182), $C182/$C$166)))</f>
        <v>0</v>
      </c>
      <c r="M182" s="178">
        <f>IF($B182&gt;M$1, 0, IF($B182=M$1, $C182/$C$166/2, MIN($C182-SUM($E182:L182), $C182/$C$166)))</f>
        <v>0</v>
      </c>
      <c r="N182" s="178">
        <f>IF($B182&gt;N$1, 0, IF($B182=N$1, $C182/$C$166/2, MIN($C182-SUM($E182:M182), $C182/$C$166)))</f>
        <v>579.52526288106867</v>
      </c>
      <c r="O182" s="178">
        <f>IF($B182&gt;O$1, 0, IF($B182=O$1, $C182/$C$166/2, MIN($C182-SUM($E182:N182), $C182/$C$166)))</f>
        <v>1159.0505257621373</v>
      </c>
      <c r="P182" s="178">
        <f>IF($B182&gt;P$1, 0, IF($B182=P$1, $C182/$C$166/2, MIN($C182-SUM($E182:O182), $C182/$C$166)))</f>
        <v>1159.0505257621373</v>
      </c>
    </row>
    <row r="183" spans="1:16" x14ac:dyDescent="0.35">
      <c r="B183">
        <v>2027</v>
      </c>
      <c r="C183" s="175">
        <v>18476.249927697205</v>
      </c>
      <c r="D183" s="175"/>
      <c r="E183" s="175"/>
      <c r="F183" s="175"/>
      <c r="G183" s="178">
        <f>IF($B183&gt;G$1, 0, IF($B183=G$1, $C183/$C$166/2, MIN($C183-SUM($E183:F183), $C183/$C$166)))</f>
        <v>0</v>
      </c>
      <c r="H183" s="178">
        <f>IF($B183&gt;H$1, 0, IF($B183=H$1, $C183/$C$166/2, MIN($C183-SUM($E183:G183), $C183/$C$166)))</f>
        <v>0</v>
      </c>
      <c r="I183" s="178">
        <f>IF($B183&gt;I$1, 0, IF($B183=I$1, $C183/$C$166/2, MIN($C183-SUM($E183:H183), $C183/$C$166)))</f>
        <v>0</v>
      </c>
      <c r="J183" s="178">
        <f>IF($B183&gt;J$1, 0, IF($B183=J$1, $C183/$C$166/2, MIN($C183-SUM($E183:I183), $C183/$C$166)))</f>
        <v>0</v>
      </c>
      <c r="K183" s="178">
        <f>IF($B183&gt;K$1, 0, IF($B183=K$1, $C183/$C$166/2, MIN($C183-SUM($E183:J183), $C183/$C$166)))</f>
        <v>0</v>
      </c>
      <c r="L183" s="178">
        <f>IF($B183&gt;L$1, 0, IF($B183=L$1, $C183/$C$166/2, MIN($C183-SUM($E183:K183), $C183/$C$166)))</f>
        <v>0</v>
      </c>
      <c r="M183" s="178">
        <f>IF($B183&gt;M$1, 0, IF($B183=M$1, $C183/$C$166/2, MIN($C183-SUM($E183:L183), $C183/$C$166)))</f>
        <v>0</v>
      </c>
      <c r="N183" s="178">
        <f>IF($B183&gt;N$1, 0, IF($B183=N$1, $C183/$C$166/2, MIN($C183-SUM($E183:M183), $C183/$C$166)))</f>
        <v>0</v>
      </c>
      <c r="O183" s="178">
        <f>IF($B183&gt;O$1, 0, IF($B183=O$1, $C183/$C$166/2, MIN($C183-SUM($E183:N183), $C183/$C$166)))</f>
        <v>615.8749975899068</v>
      </c>
      <c r="P183" s="178">
        <f>IF($B183&gt;P$1, 0, IF($B183=P$1, $C183/$C$166/2, MIN($C183-SUM($E183:O183), $C183/$C$166)))</f>
        <v>1231.7499951798136</v>
      </c>
    </row>
    <row r="184" spans="1:16" x14ac:dyDescent="0.35">
      <c r="B184">
        <v>2028</v>
      </c>
      <c r="C184" s="175">
        <v>19486.060893626982</v>
      </c>
      <c r="D184" s="175"/>
      <c r="E184" s="175"/>
      <c r="F184" s="175"/>
      <c r="G184" s="178">
        <f>IF($B184&gt;G$1, 0, IF($B184=G$1, $C184/$C$166/2, MIN($C184-SUM($E184:F184), $C184/$C$166)))</f>
        <v>0</v>
      </c>
      <c r="H184" s="178">
        <f>IF($B184&gt;H$1, 0, IF($B184=H$1, $C184/$C$166/2, MIN($C184-SUM($E184:G184), $C184/$C$166)))</f>
        <v>0</v>
      </c>
      <c r="I184" s="178">
        <f>IF($B184&gt;I$1, 0, IF($B184=I$1, $C184/$C$166/2, MIN($C184-SUM($E184:H184), $C184/$C$166)))</f>
        <v>0</v>
      </c>
      <c r="J184" s="178">
        <f>IF($B184&gt;J$1, 0, IF($B184=J$1, $C184/$C$166/2, MIN($C184-SUM($E184:I184), $C184/$C$166)))</f>
        <v>0</v>
      </c>
      <c r="K184" s="178">
        <f>IF($B184&gt;K$1, 0, IF($B184=K$1, $C184/$C$166/2, MIN($C184-SUM($E184:J184), $C184/$C$166)))</f>
        <v>0</v>
      </c>
      <c r="L184" s="178">
        <f>IF($B184&gt;L$1, 0, IF($B184=L$1, $C184/$C$166/2, MIN($C184-SUM($E184:K184), $C184/$C$166)))</f>
        <v>0</v>
      </c>
      <c r="M184" s="178">
        <f>IF($B184&gt;M$1, 0, IF($B184=M$1, $C184/$C$166/2, MIN($C184-SUM($E184:L184), $C184/$C$166)))</f>
        <v>0</v>
      </c>
      <c r="N184" s="178">
        <f>IF($B184&gt;N$1, 0, IF($B184=N$1, $C184/$C$166/2, MIN($C184-SUM($E184:M184), $C184/$C$166)))</f>
        <v>0</v>
      </c>
      <c r="O184" s="178">
        <f>IF($B184&gt;O$1, 0, IF($B184=O$1, $C184/$C$166/2, MIN($C184-SUM($E184:N184), $C184/$C$166)))</f>
        <v>0</v>
      </c>
      <c r="P184" s="178">
        <f>IF($B184&gt;P$1, 0, IF($B184=P$1, $C184/$C$166/2, MIN($C184-SUM($E184:O184), $C184/$C$166)))</f>
        <v>649.53536312089943</v>
      </c>
    </row>
    <row r="186" spans="1:16" s="155" customFormat="1" x14ac:dyDescent="0.35">
      <c r="B186" s="155" t="s">
        <v>358</v>
      </c>
      <c r="G186" s="238">
        <f>SUM(G175:G184)</f>
        <v>433.69388888888886</v>
      </c>
      <c r="H186" s="238">
        <f t="shared" ref="H186:P186" si="87">SUM(H175:H184)</f>
        <v>1336.1444444444444</v>
      </c>
      <c r="I186" s="238">
        <f t="shared" si="87"/>
        <v>2310.9916666666663</v>
      </c>
      <c r="J186" s="238">
        <f t="shared" si="87"/>
        <v>3313.9972222222218</v>
      </c>
      <c r="K186" s="238">
        <f t="shared" si="87"/>
        <v>4324.1630555555548</v>
      </c>
      <c r="L186" s="238">
        <f t="shared" si="87"/>
        <v>5325.9988888888884</v>
      </c>
      <c r="M186" s="238">
        <f t="shared" si="87"/>
        <v>6317.3405555555555</v>
      </c>
      <c r="N186" s="238">
        <f t="shared" si="87"/>
        <v>7399.6224851032903</v>
      </c>
      <c r="O186" s="238">
        <f t="shared" si="87"/>
        <v>8595.0227455742661</v>
      </c>
      <c r="P186" s="238">
        <f t="shared" si="87"/>
        <v>9860.4331062850724</v>
      </c>
    </row>
    <row r="190" spans="1:16" x14ac:dyDescent="0.35">
      <c r="A190" s="177"/>
      <c r="B190" s="177"/>
      <c r="C190" s="177"/>
      <c r="D190" s="177"/>
      <c r="E190" s="177"/>
      <c r="F190" s="177"/>
      <c r="G190" s="177"/>
      <c r="H190" s="177"/>
      <c r="I190" s="177"/>
      <c r="J190" s="177"/>
      <c r="K190" s="177"/>
      <c r="L190" s="177"/>
      <c r="M190" s="177"/>
      <c r="N190" s="177"/>
      <c r="O190" s="177"/>
      <c r="P190" s="177"/>
    </row>
    <row r="191" spans="1:16" x14ac:dyDescent="0.35">
      <c r="A191" s="177"/>
      <c r="B191" s="155" t="s">
        <v>509</v>
      </c>
      <c r="C191" s="177"/>
      <c r="D191" s="177"/>
      <c r="E191" s="177"/>
      <c r="F191" s="177"/>
      <c r="G191" s="177"/>
      <c r="H191" s="177"/>
      <c r="I191" s="177"/>
      <c r="J191" s="177"/>
      <c r="K191" s="177"/>
      <c r="L191" s="177"/>
      <c r="M191" s="177"/>
      <c r="N191" s="177"/>
      <c r="O191" s="177"/>
      <c r="P191" s="177"/>
    </row>
    <row r="192" spans="1:16" x14ac:dyDescent="0.35">
      <c r="A192" s="177"/>
      <c r="B192" s="177"/>
      <c r="C192" s="177"/>
      <c r="D192" s="177"/>
      <c r="E192" s="177"/>
      <c r="F192" s="177"/>
      <c r="G192" s="177"/>
      <c r="H192" s="177"/>
      <c r="I192" s="177"/>
      <c r="J192" s="177"/>
      <c r="K192" s="177"/>
      <c r="L192" s="177"/>
      <c r="M192" s="177"/>
      <c r="N192" s="177"/>
      <c r="O192" s="177"/>
      <c r="P192" s="177"/>
    </row>
    <row r="193" spans="1:16" x14ac:dyDescent="0.35">
      <c r="A193" s="177"/>
      <c r="B193" s="177" t="s">
        <v>506</v>
      </c>
      <c r="C193" s="177" t="s">
        <v>507</v>
      </c>
      <c r="D193" s="177"/>
      <c r="E193" s="177"/>
      <c r="F193" s="177"/>
      <c r="G193" s="177"/>
      <c r="H193" s="177"/>
      <c r="I193" s="177"/>
      <c r="J193" s="177"/>
      <c r="K193" s="177"/>
      <c r="L193" s="177"/>
      <c r="M193" s="177"/>
      <c r="N193" s="177"/>
      <c r="O193" s="177"/>
      <c r="P193" s="177"/>
    </row>
    <row r="194" spans="1:16" x14ac:dyDescent="0.35">
      <c r="A194" s="177"/>
      <c r="B194" s="177" cm="1">
        <f t="array" ref="B194:B203">TRANSPOSE($G$1:$P$1)</f>
        <v>2019</v>
      </c>
      <c r="C194" s="175" cm="1">
        <f t="array" ref="C194:C203">TRANSPOSE(G159:P159)</f>
        <v>13010.816666666666</v>
      </c>
      <c r="D194" s="175"/>
      <c r="E194" s="175"/>
      <c r="F194" s="175"/>
      <c r="G194" s="178">
        <f>IF($B194&gt;G$1, 0, IF($B194=G$1, $C194/$C$167/2, MIN($C194-SUM($E194:F194), $C194/$C$167)))</f>
        <v>1626.3520833333332</v>
      </c>
      <c r="H194" s="178">
        <f>IF($B194&gt;H$1, 0, IF($B194=H$1, $C194/$C$167/2, MIN($C194-SUM($E194:G194), $C194/$C$167)))</f>
        <v>3252.7041666666664</v>
      </c>
      <c r="I194" s="178">
        <f>IF($B194&gt;I$1, 0, IF($B194=I$1, $C194/$C$167/2, MIN($C194-SUM($E194:H194), $C194/$C$167)))</f>
        <v>3252.7041666666664</v>
      </c>
      <c r="J194" s="178">
        <f>IF($B194&gt;J$1, 0, IF($B194=J$1, $C194/$C$167/2, MIN($C194-SUM($E194:I194), $C194/$C$167)))</f>
        <v>3252.7041666666664</v>
      </c>
      <c r="K194" s="178">
        <f>IF($B194&gt;K$1, 0, IF($B194=K$1, $C194/$C$167/2, MIN($C194-SUM($E194:J194), $C194/$C$167)))</f>
        <v>1626.3520833333332</v>
      </c>
      <c r="L194" s="178">
        <f>IF($B194&gt;L$1, 0, IF($B194=L$1, $C194/$C$167/2, MIN($C194-SUM($E194:K194), $C194/$C$167)))</f>
        <v>0</v>
      </c>
      <c r="M194" s="178">
        <f>IF($B194&gt;M$1, 0, IF($B194=M$1, $C194/$C$167/2, MIN($C194-SUM($E194:L194), $C194/$C$167)))</f>
        <v>0</v>
      </c>
      <c r="N194" s="178">
        <f>IF($B194&gt;N$1, 0, IF($B194=N$1, $C194/$C$167/2, MIN($C194-SUM($E194:M194), $C194/$C$167)))</f>
        <v>0</v>
      </c>
      <c r="O194" s="178">
        <f>IF($B194&gt;O$1, 0, IF($B194=O$1, $C194/$C$167/2, MIN($C194-SUM($E194:N194), $C194/$C$167)))</f>
        <v>0</v>
      </c>
      <c r="P194" s="178">
        <f>IF($B194&gt;P$1, 0, IF($B194=P$1, $C194/$C$167/2, MIN($C194-SUM($E194:O194), $C194/$C$167)))</f>
        <v>0</v>
      </c>
    </row>
    <row r="195" spans="1:16" x14ac:dyDescent="0.35">
      <c r="A195" s="177"/>
      <c r="B195" s="177">
        <v>2020</v>
      </c>
      <c r="C195" s="175">
        <v>14062.699999999999</v>
      </c>
      <c r="D195" s="175"/>
      <c r="E195" s="175"/>
      <c r="F195" s="175"/>
      <c r="G195" s="178">
        <f>IF($B195&gt;G$1, 0, IF($B195=G$1, $C195/$C$167/2, MIN($C195-SUM($E195:F195), $C195/$C$167)))</f>
        <v>0</v>
      </c>
      <c r="H195" s="178">
        <f>IF($B195&gt;H$1, 0, IF($B195=H$1, $C195/$C$167/2, MIN($C195-SUM($E195:G195), $C195/$C$167)))</f>
        <v>1757.8374999999999</v>
      </c>
      <c r="I195" s="178">
        <f>IF($B195&gt;I$1, 0, IF($B195=I$1, $C195/$C$167/2, MIN($C195-SUM($E195:H195), $C195/$C$167)))</f>
        <v>3515.6749999999997</v>
      </c>
      <c r="J195" s="178">
        <f>IF($B195&gt;J$1, 0, IF($B195=J$1, $C195/$C$167/2, MIN($C195-SUM($E195:I195), $C195/$C$167)))</f>
        <v>3515.6749999999997</v>
      </c>
      <c r="K195" s="178">
        <f>IF($B195&gt;K$1, 0, IF($B195=K$1, $C195/$C$167/2, MIN($C195-SUM($E195:J195), $C195/$C$167)))</f>
        <v>3515.6749999999997</v>
      </c>
      <c r="L195" s="178">
        <f>IF($B195&gt;L$1, 0, IF($B195=L$1, $C195/$C$167/2, MIN($C195-SUM($E195:K195), $C195/$C$167)))</f>
        <v>1757.8374999999996</v>
      </c>
      <c r="M195" s="178">
        <f>IF($B195&gt;M$1, 0, IF($B195=M$1, $C195/$C$167/2, MIN($C195-SUM($E195:L195), $C195/$C$167)))</f>
        <v>0</v>
      </c>
      <c r="N195" s="178">
        <f>IF($B195&gt;N$1, 0, IF($B195=N$1, $C195/$C$167/2, MIN($C195-SUM($E195:M195), $C195/$C$167)))</f>
        <v>0</v>
      </c>
      <c r="O195" s="178">
        <f>IF($B195&gt;O$1, 0, IF($B195=O$1, $C195/$C$167/2, MIN($C195-SUM($E195:N195), $C195/$C$167)))</f>
        <v>0</v>
      </c>
      <c r="P195" s="178">
        <f>IF($B195&gt;P$1, 0, IF($B195=P$1, $C195/$C$167/2, MIN($C195-SUM($E195:O195), $C195/$C$167)))</f>
        <v>0</v>
      </c>
    </row>
    <row r="196" spans="1:16" x14ac:dyDescent="0.35">
      <c r="A196" s="177"/>
      <c r="B196" s="177">
        <v>2021</v>
      </c>
      <c r="C196" s="175">
        <v>15182.716666666667</v>
      </c>
      <c r="D196" s="175"/>
      <c r="E196" s="175"/>
      <c r="F196" s="175"/>
      <c r="G196" s="178">
        <f>IF($B196&gt;G$1, 0, IF($B196=G$1, $C196/$C$167/2, MIN($C196-SUM($E196:F196), $C196/$C$167)))</f>
        <v>0</v>
      </c>
      <c r="H196" s="178">
        <f>IF($B196&gt;H$1, 0, IF($B196=H$1, $C196/$C$167/2, MIN($C196-SUM($E196:G196), $C196/$C$167)))</f>
        <v>0</v>
      </c>
      <c r="I196" s="178">
        <f>IF($B196&gt;I$1, 0, IF($B196=I$1, $C196/$C$167/2, MIN($C196-SUM($E196:H196), $C196/$C$167)))</f>
        <v>1897.8395833333334</v>
      </c>
      <c r="J196" s="178">
        <f>IF($B196&gt;J$1, 0, IF($B196=J$1, $C196/$C$167/2, MIN($C196-SUM($E196:I196), $C196/$C$167)))</f>
        <v>3795.6791666666668</v>
      </c>
      <c r="K196" s="178">
        <f>IF($B196&gt;K$1, 0, IF($B196=K$1, $C196/$C$167/2, MIN($C196-SUM($E196:J196), $C196/$C$167)))</f>
        <v>3795.6791666666668</v>
      </c>
      <c r="L196" s="178">
        <f>IF($B196&gt;L$1, 0, IF($B196=L$1, $C196/$C$167/2, MIN($C196-SUM($E196:K196), $C196/$C$167)))</f>
        <v>3795.6791666666668</v>
      </c>
      <c r="M196" s="178">
        <f>IF($B196&gt;M$1, 0, IF($B196=M$1, $C196/$C$167/2, MIN($C196-SUM($E196:L196), $C196/$C$167)))</f>
        <v>1897.8395833333325</v>
      </c>
      <c r="N196" s="178">
        <f>IF($B196&gt;N$1, 0, IF($B196=N$1, $C196/$C$167/2, MIN($C196-SUM($E196:M196), $C196/$C$167)))</f>
        <v>0</v>
      </c>
      <c r="O196" s="178">
        <f>IF($B196&gt;O$1, 0, IF($B196=O$1, $C196/$C$167/2, MIN($C196-SUM($E196:N196), $C196/$C$167)))</f>
        <v>0</v>
      </c>
      <c r="P196" s="178">
        <f>IF($B196&gt;P$1, 0, IF($B196=P$1, $C196/$C$167/2, MIN($C196-SUM($E196:O196), $C196/$C$167)))</f>
        <v>0</v>
      </c>
    </row>
    <row r="197" spans="1:16" x14ac:dyDescent="0.35">
      <c r="A197" s="177"/>
      <c r="B197" s="177">
        <v>2022</v>
      </c>
      <c r="C197" s="175">
        <v>14907.45</v>
      </c>
      <c r="D197" s="175"/>
      <c r="E197" s="175"/>
      <c r="F197" s="175"/>
      <c r="G197" s="178">
        <f>IF($B197&gt;G$1, 0, IF($B197=G$1, $C197/$C$167/2, MIN($C197-SUM($E197:F197), $C197/$C$167)))</f>
        <v>0</v>
      </c>
      <c r="H197" s="178">
        <f>IF($B197&gt;H$1, 0, IF($B197=H$1, $C197/$C$167/2, MIN($C197-SUM($E197:G197), $C197/$C$167)))</f>
        <v>0</v>
      </c>
      <c r="I197" s="178">
        <f>IF($B197&gt;I$1, 0, IF($B197=I$1, $C197/$C$167/2, MIN($C197-SUM($E197:H197), $C197/$C$167)))</f>
        <v>0</v>
      </c>
      <c r="J197" s="178">
        <f>IF($B197&gt;J$1, 0, IF($B197=J$1, $C197/$C$167/2, MIN($C197-SUM($E197:I197), $C197/$C$167)))</f>
        <v>1863.4312500000001</v>
      </c>
      <c r="K197" s="178">
        <f>IF($B197&gt;K$1, 0, IF($B197=K$1, $C197/$C$167/2, MIN($C197-SUM($E197:J197), $C197/$C$167)))</f>
        <v>3726.8625000000002</v>
      </c>
      <c r="L197" s="178">
        <f>IF($B197&gt;L$1, 0, IF($B197=L$1, $C197/$C$167/2, MIN($C197-SUM($E197:K197), $C197/$C$167)))</f>
        <v>3726.8625000000002</v>
      </c>
      <c r="M197" s="178">
        <f>IF($B197&gt;M$1, 0, IF($B197=M$1, $C197/$C$167/2, MIN($C197-SUM($E197:L197), $C197/$C$167)))</f>
        <v>3726.8625000000002</v>
      </c>
      <c r="N197" s="178">
        <f>IF($B197&gt;N$1, 0, IF($B197=N$1, $C197/$C$167/2, MIN($C197-SUM($E197:M197), $C197/$C$167)))</f>
        <v>1863.4312500000015</v>
      </c>
      <c r="O197" s="178">
        <f>IF($B197&gt;O$1, 0, IF($B197=O$1, $C197/$C$167/2, MIN($C197-SUM($E197:N197), $C197/$C$167)))</f>
        <v>0</v>
      </c>
      <c r="P197" s="178">
        <f>IF($B197&gt;P$1, 0, IF($B197=P$1, $C197/$C$167/2, MIN($C197-SUM($E197:O197), $C197/$C$167)))</f>
        <v>0</v>
      </c>
    </row>
    <row r="198" spans="1:16" x14ac:dyDescent="0.35">
      <c r="A198" s="177"/>
      <c r="B198" s="177">
        <v>2023</v>
      </c>
      <c r="C198" s="175">
        <v>15397.525</v>
      </c>
      <c r="D198" s="175"/>
      <c r="E198" s="175"/>
      <c r="F198" s="175"/>
      <c r="G198" s="178">
        <f>IF($B198&gt;G$1, 0, IF($B198=G$1, $C198/$C$167/2, MIN($C198-SUM($E198:F198), $C198/$C$167)))</f>
        <v>0</v>
      </c>
      <c r="H198" s="178">
        <f>IF($B198&gt;H$1, 0, IF($B198=H$1, $C198/$C$167/2, MIN($C198-SUM($E198:G198), $C198/$C$167)))</f>
        <v>0</v>
      </c>
      <c r="I198" s="178">
        <f>IF($B198&gt;I$1, 0, IF($B198=I$1, $C198/$C$167/2, MIN($C198-SUM($E198:H198), $C198/$C$167)))</f>
        <v>0</v>
      </c>
      <c r="J198" s="178">
        <f>IF($B198&gt;J$1, 0, IF($B198=J$1, $C198/$C$167/2, MIN($C198-SUM($E198:I198), $C198/$C$167)))</f>
        <v>0</v>
      </c>
      <c r="K198" s="178">
        <f>IF($B198&gt;K$1, 0, IF($B198=K$1, $C198/$C$167/2, MIN($C198-SUM($E198:J198), $C198/$C$167)))</f>
        <v>1924.690625</v>
      </c>
      <c r="L198" s="178">
        <f>IF($B198&gt;L$1, 0, IF($B198=L$1, $C198/$C$167/2, MIN($C198-SUM($E198:K198), $C198/$C$167)))</f>
        <v>3849.3812499999999</v>
      </c>
      <c r="M198" s="178">
        <f>IF($B198&gt;M$1, 0, IF($B198=M$1, $C198/$C$167/2, MIN($C198-SUM($E198:L198), $C198/$C$167)))</f>
        <v>3849.3812499999999</v>
      </c>
      <c r="N198" s="178">
        <f>IF($B198&gt;N$1, 0, IF($B198=N$1, $C198/$C$167/2, MIN($C198-SUM($E198:M198), $C198/$C$167)))</f>
        <v>3849.3812499999999</v>
      </c>
      <c r="O198" s="178">
        <f>IF($B198&gt;O$1, 0, IF($B198=O$1, $C198/$C$167/2, MIN($C198-SUM($E198:N198), $C198/$C$167)))</f>
        <v>1924.6906249999993</v>
      </c>
      <c r="P198" s="178">
        <f>IF($B198&gt;P$1, 0, IF($B198=P$1, $C198/$C$167/2, MIN($C198-SUM($E198:O198), $C198/$C$167)))</f>
        <v>0</v>
      </c>
    </row>
    <row r="199" spans="1:16" x14ac:dyDescent="0.35">
      <c r="A199" s="177"/>
      <c r="B199" s="177">
        <v>2024</v>
      </c>
      <c r="C199" s="175">
        <v>14657.55</v>
      </c>
      <c r="D199" s="175"/>
      <c r="E199" s="175"/>
      <c r="F199" s="175"/>
      <c r="G199" s="178">
        <f>IF($B199&gt;G$1, 0, IF($B199=G$1, $C199/$C$167/2, MIN($C199-SUM($E199:F199), $C199/$C$167)))</f>
        <v>0</v>
      </c>
      <c r="H199" s="178">
        <f>IF($B199&gt;H$1, 0, IF($B199=H$1, $C199/$C$167/2, MIN($C199-SUM($E199:G199), $C199/$C$167)))</f>
        <v>0</v>
      </c>
      <c r="I199" s="178">
        <f>IF($B199&gt;I$1, 0, IF($B199=I$1, $C199/$C$167/2, MIN($C199-SUM($E199:H199), $C199/$C$167)))</f>
        <v>0</v>
      </c>
      <c r="J199" s="178">
        <f>IF($B199&gt;J$1, 0, IF($B199=J$1, $C199/$C$167/2, MIN($C199-SUM($E199:I199), $C199/$C$167)))</f>
        <v>0</v>
      </c>
      <c r="K199" s="178">
        <f>IF($B199&gt;K$1, 0, IF($B199=K$1, $C199/$C$167/2, MIN($C199-SUM($E199:J199), $C199/$C$167)))</f>
        <v>0</v>
      </c>
      <c r="L199" s="178">
        <f>IF($B199&gt;L$1, 0, IF($B199=L$1, $C199/$C$167/2, MIN($C199-SUM($E199:K199), $C199/$C$167)))</f>
        <v>1832.1937499999999</v>
      </c>
      <c r="M199" s="178">
        <f>IF($B199&gt;M$1, 0, IF($B199=M$1, $C199/$C$167/2, MIN($C199-SUM($E199:L199), $C199/$C$167)))</f>
        <v>3664.3874999999998</v>
      </c>
      <c r="N199" s="178">
        <f>IF($B199&gt;N$1, 0, IF($B199=N$1, $C199/$C$167/2, MIN($C199-SUM($E199:M199), $C199/$C$167)))</f>
        <v>3664.3874999999998</v>
      </c>
      <c r="O199" s="178">
        <f>IF($B199&gt;O$1, 0, IF($B199=O$1, $C199/$C$167/2, MIN($C199-SUM($E199:N199), $C199/$C$167)))</f>
        <v>3664.3874999999998</v>
      </c>
      <c r="P199" s="178">
        <f>IF($B199&gt;P$1, 0, IF($B199=P$1, $C199/$C$167/2, MIN($C199-SUM($E199:O199), $C199/$C$167)))</f>
        <v>1832.1937499999985</v>
      </c>
    </row>
    <row r="200" spans="1:16" x14ac:dyDescent="0.35">
      <c r="A200" s="177"/>
      <c r="B200" s="177">
        <v>2025</v>
      </c>
      <c r="C200" s="175">
        <v>15082.7</v>
      </c>
      <c r="D200" s="175"/>
      <c r="E200" s="175"/>
      <c r="F200" s="175"/>
      <c r="G200" s="178">
        <f>IF($B200&gt;G$1, 0, IF($B200=G$1, $C200/$C$167/2, MIN($C200-SUM($E200:F200), $C200/$C$167)))</f>
        <v>0</v>
      </c>
      <c r="H200" s="178">
        <f>IF($B200&gt;H$1, 0, IF($B200=H$1, $C200/$C$167/2, MIN($C200-SUM($E200:G200), $C200/$C$167)))</f>
        <v>0</v>
      </c>
      <c r="I200" s="178">
        <f>IF($B200&gt;I$1, 0, IF($B200=I$1, $C200/$C$167/2, MIN($C200-SUM($E200:H200), $C200/$C$167)))</f>
        <v>0</v>
      </c>
      <c r="J200" s="178">
        <f>IF($B200&gt;J$1, 0, IF($B200=J$1, $C200/$C$167/2, MIN($C200-SUM($E200:I200), $C200/$C$167)))</f>
        <v>0</v>
      </c>
      <c r="K200" s="178">
        <f>IF($B200&gt;K$1, 0, IF($B200=K$1, $C200/$C$167/2, MIN($C200-SUM($E200:J200), $C200/$C$167)))</f>
        <v>0</v>
      </c>
      <c r="L200" s="178">
        <f>IF($B200&gt;L$1, 0, IF($B200=L$1, $C200/$C$167/2, MIN($C200-SUM($E200:K200), $C200/$C$167)))</f>
        <v>0</v>
      </c>
      <c r="M200" s="178">
        <f>IF($B200&gt;M$1, 0, IF($B200=M$1, $C200/$C$167/2, MIN($C200-SUM($E200:L200), $C200/$C$167)))</f>
        <v>1885.3375000000001</v>
      </c>
      <c r="N200" s="178">
        <f>IF($B200&gt;N$1, 0, IF($B200=N$1, $C200/$C$167/2, MIN($C200-SUM($E200:M200), $C200/$C$167)))</f>
        <v>3770.6750000000002</v>
      </c>
      <c r="O200" s="178">
        <f>IF($B200&gt;O$1, 0, IF($B200=O$1, $C200/$C$167/2, MIN($C200-SUM($E200:N200), $C200/$C$167)))</f>
        <v>3770.6750000000002</v>
      </c>
      <c r="P200" s="178">
        <f>IF($B200&gt;P$1, 0, IF($B200=P$1, $C200/$C$167/2, MIN($C200-SUM($E200:O200), $C200/$C$167)))</f>
        <v>3770.6750000000002</v>
      </c>
    </row>
    <row r="201" spans="1:16" x14ac:dyDescent="0.35">
      <c r="A201" s="177"/>
      <c r="B201" s="177">
        <v>2026</v>
      </c>
      <c r="C201" s="175">
        <v>17385.75788643206</v>
      </c>
      <c r="D201" s="175"/>
      <c r="E201" s="175"/>
      <c r="F201" s="175"/>
      <c r="G201" s="178">
        <f>IF($B201&gt;G$1, 0, IF($B201=G$1, $C201/$C$167/2, MIN($C201-SUM($E201:F201), $C201/$C$167)))</f>
        <v>0</v>
      </c>
      <c r="H201" s="178">
        <f>IF($B201&gt;H$1, 0, IF($B201=H$1, $C201/$C$167/2, MIN($C201-SUM($E201:G201), $C201/$C$167)))</f>
        <v>0</v>
      </c>
      <c r="I201" s="178">
        <f>IF($B201&gt;I$1, 0, IF($B201=I$1, $C201/$C$167/2, MIN($C201-SUM($E201:H201), $C201/$C$167)))</f>
        <v>0</v>
      </c>
      <c r="J201" s="178">
        <f>IF($B201&gt;J$1, 0, IF($B201=J$1, $C201/$C$167/2, MIN($C201-SUM($E201:I201), $C201/$C$167)))</f>
        <v>0</v>
      </c>
      <c r="K201" s="178">
        <f>IF($B201&gt;K$1, 0, IF($B201=K$1, $C201/$C$167/2, MIN($C201-SUM($E201:J201), $C201/$C$167)))</f>
        <v>0</v>
      </c>
      <c r="L201" s="178">
        <f>IF($B201&gt;L$1, 0, IF($B201=L$1, $C201/$C$167/2, MIN($C201-SUM($E201:K201), $C201/$C$167)))</f>
        <v>0</v>
      </c>
      <c r="M201" s="178">
        <f>IF($B201&gt;M$1, 0, IF($B201=M$1, $C201/$C$167/2, MIN($C201-SUM($E201:L201), $C201/$C$167)))</f>
        <v>0</v>
      </c>
      <c r="N201" s="178">
        <f>IF($B201&gt;N$1, 0, IF($B201=N$1, $C201/$C$167/2, MIN($C201-SUM($E201:M201), $C201/$C$167)))</f>
        <v>2173.2197358040075</v>
      </c>
      <c r="O201" s="178">
        <f>IF($B201&gt;O$1, 0, IF($B201=O$1, $C201/$C$167/2, MIN($C201-SUM($E201:N201), $C201/$C$167)))</f>
        <v>4346.4394716080151</v>
      </c>
      <c r="P201" s="178">
        <f>IF($B201&gt;P$1, 0, IF($B201=P$1, $C201/$C$167/2, MIN($C201-SUM($E201:O201), $C201/$C$167)))</f>
        <v>4346.4394716080151</v>
      </c>
    </row>
    <row r="202" spans="1:16" x14ac:dyDescent="0.35">
      <c r="A202" s="177"/>
      <c r="B202" s="177">
        <v>2027</v>
      </c>
      <c r="C202" s="175">
        <v>18476.249927697205</v>
      </c>
      <c r="D202" s="175"/>
      <c r="E202" s="175"/>
      <c r="F202" s="175"/>
      <c r="G202" s="178">
        <f>IF($B202&gt;G$1, 0, IF($B202=G$1, $C202/$C$167/2, MIN($C202-SUM($E202:F202), $C202/$C$167)))</f>
        <v>0</v>
      </c>
      <c r="H202" s="178">
        <f>IF($B202&gt;H$1, 0, IF($B202=H$1, $C202/$C$167/2, MIN($C202-SUM($E202:G202), $C202/$C$167)))</f>
        <v>0</v>
      </c>
      <c r="I202" s="178">
        <f>IF($B202&gt;I$1, 0, IF($B202=I$1, $C202/$C$167/2, MIN($C202-SUM($E202:H202), $C202/$C$167)))</f>
        <v>0</v>
      </c>
      <c r="J202" s="178">
        <f>IF($B202&gt;J$1, 0, IF($B202=J$1, $C202/$C$167/2, MIN($C202-SUM($E202:I202), $C202/$C$167)))</f>
        <v>0</v>
      </c>
      <c r="K202" s="178">
        <f>IF($B202&gt;K$1, 0, IF($B202=K$1, $C202/$C$167/2, MIN($C202-SUM($E202:J202), $C202/$C$167)))</f>
        <v>0</v>
      </c>
      <c r="L202" s="178">
        <f>IF($B202&gt;L$1, 0, IF($B202=L$1, $C202/$C$167/2, MIN($C202-SUM($E202:K202), $C202/$C$167)))</f>
        <v>0</v>
      </c>
      <c r="M202" s="178">
        <f>IF($B202&gt;M$1, 0, IF($B202=M$1, $C202/$C$167/2, MIN($C202-SUM($E202:L202), $C202/$C$167)))</f>
        <v>0</v>
      </c>
      <c r="N202" s="178">
        <f>IF($B202&gt;N$1, 0, IF($B202=N$1, $C202/$C$167/2, MIN($C202-SUM($E202:M202), $C202/$C$167)))</f>
        <v>0</v>
      </c>
      <c r="O202" s="178">
        <f>IF($B202&gt;O$1, 0, IF($B202=O$1, $C202/$C$167/2, MIN($C202-SUM($E202:N202), $C202/$C$167)))</f>
        <v>2309.5312409621506</v>
      </c>
      <c r="P202" s="178">
        <f>IF($B202&gt;P$1, 0, IF($B202=P$1, $C202/$C$167/2, MIN($C202-SUM($E202:O202), $C202/$C$167)))</f>
        <v>4619.0624819243012</v>
      </c>
    </row>
    <row r="203" spans="1:16" x14ac:dyDescent="0.35">
      <c r="A203" s="177"/>
      <c r="B203" s="177">
        <v>2028</v>
      </c>
      <c r="C203" s="175">
        <v>19486.060893626982</v>
      </c>
      <c r="D203" s="175"/>
      <c r="E203" s="175"/>
      <c r="F203" s="175"/>
      <c r="G203" s="178">
        <f>IF($B203&gt;G$1, 0, IF($B203=G$1, $C203/$C$167/2, MIN($C203-SUM($E203:F203), $C203/$C$167)))</f>
        <v>0</v>
      </c>
      <c r="H203" s="178">
        <f>IF($B203&gt;H$1, 0, IF($B203=H$1, $C203/$C$167/2, MIN($C203-SUM($E203:G203), $C203/$C$167)))</f>
        <v>0</v>
      </c>
      <c r="I203" s="178">
        <f>IF($B203&gt;I$1, 0, IF($B203=I$1, $C203/$C$167/2, MIN($C203-SUM($E203:H203), $C203/$C$167)))</f>
        <v>0</v>
      </c>
      <c r="J203" s="178">
        <f>IF($B203&gt;J$1, 0, IF($B203=J$1, $C203/$C$167/2, MIN($C203-SUM($E203:I203), $C203/$C$167)))</f>
        <v>0</v>
      </c>
      <c r="K203" s="178">
        <f>IF($B203&gt;K$1, 0, IF($B203=K$1, $C203/$C$167/2, MIN($C203-SUM($E203:J203), $C203/$C$167)))</f>
        <v>0</v>
      </c>
      <c r="L203" s="178">
        <f>IF($B203&gt;L$1, 0, IF($B203=L$1, $C203/$C$167/2, MIN($C203-SUM($E203:K203), $C203/$C$167)))</f>
        <v>0</v>
      </c>
      <c r="M203" s="178">
        <f>IF($B203&gt;M$1, 0, IF($B203=M$1, $C203/$C$167/2, MIN($C203-SUM($E203:L203), $C203/$C$167)))</f>
        <v>0</v>
      </c>
      <c r="N203" s="178">
        <f>IF($B203&gt;N$1, 0, IF($B203=N$1, $C203/$C$167/2, MIN($C203-SUM($E203:M203), $C203/$C$167)))</f>
        <v>0</v>
      </c>
      <c r="O203" s="178">
        <f>IF($B203&gt;O$1, 0, IF($B203=O$1, $C203/$C$167/2, MIN($C203-SUM($E203:N203), $C203/$C$167)))</f>
        <v>0</v>
      </c>
      <c r="P203" s="178">
        <f>IF($B203&gt;P$1, 0, IF($B203=P$1, $C203/$C$167/2, MIN($C203-SUM($E203:O203), $C203/$C$167)))</f>
        <v>2435.7576117033727</v>
      </c>
    </row>
    <row r="204" spans="1:16" x14ac:dyDescent="0.35">
      <c r="A204" s="177"/>
      <c r="B204" s="177"/>
      <c r="C204" s="177"/>
      <c r="D204" s="177"/>
      <c r="E204" s="177"/>
      <c r="F204" s="177"/>
      <c r="G204" s="177"/>
      <c r="H204" s="177"/>
      <c r="I204" s="177"/>
      <c r="J204" s="177"/>
      <c r="K204" s="177"/>
      <c r="L204" s="177"/>
      <c r="M204" s="177"/>
      <c r="N204" s="177"/>
      <c r="O204" s="177"/>
      <c r="P204" s="177"/>
    </row>
    <row r="205" spans="1:16" x14ac:dyDescent="0.35">
      <c r="A205" s="155"/>
      <c r="B205" s="155" t="s">
        <v>358</v>
      </c>
      <c r="C205" s="155"/>
      <c r="D205" s="155"/>
      <c r="E205" s="155"/>
      <c r="F205" s="155"/>
      <c r="G205" s="238">
        <f>SUM(G194:G203)</f>
        <v>1626.3520833333332</v>
      </c>
      <c r="H205" s="238">
        <f t="shared" ref="H205:P205" si="88">SUM(H194:H203)</f>
        <v>5010.5416666666661</v>
      </c>
      <c r="I205" s="238">
        <f t="shared" si="88"/>
        <v>8666.21875</v>
      </c>
      <c r="J205" s="238">
        <f t="shared" si="88"/>
        <v>12427.489583333332</v>
      </c>
      <c r="K205" s="238">
        <f t="shared" si="88"/>
        <v>14589.259374999998</v>
      </c>
      <c r="L205" s="238">
        <f t="shared" si="88"/>
        <v>14961.954166666666</v>
      </c>
      <c r="M205" s="238">
        <f t="shared" si="88"/>
        <v>15023.808333333332</v>
      </c>
      <c r="N205" s="238">
        <f t="shared" si="88"/>
        <v>15321.094735804007</v>
      </c>
      <c r="O205" s="238">
        <f t="shared" si="88"/>
        <v>16015.723837570165</v>
      </c>
      <c r="P205" s="238">
        <f t="shared" si="88"/>
        <v>17004.128315235688</v>
      </c>
    </row>
    <row r="206" spans="1:16" x14ac:dyDescent="0.35">
      <c r="A206" s="177"/>
      <c r="B206" s="177"/>
      <c r="C206" s="177"/>
      <c r="D206" s="177"/>
      <c r="E206" s="177"/>
      <c r="F206" s="177"/>
      <c r="G206" s="177"/>
      <c r="H206" s="177"/>
      <c r="I206" s="177"/>
      <c r="J206" s="177"/>
      <c r="K206" s="177"/>
      <c r="L206" s="177"/>
      <c r="M206" s="177"/>
      <c r="N206" s="177"/>
      <c r="O206" s="177"/>
      <c r="P206" s="177"/>
    </row>
    <row r="210" spans="1:16" x14ac:dyDescent="0.35">
      <c r="A210" s="177"/>
      <c r="B210" s="155" t="s">
        <v>12</v>
      </c>
      <c r="C210" s="177"/>
      <c r="D210" s="177"/>
      <c r="E210" s="177"/>
      <c r="F210" s="177"/>
      <c r="G210" s="177"/>
      <c r="H210" s="177"/>
      <c r="I210" s="177"/>
      <c r="J210" s="177"/>
      <c r="K210" s="177"/>
      <c r="L210" s="177"/>
      <c r="M210" s="177"/>
      <c r="N210" s="177"/>
      <c r="O210" s="177"/>
      <c r="P210" s="177"/>
    </row>
    <row r="211" spans="1:16" x14ac:dyDescent="0.35">
      <c r="A211" s="177"/>
      <c r="B211" s="177"/>
      <c r="C211" s="177"/>
      <c r="D211" s="177"/>
      <c r="E211" s="177"/>
      <c r="F211" s="177"/>
      <c r="G211" s="177"/>
      <c r="H211" s="177"/>
      <c r="I211" s="177"/>
      <c r="J211" s="177"/>
      <c r="K211" s="177"/>
      <c r="L211" s="177"/>
      <c r="M211" s="177"/>
      <c r="N211" s="177"/>
      <c r="O211" s="177"/>
      <c r="P211" s="177"/>
    </row>
    <row r="212" spans="1:16" x14ac:dyDescent="0.35">
      <c r="A212" s="177"/>
      <c r="B212" s="177" t="s">
        <v>506</v>
      </c>
      <c r="C212" s="177" t="s">
        <v>507</v>
      </c>
      <c r="D212" s="177"/>
      <c r="E212" s="177"/>
      <c r="F212" s="177"/>
      <c r="G212" s="177"/>
      <c r="H212" s="177"/>
      <c r="I212" s="177"/>
      <c r="J212" s="177"/>
      <c r="K212" s="177"/>
      <c r="L212" s="177"/>
      <c r="M212" s="177"/>
      <c r="N212" s="177"/>
      <c r="O212" s="177"/>
      <c r="P212" s="177"/>
    </row>
    <row r="213" spans="1:16" x14ac:dyDescent="0.35">
      <c r="A213" s="177"/>
      <c r="B213" s="177" cm="1">
        <f t="array" ref="B213:B222">TRANSPOSE($G$1:$P$1)</f>
        <v>2019</v>
      </c>
      <c r="C213" s="178" cm="1">
        <f t="array" ref="C213:C222">TRANSPOSE(G162:P162)</f>
        <v>0</v>
      </c>
      <c r="D213" s="175"/>
      <c r="E213" s="175"/>
      <c r="F213" s="175"/>
      <c r="G213" s="178">
        <f>IF($B213&gt;G$1, 0, IF($B213=G$1, $C213/$C$168/2, MIN($C213-SUM($E213:F213), $C213/$C$168)))</f>
        <v>0</v>
      </c>
      <c r="H213" s="178">
        <f>IF($B213&gt;H$1, 0, IF($B213=H$1, $C213/$C$168/2, MIN($C213-SUM($E213:G213), $C213/$C$168)))</f>
        <v>0</v>
      </c>
      <c r="I213" s="178">
        <f>IF($B213&gt;I$1, 0, IF($B213=I$1, $C213/$C$168/2, MIN($C213-SUM($E213:H213), $C213/$C$168)))</f>
        <v>0</v>
      </c>
      <c r="J213" s="178">
        <f>IF($B213&gt;J$1, 0, IF($B213=J$1, $C213/$C$168/2, MIN($C213-SUM($E213:I213), $C213/$C$168)))</f>
        <v>0</v>
      </c>
      <c r="K213" s="178">
        <f>IF($B213&gt;K$1, 0, IF($B213=K$1, $C213/$C$168/2, MIN($C213-SUM($E213:J213), $C213/$C$168)))</f>
        <v>0</v>
      </c>
      <c r="L213" s="178">
        <f>IF($B213&gt;L$1, 0, IF($B213=L$1, $C213/$C$168/2, MIN($C213-SUM($E213:K213), $C213/$C$168)))</f>
        <v>0</v>
      </c>
      <c r="M213" s="178">
        <f>IF($B213&gt;M$1, 0, IF($B213=M$1, $C213/$C$168/2, MIN($C213-SUM($E213:L213), $C213/$C$168)))</f>
        <v>0</v>
      </c>
      <c r="N213" s="178">
        <f>IF($B213&gt;N$1, 0, IF($B213=N$1, $C213/$C$168/2, MIN($C213-SUM($E213:M213), $C213/$C$168)))</f>
        <v>0</v>
      </c>
      <c r="O213" s="178">
        <f>IF($B213&gt;O$1, 0, IF($B213=O$1, $C213/$C$168/2, MIN($C213-SUM($E213:N213), $C213/$C$168)))</f>
        <v>0</v>
      </c>
      <c r="P213" s="178">
        <f>IF($B213&gt;P$1, 0, IF($B213=P$1, $C213/$C$168/2, MIN($C213-SUM($E213:O213), $C213/$C$168)))</f>
        <v>0</v>
      </c>
    </row>
    <row r="214" spans="1:16" x14ac:dyDescent="0.35">
      <c r="A214" s="177"/>
      <c r="B214" s="177">
        <v>2020</v>
      </c>
      <c r="C214" s="178">
        <v>0</v>
      </c>
      <c r="D214" s="175"/>
      <c r="E214" s="175"/>
      <c r="F214" s="175"/>
      <c r="G214" s="178">
        <f>IF($B214&gt;G$1, 0, IF($B214=G$1, $C214/$C$168/2, MIN($C214-SUM($E214:F214), $C214/$C$168)))</f>
        <v>0</v>
      </c>
      <c r="H214" s="178">
        <f>IF($B214&gt;H$1, 0, IF($B214=H$1, $C214/$C$168/2, MIN($C214-SUM($E214:G214), $C214/$C$168)))</f>
        <v>0</v>
      </c>
      <c r="I214" s="178">
        <f>IF($B214&gt;I$1, 0, IF($B214=I$1, $C214/$C$168/2, MIN($C214-SUM($E214:H214), $C214/$C$168)))</f>
        <v>0</v>
      </c>
      <c r="J214" s="178">
        <f>IF($B214&gt;J$1, 0, IF($B214=J$1, $C214/$C$168/2, MIN($C214-SUM($E214:I214), $C214/$C$168)))</f>
        <v>0</v>
      </c>
      <c r="K214" s="178">
        <f>IF($B214&gt;K$1, 0, IF($B214=K$1, $C214/$C$168/2, MIN($C214-SUM($E214:J214), $C214/$C$168)))</f>
        <v>0</v>
      </c>
      <c r="L214" s="178">
        <f>IF($B214&gt;L$1, 0, IF($B214=L$1, $C214/$C$168/2, MIN($C214-SUM($E214:K214), $C214/$C$168)))</f>
        <v>0</v>
      </c>
      <c r="M214" s="178">
        <f>IF($B214&gt;M$1, 0, IF($B214=M$1, $C214/$C$168/2, MIN($C214-SUM($E214:L214), $C214/$C$168)))</f>
        <v>0</v>
      </c>
      <c r="N214" s="178">
        <f>IF($B214&gt;N$1, 0, IF($B214=N$1, $C214/$C$168/2, MIN($C214-SUM($E214:M214), $C214/$C$168)))</f>
        <v>0</v>
      </c>
      <c r="O214" s="178">
        <f>IF($B214&gt;O$1, 0, IF($B214=O$1, $C214/$C$168/2, MIN($C214-SUM($E214:N214), $C214/$C$168)))</f>
        <v>0</v>
      </c>
      <c r="P214" s="178">
        <f>IF($B214&gt;P$1, 0, IF($B214=P$1, $C214/$C$168/2, MIN($C214-SUM($E214:O214), $C214/$C$168)))</f>
        <v>0</v>
      </c>
    </row>
    <row r="215" spans="1:16" x14ac:dyDescent="0.35">
      <c r="A215" s="177"/>
      <c r="B215" s="177">
        <v>2021</v>
      </c>
      <c r="C215" s="178">
        <v>0</v>
      </c>
      <c r="D215" s="175"/>
      <c r="E215" s="175"/>
      <c r="F215" s="175"/>
      <c r="G215" s="178">
        <f>IF($B215&gt;G$1, 0, IF($B215=G$1, $C215/$C$168/2, MIN($C215-SUM($E215:F215), $C215/$C$168)))</f>
        <v>0</v>
      </c>
      <c r="H215" s="178">
        <f>IF($B215&gt;H$1, 0, IF($B215=H$1, $C215/$C$168/2, MIN($C215-SUM($E215:G215), $C215/$C$168)))</f>
        <v>0</v>
      </c>
      <c r="I215" s="178">
        <f>IF($B215&gt;I$1, 0, IF($B215=I$1, $C215/$C$168/2, MIN($C215-SUM($E215:H215), $C215/$C$168)))</f>
        <v>0</v>
      </c>
      <c r="J215" s="178">
        <f>IF($B215&gt;J$1, 0, IF($B215=J$1, $C215/$C$168/2, MIN($C215-SUM($E215:I215), $C215/$C$168)))</f>
        <v>0</v>
      </c>
      <c r="K215" s="178">
        <f>IF($B215&gt;K$1, 0, IF($B215=K$1, $C215/$C$168/2, MIN($C215-SUM($E215:J215), $C215/$C$168)))</f>
        <v>0</v>
      </c>
      <c r="L215" s="178">
        <f>IF($B215&gt;L$1, 0, IF($B215=L$1, $C215/$C$168/2, MIN($C215-SUM($E215:K215), $C215/$C$168)))</f>
        <v>0</v>
      </c>
      <c r="M215" s="178">
        <f>IF($B215&gt;M$1, 0, IF($B215=M$1, $C215/$C$168/2, MIN($C215-SUM($E215:L215), $C215/$C$168)))</f>
        <v>0</v>
      </c>
      <c r="N215" s="178">
        <f>IF($B215&gt;N$1, 0, IF($B215=N$1, $C215/$C$168/2, MIN($C215-SUM($E215:M215), $C215/$C$168)))</f>
        <v>0</v>
      </c>
      <c r="O215" s="178">
        <f>IF($B215&gt;O$1, 0, IF($B215=O$1, $C215/$C$168/2, MIN($C215-SUM($E215:N215), $C215/$C$168)))</f>
        <v>0</v>
      </c>
      <c r="P215" s="178">
        <f>IF($B215&gt;P$1, 0, IF($B215=P$1, $C215/$C$168/2, MIN($C215-SUM($E215:O215), $C215/$C$168)))</f>
        <v>0</v>
      </c>
    </row>
    <row r="216" spans="1:16" x14ac:dyDescent="0.35">
      <c r="A216" s="177"/>
      <c r="B216" s="177">
        <v>2022</v>
      </c>
      <c r="C216" s="178">
        <v>0</v>
      </c>
      <c r="D216" s="175"/>
      <c r="E216" s="175"/>
      <c r="F216" s="175"/>
      <c r="G216" s="178">
        <f>IF($B216&gt;G$1, 0, IF($B216=G$1, $C216/$C$168/2, MIN($C216-SUM($E216:F216), $C216/$C$168)))</f>
        <v>0</v>
      </c>
      <c r="H216" s="178">
        <f>IF($B216&gt;H$1, 0, IF($B216=H$1, $C216/$C$168/2, MIN($C216-SUM($E216:G216), $C216/$C$168)))</f>
        <v>0</v>
      </c>
      <c r="I216" s="178">
        <f>IF($B216&gt;I$1, 0, IF($B216=I$1, $C216/$C$168/2, MIN($C216-SUM($E216:H216), $C216/$C$168)))</f>
        <v>0</v>
      </c>
      <c r="J216" s="178">
        <f>IF($B216&gt;J$1, 0, IF($B216=J$1, $C216/$C$168/2, MIN($C216-SUM($E216:I216), $C216/$C$168)))</f>
        <v>0</v>
      </c>
      <c r="K216" s="178">
        <f>IF($B216&gt;K$1, 0, IF($B216=K$1, $C216/$C$168/2, MIN($C216-SUM($E216:J216), $C216/$C$168)))</f>
        <v>0</v>
      </c>
      <c r="L216" s="178">
        <f>IF($B216&gt;L$1, 0, IF($B216=L$1, $C216/$C$168/2, MIN($C216-SUM($E216:K216), $C216/$C$168)))</f>
        <v>0</v>
      </c>
      <c r="M216" s="178">
        <f>IF($B216&gt;M$1, 0, IF($B216=M$1, $C216/$C$168/2, MIN($C216-SUM($E216:L216), $C216/$C$168)))</f>
        <v>0</v>
      </c>
      <c r="N216" s="178">
        <f>IF($B216&gt;N$1, 0, IF($B216=N$1, $C216/$C$168/2, MIN($C216-SUM($E216:M216), $C216/$C$168)))</f>
        <v>0</v>
      </c>
      <c r="O216" s="178">
        <f>IF($B216&gt;O$1, 0, IF($B216=O$1, $C216/$C$168/2, MIN($C216-SUM($E216:N216), $C216/$C$168)))</f>
        <v>0</v>
      </c>
      <c r="P216" s="178">
        <f>IF($B216&gt;P$1, 0, IF($B216=P$1, $C216/$C$168/2, MIN($C216-SUM($E216:O216), $C216/$C$168)))</f>
        <v>0</v>
      </c>
    </row>
    <row r="217" spans="1:16" x14ac:dyDescent="0.35">
      <c r="A217" s="177"/>
      <c r="B217" s="177">
        <v>2023</v>
      </c>
      <c r="C217" s="178">
        <v>0</v>
      </c>
      <c r="D217" s="175"/>
      <c r="E217" s="175"/>
      <c r="F217" s="175"/>
      <c r="G217" s="178">
        <f>IF($B217&gt;G$1, 0, IF($B217=G$1, $C217/$C$168/2, MIN($C217-SUM($E217:F217), $C217/$C$168)))</f>
        <v>0</v>
      </c>
      <c r="H217" s="178">
        <f>IF($B217&gt;H$1, 0, IF($B217=H$1, $C217/$C$168/2, MIN($C217-SUM($E217:G217), $C217/$C$168)))</f>
        <v>0</v>
      </c>
      <c r="I217" s="178">
        <f>IF($B217&gt;I$1, 0, IF($B217=I$1, $C217/$C$168/2, MIN($C217-SUM($E217:H217), $C217/$C$168)))</f>
        <v>0</v>
      </c>
      <c r="J217" s="178">
        <f>IF($B217&gt;J$1, 0, IF($B217=J$1, $C217/$C$168/2, MIN($C217-SUM($E217:I217), $C217/$C$168)))</f>
        <v>0</v>
      </c>
      <c r="K217" s="178">
        <f>IF($B217&gt;K$1, 0, IF($B217=K$1, $C217/$C$168/2, MIN($C217-SUM($E217:J217), $C217/$C$168)))</f>
        <v>0</v>
      </c>
      <c r="L217" s="178">
        <f>IF($B217&gt;L$1, 0, IF($B217=L$1, $C217/$C$168/2, MIN($C217-SUM($E217:K217), $C217/$C$168)))</f>
        <v>0</v>
      </c>
      <c r="M217" s="178">
        <f>IF($B217&gt;M$1, 0, IF($B217=M$1, $C217/$C$168/2, MIN($C217-SUM($E217:L217), $C217/$C$168)))</f>
        <v>0</v>
      </c>
      <c r="N217" s="178">
        <f>IF($B217&gt;N$1, 0, IF($B217=N$1, $C217/$C$168/2, MIN($C217-SUM($E217:M217), $C217/$C$168)))</f>
        <v>0</v>
      </c>
      <c r="O217" s="178">
        <f>IF($B217&gt;O$1, 0, IF($B217=O$1, $C217/$C$168/2, MIN($C217-SUM($E217:N217), $C217/$C$168)))</f>
        <v>0</v>
      </c>
      <c r="P217" s="178">
        <f>IF($B217&gt;P$1, 0, IF($B217=P$1, $C217/$C$168/2, MIN($C217-SUM($E217:O217), $C217/$C$168)))</f>
        <v>0</v>
      </c>
    </row>
    <row r="218" spans="1:16" x14ac:dyDescent="0.35">
      <c r="A218" s="177"/>
      <c r="B218" s="177">
        <v>2024</v>
      </c>
      <c r="C218" s="178">
        <v>0</v>
      </c>
      <c r="D218" s="175"/>
      <c r="E218" s="175"/>
      <c r="F218" s="175"/>
      <c r="G218" s="178">
        <f>IF($B218&gt;G$1, 0, IF($B218=G$1, $C218/$C$168/2, MIN($C218-SUM($E218:F218), $C218/$C$168)))</f>
        <v>0</v>
      </c>
      <c r="H218" s="178">
        <f>IF($B218&gt;H$1, 0, IF($B218=H$1, $C218/$C$168/2, MIN($C218-SUM($E218:G218), $C218/$C$168)))</f>
        <v>0</v>
      </c>
      <c r="I218" s="178">
        <f>IF($B218&gt;I$1, 0, IF($B218=I$1, $C218/$C$168/2, MIN($C218-SUM($E218:H218), $C218/$C$168)))</f>
        <v>0</v>
      </c>
      <c r="J218" s="178">
        <f>IF($B218&gt;J$1, 0, IF($B218=J$1, $C218/$C$168/2, MIN($C218-SUM($E218:I218), $C218/$C$168)))</f>
        <v>0</v>
      </c>
      <c r="K218" s="178">
        <f>IF($B218&gt;K$1, 0, IF($B218=K$1, $C218/$C$168/2, MIN($C218-SUM($E218:J218), $C218/$C$168)))</f>
        <v>0</v>
      </c>
      <c r="L218" s="178">
        <f>IF($B218&gt;L$1, 0, IF($B218=L$1, $C218/$C$168/2, MIN($C218-SUM($E218:K218), $C218/$C$168)))</f>
        <v>0</v>
      </c>
      <c r="M218" s="178">
        <f>IF($B218&gt;M$1, 0, IF($B218=M$1, $C218/$C$168/2, MIN($C218-SUM($E218:L218), $C218/$C$168)))</f>
        <v>0</v>
      </c>
      <c r="N218" s="178">
        <f>IF($B218&gt;N$1, 0, IF($B218=N$1, $C218/$C$168/2, MIN($C218-SUM($E218:M218), $C218/$C$168)))</f>
        <v>0</v>
      </c>
      <c r="O218" s="178">
        <f>IF($B218&gt;O$1, 0, IF($B218=O$1, $C218/$C$168/2, MIN($C218-SUM($E218:N218), $C218/$C$168)))</f>
        <v>0</v>
      </c>
      <c r="P218" s="178">
        <f>IF($B218&gt;P$1, 0, IF($B218=P$1, $C218/$C$168/2, MIN($C218-SUM($E218:O218), $C218/$C$168)))</f>
        <v>0</v>
      </c>
    </row>
    <row r="219" spans="1:16" x14ac:dyDescent="0.35">
      <c r="A219" s="177"/>
      <c r="B219" s="177">
        <v>2025</v>
      </c>
      <c r="C219" s="178">
        <v>0</v>
      </c>
      <c r="D219" s="175"/>
      <c r="E219" s="175"/>
      <c r="F219" s="175"/>
      <c r="G219" s="178">
        <f>IF($B219&gt;G$1, 0, IF($B219=G$1, $C219/$C$168/2, MIN($C219-SUM($E219:F219), $C219/$C$168)))</f>
        <v>0</v>
      </c>
      <c r="H219" s="178">
        <f>IF($B219&gt;H$1, 0, IF($B219=H$1, $C219/$C$168/2, MIN($C219-SUM($E219:G219), $C219/$C$168)))</f>
        <v>0</v>
      </c>
      <c r="I219" s="178">
        <f>IF($B219&gt;I$1, 0, IF($B219=I$1, $C219/$C$168/2, MIN($C219-SUM($E219:H219), $C219/$C$168)))</f>
        <v>0</v>
      </c>
      <c r="J219" s="178">
        <f>IF($B219&gt;J$1, 0, IF($B219=J$1, $C219/$C$168/2, MIN($C219-SUM($E219:I219), $C219/$C$168)))</f>
        <v>0</v>
      </c>
      <c r="K219" s="178">
        <f>IF($B219&gt;K$1, 0, IF($B219=K$1, $C219/$C$168/2, MIN($C219-SUM($E219:J219), $C219/$C$168)))</f>
        <v>0</v>
      </c>
      <c r="L219" s="178">
        <f>IF($B219&gt;L$1, 0, IF($B219=L$1, $C219/$C$168/2, MIN($C219-SUM($E219:K219), $C219/$C$168)))</f>
        <v>0</v>
      </c>
      <c r="M219" s="178">
        <f>IF($B219&gt;M$1, 0, IF($B219=M$1, $C219/$C$168/2, MIN($C219-SUM($E219:L219), $C219/$C$168)))</f>
        <v>0</v>
      </c>
      <c r="N219" s="178">
        <f>IF($B219&gt;N$1, 0, IF($B219=N$1, $C219/$C$168/2, MIN($C219-SUM($E219:M219), $C219/$C$168)))</f>
        <v>0</v>
      </c>
      <c r="O219" s="178">
        <f>IF($B219&gt;O$1, 0, IF($B219=O$1, $C219/$C$168/2, MIN($C219-SUM($E219:N219), $C219/$C$168)))</f>
        <v>0</v>
      </c>
      <c r="P219" s="178">
        <f>IF($B219&gt;P$1, 0, IF($B219=P$1, $C219/$C$168/2, MIN($C219-SUM($E219:O219), $C219/$C$168)))</f>
        <v>0</v>
      </c>
    </row>
    <row r="220" spans="1:16" x14ac:dyDescent="0.35">
      <c r="A220" s="177"/>
      <c r="B220" s="177">
        <v>2026</v>
      </c>
      <c r="C220" s="178">
        <v>0</v>
      </c>
      <c r="D220" s="175"/>
      <c r="E220" s="175"/>
      <c r="F220" s="175"/>
      <c r="G220" s="178">
        <f>IF($B220&gt;G$1, 0, IF($B220=G$1, $C220/$C$168/2, MIN($C220-SUM($E220:F220), $C220/$C$168)))</f>
        <v>0</v>
      </c>
      <c r="H220" s="178">
        <f>IF($B220&gt;H$1, 0, IF($B220=H$1, $C220/$C$168/2, MIN($C220-SUM($E220:G220), $C220/$C$168)))</f>
        <v>0</v>
      </c>
      <c r="I220" s="178">
        <f>IF($B220&gt;I$1, 0, IF($B220=I$1, $C220/$C$168/2, MIN($C220-SUM($E220:H220), $C220/$C$168)))</f>
        <v>0</v>
      </c>
      <c r="J220" s="178">
        <f>IF($B220&gt;J$1, 0, IF($B220=J$1, $C220/$C$168/2, MIN($C220-SUM($E220:I220), $C220/$C$168)))</f>
        <v>0</v>
      </c>
      <c r="K220" s="178">
        <f>IF($B220&gt;K$1, 0, IF($B220=K$1, $C220/$C$168/2, MIN($C220-SUM($E220:J220), $C220/$C$168)))</f>
        <v>0</v>
      </c>
      <c r="L220" s="178">
        <f>IF($B220&gt;L$1, 0, IF($B220=L$1, $C220/$C$168/2, MIN($C220-SUM($E220:K220), $C220/$C$168)))</f>
        <v>0</v>
      </c>
      <c r="M220" s="178">
        <f>IF($B220&gt;M$1, 0, IF($B220=M$1, $C220/$C$168/2, MIN($C220-SUM($E220:L220), $C220/$C$168)))</f>
        <v>0</v>
      </c>
      <c r="N220" s="178">
        <f>IF($B220&gt;N$1, 0, IF($B220=N$1, $C220/$C$168/2, MIN($C220-SUM($E220:M220), $C220/$C$168)))</f>
        <v>0</v>
      </c>
      <c r="O220" s="178">
        <f>IF($B220&gt;O$1, 0, IF($B220=O$1, $C220/$C$168/2, MIN($C220-SUM($E220:N220), $C220/$C$168)))</f>
        <v>0</v>
      </c>
      <c r="P220" s="178">
        <f>IF($B220&gt;P$1, 0, IF($B220=P$1, $C220/$C$168/2, MIN($C220-SUM($E220:O220), $C220/$C$168)))</f>
        <v>0</v>
      </c>
    </row>
    <row r="221" spans="1:16" x14ac:dyDescent="0.35">
      <c r="A221" s="177"/>
      <c r="B221" s="177">
        <v>2027</v>
      </c>
      <c r="C221" s="178">
        <v>0</v>
      </c>
      <c r="D221" s="175"/>
      <c r="E221" s="175"/>
      <c r="F221" s="175"/>
      <c r="G221" s="178">
        <f>IF($B221&gt;G$1, 0, IF($B221=G$1, $C221/$C$168/2, MIN($C221-SUM($E221:F221), $C221/$C$168)))</f>
        <v>0</v>
      </c>
      <c r="H221" s="178">
        <f>IF($B221&gt;H$1, 0, IF($B221=H$1, $C221/$C$168/2, MIN($C221-SUM($E221:G221), $C221/$C$168)))</f>
        <v>0</v>
      </c>
      <c r="I221" s="178">
        <f>IF($B221&gt;I$1, 0, IF($B221=I$1, $C221/$C$168/2, MIN($C221-SUM($E221:H221), $C221/$C$168)))</f>
        <v>0</v>
      </c>
      <c r="J221" s="178">
        <f>IF($B221&gt;J$1, 0, IF($B221=J$1, $C221/$C$168/2, MIN($C221-SUM($E221:I221), $C221/$C$168)))</f>
        <v>0</v>
      </c>
      <c r="K221" s="178">
        <f>IF($B221&gt;K$1, 0, IF($B221=K$1, $C221/$C$168/2, MIN($C221-SUM($E221:J221), $C221/$C$168)))</f>
        <v>0</v>
      </c>
      <c r="L221" s="178">
        <f>IF($B221&gt;L$1, 0, IF($B221=L$1, $C221/$C$168/2, MIN($C221-SUM($E221:K221), $C221/$C$168)))</f>
        <v>0</v>
      </c>
      <c r="M221" s="178">
        <f>IF($B221&gt;M$1, 0, IF($B221=M$1, $C221/$C$168/2, MIN($C221-SUM($E221:L221), $C221/$C$168)))</f>
        <v>0</v>
      </c>
      <c r="N221" s="178">
        <f>IF($B221&gt;N$1, 0, IF($B221=N$1, $C221/$C$168/2, MIN($C221-SUM($E221:M221), $C221/$C$168)))</f>
        <v>0</v>
      </c>
      <c r="O221" s="178">
        <f>IF($B221&gt;O$1, 0, IF($B221=O$1, $C221/$C$168/2, MIN($C221-SUM($E221:N221), $C221/$C$168)))</f>
        <v>0</v>
      </c>
      <c r="P221" s="178">
        <f>IF($B221&gt;P$1, 0, IF($B221=P$1, $C221/$C$168/2, MIN($C221-SUM($E221:O221), $C221/$C$168)))</f>
        <v>0</v>
      </c>
    </row>
    <row r="222" spans="1:16" x14ac:dyDescent="0.35">
      <c r="A222" s="177"/>
      <c r="B222" s="177">
        <v>2028</v>
      </c>
      <c r="C222" s="178">
        <v>0</v>
      </c>
      <c r="D222" s="175"/>
      <c r="E222" s="175"/>
      <c r="F222" s="175"/>
      <c r="G222" s="178">
        <f>IF($B222&gt;G$1, 0, IF($B222=G$1, $C222/$C$168/2, MIN($C222-SUM($E222:F222), $C222/$C$168)))</f>
        <v>0</v>
      </c>
      <c r="H222" s="178">
        <f>IF($B222&gt;H$1, 0, IF($B222=H$1, $C222/$C$168/2, MIN($C222-SUM($E222:G222), $C222/$C$168)))</f>
        <v>0</v>
      </c>
      <c r="I222" s="178">
        <f>IF($B222&gt;I$1, 0, IF($B222=I$1, $C222/$C$168/2, MIN($C222-SUM($E222:H222), $C222/$C$168)))</f>
        <v>0</v>
      </c>
      <c r="J222" s="178">
        <f>IF($B222&gt;J$1, 0, IF($B222=J$1, $C222/$C$168/2, MIN($C222-SUM($E222:I222), $C222/$C$168)))</f>
        <v>0</v>
      </c>
      <c r="K222" s="178">
        <f>IF($B222&gt;K$1, 0, IF($B222=K$1, $C222/$C$168/2, MIN($C222-SUM($E222:J222), $C222/$C$168)))</f>
        <v>0</v>
      </c>
      <c r="L222" s="178">
        <f>IF($B222&gt;L$1, 0, IF($B222=L$1, $C222/$C$168/2, MIN($C222-SUM($E222:K222), $C222/$C$168)))</f>
        <v>0</v>
      </c>
      <c r="M222" s="178">
        <f>IF($B222&gt;M$1, 0, IF($B222=M$1, $C222/$C$168/2, MIN($C222-SUM($E222:L222), $C222/$C$168)))</f>
        <v>0</v>
      </c>
      <c r="N222" s="178">
        <f>IF($B222&gt;N$1, 0, IF($B222=N$1, $C222/$C$168/2, MIN($C222-SUM($E222:M222), $C222/$C$168)))</f>
        <v>0</v>
      </c>
      <c r="O222" s="178">
        <f>IF($B222&gt;O$1, 0, IF($B222=O$1, $C222/$C$168/2, MIN($C222-SUM($E222:N222), $C222/$C$168)))</f>
        <v>0</v>
      </c>
      <c r="P222" s="178">
        <f>IF($B222&gt;P$1, 0, IF($B222=P$1, $C222/$C$168/2, MIN($C222-SUM($E222:O222), $C222/$C$168)))</f>
        <v>0</v>
      </c>
    </row>
    <row r="223" spans="1:16" x14ac:dyDescent="0.35">
      <c r="A223" s="177"/>
      <c r="B223" s="177"/>
      <c r="C223" s="177"/>
      <c r="D223" s="177"/>
      <c r="E223" s="177"/>
      <c r="F223" s="177"/>
      <c r="G223" s="177"/>
      <c r="H223" s="177"/>
      <c r="I223" s="177"/>
      <c r="J223" s="177"/>
      <c r="K223" s="177"/>
      <c r="L223" s="177"/>
      <c r="M223" s="177"/>
      <c r="N223" s="177"/>
      <c r="O223" s="177"/>
      <c r="P223" s="177"/>
    </row>
    <row r="224" spans="1:16" x14ac:dyDescent="0.35">
      <c r="A224" s="155"/>
      <c r="B224" s="155" t="s">
        <v>358</v>
      </c>
      <c r="C224" s="155"/>
      <c r="D224" s="155"/>
      <c r="E224" s="155"/>
      <c r="F224" s="155"/>
      <c r="G224" s="238">
        <f>SUM(G213:G222)</f>
        <v>0</v>
      </c>
      <c r="H224" s="238">
        <f t="shared" ref="H224:P224" si="89">SUM(H213:H222)</f>
        <v>0</v>
      </c>
      <c r="I224" s="238">
        <f t="shared" si="89"/>
        <v>0</v>
      </c>
      <c r="J224" s="238">
        <f t="shared" si="89"/>
        <v>0</v>
      </c>
      <c r="K224" s="238">
        <f t="shared" si="89"/>
        <v>0</v>
      </c>
      <c r="L224" s="238">
        <f t="shared" si="89"/>
        <v>0</v>
      </c>
      <c r="M224" s="238">
        <f t="shared" si="89"/>
        <v>0</v>
      </c>
      <c r="N224" s="238">
        <f t="shared" si="89"/>
        <v>0</v>
      </c>
      <c r="O224" s="238">
        <f t="shared" si="89"/>
        <v>0</v>
      </c>
      <c r="P224" s="238">
        <f t="shared" si="89"/>
        <v>0</v>
      </c>
    </row>
    <row r="226" spans="2:16" s="155" customFormat="1" x14ac:dyDescent="0.35">
      <c r="B226" s="155" t="s">
        <v>510</v>
      </c>
      <c r="G226" s="238">
        <f>G224+G205+G186</f>
        <v>2060.0459722222222</v>
      </c>
      <c r="H226" s="238">
        <f t="shared" ref="H226:P226" si="90">H224+H205+H186</f>
        <v>6346.6861111111102</v>
      </c>
      <c r="I226" s="238">
        <f t="shared" si="90"/>
        <v>10977.210416666667</v>
      </c>
      <c r="J226" s="238">
        <f t="shared" si="90"/>
        <v>15741.486805555554</v>
      </c>
      <c r="K226" s="238">
        <f t="shared" si="90"/>
        <v>18913.422430555554</v>
      </c>
      <c r="L226" s="238">
        <f t="shared" si="90"/>
        <v>20287.953055555554</v>
      </c>
      <c r="M226" s="238">
        <f t="shared" si="90"/>
        <v>21341.148888888889</v>
      </c>
      <c r="N226" s="238">
        <f t="shared" si="90"/>
        <v>22720.717220907296</v>
      </c>
      <c r="O226" s="238">
        <f t="shared" si="90"/>
        <v>24610.746583144431</v>
      </c>
      <c r="P226" s="238">
        <f t="shared" si="90"/>
        <v>26864.561421520761</v>
      </c>
    </row>
    <row r="229" spans="2:16" s="322" customFormat="1" ht="15" thickBot="1" x14ac:dyDescent="0.4">
      <c r="B229" s="322" t="s">
        <v>511</v>
      </c>
      <c r="G229" s="363">
        <f>G226+G151</f>
        <v>8031.9459722222218</v>
      </c>
      <c r="H229" s="363">
        <f t="shared" ref="H229:P229" si="91">H226+H151</f>
        <v>12318.58611111111</v>
      </c>
      <c r="I229" s="363">
        <f t="shared" si="91"/>
        <v>16949.110416666666</v>
      </c>
      <c r="J229" s="363">
        <f t="shared" si="91"/>
        <v>21713.386805555554</v>
      </c>
      <c r="K229" s="363">
        <f t="shared" si="91"/>
        <v>24885.322430555556</v>
      </c>
      <c r="L229" s="363">
        <f t="shared" si="91"/>
        <v>26259.853055555555</v>
      </c>
      <c r="M229" s="363">
        <f t="shared" si="91"/>
        <v>27313.048888888887</v>
      </c>
      <c r="N229" s="363">
        <f t="shared" si="91"/>
        <v>28692.617220907297</v>
      </c>
      <c r="O229" s="363">
        <f t="shared" si="91"/>
        <v>30582.646583144429</v>
      </c>
      <c r="P229" s="363">
        <f t="shared" si="91"/>
        <v>32836.461421520755</v>
      </c>
    </row>
    <row r="230" spans="2:16" ht="15" thickTop="1" x14ac:dyDescent="0.35"/>
    <row r="232" spans="2:16" s="177" customFormat="1" x14ac:dyDescent="0.35">
      <c r="B232" s="88" t="s">
        <v>330</v>
      </c>
      <c r="C232" s="89"/>
      <c r="D232" s="89"/>
      <c r="E232" s="89"/>
      <c r="F232" s="89"/>
      <c r="G232" s="89"/>
      <c r="H232" s="89"/>
      <c r="I232" s="89"/>
      <c r="J232" s="89"/>
      <c r="K232" s="89"/>
      <c r="L232" s="89"/>
      <c r="M232" s="89"/>
      <c r="N232" s="89"/>
      <c r="O232" s="89"/>
      <c r="P232" s="89"/>
    </row>
    <row r="234" spans="2:16" x14ac:dyDescent="0.35">
      <c r="B234" t="s">
        <v>512</v>
      </c>
      <c r="E234" s="192">
        <f>BS!E9</f>
        <v>18336</v>
      </c>
      <c r="F234" s="192">
        <f>BS!F9</f>
        <v>20838</v>
      </c>
      <c r="G234" s="198">
        <f>G236/365 * G235</f>
        <v>24589.626027397262</v>
      </c>
      <c r="H234" s="175">
        <f t="shared" ref="H234:P234" si="92">H236/365 * H235</f>
        <v>28966.652527397258</v>
      </c>
      <c r="I234" s="175">
        <f t="shared" si="92"/>
        <v>32783.852750753424</v>
      </c>
      <c r="J234" s="175">
        <f t="shared" si="92"/>
        <v>37469.709251165063</v>
      </c>
      <c r="K234" s="175">
        <f t="shared" si="92"/>
        <v>41276.826275053099</v>
      </c>
      <c r="L234" s="175">
        <f t="shared" si="92"/>
        <v>45057.066751807288</v>
      </c>
      <c r="M234" s="175">
        <f t="shared" si="92"/>
        <v>48826.349120871564</v>
      </c>
      <c r="N234" s="175">
        <f t="shared" si="92"/>
        <v>52395.434726233601</v>
      </c>
      <c r="O234" s="175">
        <f t="shared" si="92"/>
        <v>55681.849097169659</v>
      </c>
      <c r="P234" s="175">
        <f t="shared" si="92"/>
        <v>58725.115021889535</v>
      </c>
    </row>
    <row r="235" spans="2:16" x14ac:dyDescent="0.35">
      <c r="B235" t="s">
        <v>95</v>
      </c>
      <c r="E235" s="192">
        <f>IS!E3</f>
        <v>110855</v>
      </c>
      <c r="F235" s="192">
        <f>IS!F3</f>
        <v>136819</v>
      </c>
      <c r="G235" s="192">
        <f>IS!G3</f>
        <v>163185.70000000001</v>
      </c>
      <c r="H235" s="192">
        <f>IS!H3</f>
        <v>192233.2395</v>
      </c>
      <c r="I235" s="192">
        <f>IS!I3</f>
        <v>217565.56825499999</v>
      </c>
      <c r="J235" s="192">
        <f>IS!J3</f>
        <v>248662.61593954999</v>
      </c>
      <c r="K235" s="192">
        <f>IS!K3</f>
        <v>273928.02891626151</v>
      </c>
      <c r="L235" s="192">
        <f>IS!L3</f>
        <v>299015.07935290295</v>
      </c>
      <c r="M235" s="192">
        <f>IS!M3</f>
        <v>324029.40780214767</v>
      </c>
      <c r="N235" s="192">
        <f>IS!N3</f>
        <v>347715.15772864118</v>
      </c>
      <c r="O235" s="192">
        <f>IS!O3</f>
        <v>369524.99855394411</v>
      </c>
      <c r="P235" s="192">
        <f>IS!P3</f>
        <v>389721.21787253965</v>
      </c>
    </row>
    <row r="236" spans="2:16" x14ac:dyDescent="0.35">
      <c r="B236" t="s">
        <v>515</v>
      </c>
      <c r="E236" s="364">
        <f>E234*365/E235</f>
        <v>60.372919579631052</v>
      </c>
      <c r="F236" s="364">
        <f t="shared" ref="F236" si="93">F234*365/F235</f>
        <v>55.590743975617421</v>
      </c>
      <c r="G236" s="365">
        <v>55</v>
      </c>
      <c r="H236" s="366">
        <f>G236</f>
        <v>55</v>
      </c>
      <c r="I236" s="366">
        <f t="shared" ref="I236:P236" si="94">H236</f>
        <v>55</v>
      </c>
      <c r="J236" s="366">
        <f t="shared" si="94"/>
        <v>55</v>
      </c>
      <c r="K236" s="366">
        <f t="shared" si="94"/>
        <v>55</v>
      </c>
      <c r="L236" s="366">
        <f t="shared" si="94"/>
        <v>55</v>
      </c>
      <c r="M236" s="366">
        <f t="shared" si="94"/>
        <v>55</v>
      </c>
      <c r="N236" s="366">
        <f t="shared" si="94"/>
        <v>55</v>
      </c>
      <c r="O236" s="366">
        <f t="shared" si="94"/>
        <v>55</v>
      </c>
      <c r="P236" s="366">
        <f t="shared" si="94"/>
        <v>55</v>
      </c>
    </row>
    <row r="238" spans="2:16" x14ac:dyDescent="0.35">
      <c r="B238" t="s">
        <v>150</v>
      </c>
      <c r="E238" s="192">
        <f>BS!E11</f>
        <v>749</v>
      </c>
      <c r="F238" s="192">
        <f>BS!F11</f>
        <v>1107</v>
      </c>
      <c r="G238" s="198">
        <f>G240/365 * G239</f>
        <v>1219.3159424657536</v>
      </c>
      <c r="H238" s="175">
        <f t="shared" ref="H238" si="95">H240/365 * H239</f>
        <v>1417.0293266931506</v>
      </c>
      <c r="I238" s="175">
        <f t="shared" ref="I238" si="96">I240/365 * I239</f>
        <v>3512.7963338651434</v>
      </c>
      <c r="J238" s="175">
        <f t="shared" ref="J238" si="97">J240/365 * J239</f>
        <v>1806.3106641697475</v>
      </c>
      <c r="K238" s="175">
        <f t="shared" ref="K238" si="98">K240/365 * K239</f>
        <v>1973.0948698773338</v>
      </c>
      <c r="L238" s="175">
        <f t="shared" ref="L238" si="99">L240/365 * L239</f>
        <v>2135.8039449987086</v>
      </c>
      <c r="M238" s="175">
        <f t="shared" ref="M238" si="100">M240/365 * M239</f>
        <v>2293.9371306548119</v>
      </c>
      <c r="N238" s="175">
        <f t="shared" ref="N238" si="101">N240/365 * N239</f>
        <v>2445.7294851861911</v>
      </c>
      <c r="O238" s="175">
        <f t="shared" ref="O238" si="102">O240/365 * O239</f>
        <v>2583.8713250592477</v>
      </c>
      <c r="P238" s="175">
        <f t="shared" ref="P238" si="103">P240/365 * P239</f>
        <v>2708.9154901708935</v>
      </c>
    </row>
    <row r="239" spans="2:16" x14ac:dyDescent="0.35">
      <c r="B239" t="s">
        <v>492</v>
      </c>
      <c r="E239" s="192">
        <f>IS!E5</f>
        <v>84709</v>
      </c>
      <c r="F239" s="192">
        <f>IS!F5</f>
        <v>110498</v>
      </c>
      <c r="G239" s="192">
        <f>IS!G5</f>
        <v>127157.23400000001</v>
      </c>
      <c r="H239" s="192">
        <f>IS!H5</f>
        <v>147775.91549799999</v>
      </c>
      <c r="I239" s="192">
        <f>IS!I5</f>
        <v>366334.47481736494</v>
      </c>
      <c r="J239" s="192">
        <f>IS!J5</f>
        <v>188372.39783484509</v>
      </c>
      <c r="K239" s="192">
        <f>IS!K5</f>
        <v>205765.60785863624</v>
      </c>
      <c r="L239" s="192">
        <f>IS!L5</f>
        <v>222733.83997843674</v>
      </c>
      <c r="M239" s="192">
        <f>IS!M5</f>
        <v>239224.87219685895</v>
      </c>
      <c r="N239" s="192">
        <f>IS!N5</f>
        <v>255054.64631227418</v>
      </c>
      <c r="O239" s="192">
        <f>IS!O5</f>
        <v>269460.86675617867</v>
      </c>
      <c r="P239" s="192">
        <f>IS!P5</f>
        <v>282501.18683210743</v>
      </c>
    </row>
    <row r="240" spans="2:16" x14ac:dyDescent="0.35">
      <c r="B240" t="s">
        <v>513</v>
      </c>
      <c r="E240" s="364">
        <f>E238*365/E239</f>
        <v>3.2273430214026844</v>
      </c>
      <c r="F240" s="364">
        <f t="shared" ref="F240" si="104">F238*365/F239</f>
        <v>3.6566725189596192</v>
      </c>
      <c r="G240" s="365">
        <v>3.5</v>
      </c>
      <c r="H240" s="366">
        <f>G240</f>
        <v>3.5</v>
      </c>
      <c r="I240" s="366">
        <f t="shared" ref="I240:P240" si="105">H240</f>
        <v>3.5</v>
      </c>
      <c r="J240" s="366">
        <f t="shared" si="105"/>
        <v>3.5</v>
      </c>
      <c r="K240" s="366">
        <f t="shared" si="105"/>
        <v>3.5</v>
      </c>
      <c r="L240" s="366">
        <f t="shared" si="105"/>
        <v>3.5</v>
      </c>
      <c r="M240" s="366">
        <f t="shared" si="105"/>
        <v>3.5</v>
      </c>
      <c r="N240" s="366">
        <f t="shared" si="105"/>
        <v>3.5</v>
      </c>
      <c r="O240" s="366">
        <f t="shared" si="105"/>
        <v>3.5</v>
      </c>
      <c r="P240" s="366">
        <f t="shared" si="105"/>
        <v>3.5</v>
      </c>
    </row>
    <row r="242" spans="2:16" x14ac:dyDescent="0.35">
      <c r="B242" s="177" t="s">
        <v>354</v>
      </c>
      <c r="C242" s="177"/>
      <c r="D242" s="177"/>
      <c r="E242" s="192">
        <f>BS!E31</f>
        <v>3137</v>
      </c>
      <c r="F242" s="192">
        <f>BS!F31</f>
        <v>4378</v>
      </c>
      <c r="G242" s="198">
        <f>G244/365 * G243</f>
        <v>4877.2637698630142</v>
      </c>
      <c r="H242" s="175">
        <f t="shared" ref="H242" si="106">H244/365 * H243</f>
        <v>5668.1173067726022</v>
      </c>
      <c r="I242" s="175">
        <f t="shared" ref="I242" si="107">I244/365 * I243</f>
        <v>14051.185335460574</v>
      </c>
      <c r="J242" s="175">
        <f t="shared" ref="J242" si="108">J244/365 * J243</f>
        <v>7225.24265667899</v>
      </c>
      <c r="K242" s="175">
        <f t="shared" ref="K242" si="109">K244/365 * K243</f>
        <v>7892.3794795093354</v>
      </c>
      <c r="L242" s="175">
        <f t="shared" ref="L242" si="110">L244/365 * L243</f>
        <v>8543.2157799948345</v>
      </c>
      <c r="M242" s="175">
        <f t="shared" ref="M242" si="111">M244/365 * M243</f>
        <v>9175.7485226192475</v>
      </c>
      <c r="N242" s="175">
        <f t="shared" ref="N242" si="112">N244/365 * N243</f>
        <v>9782.9179407447646</v>
      </c>
      <c r="O242" s="175">
        <f t="shared" ref="O242" si="113">O244/365 * O243</f>
        <v>10335.485300236991</v>
      </c>
      <c r="P242" s="175">
        <f t="shared" ref="P242" si="114">P244/365 * P243</f>
        <v>10835.661960683574</v>
      </c>
    </row>
    <row r="243" spans="2:16" x14ac:dyDescent="0.35">
      <c r="B243" s="177" t="s">
        <v>492</v>
      </c>
      <c r="C243" s="177"/>
      <c r="D243" s="177"/>
      <c r="E243" s="192">
        <f>IS!E5</f>
        <v>84709</v>
      </c>
      <c r="F243" s="192">
        <f>IS!F5</f>
        <v>110498</v>
      </c>
      <c r="G243" s="192">
        <f>IS!G5</f>
        <v>127157.23400000001</v>
      </c>
      <c r="H243" s="192">
        <f>IS!H5</f>
        <v>147775.91549799999</v>
      </c>
      <c r="I243" s="192">
        <f>IS!I5</f>
        <v>366334.47481736494</v>
      </c>
      <c r="J243" s="192">
        <f>IS!J5</f>
        <v>188372.39783484509</v>
      </c>
      <c r="K243" s="192">
        <f>IS!K5</f>
        <v>205765.60785863624</v>
      </c>
      <c r="L243" s="192">
        <f>IS!L5</f>
        <v>222733.83997843674</v>
      </c>
      <c r="M243" s="192">
        <f>IS!M5</f>
        <v>239224.87219685895</v>
      </c>
      <c r="N243" s="192">
        <f>IS!N5</f>
        <v>255054.64631227418</v>
      </c>
      <c r="O243" s="192">
        <f>IS!O5</f>
        <v>269460.86675617867</v>
      </c>
      <c r="P243" s="192">
        <f>IS!P5</f>
        <v>282501.18683210743</v>
      </c>
    </row>
    <row r="244" spans="2:16" x14ac:dyDescent="0.35">
      <c r="B244" s="177" t="s">
        <v>514</v>
      </c>
      <c r="C244" s="177"/>
      <c r="D244" s="177"/>
      <c r="E244" s="364">
        <f>E242*365/E243</f>
        <v>13.516922641041685</v>
      </c>
      <c r="F244" s="364">
        <f t="shared" ref="F244" si="115">F242*365/F243</f>
        <v>14.461528715451863</v>
      </c>
      <c r="G244" s="365">
        <v>14</v>
      </c>
      <c r="H244" s="366">
        <f>G244</f>
        <v>14</v>
      </c>
      <c r="I244" s="366">
        <f t="shared" ref="I244:P244" si="116">H244</f>
        <v>14</v>
      </c>
      <c r="J244" s="366">
        <f t="shared" si="116"/>
        <v>14</v>
      </c>
      <c r="K244" s="366">
        <f t="shared" si="116"/>
        <v>14</v>
      </c>
      <c r="L244" s="366">
        <f t="shared" si="116"/>
        <v>14</v>
      </c>
      <c r="M244" s="366">
        <f t="shared" si="116"/>
        <v>14</v>
      </c>
      <c r="N244" s="366">
        <f t="shared" si="116"/>
        <v>14</v>
      </c>
      <c r="O244" s="366">
        <f t="shared" si="116"/>
        <v>14</v>
      </c>
      <c r="P244" s="366">
        <f t="shared" si="116"/>
        <v>14</v>
      </c>
    </row>
    <row r="247" spans="2:16" s="177" customFormat="1" x14ac:dyDescent="0.35">
      <c r="B247" s="88" t="s">
        <v>516</v>
      </c>
      <c r="C247" s="89"/>
      <c r="D247" s="89"/>
      <c r="E247" s="89"/>
      <c r="F247" s="89"/>
      <c r="G247" s="89"/>
      <c r="H247" s="89"/>
      <c r="I247" s="89"/>
      <c r="J247" s="89"/>
      <c r="K247" s="89"/>
      <c r="L247" s="89"/>
      <c r="M247" s="89"/>
      <c r="N247" s="89"/>
      <c r="O247" s="89"/>
      <c r="P247" s="89"/>
    </row>
    <row r="249" spans="2:16" s="177" customFormat="1" x14ac:dyDescent="0.35">
      <c r="B249" s="155" t="str">
        <f>IS!B15</f>
        <v>Income before income taxes</v>
      </c>
      <c r="C249" s="182"/>
      <c r="D249" s="182"/>
      <c r="E249" s="195">
        <f>IS!E15</f>
        <v>27193</v>
      </c>
      <c r="F249" s="195">
        <f>IS!F15</f>
        <v>34913</v>
      </c>
      <c r="G249" s="195">
        <f ca="1">IS!G15</f>
        <v>36370.487198123883</v>
      </c>
      <c r="H249" s="195">
        <f ca="1">IS!H15</f>
        <v>45204.582885807766</v>
      </c>
      <c r="I249" s="195">
        <f ca="1">IS!I15</f>
        <v>-149621.33069063968</v>
      </c>
      <c r="J249" s="195">
        <f ca="1">IS!J15</f>
        <v>58237.530938542179</v>
      </c>
      <c r="K249" s="195">
        <f ca="1">IS!K15</f>
        <v>67664.349061941481</v>
      </c>
      <c r="L249" s="195">
        <f ca="1">IS!L15</f>
        <v>77325.081706011231</v>
      </c>
      <c r="M249" s="195">
        <f ca="1">IS!M15</f>
        <v>87099.611466902657</v>
      </c>
      <c r="N249" s="195">
        <f ca="1">IS!N15</f>
        <v>96350.110785832032</v>
      </c>
      <c r="O249" s="195">
        <f ca="1">IS!O15</f>
        <v>105261.45458234462</v>
      </c>
      <c r="P249" s="195">
        <f ca="1">IS!P15</f>
        <v>114045.1417970425</v>
      </c>
    </row>
    <row r="250" spans="2:16" s="177" customFormat="1" x14ac:dyDescent="0.35">
      <c r="B250" s="155"/>
      <c r="C250" s="182"/>
      <c r="D250" s="182"/>
      <c r="E250" s="195"/>
      <c r="F250" s="195"/>
      <c r="G250" s="195"/>
      <c r="H250" s="195"/>
      <c r="I250" s="195"/>
      <c r="J250" s="195"/>
      <c r="K250" s="195"/>
      <c r="L250" s="195"/>
      <c r="M250" s="195"/>
      <c r="N250" s="195"/>
      <c r="O250" s="195"/>
      <c r="P250" s="195"/>
    </row>
    <row r="251" spans="2:16" s="177" customFormat="1" x14ac:dyDescent="0.35">
      <c r="B251" s="155" t="s">
        <v>521</v>
      </c>
      <c r="C251" s="182"/>
      <c r="D251" s="182"/>
      <c r="E251" s="195"/>
      <c r="F251" s="195"/>
      <c r="G251" s="195"/>
      <c r="H251" s="195"/>
      <c r="I251" s="195"/>
      <c r="J251" s="195"/>
      <c r="K251" s="195"/>
      <c r="L251" s="195"/>
      <c r="M251" s="195"/>
      <c r="N251" s="195"/>
      <c r="O251" s="195"/>
      <c r="P251" s="195"/>
    </row>
    <row r="252" spans="2:16" s="177" customFormat="1" x14ac:dyDescent="0.35"/>
    <row r="253" spans="2:16" x14ac:dyDescent="0.35">
      <c r="B253" t="s">
        <v>342</v>
      </c>
      <c r="E253" s="368"/>
      <c r="F253" s="175"/>
      <c r="G253" s="367">
        <v>0</v>
      </c>
      <c r="H253" s="178">
        <f t="shared" ref="H253:P253" ca="1" si="117">G256</f>
        <v>0</v>
      </c>
      <c r="I253" s="178">
        <f t="shared" ca="1" si="117"/>
        <v>0</v>
      </c>
      <c r="J253" s="178">
        <f t="shared" ca="1" si="117"/>
        <v>149621.33069063968</v>
      </c>
      <c r="K253" s="178">
        <f t="shared" ca="1" si="117"/>
        <v>91383.79975209749</v>
      </c>
      <c r="L253" s="178">
        <f t="shared" ca="1" si="117"/>
        <v>23719.450690156009</v>
      </c>
      <c r="M253" s="178">
        <f t="shared" ca="1" si="117"/>
        <v>0</v>
      </c>
      <c r="N253" s="178">
        <f t="shared" ca="1" si="117"/>
        <v>0</v>
      </c>
      <c r="O253" s="178">
        <f t="shared" ca="1" si="117"/>
        <v>0</v>
      </c>
      <c r="P253" s="178">
        <f t="shared" ca="1" si="117"/>
        <v>0</v>
      </c>
    </row>
    <row r="254" spans="2:16" x14ac:dyDescent="0.35">
      <c r="B254" t="s">
        <v>517</v>
      </c>
      <c r="E254" s="175"/>
      <c r="F254" s="175"/>
      <c r="G254" s="178">
        <f ca="1">-MIN(0, G249)</f>
        <v>0</v>
      </c>
      <c r="H254" s="178">
        <f t="shared" ref="H254:P254" ca="1" si="118">-MIN(0, H249)</f>
        <v>0</v>
      </c>
      <c r="I254" s="178">
        <f t="shared" ca="1" si="118"/>
        <v>149621.33069063968</v>
      </c>
      <c r="J254" s="178">
        <f t="shared" ca="1" si="118"/>
        <v>0</v>
      </c>
      <c r="K254" s="178">
        <f t="shared" ca="1" si="118"/>
        <v>0</v>
      </c>
      <c r="L254" s="178">
        <f t="shared" ca="1" si="118"/>
        <v>0</v>
      </c>
      <c r="M254" s="178">
        <f t="shared" ca="1" si="118"/>
        <v>0</v>
      </c>
      <c r="N254" s="178">
        <f t="shared" ca="1" si="118"/>
        <v>0</v>
      </c>
      <c r="O254" s="178">
        <f t="shared" ca="1" si="118"/>
        <v>0</v>
      </c>
      <c r="P254" s="178">
        <f t="shared" ca="1" si="118"/>
        <v>0</v>
      </c>
    </row>
    <row r="255" spans="2:16" x14ac:dyDescent="0.35">
      <c r="B255" t="s">
        <v>518</v>
      </c>
      <c r="E255" s="175"/>
      <c r="F255" s="175"/>
      <c r="G255" s="178">
        <f ca="1">IF(G249&gt;=0, MIN(G253, G249), 0)</f>
        <v>0</v>
      </c>
      <c r="H255" s="178">
        <f t="shared" ref="H255:P255" ca="1" si="119">IF(H249&gt;=0, MIN(H253, H249), 0)</f>
        <v>0</v>
      </c>
      <c r="I255" s="178">
        <f t="shared" ca="1" si="119"/>
        <v>0</v>
      </c>
      <c r="J255" s="178">
        <f t="shared" ca="1" si="119"/>
        <v>58237.530938542179</v>
      </c>
      <c r="K255" s="178">
        <f t="shared" ca="1" si="119"/>
        <v>67664.349061941481</v>
      </c>
      <c r="L255" s="178">
        <f t="shared" ca="1" si="119"/>
        <v>23719.450690156009</v>
      </c>
      <c r="M255" s="178">
        <f t="shared" ca="1" si="119"/>
        <v>0</v>
      </c>
      <c r="N255" s="178">
        <f t="shared" ca="1" si="119"/>
        <v>0</v>
      </c>
      <c r="O255" s="178">
        <f t="shared" ca="1" si="119"/>
        <v>0</v>
      </c>
      <c r="P255" s="178">
        <f t="shared" ca="1" si="119"/>
        <v>0</v>
      </c>
    </row>
    <row r="256" spans="2:16" x14ac:dyDescent="0.35">
      <c r="B256" t="s">
        <v>343</v>
      </c>
      <c r="E256" s="175"/>
      <c r="F256" s="175"/>
      <c r="G256" s="178">
        <f t="shared" ref="G256:P256" ca="1" si="120">G253+G254-G255</f>
        <v>0</v>
      </c>
      <c r="H256" s="178">
        <f t="shared" ca="1" si="120"/>
        <v>0</v>
      </c>
      <c r="I256" s="178">
        <f t="shared" ca="1" si="120"/>
        <v>149621.33069063968</v>
      </c>
      <c r="J256" s="178">
        <f t="shared" ca="1" si="120"/>
        <v>91383.79975209749</v>
      </c>
      <c r="K256" s="178">
        <f t="shared" ca="1" si="120"/>
        <v>23719.450690156009</v>
      </c>
      <c r="L256" s="178">
        <f t="shared" ca="1" si="120"/>
        <v>0</v>
      </c>
      <c r="M256" s="178">
        <f t="shared" ca="1" si="120"/>
        <v>0</v>
      </c>
      <c r="N256" s="178">
        <f t="shared" ca="1" si="120"/>
        <v>0</v>
      </c>
      <c r="O256" s="178">
        <f t="shared" ca="1" si="120"/>
        <v>0</v>
      </c>
      <c r="P256" s="178">
        <f t="shared" ca="1" si="120"/>
        <v>0</v>
      </c>
    </row>
    <row r="258" spans="2:16" x14ac:dyDescent="0.35">
      <c r="B258" t="s">
        <v>519</v>
      </c>
      <c r="G258" s="175">
        <f ca="1">MAX(0, G249-G255)</f>
        <v>36370.487198123883</v>
      </c>
      <c r="H258" s="175">
        <f t="shared" ref="H258:P258" ca="1" si="121">MAX(0, H249-H255)</f>
        <v>45204.582885807766</v>
      </c>
      <c r="I258" s="175">
        <f t="shared" ca="1" si="121"/>
        <v>0</v>
      </c>
      <c r="J258" s="175">
        <f t="shared" ca="1" si="121"/>
        <v>0</v>
      </c>
      <c r="K258" s="175">
        <f t="shared" ca="1" si="121"/>
        <v>0</v>
      </c>
      <c r="L258" s="175">
        <f t="shared" ca="1" si="121"/>
        <v>53605.631015855222</v>
      </c>
      <c r="M258" s="175">
        <f t="shared" ca="1" si="121"/>
        <v>87099.611466902657</v>
      </c>
      <c r="N258" s="175">
        <f t="shared" ca="1" si="121"/>
        <v>96350.110785832032</v>
      </c>
      <c r="O258" s="175">
        <f t="shared" ca="1" si="121"/>
        <v>105261.45458234462</v>
      </c>
      <c r="P258" s="175">
        <f t="shared" ca="1" si="121"/>
        <v>114045.1417970425</v>
      </c>
    </row>
    <row r="260" spans="2:16" x14ac:dyDescent="0.35">
      <c r="B260" t="s">
        <v>395</v>
      </c>
      <c r="G260" s="369">
        <f>Taxes!G39</f>
        <v>0.21</v>
      </c>
      <c r="H260" s="369">
        <f>Taxes!H39</f>
        <v>0.21</v>
      </c>
      <c r="I260" s="369">
        <f>Taxes!I39</f>
        <v>0.21</v>
      </c>
      <c r="J260" s="369">
        <f>Taxes!J39</f>
        <v>0.21</v>
      </c>
      <c r="K260" s="369">
        <f>Taxes!K39</f>
        <v>0.21</v>
      </c>
      <c r="L260" s="369">
        <f>Taxes!L39</f>
        <v>0.21</v>
      </c>
      <c r="M260" s="369">
        <f>Taxes!M39</f>
        <v>0.21</v>
      </c>
      <c r="N260" s="369">
        <f>Taxes!N39</f>
        <v>0.21</v>
      </c>
      <c r="O260" s="369">
        <f>Taxes!O39</f>
        <v>0.21</v>
      </c>
      <c r="P260" s="369">
        <f>Taxes!P39</f>
        <v>0.21</v>
      </c>
    </row>
    <row r="262" spans="2:16" x14ac:dyDescent="0.35">
      <c r="B262" t="s">
        <v>520</v>
      </c>
      <c r="G262" s="175">
        <f ca="1">G258*G260</f>
        <v>7637.8023116060149</v>
      </c>
      <c r="H262" s="175">
        <f t="shared" ref="H262:P262" ca="1" si="122">H258*H260</f>
        <v>9492.9624060196311</v>
      </c>
      <c r="I262" s="175">
        <f t="shared" ca="1" si="122"/>
        <v>0</v>
      </c>
      <c r="J262" s="175">
        <f t="shared" ca="1" si="122"/>
        <v>0</v>
      </c>
      <c r="K262" s="175">
        <f t="shared" ca="1" si="122"/>
        <v>0</v>
      </c>
      <c r="L262" s="175">
        <f t="shared" ca="1" si="122"/>
        <v>11257.182513329597</v>
      </c>
      <c r="M262" s="175">
        <f t="shared" ca="1" si="122"/>
        <v>18290.918408049558</v>
      </c>
      <c r="N262" s="175">
        <f t="shared" ca="1" si="122"/>
        <v>20233.523265024727</v>
      </c>
      <c r="O262" s="175">
        <f t="shared" ca="1" si="122"/>
        <v>22104.905462292369</v>
      </c>
      <c r="P262" s="175">
        <f t="shared" ca="1" si="122"/>
        <v>23949.479777378921</v>
      </c>
    </row>
    <row r="265" spans="2:16" s="177" customFormat="1" x14ac:dyDescent="0.35">
      <c r="B265" s="88" t="s">
        <v>293</v>
      </c>
      <c r="C265" s="89"/>
      <c r="D265" s="89"/>
      <c r="E265" s="89"/>
      <c r="F265" s="89"/>
      <c r="G265" s="89"/>
      <c r="H265" s="89"/>
      <c r="I265" s="89"/>
      <c r="J265" s="89"/>
      <c r="K265" s="89"/>
      <c r="L265" s="89"/>
      <c r="M265" s="89"/>
      <c r="N265" s="89"/>
      <c r="O265" s="89"/>
      <c r="P265" s="89"/>
    </row>
    <row r="268" spans="2:16" ht="29" x14ac:dyDescent="0.35">
      <c r="B268" s="239" t="s">
        <v>525</v>
      </c>
    </row>
    <row r="270" spans="2:16" x14ac:dyDescent="0.35">
      <c r="B270" t="s">
        <v>342</v>
      </c>
      <c r="F270" s="178"/>
      <c r="G270" s="178"/>
      <c r="H270" s="178">
        <f>G273</f>
        <v>0</v>
      </c>
      <c r="I270" s="178">
        <f t="shared" ref="I270:P270" si="123">H273</f>
        <v>10000</v>
      </c>
      <c r="J270" s="178">
        <f t="shared" si="123"/>
        <v>10000</v>
      </c>
      <c r="K270" s="178">
        <f t="shared" si="123"/>
        <v>10000</v>
      </c>
      <c r="L270" s="178">
        <f t="shared" si="123"/>
        <v>10000</v>
      </c>
      <c r="M270" s="178">
        <f t="shared" si="123"/>
        <v>0</v>
      </c>
      <c r="N270" s="178">
        <f t="shared" si="123"/>
        <v>0</v>
      </c>
      <c r="O270" s="178">
        <f t="shared" si="123"/>
        <v>0</v>
      </c>
      <c r="P270" s="178">
        <f t="shared" si="123"/>
        <v>0</v>
      </c>
    </row>
    <row r="271" spans="2:16" x14ac:dyDescent="0.35">
      <c r="B271" t="s">
        <v>364</v>
      </c>
      <c r="F271" s="178"/>
      <c r="G271" s="178"/>
      <c r="H271" s="179">
        <v>10000</v>
      </c>
      <c r="I271" s="178"/>
      <c r="J271" s="178"/>
      <c r="K271" s="178"/>
      <c r="L271" s="178"/>
      <c r="M271" s="178"/>
      <c r="N271" s="178"/>
      <c r="O271" s="178"/>
      <c r="P271" s="178"/>
    </row>
    <row r="272" spans="2:16" x14ac:dyDescent="0.35">
      <c r="B272" t="s">
        <v>522</v>
      </c>
      <c r="F272" s="178"/>
      <c r="G272" s="178"/>
      <c r="H272" s="178"/>
      <c r="I272" s="178"/>
      <c r="J272" s="178"/>
      <c r="K272" s="178"/>
      <c r="L272" s="179">
        <v>10000</v>
      </c>
      <c r="M272" s="178"/>
      <c r="N272" s="178"/>
      <c r="O272" s="178"/>
      <c r="P272" s="178"/>
    </row>
    <row r="273" spans="2:16" x14ac:dyDescent="0.35">
      <c r="B273" t="s">
        <v>523</v>
      </c>
      <c r="F273" s="178"/>
      <c r="G273" s="178">
        <f>G270+G271-G272</f>
        <v>0</v>
      </c>
      <c r="H273" s="178">
        <f t="shared" ref="H273:P273" si="124">H270+H271-H272</f>
        <v>10000</v>
      </c>
      <c r="I273" s="178">
        <f t="shared" si="124"/>
        <v>10000</v>
      </c>
      <c r="J273" s="178">
        <f t="shared" si="124"/>
        <v>10000</v>
      </c>
      <c r="K273" s="178">
        <f t="shared" si="124"/>
        <v>10000</v>
      </c>
      <c r="L273" s="178">
        <f t="shared" si="124"/>
        <v>0</v>
      </c>
      <c r="M273" s="178">
        <f t="shared" si="124"/>
        <v>0</v>
      </c>
      <c r="N273" s="178">
        <f t="shared" si="124"/>
        <v>0</v>
      </c>
      <c r="O273" s="178">
        <f t="shared" si="124"/>
        <v>0</v>
      </c>
      <c r="P273" s="178">
        <f t="shared" si="124"/>
        <v>0</v>
      </c>
    </row>
    <row r="275" spans="2:16" x14ac:dyDescent="0.35">
      <c r="B275" t="s">
        <v>239</v>
      </c>
      <c r="D275" s="178"/>
      <c r="E275" s="178"/>
      <c r="F275" s="178"/>
      <c r="G275" s="178"/>
      <c r="H275" s="178">
        <f>H273*H276</f>
        <v>300</v>
      </c>
      <c r="I275" s="178">
        <f t="shared" ref="I275:P275" si="125">I273*I276</f>
        <v>300</v>
      </c>
      <c r="J275" s="178">
        <f t="shared" si="125"/>
        <v>300</v>
      </c>
      <c r="K275" s="178">
        <f t="shared" si="125"/>
        <v>300</v>
      </c>
      <c r="L275" s="181">
        <f>L270*L276</f>
        <v>300</v>
      </c>
      <c r="M275" s="178">
        <f t="shared" si="125"/>
        <v>0</v>
      </c>
      <c r="N275" s="178">
        <f t="shared" si="125"/>
        <v>0</v>
      </c>
      <c r="O275" s="178">
        <f t="shared" si="125"/>
        <v>0</v>
      </c>
      <c r="P275" s="178">
        <f t="shared" si="125"/>
        <v>0</v>
      </c>
    </row>
    <row r="276" spans="2:16" x14ac:dyDescent="0.35">
      <c r="B276" s="235" t="s">
        <v>524</v>
      </c>
      <c r="G276" s="236">
        <f>G277+G278/100/100</f>
        <v>0.03</v>
      </c>
      <c r="H276" s="236">
        <f t="shared" ref="H276:P276" si="126">H277+H278/100/100</f>
        <v>0.03</v>
      </c>
      <c r="I276" s="236">
        <f t="shared" si="126"/>
        <v>0.03</v>
      </c>
      <c r="J276" s="236">
        <f t="shared" si="126"/>
        <v>0.03</v>
      </c>
      <c r="K276" s="236">
        <f t="shared" si="126"/>
        <v>0.03</v>
      </c>
      <c r="L276" s="236">
        <f t="shared" si="126"/>
        <v>0.03</v>
      </c>
      <c r="M276" s="236">
        <f t="shared" si="126"/>
        <v>0.03</v>
      </c>
      <c r="N276" s="236">
        <f t="shared" si="126"/>
        <v>0.03</v>
      </c>
      <c r="O276" s="236">
        <f t="shared" si="126"/>
        <v>0.03</v>
      </c>
      <c r="P276" s="236">
        <f t="shared" si="126"/>
        <v>0.03</v>
      </c>
    </row>
    <row r="277" spans="2:16" x14ac:dyDescent="0.35">
      <c r="B277" s="370" t="s">
        <v>526</v>
      </c>
      <c r="G277" s="185">
        <v>0.02</v>
      </c>
      <c r="H277" s="185">
        <v>0.02</v>
      </c>
      <c r="I277" s="185">
        <v>0.02</v>
      </c>
      <c r="J277" s="185">
        <v>0.02</v>
      </c>
      <c r="K277" s="185">
        <v>0.02</v>
      </c>
      <c r="L277" s="185">
        <v>0.02</v>
      </c>
      <c r="M277" s="185">
        <v>0.02</v>
      </c>
      <c r="N277" s="185">
        <v>0.02</v>
      </c>
      <c r="O277" s="185">
        <v>0.02</v>
      </c>
      <c r="P277" s="185">
        <v>0.02</v>
      </c>
    </row>
    <row r="278" spans="2:16" x14ac:dyDescent="0.35">
      <c r="B278" s="370" t="s">
        <v>527</v>
      </c>
      <c r="G278" s="371">
        <v>100</v>
      </c>
      <c r="H278" s="371">
        <v>100</v>
      </c>
      <c r="I278" s="371">
        <v>100</v>
      </c>
      <c r="J278" s="371">
        <v>100</v>
      </c>
      <c r="K278" s="371">
        <v>100</v>
      </c>
      <c r="L278" s="371">
        <v>100</v>
      </c>
      <c r="M278" s="371">
        <v>100</v>
      </c>
      <c r="N278" s="371">
        <v>100</v>
      </c>
      <c r="O278" s="371">
        <v>100</v>
      </c>
      <c r="P278" s="371">
        <v>100</v>
      </c>
    </row>
    <row r="282" spans="2:16" ht="29" x14ac:dyDescent="0.35">
      <c r="B282" s="239" t="s">
        <v>528</v>
      </c>
      <c r="C282" s="177"/>
      <c r="D282" s="177"/>
      <c r="E282" s="177"/>
      <c r="F282" s="177"/>
      <c r="G282" s="177"/>
      <c r="H282" s="177"/>
      <c r="I282" s="177"/>
      <c r="J282" s="177"/>
      <c r="K282" s="177"/>
      <c r="L282" s="177"/>
      <c r="M282" s="177"/>
      <c r="N282" s="177"/>
      <c r="O282" s="177"/>
      <c r="P282" s="177"/>
    </row>
    <row r="283" spans="2:16" x14ac:dyDescent="0.35">
      <c r="B283" s="177"/>
      <c r="C283" s="177"/>
      <c r="D283" s="177"/>
      <c r="E283" s="177"/>
      <c r="F283" s="177"/>
      <c r="G283" s="177"/>
      <c r="H283" s="177"/>
      <c r="I283" s="177"/>
      <c r="J283" s="177"/>
      <c r="K283" s="177"/>
      <c r="L283" s="177"/>
      <c r="M283" s="177"/>
      <c r="N283" s="177"/>
      <c r="O283" s="177"/>
      <c r="P283" s="177"/>
    </row>
    <row r="284" spans="2:16" x14ac:dyDescent="0.35">
      <c r="B284" s="177" t="s">
        <v>342</v>
      </c>
      <c r="C284" s="177"/>
      <c r="D284" s="177"/>
      <c r="E284" s="177"/>
      <c r="F284" s="178"/>
      <c r="G284" s="178"/>
      <c r="H284" s="178">
        <f>G287</f>
        <v>0</v>
      </c>
      <c r="I284" s="178">
        <f t="shared" ref="I284:P284" si="127">H287</f>
        <v>0</v>
      </c>
      <c r="J284" s="178">
        <f t="shared" si="127"/>
        <v>20000</v>
      </c>
      <c r="K284" s="178">
        <f t="shared" si="127"/>
        <v>10000</v>
      </c>
      <c r="L284" s="178">
        <f t="shared" si="127"/>
        <v>0</v>
      </c>
      <c r="M284" s="178">
        <f t="shared" si="127"/>
        <v>0</v>
      </c>
      <c r="N284" s="178">
        <f t="shared" si="127"/>
        <v>0</v>
      </c>
      <c r="O284" s="178">
        <f t="shared" si="127"/>
        <v>0</v>
      </c>
      <c r="P284" s="178">
        <f t="shared" si="127"/>
        <v>0</v>
      </c>
    </row>
    <row r="285" spans="2:16" x14ac:dyDescent="0.35">
      <c r="B285" s="177" t="s">
        <v>364</v>
      </c>
      <c r="C285" s="177"/>
      <c r="D285" s="177"/>
      <c r="E285" s="177"/>
      <c r="F285" s="178"/>
      <c r="G285" s="178"/>
      <c r="H285" s="179"/>
      <c r="I285" s="179">
        <v>20000</v>
      </c>
      <c r="J285" s="178"/>
      <c r="K285" s="178"/>
      <c r="L285" s="178"/>
      <c r="M285" s="178"/>
      <c r="N285" s="178"/>
      <c r="O285" s="178"/>
      <c r="P285" s="178"/>
    </row>
    <row r="286" spans="2:16" x14ac:dyDescent="0.35">
      <c r="B286" s="177" t="s">
        <v>522</v>
      </c>
      <c r="C286" s="177"/>
      <c r="D286" s="177"/>
      <c r="E286" s="177"/>
      <c r="F286" s="178"/>
      <c r="G286" s="178"/>
      <c r="H286" s="178"/>
      <c r="I286" s="178"/>
      <c r="J286" s="179">
        <v>10000</v>
      </c>
      <c r="K286" s="179">
        <v>10000</v>
      </c>
      <c r="M286" s="178"/>
      <c r="N286" s="178"/>
      <c r="O286" s="178"/>
      <c r="P286" s="178"/>
    </row>
    <row r="287" spans="2:16" x14ac:dyDescent="0.35">
      <c r="B287" s="177" t="s">
        <v>523</v>
      </c>
      <c r="C287" s="177"/>
      <c r="D287" s="177"/>
      <c r="E287" s="177"/>
      <c r="F287" s="178"/>
      <c r="G287" s="178">
        <f>G284+G285-G286</f>
        <v>0</v>
      </c>
      <c r="H287" s="178">
        <f t="shared" ref="H287" si="128">H284+H285-H286</f>
        <v>0</v>
      </c>
      <c r="I287" s="178">
        <f t="shared" ref="I287" si="129">I284+I285-I286</f>
        <v>20000</v>
      </c>
      <c r="J287" s="178">
        <f t="shared" ref="J287" si="130">J284+J285-J286</f>
        <v>10000</v>
      </c>
      <c r="K287" s="178">
        <f t="shared" ref="K287" si="131">K284+K285-K286</f>
        <v>0</v>
      </c>
      <c r="L287" s="178">
        <f>L284+L285-L286</f>
        <v>0</v>
      </c>
      <c r="M287" s="178">
        <f t="shared" ref="M287" si="132">M284+M285-M286</f>
        <v>0</v>
      </c>
      <c r="N287" s="178">
        <f t="shared" ref="N287" si="133">N284+N285-N286</f>
        <v>0</v>
      </c>
      <c r="O287" s="178">
        <f t="shared" ref="O287" si="134">O284+O285-O286</f>
        <v>0</v>
      </c>
      <c r="P287" s="178">
        <f t="shared" ref="P287" si="135">P284+P285-P286</f>
        <v>0</v>
      </c>
    </row>
    <row r="288" spans="2:16" x14ac:dyDescent="0.35">
      <c r="B288" s="177"/>
      <c r="C288" s="177"/>
      <c r="D288" s="177"/>
      <c r="E288" s="177"/>
      <c r="F288" s="177"/>
      <c r="G288" s="177"/>
      <c r="H288" s="177"/>
      <c r="I288" s="177"/>
      <c r="J288" s="177"/>
      <c r="K288" s="177"/>
      <c r="L288" s="177"/>
      <c r="M288" s="177"/>
      <c r="N288" s="177"/>
      <c r="O288" s="177"/>
      <c r="P288" s="177"/>
    </row>
    <row r="289" spans="2:16" x14ac:dyDescent="0.35">
      <c r="B289" s="177" t="s">
        <v>239</v>
      </c>
      <c r="C289" s="177"/>
      <c r="D289" s="178"/>
      <c r="E289" s="178"/>
      <c r="F289" s="178"/>
      <c r="G289" s="178"/>
      <c r="H289" s="178">
        <f>H287*H290</f>
        <v>0</v>
      </c>
      <c r="I289" s="181">
        <f t="shared" ref="I289" si="136">I287*I290</f>
        <v>700.00000000000011</v>
      </c>
      <c r="J289" s="181">
        <f>J284*J290</f>
        <v>700.00000000000011</v>
      </c>
      <c r="K289" s="181">
        <f>K284*K290</f>
        <v>350.00000000000006</v>
      </c>
      <c r="L289" s="372">
        <f>L284*L290</f>
        <v>0</v>
      </c>
      <c r="M289" s="178">
        <f t="shared" ref="M289" si="137">M287*M290</f>
        <v>0</v>
      </c>
      <c r="N289" s="178">
        <f t="shared" ref="N289" si="138">N287*N290</f>
        <v>0</v>
      </c>
      <c r="O289" s="178">
        <f t="shared" ref="O289" si="139">O287*O290</f>
        <v>0</v>
      </c>
      <c r="P289" s="178">
        <f t="shared" ref="P289" si="140">P287*P290</f>
        <v>0</v>
      </c>
    </row>
    <row r="290" spans="2:16" x14ac:dyDescent="0.35">
      <c r="B290" s="235" t="s">
        <v>524</v>
      </c>
      <c r="C290" s="177"/>
      <c r="D290" s="177"/>
      <c r="E290" s="177"/>
      <c r="F290" s="177"/>
      <c r="G290" s="300">
        <v>3.5000000000000003E-2</v>
      </c>
      <c r="H290" s="300">
        <v>3.5000000000000003E-2</v>
      </c>
      <c r="I290" s="300">
        <v>3.5000000000000003E-2</v>
      </c>
      <c r="J290" s="300">
        <v>3.5000000000000003E-2</v>
      </c>
      <c r="K290" s="300">
        <v>3.5000000000000003E-2</v>
      </c>
      <c r="L290" s="300">
        <v>3.5000000000000003E-2</v>
      </c>
      <c r="M290" s="300">
        <v>3.5000000000000003E-2</v>
      </c>
      <c r="N290" s="300">
        <v>3.5000000000000003E-2</v>
      </c>
      <c r="O290" s="300">
        <v>3.5000000000000003E-2</v>
      </c>
      <c r="P290" s="300">
        <v>3.5000000000000003E-2</v>
      </c>
    </row>
    <row r="291" spans="2:16" x14ac:dyDescent="0.35">
      <c r="B291" s="370"/>
      <c r="C291" s="177"/>
      <c r="D291" s="177"/>
      <c r="E291" s="177"/>
      <c r="F291" s="177"/>
      <c r="G291" s="185"/>
      <c r="H291" s="185"/>
      <c r="I291" s="185"/>
      <c r="J291" s="185"/>
      <c r="K291" s="185"/>
      <c r="L291" s="185"/>
      <c r="M291" s="185"/>
      <c r="N291" s="185"/>
      <c r="O291" s="185"/>
      <c r="P291" s="185"/>
    </row>
    <row r="292" spans="2:16" x14ac:dyDescent="0.35">
      <c r="B292" s="370"/>
      <c r="C292" s="177"/>
      <c r="D292" s="177"/>
      <c r="E292" s="177"/>
      <c r="F292" s="177"/>
      <c r="G292" s="371"/>
      <c r="H292" s="371"/>
      <c r="I292" s="371"/>
      <c r="J292" s="371"/>
      <c r="K292" s="371"/>
      <c r="L292" s="371"/>
      <c r="M292" s="371"/>
      <c r="N292" s="371"/>
      <c r="O292" s="371"/>
      <c r="P292" s="371"/>
    </row>
    <row r="293" spans="2:16" x14ac:dyDescent="0.35">
      <c r="B293" s="88" t="s">
        <v>410</v>
      </c>
      <c r="C293" s="89"/>
      <c r="D293" s="89"/>
      <c r="E293" s="89"/>
      <c r="F293" s="89"/>
      <c r="G293" s="89"/>
      <c r="H293" s="89"/>
      <c r="I293" s="89"/>
      <c r="J293" s="89"/>
      <c r="K293" s="89"/>
      <c r="L293" s="89"/>
      <c r="M293" s="89"/>
      <c r="N293" s="89"/>
      <c r="O293" s="89"/>
      <c r="P293" s="89"/>
    </row>
    <row r="295" spans="2:16" x14ac:dyDescent="0.35">
      <c r="B295" s="155" t="s">
        <v>542</v>
      </c>
    </row>
    <row r="297" spans="2:16" x14ac:dyDescent="0.35">
      <c r="B297" t="s">
        <v>549</v>
      </c>
      <c r="C297" s="226">
        <v>2.5000000000000001E-2</v>
      </c>
    </row>
    <row r="298" spans="2:16" x14ac:dyDescent="0.35">
      <c r="B298" t="s">
        <v>550</v>
      </c>
      <c r="C298" s="256">
        <v>1</v>
      </c>
    </row>
    <row r="299" spans="2:16" s="177" customFormat="1" x14ac:dyDescent="0.35">
      <c r="B299" s="177" t="s">
        <v>551</v>
      </c>
      <c r="C299" s="226">
        <v>5.5E-2</v>
      </c>
    </row>
    <row r="301" spans="2:16" x14ac:dyDescent="0.35">
      <c r="B301" t="s">
        <v>547</v>
      </c>
      <c r="C301" s="300">
        <f>C297+(C298*C299)</f>
        <v>0.08</v>
      </c>
    </row>
    <row r="302" spans="2:16" s="177" customFormat="1" x14ac:dyDescent="0.35"/>
    <row r="303" spans="2:16" s="177" customFormat="1" x14ac:dyDescent="0.35">
      <c r="B303" s="177" t="s">
        <v>548</v>
      </c>
      <c r="C303" s="185">
        <v>0.95</v>
      </c>
    </row>
    <row r="305" spans="2:3" x14ac:dyDescent="0.35">
      <c r="B305" s="155" t="s">
        <v>543</v>
      </c>
    </row>
    <row r="307" spans="2:3" x14ac:dyDescent="0.35">
      <c r="B307" t="s">
        <v>544</v>
      </c>
      <c r="C307" s="185">
        <v>0.03</v>
      </c>
    </row>
    <row r="308" spans="2:3" x14ac:dyDescent="0.35">
      <c r="B308" t="s">
        <v>545</v>
      </c>
      <c r="C308" s="401">
        <f>1-C303</f>
        <v>5.0000000000000044E-2</v>
      </c>
    </row>
    <row r="309" spans="2:3" x14ac:dyDescent="0.35">
      <c r="B309" t="s">
        <v>546</v>
      </c>
      <c r="C309" s="369">
        <f>Taxes!G39</f>
        <v>0.21</v>
      </c>
    </row>
    <row r="312" spans="2:3" x14ac:dyDescent="0.35">
      <c r="B312" s="402" t="s">
        <v>410</v>
      </c>
      <c r="C312" s="403">
        <f>C301*C303+C307*(1-C309)*C308</f>
        <v>7.7185000000000004E-2</v>
      </c>
    </row>
  </sheetData>
  <dataValidations disablePrompts="1" count="1">
    <dataValidation type="list" allowBlank="1" showInputMessage="1" showErrorMessage="1" sqref="C4" xr:uid="{F42BD7F8-EA75-45B5-9222-99931E8DBED9}">
      <formula1>"Bull, Base, Bear"</formula1>
    </dataValidation>
  </dataValidations>
  <pageMargins left="0.7" right="0.7" top="0.75" bottom="0.75" header="0.3" footer="0.3"/>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BFFD6-8D91-4943-A5F4-FB0C3EA5E3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Intro</vt:lpstr>
      <vt:lpstr>Stage 1 &gt;&gt;&gt;</vt:lpstr>
      <vt:lpstr>BS</vt:lpstr>
      <vt:lpstr>IS</vt:lpstr>
      <vt:lpstr>CF</vt:lpstr>
      <vt:lpstr>DCF - FCFirm</vt:lpstr>
      <vt:lpstr>DCF - FCFEquity</vt:lpstr>
      <vt:lpstr>OM (Op. Model)</vt:lpstr>
      <vt:lpstr>Financing</vt:lpstr>
      <vt:lpstr>Taxes</vt:lpstr>
      <vt:lpstr>OC (Other Calc)</vt:lpstr>
      <vt:lpstr>Consensus</vt:lpstr>
      <vt:lpstr>Stage 2 &gt;&gt;&gt;</vt:lpstr>
      <vt:lpstr>Enhancements</vt:lpstr>
      <vt:lpstr>Switch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Harry</cp:lastModifiedBy>
  <dcterms:created xsi:type="dcterms:W3CDTF">2023-03-22T19:37:04Z</dcterms:created>
  <dcterms:modified xsi:type="dcterms:W3CDTF">2023-04-10T19:43:12Z</dcterms:modified>
</cp:coreProperties>
</file>