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Cambridge\PhD\Python folders\Poland\"/>
    </mc:Choice>
  </mc:AlternateContent>
  <bookViews>
    <workbookView xWindow="0" yWindow="0" windowWidth="19200" windowHeight="6885" activeTab="3"/>
  </bookViews>
  <sheets>
    <sheet name="Sankey (WIP)" sheetId="1" r:id="rId1"/>
    <sheet name="Sankey (WIP) (Exergy)" sheetId="6" r:id="rId2"/>
    <sheet name="Data for Python" sheetId="4" r:id="rId3"/>
    <sheet name="Data for Python (Exergy)" sheetId="7" r:id="rId4"/>
    <sheet name="Exergy Data" sheetId="5" r:id="rId5"/>
    <sheet name="Ref" sheetId="2" r:id="rId6"/>
    <sheet name="Notes" sheetId="3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7" l="1"/>
  <c r="F34" i="7"/>
  <c r="F33" i="7"/>
  <c r="F32" i="7"/>
  <c r="F31" i="7"/>
  <c r="F30" i="7"/>
  <c r="Y21" i="6"/>
  <c r="AB25" i="6" s="1"/>
  <c r="Y4" i="6"/>
  <c r="AA8" i="6" s="1"/>
  <c r="E4" i="6"/>
  <c r="H7" i="6" s="1"/>
  <c r="X18" i="6"/>
  <c r="X1" i="6"/>
  <c r="D1" i="6"/>
  <c r="L43" i="6"/>
  <c r="L40" i="6"/>
  <c r="L37" i="6"/>
  <c r="K43" i="6"/>
  <c r="K40" i="6"/>
  <c r="K37" i="6"/>
  <c r="F40" i="6"/>
  <c r="F43" i="6"/>
  <c r="G43" i="6"/>
  <c r="G40" i="6"/>
  <c r="G37" i="6"/>
  <c r="I43" i="6"/>
  <c r="H43" i="6"/>
  <c r="I40" i="6"/>
  <c r="H40" i="6"/>
  <c r="I37" i="6"/>
  <c r="H37" i="6"/>
  <c r="I42" i="6"/>
  <c r="F36" i="6"/>
  <c r="F37" i="6" s="1"/>
  <c r="I39" i="6"/>
  <c r="I36" i="6"/>
  <c r="E5" i="6"/>
  <c r="F6" i="6"/>
  <c r="Y5" i="6"/>
  <c r="AA7" i="6"/>
  <c r="E29" i="7"/>
  <c r="F29" i="7" s="1"/>
  <c r="D29" i="7"/>
  <c r="E28" i="7"/>
  <c r="D28" i="7"/>
  <c r="F28" i="7" s="1"/>
  <c r="E27" i="7"/>
  <c r="F27" i="7" s="1"/>
  <c r="D27" i="7"/>
  <c r="F26" i="7"/>
  <c r="E26" i="7"/>
  <c r="D26" i="7"/>
  <c r="E25" i="7"/>
  <c r="F25" i="7" s="1"/>
  <c r="D25" i="7"/>
  <c r="E24" i="7"/>
  <c r="F24" i="7" s="1"/>
  <c r="D24" i="7"/>
  <c r="E23" i="7"/>
  <c r="F23" i="7" s="1"/>
  <c r="D23" i="7"/>
  <c r="F22" i="7"/>
  <c r="E22" i="7"/>
  <c r="D22" i="7"/>
  <c r="E21" i="7"/>
  <c r="F21" i="7" s="1"/>
  <c r="D21" i="7"/>
  <c r="E20" i="7"/>
  <c r="D20" i="7"/>
  <c r="F20" i="7" s="1"/>
  <c r="E19" i="7"/>
  <c r="F19" i="7" s="1"/>
  <c r="D19" i="7"/>
  <c r="F18" i="7"/>
  <c r="E18" i="7"/>
  <c r="D18" i="7"/>
  <c r="E17" i="7"/>
  <c r="F17" i="7" s="1"/>
  <c r="D17" i="7"/>
  <c r="E16" i="7"/>
  <c r="F16" i="7" s="1"/>
  <c r="D16" i="7"/>
  <c r="E15" i="7"/>
  <c r="F15" i="7" s="1"/>
  <c r="D15" i="7"/>
  <c r="F14" i="7"/>
  <c r="E14" i="7"/>
  <c r="D14" i="7"/>
  <c r="E13" i="7"/>
  <c r="F13" i="7" s="1"/>
  <c r="D13" i="7"/>
  <c r="E12" i="7"/>
  <c r="D12" i="7"/>
  <c r="F12" i="7" s="1"/>
  <c r="E11" i="7"/>
  <c r="F11" i="7" s="1"/>
  <c r="D11" i="7"/>
  <c r="F10" i="7"/>
  <c r="E10" i="7"/>
  <c r="D10" i="7"/>
  <c r="E9" i="7"/>
  <c r="F9" i="7" s="1"/>
  <c r="D9" i="7"/>
  <c r="E8" i="7"/>
  <c r="F8" i="7" s="1"/>
  <c r="D8" i="7"/>
  <c r="E7" i="7"/>
  <c r="F7" i="7" s="1"/>
  <c r="F6" i="7"/>
  <c r="E6" i="7"/>
  <c r="D6" i="7"/>
  <c r="D7" i="7" s="1"/>
  <c r="E5" i="7"/>
  <c r="F5" i="7" s="1"/>
  <c r="D5" i="7"/>
  <c r="E4" i="7"/>
  <c r="D4" i="7"/>
  <c r="F4" i="7" s="1"/>
  <c r="E3" i="7"/>
  <c r="F3" i="7" s="1"/>
  <c r="D3" i="7"/>
  <c r="F2" i="7"/>
  <c r="E2" i="7"/>
  <c r="D2" i="7"/>
  <c r="Y22" i="6"/>
  <c r="AB24" i="6"/>
  <c r="Y10" i="6"/>
  <c r="W6" i="6"/>
  <c r="AJ6" i="6"/>
  <c r="AJ4" i="6"/>
  <c r="AF4" i="6"/>
  <c r="AI4" i="6" s="1"/>
  <c r="AF6" i="6"/>
  <c r="Z5" i="6"/>
  <c r="Z23" i="6"/>
  <c r="AA28" i="6"/>
  <c r="AA12" i="6"/>
  <c r="Z14" i="6"/>
  <c r="W23" i="6"/>
  <c r="T14" i="6"/>
  <c r="L23" i="6"/>
  <c r="O21" i="6"/>
  <c r="L21" i="6"/>
  <c r="Q4" i="6"/>
  <c r="M4" i="6"/>
  <c r="M6" i="6"/>
  <c r="P4" i="6" s="1"/>
  <c r="F4" i="6"/>
  <c r="G12" i="6"/>
  <c r="E10" i="6"/>
  <c r="C7" i="6"/>
  <c r="C6" i="6"/>
  <c r="C4" i="6"/>
  <c r="AG41" i="6"/>
  <c r="AF41" i="6"/>
  <c r="AE41" i="6"/>
  <c r="AG39" i="6"/>
  <c r="AF39" i="6"/>
  <c r="AE39" i="6"/>
  <c r="X24" i="6"/>
  <c r="AK23" i="6"/>
  <c r="AL22" i="6"/>
  <c r="AF28" i="6" s="1"/>
  <c r="AL21" i="6"/>
  <c r="AF27" i="6" s="1"/>
  <c r="AL20" i="6"/>
  <c r="AL23" i="6" s="1"/>
  <c r="F17" i="6"/>
  <c r="H17" i="6" s="1"/>
  <c r="E17" i="6"/>
  <c r="E15" i="6"/>
  <c r="F15" i="6" s="1"/>
  <c r="G15" i="6" s="1"/>
  <c r="D8" i="6"/>
  <c r="X7" i="6"/>
  <c r="E29" i="4"/>
  <c r="F29" i="4" s="1"/>
  <c r="D29" i="4"/>
  <c r="F27" i="4"/>
  <c r="F28" i="4"/>
  <c r="E27" i="4"/>
  <c r="E28" i="4"/>
  <c r="D28" i="4"/>
  <c r="D27" i="4"/>
  <c r="O21" i="1"/>
  <c r="L21" i="1"/>
  <c r="F15" i="1"/>
  <c r="F17" i="1"/>
  <c r="Q23" i="1"/>
  <c r="L23" i="1"/>
  <c r="W23" i="1"/>
  <c r="E20" i="4"/>
  <c r="E21" i="4"/>
  <c r="E22" i="4"/>
  <c r="E23" i="4"/>
  <c r="E24" i="4"/>
  <c r="E25" i="4"/>
  <c r="E2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D3" i="5"/>
  <c r="D4" i="5"/>
  <c r="D5" i="5"/>
  <c r="D6" i="5"/>
  <c r="D7" i="5"/>
  <c r="D8" i="5"/>
  <c r="D9" i="5"/>
  <c r="D10" i="5"/>
  <c r="D11" i="5"/>
  <c r="D12" i="5"/>
  <c r="D13" i="5"/>
  <c r="D14" i="5"/>
  <c r="D2" i="5"/>
  <c r="D26" i="4"/>
  <c r="F26" i="4" s="1"/>
  <c r="D25" i="4"/>
  <c r="F25" i="4" s="1"/>
  <c r="F6" i="1"/>
  <c r="E5" i="1"/>
  <c r="E4" i="1"/>
  <c r="H17" i="1"/>
  <c r="E17" i="1"/>
  <c r="AB24" i="1"/>
  <c r="AA7" i="1"/>
  <c r="D24" i="4"/>
  <c r="F24" i="4" s="1"/>
  <c r="D23" i="4"/>
  <c r="F23" i="4" s="1"/>
  <c r="G15" i="1"/>
  <c r="E15" i="1"/>
  <c r="AB7" i="1"/>
  <c r="Y22" i="1"/>
  <c r="Y5" i="1"/>
  <c r="D22" i="4"/>
  <c r="F22" i="4" s="1"/>
  <c r="D21" i="4"/>
  <c r="F21" i="4" s="1"/>
  <c r="D20" i="4"/>
  <c r="F20" i="4" s="1"/>
  <c r="D19" i="4"/>
  <c r="F19" i="4" s="1"/>
  <c r="AI7" i="6" l="1"/>
  <c r="AJ7" i="6"/>
  <c r="Q6" i="6"/>
  <c r="P7" i="6" s="1"/>
  <c r="Q23" i="6"/>
  <c r="AH27" i="6"/>
  <c r="AJ27" i="6" s="1"/>
  <c r="Z7" i="6"/>
  <c r="AH28" i="6"/>
  <c r="Y26" i="6" s="1"/>
  <c r="AJ28" i="6"/>
  <c r="Z24" i="6"/>
  <c r="AF26" i="6"/>
  <c r="AF29" i="6" s="1"/>
  <c r="Y21" i="1"/>
  <c r="Y4" i="1"/>
  <c r="D15" i="4" s="1"/>
  <c r="F15" i="4" s="1"/>
  <c r="D8" i="1"/>
  <c r="X24" i="1"/>
  <c r="D18" i="4"/>
  <c r="F18" i="4" s="1"/>
  <c r="D17" i="4"/>
  <c r="F17" i="4" s="1"/>
  <c r="D16" i="4"/>
  <c r="F16" i="4" s="1"/>
  <c r="D13" i="4"/>
  <c r="D12" i="4"/>
  <c r="F12" i="4" s="1"/>
  <c r="D11" i="4"/>
  <c r="F11" i="4" s="1"/>
  <c r="D10" i="4"/>
  <c r="F10" i="4" s="1"/>
  <c r="D9" i="4"/>
  <c r="F9" i="4" s="1"/>
  <c r="D8" i="4"/>
  <c r="F8" i="4" s="1"/>
  <c r="D6" i="4"/>
  <c r="D5" i="4"/>
  <c r="F5" i="4" s="1"/>
  <c r="D4" i="4"/>
  <c r="F4" i="4" s="1"/>
  <c r="D3" i="4"/>
  <c r="F3" i="4" s="1"/>
  <c r="D2" i="4"/>
  <c r="F2" i="4" s="1"/>
  <c r="E7" i="1"/>
  <c r="T14" i="1"/>
  <c r="Z7" i="1"/>
  <c r="X7" i="1"/>
  <c r="D1" i="1"/>
  <c r="W4" i="1"/>
  <c r="AF29" i="1"/>
  <c r="X18" i="1"/>
  <c r="X1" i="1"/>
  <c r="P5" i="1"/>
  <c r="G12" i="1"/>
  <c r="E10" i="1"/>
  <c r="Z14" i="1"/>
  <c r="W6" i="1"/>
  <c r="AF41" i="1"/>
  <c r="AG41" i="1"/>
  <c r="AE41" i="1"/>
  <c r="AF39" i="1"/>
  <c r="AG39" i="1"/>
  <c r="AE39" i="1"/>
  <c r="Q6" i="1"/>
  <c r="P4" i="1"/>
  <c r="Q7" i="6" l="1"/>
  <c r="P5" i="6" s="1"/>
  <c r="W4" i="6"/>
  <c r="AJ26" i="6"/>
  <c r="AH26" i="6"/>
  <c r="D14" i="4"/>
  <c r="F14" i="4" s="1"/>
  <c r="F13" i="4"/>
  <c r="D7" i="4"/>
  <c r="F7" i="4" s="1"/>
  <c r="F6" i="4"/>
  <c r="P7" i="1"/>
  <c r="Q7" i="1"/>
  <c r="AJ29" i="6" l="1"/>
  <c r="AH29" i="6"/>
  <c r="AA12" i="1"/>
  <c r="Y10" i="1"/>
  <c r="AA28" i="1"/>
  <c r="Y26" i="1"/>
  <c r="Z24" i="1"/>
  <c r="AJ29" i="1"/>
  <c r="AH29" i="1"/>
  <c r="AJ26" i="1"/>
  <c r="AJ27" i="1"/>
  <c r="AJ28" i="1"/>
  <c r="AH26" i="1"/>
  <c r="AH28" i="1"/>
  <c r="AH27" i="1"/>
  <c r="AF28" i="1"/>
  <c r="AF27" i="1"/>
  <c r="AF26" i="1"/>
  <c r="AL23" i="1"/>
  <c r="AL21" i="1"/>
  <c r="AL22" i="1"/>
  <c r="AL20" i="1"/>
  <c r="AK23" i="1"/>
  <c r="AI7" i="1"/>
  <c r="AJ7" i="1"/>
  <c r="AI4" i="1"/>
  <c r="E7" i="6" l="1"/>
</calcChain>
</file>

<file path=xl/sharedStrings.xml><?xml version="1.0" encoding="utf-8"?>
<sst xmlns="http://schemas.openxmlformats.org/spreadsheetml/2006/main" count="479" uniqueCount="144">
  <si>
    <t>Crude + net imports = ASU</t>
  </si>
  <si>
    <t xml:space="preserve">Imports of Semi-finished and Finished Steel Products
</t>
  </si>
  <si>
    <t xml:space="preserve">Exports of Semi-finished and Finished Steel Products
</t>
  </si>
  <si>
    <t>ASU (finished steel products)</t>
  </si>
  <si>
    <t>loss = Crude production+net imports-ASU</t>
  </si>
  <si>
    <t>BOS</t>
  </si>
  <si>
    <t>Crude steel from BOS (OBC)</t>
  </si>
  <si>
    <t>Total Crude steel production</t>
  </si>
  <si>
    <t>EAF</t>
  </si>
  <si>
    <t>Crude steel from EAF</t>
  </si>
  <si>
    <t>Slag recovered (by waste producer on its own)</t>
  </si>
  <si>
    <t>Total slag (BF and steelmaking)</t>
  </si>
  <si>
    <t>Transferred to other recipients</t>
  </si>
  <si>
    <t>Temporarily stored</t>
  </si>
  <si>
    <t>Statistical Yearbook of Industry - Poland 2016 (GUS)</t>
  </si>
  <si>
    <t>https://stat.gov.pl/en/topics/statistical-yearbooks/statistical-yearbooks/statistical-yearbook-of-industry-2016,5,10.html</t>
  </si>
  <si>
    <t>LCA of steel production in Poland (Dorota Burchart-Korol)</t>
  </si>
  <si>
    <t>https://www.sciencedirect.com/science/article/pii/S0959652613002667</t>
  </si>
  <si>
    <t>BF</t>
  </si>
  <si>
    <t>BOF</t>
  </si>
  <si>
    <t>Total</t>
  </si>
  <si>
    <t>Slag output per process (kg/kg of cast steel)</t>
  </si>
  <si>
    <t>%</t>
  </si>
  <si>
    <t>kg/kg FU</t>
  </si>
  <si>
    <t>https://www.worldsteel.org/en/dam/jcr:1b916a6d-06fd-4e84-b35d-c1d911d18df4/Fact_By-products_2016.pdf</t>
  </si>
  <si>
    <t>Worldsteel factsheet: steel industry by-products</t>
  </si>
  <si>
    <t>Recovered proportions of slag</t>
  </si>
  <si>
    <t>Slag calculations</t>
  </si>
  <si>
    <t>Melting slag waste in industry 2015 (000's tonnes)</t>
  </si>
  <si>
    <t>Slag from process (thous t.):</t>
  </si>
  <si>
    <t>Recovered slag</t>
  </si>
  <si>
    <t>Slag to other recipients</t>
  </si>
  <si>
    <t>Slag</t>
  </si>
  <si>
    <t>Iron ore imports</t>
  </si>
  <si>
    <t>Worldsteel Steel Statistical yearbook 2017</t>
  </si>
  <si>
    <t>https://www.worldsteel.org/en/dam/jcr:3e275c73-6f11-4e7f-a5d8-23d9bc5c508f/Steel+Statistical+Yearbook+2017.pdf</t>
  </si>
  <si>
    <t>Pig iron production</t>
  </si>
  <si>
    <t xml:space="preserve">Imports of pig iron
</t>
  </si>
  <si>
    <t xml:space="preserve">Exports of pig iron
</t>
  </si>
  <si>
    <t>Pig iron produced + net imports = pig iron used</t>
  </si>
  <si>
    <t>2 (pg. 481)</t>
  </si>
  <si>
    <t>Supply</t>
  </si>
  <si>
    <t>procurement</t>
  </si>
  <si>
    <t>from own activity</t>
  </si>
  <si>
    <t>imports</t>
  </si>
  <si>
    <t>total</t>
  </si>
  <si>
    <t>self-consumption</t>
  </si>
  <si>
    <t>sale</t>
  </si>
  <si>
    <t>exports</t>
  </si>
  <si>
    <t>natural losses</t>
  </si>
  <si>
    <t>Use</t>
  </si>
  <si>
    <t>2 (pg. 416)</t>
  </si>
  <si>
    <t>Scrap used</t>
  </si>
  <si>
    <t>Internally recycled scrap</t>
  </si>
  <si>
    <t>Externally supplied scrap</t>
  </si>
  <si>
    <t>Crude</t>
  </si>
  <si>
    <t>Scrap input</t>
  </si>
  <si>
    <t>Scrap recycle</t>
  </si>
  <si>
    <t>External scrap input</t>
  </si>
  <si>
    <t>Total external scrap input</t>
  </si>
  <si>
    <t>Input</t>
  </si>
  <si>
    <t>Output</t>
  </si>
  <si>
    <t>Inputs</t>
  </si>
  <si>
    <t>Outputs</t>
  </si>
  <si>
    <t>Scrap imports</t>
  </si>
  <si>
    <t>Imports</t>
  </si>
  <si>
    <t>Slag data</t>
  </si>
  <si>
    <t>Scrap data and calculations</t>
  </si>
  <si>
    <t>Exports</t>
  </si>
  <si>
    <t>Pig iron</t>
  </si>
  <si>
    <t>EAF steel</t>
  </si>
  <si>
    <t>BOF steel</t>
  </si>
  <si>
    <t>Hot rolled</t>
  </si>
  <si>
    <t>Cold rolled</t>
  </si>
  <si>
    <t>https://stat.gov.pl/en/topics/environment-energy/energy/energy-statistics-in-2015-and-2016,4,12.html</t>
  </si>
  <si>
    <t>Energy Statistics in 2015 and 2016</t>
  </si>
  <si>
    <r>
      <t xml:space="preserve">MJ/t </t>
    </r>
    <r>
      <rPr>
        <vertAlign val="superscript"/>
        <sz val="11"/>
        <color theme="1"/>
        <rFont val="Calibri"/>
        <family val="2"/>
        <scheme val="minor"/>
      </rPr>
      <t>(5, pg. 220)</t>
    </r>
  </si>
  <si>
    <r>
      <t xml:space="preserve">MJ/t </t>
    </r>
    <r>
      <rPr>
        <vertAlign val="superscript"/>
        <sz val="11"/>
        <color theme="1"/>
        <rFont val="Calibri"/>
        <family val="2"/>
        <scheme val="minor"/>
      </rPr>
      <t>(2, pg. 415)</t>
    </r>
  </si>
  <si>
    <t>Energy input (TJ)</t>
  </si>
  <si>
    <t>Energy intensity data</t>
  </si>
  <si>
    <t>Ask Ana about slag and whether it's recycled to the BF or internally in the BOF and EAF</t>
  </si>
  <si>
    <t>Make slag a loss and mention (in the report) it's recovered elsewhere</t>
  </si>
  <si>
    <t>Try to find breakdown of scrap sources</t>
  </si>
  <si>
    <t>Add coke as an input to BF</t>
  </si>
  <si>
    <t>Blast furnace</t>
  </si>
  <si>
    <t>source</t>
  </si>
  <si>
    <t>target</t>
  </si>
  <si>
    <t>value</t>
  </si>
  <si>
    <t>material</t>
  </si>
  <si>
    <t>iron ore</t>
  </si>
  <si>
    <t>bf slag</t>
  </si>
  <si>
    <t>Slag recycling</t>
  </si>
  <si>
    <t>loss</t>
  </si>
  <si>
    <t>pig iron</t>
  </si>
  <si>
    <t>Pig iron imports</t>
  </si>
  <si>
    <t>Pig iron exports</t>
  </si>
  <si>
    <t>External scrap</t>
  </si>
  <si>
    <t>scrap</t>
  </si>
  <si>
    <t>Scrap recycling BOS</t>
  </si>
  <si>
    <t>Crude steel</t>
  </si>
  <si>
    <t>crude</t>
  </si>
  <si>
    <t>Imports of Steel products</t>
  </si>
  <si>
    <t>Exports of steel products</t>
  </si>
  <si>
    <t>ASU</t>
  </si>
  <si>
    <t>products</t>
  </si>
  <si>
    <t>Loss crude</t>
  </si>
  <si>
    <t>Coke</t>
  </si>
  <si>
    <t>5 (pg. 87)</t>
  </si>
  <si>
    <t>Coking coal</t>
  </si>
  <si>
    <t>mln m^3 of BFG output</t>
  </si>
  <si>
    <t>m^3 of BFG</t>
  </si>
  <si>
    <t>000's t of BFG</t>
  </si>
  <si>
    <t>kg of BFG</t>
  </si>
  <si>
    <t>TJ</t>
  </si>
  <si>
    <t>MJ</t>
  </si>
  <si>
    <t>Would all the BFG be produced from steel BF? I have too much BFG being produced right now</t>
  </si>
  <si>
    <t>BOSG</t>
  </si>
  <si>
    <t>COG</t>
  </si>
  <si>
    <t>BFG</t>
  </si>
  <si>
    <t>HP steam</t>
  </si>
  <si>
    <t>LP steam</t>
  </si>
  <si>
    <t>Sinter</t>
  </si>
  <si>
    <t>Chemical</t>
  </si>
  <si>
    <t>exergy</t>
  </si>
  <si>
    <t>BOS slag</t>
  </si>
  <si>
    <t>Physical</t>
  </si>
  <si>
    <t>Total (GJ/t)</t>
  </si>
  <si>
    <t>LHV (MJ/t)</t>
  </si>
  <si>
    <t>000's t</t>
  </si>
  <si>
    <t>Scrap exports</t>
  </si>
  <si>
    <t>Total scrap supply</t>
  </si>
  <si>
    <t>exergy value (GJ/t)</t>
  </si>
  <si>
    <t>value to be used and correct</t>
  </si>
  <si>
    <t>value to be used and wrong</t>
  </si>
  <si>
    <t>value not to be used</t>
  </si>
  <si>
    <t>Irr</t>
  </si>
  <si>
    <t>total fuels</t>
  </si>
  <si>
    <t>hydrocarbon fuels</t>
  </si>
  <si>
    <t>heat</t>
  </si>
  <si>
    <t>electricity</t>
  </si>
  <si>
    <t>energy returned</t>
  </si>
  <si>
    <t>Exergy</t>
  </si>
  <si>
    <t>Energy inputs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</si>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</sst>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8"/>
      <name val="Calibri"/>
    </font>
    <font>
      <vertAlign val="superscript"/>
      <sz val="8"/>
      <name val="Calibri"/>
      <family val="2"/>
    </font>
    <font>
      <b/>
      <sz val="8"/>
      <color indexed="9"/>
      <name val="Calibri"/>
      <family val="2"/>
    </font>
    <font>
      <b/>
      <sz val="8"/>
      <name val="Calibri"/>
    </font>
    <font>
      <sz val="8"/>
      <color indexed="12"/>
      <name val="Calibri"/>
      <family val="2"/>
    </font>
    <font>
      <sz val="8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8.5"/>
      <name val="Times New Roman CE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5" fillId="0" borderId="0"/>
  </cellStyleXfs>
  <cellXfs count="97">
    <xf numFmtId="0" fontId="0" fillId="0" borderId="0" xfId="0"/>
    <xf numFmtId="0" fontId="2" fillId="0" borderId="0" xfId="0" applyFont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3" borderId="0" xfId="0" applyFont="1" applyFill="1" applyBorder="1"/>
    <xf numFmtId="1" fontId="4" fillId="3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2" fontId="6" fillId="3" borderId="0" xfId="0" applyNumberFormat="1" applyFont="1" applyFill="1" applyBorder="1" applyAlignment="1">
      <alignment horizontal="right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1" fontId="4" fillId="0" borderId="4" xfId="0" applyNumberFormat="1" applyFont="1" applyBorder="1" applyAlignment="1">
      <alignment horizontal="right"/>
    </xf>
    <xf numFmtId="0" fontId="7" fillId="0" borderId="0" xfId="1"/>
    <xf numFmtId="1" fontId="4" fillId="0" borderId="8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0" fillId="0" borderId="6" xfId="0" applyBorder="1"/>
    <xf numFmtId="0" fontId="0" fillId="0" borderId="4" xfId="0" applyBorder="1"/>
    <xf numFmtId="1" fontId="1" fillId="0" borderId="1" xfId="0" applyNumberFormat="1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Border="1" applyAlignment="1"/>
    <xf numFmtId="0" fontId="9" fillId="0" borderId="0" xfId="0" applyFont="1"/>
    <xf numFmtId="0" fontId="10" fillId="0" borderId="1" xfId="0" applyFont="1" applyBorder="1"/>
    <xf numFmtId="0" fontId="0" fillId="0" borderId="5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9" fillId="0" borderId="6" xfId="0" applyFont="1" applyBorder="1"/>
    <xf numFmtId="164" fontId="0" fillId="0" borderId="0" xfId="0" applyNumberFormat="1" applyBorder="1"/>
    <xf numFmtId="0" fontId="0" fillId="0" borderId="2" xfId="0" applyBorder="1"/>
    <xf numFmtId="0" fontId="0" fillId="0" borderId="11" xfId="0" applyBorder="1" applyAlignment="1"/>
    <xf numFmtId="0" fontId="0" fillId="0" borderId="0" xfId="0" applyBorder="1" applyAlignment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2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0" fillId="0" borderId="4" xfId="0" applyFont="1" applyBorder="1"/>
    <xf numFmtId="1" fontId="0" fillId="0" borderId="8" xfId="0" applyNumberFormat="1" applyBorder="1"/>
    <xf numFmtId="0" fontId="8" fillId="3" borderId="0" xfId="0" applyFont="1" applyFill="1" applyBorder="1"/>
    <xf numFmtId="1" fontId="5" fillId="3" borderId="0" xfId="0" applyNumberFormat="1" applyFont="1" applyFill="1" applyBorder="1" applyAlignment="1">
      <alignment horizontal="right"/>
    </xf>
    <xf numFmtId="0" fontId="14" fillId="8" borderId="12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0" fillId="9" borderId="0" xfId="0" applyFill="1" applyBorder="1"/>
    <xf numFmtId="0" fontId="9" fillId="0" borderId="0" xfId="0" applyFont="1" applyBorder="1"/>
    <xf numFmtId="0" fontId="9" fillId="0" borderId="0" xfId="0" applyFont="1" applyFill="1" applyBorder="1"/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3" xfId="0" applyBorder="1"/>
    <xf numFmtId="0" fontId="0" fillId="0" borderId="10" xfId="0" applyFill="1" applyBorder="1"/>
    <xf numFmtId="0" fontId="1" fillId="7" borderId="0" xfId="0" applyFont="1" applyFill="1" applyBorder="1"/>
    <xf numFmtId="1" fontId="0" fillId="0" borderId="0" xfId="0" applyNumberFormat="1"/>
    <xf numFmtId="1" fontId="0" fillId="0" borderId="6" xfId="0" applyNumberFormat="1" applyBorder="1"/>
    <xf numFmtId="1" fontId="1" fillId="0" borderId="0" xfId="0" applyNumberFormat="1" applyFont="1" applyFill="1" applyBorder="1" applyAlignment="1">
      <alignment horizontal="right"/>
    </xf>
    <xf numFmtId="1" fontId="0" fillId="0" borderId="4" xfId="0" applyNumberFormat="1" applyBorder="1"/>
    <xf numFmtId="0" fontId="0" fillId="10" borderId="0" xfId="0" applyFill="1"/>
    <xf numFmtId="0" fontId="9" fillId="0" borderId="9" xfId="0" applyFont="1" applyBorder="1"/>
    <xf numFmtId="1" fontId="1" fillId="0" borderId="7" xfId="0" applyNumberFormat="1" applyFont="1" applyFill="1" applyBorder="1" applyAlignment="1">
      <alignment horizontal="right"/>
    </xf>
    <xf numFmtId="0" fontId="0" fillId="0" borderId="0" xfId="0" applyNumberFormat="1"/>
    <xf numFmtId="0" fontId="12" fillId="5" borderId="0" xfId="3"/>
    <xf numFmtId="0" fontId="11" fillId="4" borderId="8" xfId="2" applyBorder="1"/>
    <xf numFmtId="0" fontId="11" fillId="4" borderId="5" xfId="2" applyBorder="1"/>
    <xf numFmtId="0" fontId="11" fillId="4" borderId="0" xfId="2"/>
    <xf numFmtId="1" fontId="11" fillId="4" borderId="8" xfId="2" applyNumberFormat="1" applyBorder="1" applyAlignment="1">
      <alignment horizontal="right"/>
    </xf>
    <xf numFmtId="1" fontId="11" fillId="4" borderId="4" xfId="2" applyNumberFormat="1" applyBorder="1" applyAlignment="1">
      <alignment horizontal="right"/>
    </xf>
    <xf numFmtId="1" fontId="11" fillId="4" borderId="5" xfId="2" applyNumberFormat="1" applyBorder="1" applyAlignment="1">
      <alignment horizontal="right"/>
    </xf>
    <xf numFmtId="1" fontId="11" fillId="4" borderId="1" xfId="2" applyNumberFormat="1" applyBorder="1" applyAlignment="1">
      <alignment horizontal="right"/>
    </xf>
    <xf numFmtId="0" fontId="11" fillId="4" borderId="10" xfId="2" applyBorder="1"/>
    <xf numFmtId="0" fontId="11" fillId="4" borderId="0" xfId="2" applyBorder="1"/>
    <xf numFmtId="0" fontId="13" fillId="6" borderId="0" xfId="4" applyBorder="1"/>
    <xf numFmtId="0" fontId="13" fillId="6" borderId="0" xfId="4"/>
    <xf numFmtId="1" fontId="11" fillId="4" borderId="8" xfId="2" applyNumberFormat="1" applyBorder="1"/>
    <xf numFmtId="0" fontId="11" fillId="4" borderId="9" xfId="2" applyBorder="1"/>
    <xf numFmtId="0" fontId="11" fillId="4" borderId="1" xfId="2" applyBorder="1"/>
    <xf numFmtId="0" fontId="13" fillId="6" borderId="9" xfId="4" applyBorder="1"/>
    <xf numFmtId="1" fontId="11" fillId="4" borderId="0" xfId="2" applyNumberFormat="1"/>
    <xf numFmtId="1" fontId="12" fillId="5" borderId="0" xfId="3" applyNumberFormat="1"/>
    <xf numFmtId="164" fontId="16" fillId="0" borderId="4" xfId="5" applyNumberFormat="1" applyFont="1" applyBorder="1" applyAlignment="1" applyProtection="1">
      <alignment horizontal="right"/>
    </xf>
    <xf numFmtId="164" fontId="16" fillId="0" borderId="0" xfId="5" applyNumberFormat="1" applyFont="1" applyBorder="1" applyAlignment="1" applyProtection="1">
      <alignment horizontal="right"/>
    </xf>
    <xf numFmtId="164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Neutral" xfId="4" builtinId="28"/>
    <cellStyle name="Normal" xfId="0" builtinId="0"/>
    <cellStyle name="Normalny 2" xfId="5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59652613002667" TargetMode="External"/><Relationship Id="rId2" Type="http://schemas.openxmlformats.org/officeDocument/2006/relationships/hyperlink" Target="https://stat.gov.pl/en/topics/statistical-yearbooks/statistical-yearbooks/statistical-yearbook-of-industry-2016,5,10.html" TargetMode="External"/><Relationship Id="rId1" Type="http://schemas.openxmlformats.org/officeDocument/2006/relationships/hyperlink" Target="https://www.worldsteel.org/en/dam/jcr:3e275c73-6f11-4e7f-a5d8-23d9bc5c508f/Steel+Statistical+Yearbook+2017.pdf" TargetMode="External"/><Relationship Id="rId5" Type="http://schemas.openxmlformats.org/officeDocument/2006/relationships/hyperlink" Target="https://stat.gov.pl/en/topics/environment-energy/energy/energy-statistics-in-2015-and-2016,4,12.html" TargetMode="External"/><Relationship Id="rId4" Type="http://schemas.openxmlformats.org/officeDocument/2006/relationships/hyperlink" Target="https://www.worldsteel.org/en/dam/jcr:1b916a6d-06fd-4e84-b35d-c1d911d18df4/Fact_By-products_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R1" zoomScale="70" zoomScaleNormal="70" workbookViewId="0">
      <selection activeCell="D1" sqref="D1"/>
    </sheetView>
  </sheetViews>
  <sheetFormatPr defaultRowHeight="14.25" x14ac:dyDescent="0.45"/>
  <cols>
    <col min="4" max="4" width="18" customWidth="1"/>
    <col min="5" max="6" width="11.73046875" bestFit="1" customWidth="1"/>
    <col min="15" max="15" width="9.06640625" customWidth="1"/>
    <col min="24" max="24" width="17.6640625" customWidth="1"/>
    <col min="31" max="31" width="10.796875" customWidth="1"/>
    <col min="32" max="32" width="15.46484375" customWidth="1"/>
    <col min="33" max="33" width="9.06640625" customWidth="1"/>
    <col min="36" max="36" width="10.86328125" customWidth="1"/>
  </cols>
  <sheetData>
    <row r="1" spans="1:41" x14ac:dyDescent="0.45">
      <c r="D1" s="65">
        <f>F4*AE45/1000</f>
        <v>53648.088000000003</v>
      </c>
      <c r="X1" s="65">
        <f>Z5*AE47/1000</f>
        <v>6595.9115999999995</v>
      </c>
    </row>
    <row r="2" spans="1:41" x14ac:dyDescent="0.45">
      <c r="D2" s="65" t="s">
        <v>78</v>
      </c>
      <c r="X2" s="65" t="s">
        <v>78</v>
      </c>
    </row>
    <row r="3" spans="1:41" ht="46.15" customHeight="1" x14ac:dyDescent="0.45">
      <c r="C3" s="26">
        <v>1</v>
      </c>
      <c r="D3" s="46" t="s">
        <v>18</v>
      </c>
      <c r="E3" s="47"/>
      <c r="F3" s="26">
        <v>1</v>
      </c>
      <c r="K3" s="62" t="s">
        <v>37</v>
      </c>
      <c r="L3" s="62"/>
      <c r="M3" s="63"/>
      <c r="N3" s="1">
        <v>1</v>
      </c>
      <c r="O3" s="46" t="s">
        <v>39</v>
      </c>
      <c r="P3" s="47"/>
      <c r="Q3" s="18">
        <v>1</v>
      </c>
      <c r="R3" s="64" t="s">
        <v>38</v>
      </c>
      <c r="S3" s="62"/>
      <c r="T3" s="62"/>
      <c r="X3" s="46" t="s">
        <v>5</v>
      </c>
      <c r="Y3" s="47"/>
      <c r="AD3" s="62" t="s">
        <v>1</v>
      </c>
      <c r="AE3" s="62"/>
      <c r="AF3" s="63"/>
      <c r="AG3" s="1">
        <v>1</v>
      </c>
      <c r="AH3" s="46" t="s">
        <v>0</v>
      </c>
      <c r="AI3" s="47"/>
      <c r="AJ3" s="18">
        <v>1</v>
      </c>
      <c r="AK3" s="64" t="s">
        <v>2</v>
      </c>
      <c r="AL3" s="62"/>
      <c r="AM3" s="62"/>
    </row>
    <row r="4" spans="1:41" ht="15.75" x14ac:dyDescent="0.45">
      <c r="A4" s="49" t="s">
        <v>33</v>
      </c>
      <c r="B4" s="49"/>
      <c r="C4" s="49">
        <v>7247</v>
      </c>
      <c r="D4" s="54" t="s">
        <v>62</v>
      </c>
      <c r="E4" s="5">
        <f>C4+E10+C6+C7</f>
        <v>11080.86712570899</v>
      </c>
      <c r="F4" s="49">
        <v>4821</v>
      </c>
      <c r="G4" s="49" t="s">
        <v>36</v>
      </c>
      <c r="H4" s="49"/>
      <c r="I4" s="49"/>
      <c r="J4" s="49"/>
      <c r="K4" s="13"/>
      <c r="L4" s="13"/>
      <c r="M4" s="15">
        <v>237</v>
      </c>
      <c r="N4" s="3"/>
      <c r="O4" s="54" t="s">
        <v>62</v>
      </c>
      <c r="P4" s="5">
        <f>M4+M6</f>
        <v>5058</v>
      </c>
      <c r="Q4" s="19">
        <v>65</v>
      </c>
      <c r="R4" s="6"/>
      <c r="S4" s="14"/>
      <c r="T4" s="49"/>
      <c r="U4" s="49"/>
      <c r="V4" s="49"/>
      <c r="W4" s="53">
        <f>Q6</f>
        <v>4993</v>
      </c>
      <c r="X4" s="54" t="s">
        <v>60</v>
      </c>
      <c r="Y4" s="5">
        <f>W4+W6</f>
        <v>6501.2273607887519</v>
      </c>
      <c r="Z4" s="26">
        <v>1</v>
      </c>
      <c r="AD4" s="13"/>
      <c r="AE4" s="13"/>
      <c r="AF4" s="15">
        <v>9214</v>
      </c>
      <c r="AG4" s="3"/>
      <c r="AH4" s="4"/>
      <c r="AI4" s="5">
        <f>AF4+AF6</f>
        <v>18412</v>
      </c>
      <c r="AJ4" s="19">
        <v>5024</v>
      </c>
      <c r="AK4" s="6"/>
      <c r="AL4" s="14"/>
    </row>
    <row r="5" spans="1:41" ht="15.75" x14ac:dyDescent="0.45">
      <c r="C5" s="26" t="s">
        <v>107</v>
      </c>
      <c r="D5" s="54" t="s">
        <v>63</v>
      </c>
      <c r="E5" s="7">
        <f>F4+E10+G12</f>
        <v>6475.3342514179776</v>
      </c>
      <c r="J5" s="21"/>
      <c r="M5" s="14"/>
      <c r="N5" s="6"/>
      <c r="O5" s="54" t="s">
        <v>63</v>
      </c>
      <c r="P5" s="55">
        <f>Q6+Q4+Q7</f>
        <v>5058</v>
      </c>
      <c r="Q5" s="8"/>
      <c r="R5" s="6"/>
      <c r="S5" s="50"/>
      <c r="X5" s="54" t="s">
        <v>61</v>
      </c>
      <c r="Y5" s="7">
        <f>Z5+Z14+AA12</f>
        <v>6155.3233575329077</v>
      </c>
      <c r="Z5" s="24">
        <v>5321</v>
      </c>
      <c r="AA5" s="27" t="s">
        <v>6</v>
      </c>
      <c r="AB5" s="13"/>
      <c r="AC5" s="13"/>
      <c r="AF5" s="14"/>
      <c r="AG5" s="6"/>
      <c r="AH5" s="4"/>
      <c r="AI5" s="7"/>
      <c r="AJ5" s="8"/>
      <c r="AK5" s="6"/>
      <c r="AL5" s="6"/>
    </row>
    <row r="6" spans="1:41" x14ac:dyDescent="0.45">
      <c r="A6" s="49" t="s">
        <v>106</v>
      </c>
      <c r="B6" s="49"/>
      <c r="C6" s="49">
        <v>2279.9</v>
      </c>
      <c r="D6" s="4"/>
      <c r="E6" s="9"/>
      <c r="F6" s="53">
        <f>E4-E5</f>
        <v>4605.5328742910124</v>
      </c>
      <c r="G6" s="49"/>
      <c r="H6" s="49"/>
      <c r="J6" s="22"/>
      <c r="K6" s="25" t="s">
        <v>36</v>
      </c>
      <c r="L6" s="24"/>
      <c r="M6" s="17">
        <v>4821</v>
      </c>
      <c r="N6" s="3">
        <v>1</v>
      </c>
      <c r="O6" s="4"/>
      <c r="P6" s="9"/>
      <c r="Q6" s="2">
        <f>M6+M4-Q4</f>
        <v>4993</v>
      </c>
      <c r="R6" s="3">
        <v>1</v>
      </c>
      <c r="S6" s="51"/>
      <c r="T6" s="13"/>
      <c r="U6" s="13"/>
      <c r="V6" s="49" t="s">
        <v>56</v>
      </c>
      <c r="W6" s="49">
        <f>Z5*AE39</f>
        <v>1508.2273607887519</v>
      </c>
      <c r="X6" s="4"/>
      <c r="Y6" s="9"/>
      <c r="Z6" s="29"/>
      <c r="AA6" s="29"/>
      <c r="AB6" s="29"/>
      <c r="AC6" s="21"/>
      <c r="AD6" s="25" t="s">
        <v>7</v>
      </c>
      <c r="AE6" s="24"/>
      <c r="AF6" s="17">
        <v>9198</v>
      </c>
      <c r="AG6" s="3">
        <v>1</v>
      </c>
      <c r="AH6" s="4"/>
      <c r="AI6" s="9"/>
      <c r="AJ6" s="2">
        <v>12781</v>
      </c>
      <c r="AK6" s="3">
        <v>1</v>
      </c>
      <c r="AL6" s="20" t="s">
        <v>3</v>
      </c>
      <c r="AM6" s="24"/>
      <c r="AN6" s="24"/>
      <c r="AO6" s="24"/>
    </row>
    <row r="7" spans="1:41" ht="15.75" x14ac:dyDescent="0.45">
      <c r="A7" s="29" t="s">
        <v>108</v>
      </c>
      <c r="B7" s="73" t="s">
        <v>107</v>
      </c>
      <c r="C7" s="29">
        <v>270.2</v>
      </c>
      <c r="D7" s="72"/>
      <c r="E7" s="11">
        <f>E5/E4</f>
        <v>0.58437071557282705</v>
      </c>
      <c r="H7" s="21"/>
      <c r="M7" s="14"/>
      <c r="N7" s="10"/>
      <c r="O7" s="4"/>
      <c r="P7" s="11">
        <f>(Q6+Q4)/P4</f>
        <v>1</v>
      </c>
      <c r="Q7" s="23">
        <f>P4-Q4-Q6</f>
        <v>0</v>
      </c>
      <c r="R7" s="6"/>
      <c r="S7" s="12"/>
      <c r="U7" s="22"/>
      <c r="X7" s="67">
        <f>AE47</f>
        <v>1239.5999999999999</v>
      </c>
      <c r="Y7" s="11">
        <v>1</v>
      </c>
      <c r="Z7">
        <f>AF27</f>
        <v>788.6347840432386</v>
      </c>
      <c r="AA7" s="68">
        <f>(Y4-Y5)</f>
        <v>345.90400325584415</v>
      </c>
      <c r="AB7" s="69">
        <f>Y4-Z5</f>
        <v>1180.2273607887519</v>
      </c>
      <c r="AC7" s="22"/>
      <c r="AF7" s="14"/>
      <c r="AG7" s="10"/>
      <c r="AH7" s="4"/>
      <c r="AI7" s="11">
        <f>(AJ6+AJ4)/AI4</f>
        <v>0.9670323701933522</v>
      </c>
      <c r="AJ7" s="23">
        <f>AI4-AJ4-AJ6</f>
        <v>607</v>
      </c>
      <c r="AK7" s="6"/>
      <c r="AL7" s="12"/>
    </row>
    <row r="8" spans="1:41" x14ac:dyDescent="0.45">
      <c r="A8" s="13"/>
      <c r="B8" s="13"/>
      <c r="C8" s="29"/>
      <c r="D8" s="67">
        <f>AE45</f>
        <v>11128</v>
      </c>
      <c r="E8" s="11"/>
      <c r="H8" s="22"/>
      <c r="M8" s="14"/>
      <c r="N8" s="10"/>
      <c r="O8" s="4"/>
      <c r="P8" s="11"/>
      <c r="Q8" s="70"/>
      <c r="R8" s="6"/>
      <c r="S8" s="12"/>
      <c r="U8" s="22"/>
      <c r="X8" s="67"/>
      <c r="Y8" s="11"/>
      <c r="AA8" s="68"/>
      <c r="AB8" s="71"/>
      <c r="AC8" s="22"/>
      <c r="AF8" s="14"/>
      <c r="AG8" s="10"/>
      <c r="AH8" s="4"/>
      <c r="AI8" s="11"/>
      <c r="AJ8" s="74"/>
      <c r="AK8" s="6"/>
      <c r="AL8" s="12"/>
    </row>
    <row r="9" spans="1:41" x14ac:dyDescent="0.45">
      <c r="C9" s="30"/>
      <c r="E9" s="38" t="s">
        <v>30</v>
      </c>
      <c r="F9" s="21"/>
      <c r="H9" s="22"/>
      <c r="Q9" s="21"/>
      <c r="U9" s="22"/>
      <c r="W9" s="35"/>
      <c r="Y9" s="38" t="s">
        <v>30</v>
      </c>
      <c r="Z9" s="21"/>
      <c r="AB9" s="22"/>
      <c r="AC9" s="22"/>
      <c r="AJ9" s="21"/>
      <c r="AK9" t="s">
        <v>4</v>
      </c>
    </row>
    <row r="10" spans="1:41" x14ac:dyDescent="0.45">
      <c r="C10" s="30"/>
      <c r="D10" s="13"/>
      <c r="E10" s="13">
        <f>AH26</f>
        <v>1283.7671257089887</v>
      </c>
      <c r="F10" s="22"/>
      <c r="H10" s="22"/>
      <c r="Q10" s="22"/>
      <c r="U10" s="22"/>
      <c r="W10" s="30"/>
      <c r="X10" s="13"/>
      <c r="Y10" s="13">
        <f>AH27</f>
        <v>394.3173920216193</v>
      </c>
      <c r="Z10" s="22"/>
      <c r="AB10" s="22"/>
      <c r="AC10" s="22"/>
      <c r="AJ10" s="22"/>
    </row>
    <row r="11" spans="1:41" x14ac:dyDescent="0.45">
      <c r="C11" s="32"/>
      <c r="D11" s="32"/>
      <c r="E11" s="32"/>
      <c r="F11" s="21"/>
      <c r="H11" s="22"/>
      <c r="U11" s="22"/>
      <c r="W11" s="32"/>
      <c r="X11" s="32"/>
      <c r="Y11" s="32"/>
      <c r="Z11" s="21"/>
      <c r="AB11" s="22"/>
      <c r="AC11" s="22"/>
    </row>
    <row r="12" spans="1:41" x14ac:dyDescent="0.45">
      <c r="F12" s="22"/>
      <c r="G12" s="31">
        <f>AJ26</f>
        <v>370.56712570898867</v>
      </c>
      <c r="H12" s="52" t="s">
        <v>31</v>
      </c>
      <c r="U12" s="22"/>
      <c r="Z12" s="22"/>
      <c r="AA12" s="31">
        <f>AJ27</f>
        <v>394.3173920216193</v>
      </c>
      <c r="AB12" s="52" t="s">
        <v>31</v>
      </c>
      <c r="AC12" s="22"/>
    </row>
    <row r="13" spans="1:41" x14ac:dyDescent="0.45">
      <c r="U13" s="22"/>
      <c r="Z13" s="13"/>
      <c r="AB13" s="22"/>
      <c r="AC13" s="22"/>
    </row>
    <row r="14" spans="1:41" x14ac:dyDescent="0.45">
      <c r="D14" t="s">
        <v>109</v>
      </c>
      <c r="E14" t="s">
        <v>110</v>
      </c>
      <c r="F14" t="s">
        <v>112</v>
      </c>
      <c r="G14" t="s">
        <v>111</v>
      </c>
      <c r="R14" s="49" t="s">
        <v>58</v>
      </c>
      <c r="S14" s="13"/>
      <c r="T14" s="49">
        <f>Z5*AG39</f>
        <v>1068.2213952774632</v>
      </c>
      <c r="U14" s="28"/>
      <c r="V14" s="31"/>
      <c r="W14" s="49"/>
      <c r="X14" s="49" t="s">
        <v>57</v>
      </c>
      <c r="Y14" s="49"/>
      <c r="Z14" s="49">
        <f>Z5*AF39</f>
        <v>440.00596551128837</v>
      </c>
      <c r="AA14" s="49"/>
      <c r="AB14" s="28"/>
      <c r="AC14" s="22"/>
    </row>
    <row r="15" spans="1:41" x14ac:dyDescent="0.45">
      <c r="D15">
        <v>8142.4</v>
      </c>
      <c r="E15">
        <f>D15*10^6</f>
        <v>8142400000</v>
      </c>
      <c r="F15">
        <f>E15*1.35</f>
        <v>10992240000</v>
      </c>
      <c r="G15">
        <f>F15/10^6</f>
        <v>10992.24</v>
      </c>
      <c r="R15" s="35"/>
      <c r="S15" s="32"/>
      <c r="AB15" s="13"/>
      <c r="AC15" s="22"/>
    </row>
    <row r="16" spans="1:41" x14ac:dyDescent="0.45">
      <c r="D16" t="s">
        <v>113</v>
      </c>
      <c r="E16" t="s">
        <v>114</v>
      </c>
      <c r="G16" t="s">
        <v>127</v>
      </c>
      <c r="H16" t="s">
        <v>128</v>
      </c>
      <c r="R16" s="30"/>
      <c r="S16" s="13"/>
      <c r="AB16" s="13"/>
      <c r="AC16" s="22"/>
    </row>
    <row r="17" spans="4:44" x14ac:dyDescent="0.45">
      <c r="D17">
        <v>26470</v>
      </c>
      <c r="E17">
        <f>D17*10^6</f>
        <v>26470000000</v>
      </c>
      <c r="F17">
        <f>E17/2.44</f>
        <v>10848360655.737705</v>
      </c>
      <c r="G17">
        <v>2.44</v>
      </c>
      <c r="H17">
        <f>F17/1000000</f>
        <v>10848.360655737706</v>
      </c>
      <c r="R17" s="30"/>
      <c r="S17" s="13"/>
      <c r="AB17" s="13"/>
      <c r="AC17" s="22"/>
      <c r="AE17" s="56" t="s">
        <v>66</v>
      </c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8"/>
    </row>
    <row r="18" spans="4:44" ht="15.75" x14ac:dyDescent="0.45">
      <c r="R18" s="30"/>
      <c r="S18" s="13"/>
      <c r="X18" s="65">
        <f>Z23*AE46/1000</f>
        <v>7493.0779000000002</v>
      </c>
      <c r="AB18" s="13"/>
      <c r="AC18" s="22"/>
      <c r="AE18" s="39" t="s">
        <v>28</v>
      </c>
      <c r="AF18" s="40"/>
      <c r="AG18" s="40"/>
      <c r="AH18" s="33" t="s">
        <v>40</v>
      </c>
      <c r="AI18" s="39" t="s">
        <v>21</v>
      </c>
      <c r="AJ18" s="40"/>
      <c r="AK18" s="40"/>
      <c r="AL18" s="40"/>
      <c r="AM18" s="33">
        <v>3</v>
      </c>
      <c r="AN18" s="39" t="s">
        <v>26</v>
      </c>
      <c r="AO18" s="40"/>
      <c r="AP18" s="40"/>
      <c r="AQ18" s="33">
        <v>4</v>
      </c>
    </row>
    <row r="19" spans="4:44" x14ac:dyDescent="0.45">
      <c r="R19" s="30"/>
      <c r="S19" s="13"/>
      <c r="X19" s="65" t="s">
        <v>78</v>
      </c>
      <c r="AB19" s="13"/>
      <c r="AC19" s="22"/>
      <c r="AE19" s="30"/>
      <c r="AF19" s="13"/>
      <c r="AG19" s="13"/>
      <c r="AH19" s="22"/>
      <c r="AI19" s="30"/>
      <c r="AJ19" s="13"/>
      <c r="AK19" s="13" t="s">
        <v>23</v>
      </c>
      <c r="AL19" s="13" t="s">
        <v>22</v>
      </c>
      <c r="AM19" s="22"/>
      <c r="AN19" s="30"/>
      <c r="AO19" s="13"/>
      <c r="AP19" s="13"/>
      <c r="AQ19" s="22"/>
    </row>
    <row r="20" spans="4:44" x14ac:dyDescent="0.45">
      <c r="L20" t="s">
        <v>64</v>
      </c>
      <c r="O20" t="s">
        <v>129</v>
      </c>
      <c r="R20" s="30"/>
      <c r="S20" s="13"/>
      <c r="X20" s="46" t="s">
        <v>8</v>
      </c>
      <c r="Y20" s="47"/>
      <c r="AB20" s="13"/>
      <c r="AC20" s="22"/>
      <c r="AE20" s="42" t="s">
        <v>11</v>
      </c>
      <c r="AF20" s="43"/>
      <c r="AG20" s="13">
        <v>3557.1</v>
      </c>
      <c r="AH20" s="22"/>
      <c r="AI20" s="30"/>
      <c r="AJ20" s="13" t="s">
        <v>18</v>
      </c>
      <c r="AK20" s="13">
        <v>303.22000000000003</v>
      </c>
      <c r="AL20" s="13">
        <f>AK20/$AK$23</f>
        <v>0.47640894307665721</v>
      </c>
      <c r="AM20" s="22"/>
      <c r="AN20" s="30"/>
      <c r="AO20" s="13"/>
      <c r="AP20" s="13"/>
      <c r="AQ20" s="22"/>
    </row>
    <row r="21" spans="4:44" x14ac:dyDescent="0.45">
      <c r="L21" s="49">
        <f>AK38</f>
        <v>745</v>
      </c>
      <c r="M21" s="49"/>
      <c r="O21">
        <f>AL38</f>
        <v>1431</v>
      </c>
      <c r="R21" s="30"/>
      <c r="S21" s="13"/>
      <c r="X21" s="54" t="s">
        <v>60</v>
      </c>
      <c r="Y21" s="5">
        <f>W21+W23</f>
        <v>4466.5482228147239</v>
      </c>
      <c r="AB21" s="13"/>
      <c r="AC21" s="22"/>
      <c r="AE21" s="42" t="s">
        <v>10</v>
      </c>
      <c r="AF21" s="43"/>
      <c r="AG21" s="13">
        <v>2215</v>
      </c>
      <c r="AH21" s="22"/>
      <c r="AI21" s="30"/>
      <c r="AJ21" s="13" t="s">
        <v>19</v>
      </c>
      <c r="AK21" s="13">
        <v>141.11000000000001</v>
      </c>
      <c r="AL21" s="13">
        <f t="shared" ref="AL21:AL22" si="0">AK21/$AK$23</f>
        <v>0.22170722893459238</v>
      </c>
      <c r="AM21" s="22"/>
      <c r="AN21" s="30" t="s">
        <v>19</v>
      </c>
      <c r="AO21" s="34">
        <v>0.5</v>
      </c>
      <c r="AP21" s="13"/>
      <c r="AQ21" s="22"/>
    </row>
    <row r="22" spans="4:44" ht="15.75" x14ac:dyDescent="0.45">
      <c r="M22" s="22"/>
      <c r="N22" s="35"/>
      <c r="O22" s="32"/>
      <c r="R22" s="30"/>
      <c r="S22" s="13"/>
      <c r="X22" s="54" t="s">
        <v>61</v>
      </c>
      <c r="Y22" s="7">
        <f>Z23+AA28</f>
        <v>4413.9154822693918</v>
      </c>
      <c r="Z22" s="26">
        <v>1</v>
      </c>
      <c r="AB22" s="13"/>
      <c r="AC22" s="22"/>
      <c r="AE22" s="42" t="s">
        <v>12</v>
      </c>
      <c r="AF22" s="43"/>
      <c r="AG22" s="13">
        <v>1301.8</v>
      </c>
      <c r="AH22" s="22"/>
      <c r="AI22" s="30"/>
      <c r="AJ22" s="13" t="s">
        <v>8</v>
      </c>
      <c r="AK22" s="13">
        <v>192.14</v>
      </c>
      <c r="AL22" s="13">
        <f t="shared" si="0"/>
        <v>0.30188382798875041</v>
      </c>
      <c r="AM22" s="22"/>
      <c r="AN22" s="30" t="s">
        <v>8</v>
      </c>
      <c r="AO22" s="13">
        <v>0.5</v>
      </c>
      <c r="AP22" s="13"/>
      <c r="AQ22" s="22"/>
    </row>
    <row r="23" spans="4:44" x14ac:dyDescent="0.45">
      <c r="L23" s="49">
        <f>Q23-AK38+AL38</f>
        <v>6220.7696180921866</v>
      </c>
      <c r="M23" s="28"/>
      <c r="N23" s="31"/>
      <c r="O23" s="49" t="s">
        <v>59</v>
      </c>
      <c r="P23" s="49"/>
      <c r="Q23" s="28">
        <f>T14+W23</f>
        <v>5534.7696180921866</v>
      </c>
      <c r="R23" s="31"/>
      <c r="S23" s="49"/>
      <c r="T23" s="49"/>
      <c r="U23" s="49" t="s">
        <v>58</v>
      </c>
      <c r="V23" s="49"/>
      <c r="W23" s="49">
        <f>Z23*AE41</f>
        <v>4466.5482228147239</v>
      </c>
      <c r="X23" s="4"/>
      <c r="Y23" s="9"/>
      <c r="Z23" s="13">
        <v>3877</v>
      </c>
      <c r="AA23" s="27" t="s">
        <v>9</v>
      </c>
      <c r="AB23" s="24"/>
      <c r="AC23" s="28"/>
      <c r="AE23" s="44" t="s">
        <v>13</v>
      </c>
      <c r="AF23" s="45"/>
      <c r="AG23" s="24">
        <v>40.299999999999997</v>
      </c>
      <c r="AH23" s="28"/>
      <c r="AI23" s="31"/>
      <c r="AJ23" s="24" t="s">
        <v>20</v>
      </c>
      <c r="AK23" s="24">
        <f>SUM(AK20:AK22)</f>
        <v>636.47</v>
      </c>
      <c r="AL23" s="24">
        <f>SUM(AL20:AL22)</f>
        <v>1</v>
      </c>
      <c r="AM23" s="28"/>
      <c r="AN23" s="31"/>
      <c r="AO23" s="24"/>
      <c r="AP23" s="24"/>
      <c r="AQ23" s="28"/>
    </row>
    <row r="24" spans="4:44" x14ac:dyDescent="0.45">
      <c r="W24" s="24"/>
      <c r="X24" s="67">
        <f>AE46</f>
        <v>1932.7</v>
      </c>
      <c r="Y24" s="11">
        <v>1</v>
      </c>
      <c r="Z24" s="29">
        <f>AF28</f>
        <v>1073.830964538784</v>
      </c>
      <c r="AA24" s="38" t="s">
        <v>32</v>
      </c>
      <c r="AB24" s="68">
        <f>(Y21-Y22)</f>
        <v>52.632740545332126</v>
      </c>
      <c r="AE24" s="56" t="s">
        <v>27</v>
      </c>
      <c r="AF24" s="57"/>
      <c r="AG24" s="57"/>
      <c r="AH24" s="57"/>
      <c r="AI24" s="57"/>
      <c r="AJ24" s="58"/>
      <c r="AK24" s="36"/>
      <c r="AL24" s="36"/>
      <c r="AM24" s="36"/>
      <c r="AN24" s="36"/>
      <c r="AO24" s="36"/>
      <c r="AP24" s="36"/>
      <c r="AQ24" s="36"/>
      <c r="AR24" s="37"/>
    </row>
    <row r="25" spans="4:44" x14ac:dyDescent="0.45">
      <c r="W25" s="30"/>
      <c r="Y25" s="38" t="s">
        <v>30</v>
      </c>
      <c r="Z25" s="22"/>
      <c r="AE25" s="39" t="s">
        <v>29</v>
      </c>
      <c r="AF25" s="41"/>
      <c r="AG25" s="39" t="s">
        <v>30</v>
      </c>
      <c r="AH25" s="41"/>
      <c r="AI25" s="35" t="s">
        <v>31</v>
      </c>
      <c r="AJ25" s="21"/>
    </row>
    <row r="26" spans="4:44" x14ac:dyDescent="0.45">
      <c r="W26" s="30"/>
      <c r="X26" s="13"/>
      <c r="Y26" s="13">
        <f>AH28</f>
        <v>536.91548226939199</v>
      </c>
      <c r="Z26" s="22"/>
      <c r="AE26" s="30" t="s">
        <v>18</v>
      </c>
      <c r="AF26" s="22">
        <f>AL20*AG20</f>
        <v>1694.6342514179773</v>
      </c>
      <c r="AG26" s="30" t="s">
        <v>18</v>
      </c>
      <c r="AH26" s="22">
        <f>AG21-AH27-AH28</f>
        <v>1283.7671257089887</v>
      </c>
      <c r="AI26" s="30" t="s">
        <v>18</v>
      </c>
      <c r="AJ26" s="22">
        <f>AG22-AJ27-AJ28</f>
        <v>370.56712570898867</v>
      </c>
    </row>
    <row r="27" spans="4:44" x14ac:dyDescent="0.45">
      <c r="W27" s="32"/>
      <c r="X27" s="32"/>
      <c r="Y27" s="32"/>
      <c r="Z27" s="21"/>
      <c r="AE27" s="30" t="s">
        <v>19</v>
      </c>
      <c r="AF27" s="22">
        <f>AL21*AG20</f>
        <v>788.6347840432386</v>
      </c>
      <c r="AG27" s="30" t="s">
        <v>19</v>
      </c>
      <c r="AH27" s="22">
        <f>AF27*AO21</f>
        <v>394.3173920216193</v>
      </c>
      <c r="AI27" s="30" t="s">
        <v>19</v>
      </c>
      <c r="AJ27" s="22">
        <f t="shared" ref="AJ27:AJ28" si="1">AF27-AH27</f>
        <v>394.3173920216193</v>
      </c>
    </row>
    <row r="28" spans="4:44" x14ac:dyDescent="0.45">
      <c r="Z28" s="22"/>
      <c r="AA28">
        <f>AJ28</f>
        <v>536.91548226939199</v>
      </c>
      <c r="AB28" s="38" t="s">
        <v>31</v>
      </c>
      <c r="AE28" s="31" t="s">
        <v>8</v>
      </c>
      <c r="AF28" s="28">
        <f>AL22*AG20</f>
        <v>1073.830964538784</v>
      </c>
      <c r="AG28" s="31" t="s">
        <v>8</v>
      </c>
      <c r="AH28" s="28">
        <f>AF28*AO22</f>
        <v>536.91548226939199</v>
      </c>
      <c r="AI28" s="31" t="s">
        <v>8</v>
      </c>
      <c r="AJ28" s="28">
        <f t="shared" si="1"/>
        <v>536.91548226939199</v>
      </c>
    </row>
    <row r="29" spans="4:44" x14ac:dyDescent="0.45">
      <c r="Z29" s="13"/>
      <c r="AA29" s="32"/>
      <c r="AE29" s="31" t="s">
        <v>20</v>
      </c>
      <c r="AF29" s="49">
        <f>SUM(AF26:AF28)</f>
        <v>3557.1</v>
      </c>
      <c r="AG29" s="66" t="s">
        <v>20</v>
      </c>
      <c r="AH29" s="49">
        <f>SUM(AH26:AH28)</f>
        <v>2215</v>
      </c>
      <c r="AI29" s="66" t="s">
        <v>20</v>
      </c>
      <c r="AJ29" s="28">
        <f>SUM(AJ26:AJ28)</f>
        <v>1301.8</v>
      </c>
    </row>
    <row r="30" spans="4:44" x14ac:dyDescent="0.45">
      <c r="Z30" s="13"/>
    </row>
    <row r="31" spans="4:44" x14ac:dyDescent="0.45">
      <c r="AD31" s="56" t="s">
        <v>67</v>
      </c>
      <c r="AE31" s="57"/>
      <c r="AF31" s="57"/>
      <c r="AG31" s="57"/>
      <c r="AH31" s="57"/>
      <c r="AI31" s="57"/>
      <c r="AJ31" s="57"/>
      <c r="AK31" s="57"/>
      <c r="AL31" s="57"/>
      <c r="AM31" s="57"/>
      <c r="AN31" s="58"/>
    </row>
    <row r="32" spans="4:44" ht="15.75" x14ac:dyDescent="0.45">
      <c r="AD32" s="35"/>
      <c r="AE32" s="40" t="s">
        <v>41</v>
      </c>
      <c r="AF32" s="40"/>
      <c r="AG32" s="40"/>
      <c r="AH32" s="40"/>
      <c r="AI32" s="40" t="s">
        <v>50</v>
      </c>
      <c r="AJ32" s="40"/>
      <c r="AK32" s="40"/>
      <c r="AL32" s="40"/>
      <c r="AM32" s="40"/>
      <c r="AN32" s="33" t="s">
        <v>51</v>
      </c>
    </row>
    <row r="33" spans="30:40" x14ac:dyDescent="0.45">
      <c r="AD33" s="30"/>
      <c r="AE33" s="13" t="s">
        <v>20</v>
      </c>
      <c r="AF33" s="13" t="s">
        <v>43</v>
      </c>
      <c r="AG33" s="13" t="s">
        <v>42</v>
      </c>
      <c r="AH33" s="13" t="s">
        <v>44</v>
      </c>
      <c r="AI33" s="13" t="s">
        <v>45</v>
      </c>
      <c r="AJ33" s="13" t="s">
        <v>46</v>
      </c>
      <c r="AK33" s="13" t="s">
        <v>47</v>
      </c>
      <c r="AL33" s="13" t="s">
        <v>48</v>
      </c>
      <c r="AM33" s="13" t="s">
        <v>49</v>
      </c>
      <c r="AN33" s="22"/>
    </row>
    <row r="34" spans="30:40" x14ac:dyDescent="0.45">
      <c r="AD34" s="30"/>
      <c r="AE34" s="13">
        <v>5695.8</v>
      </c>
      <c r="AF34" s="13">
        <v>2036.6</v>
      </c>
      <c r="AG34" s="13">
        <v>3259.1</v>
      </c>
      <c r="AH34" s="13">
        <v>400</v>
      </c>
      <c r="AI34" s="13">
        <v>5590.2</v>
      </c>
      <c r="AJ34" s="13">
        <v>2124.8000000000002</v>
      </c>
      <c r="AK34" s="13">
        <v>3449</v>
      </c>
      <c r="AL34" s="13">
        <v>12</v>
      </c>
      <c r="AM34" s="13">
        <v>4.4000000000000004</v>
      </c>
      <c r="AN34" s="22"/>
    </row>
    <row r="35" spans="30:40" x14ac:dyDescent="0.45">
      <c r="AD35" s="30"/>
      <c r="AE35" s="13"/>
      <c r="AF35" s="13"/>
      <c r="AG35" s="13"/>
      <c r="AH35" s="13"/>
      <c r="AI35" s="13"/>
      <c r="AJ35" s="13"/>
      <c r="AK35" s="13"/>
      <c r="AL35" s="13"/>
      <c r="AM35" s="13"/>
      <c r="AN35" s="22"/>
    </row>
    <row r="36" spans="30:40" x14ac:dyDescent="0.45">
      <c r="AD36" s="30"/>
      <c r="AE36" s="13"/>
      <c r="AF36" s="13"/>
      <c r="AG36" s="13"/>
      <c r="AH36" s="13"/>
      <c r="AI36" s="13"/>
      <c r="AJ36" s="13"/>
      <c r="AK36" s="13"/>
      <c r="AL36" s="13"/>
      <c r="AM36" s="13"/>
      <c r="AN36" s="22"/>
    </row>
    <row r="37" spans="30:40" ht="15.75" x14ac:dyDescent="0.45">
      <c r="AD37" s="30"/>
      <c r="AE37" s="13" t="s">
        <v>52</v>
      </c>
      <c r="AF37" s="13" t="s">
        <v>53</v>
      </c>
      <c r="AG37" s="13" t="s">
        <v>54</v>
      </c>
      <c r="AH37" s="13" t="s">
        <v>55</v>
      </c>
      <c r="AI37" s="13"/>
      <c r="AJ37" s="13"/>
      <c r="AK37" s="59" t="s">
        <v>65</v>
      </c>
      <c r="AL37" s="59" t="s">
        <v>68</v>
      </c>
      <c r="AM37" s="60">
        <v>1</v>
      </c>
      <c r="AN37" s="22"/>
    </row>
    <row r="38" spans="30:40" ht="15.75" x14ac:dyDescent="0.45">
      <c r="AD38" s="30" t="s">
        <v>19</v>
      </c>
      <c r="AE38" s="13">
        <v>295.54000000000002</v>
      </c>
      <c r="AF38" s="13">
        <v>86.22</v>
      </c>
      <c r="AG38" s="13">
        <v>209.32</v>
      </c>
      <c r="AH38" s="13">
        <v>1042.6600000000001</v>
      </c>
      <c r="AI38" s="61">
        <v>3</v>
      </c>
      <c r="AJ38" s="13"/>
      <c r="AK38" s="59">
        <v>745</v>
      </c>
      <c r="AL38" s="59">
        <v>1431</v>
      </c>
      <c r="AM38" s="13"/>
      <c r="AN38" s="22"/>
    </row>
    <row r="39" spans="30:40" x14ac:dyDescent="0.45">
      <c r="AD39" s="30"/>
      <c r="AE39" s="13">
        <f>AE38/$AH$38</f>
        <v>0.2834481038881323</v>
      </c>
      <c r="AF39" s="13">
        <f t="shared" ref="AF39:AG39" si="2">AF38/$AH$38</f>
        <v>8.2692344580208299E-2</v>
      </c>
      <c r="AG39" s="13">
        <f t="shared" si="2"/>
        <v>0.20075575930792394</v>
      </c>
      <c r="AH39" s="13"/>
      <c r="AI39" s="13"/>
      <c r="AJ39" s="13"/>
      <c r="AK39" s="13"/>
      <c r="AL39" s="13"/>
      <c r="AM39" s="13"/>
      <c r="AN39" s="22"/>
    </row>
    <row r="40" spans="30:40" ht="15.75" x14ac:dyDescent="0.45">
      <c r="AD40" s="30" t="s">
        <v>8</v>
      </c>
      <c r="AE40" s="13">
        <v>1201.21</v>
      </c>
      <c r="AF40" s="13">
        <v>0</v>
      </c>
      <c r="AG40" s="13">
        <v>1201.21</v>
      </c>
      <c r="AH40" s="13">
        <v>1042.6600000000001</v>
      </c>
      <c r="AI40" s="61">
        <v>3</v>
      </c>
      <c r="AJ40" s="13"/>
      <c r="AK40" s="13"/>
      <c r="AL40" s="13"/>
      <c r="AM40" s="13"/>
      <c r="AN40" s="22"/>
    </row>
    <row r="41" spans="30:40" x14ac:dyDescent="0.45">
      <c r="AD41" s="31"/>
      <c r="AE41" s="49">
        <f>AE40/$AH$40</f>
        <v>1.1520629927301325</v>
      </c>
      <c r="AF41" s="49">
        <f t="shared" ref="AF41:AG41" si="3">AF40/$AH$40</f>
        <v>0</v>
      </c>
      <c r="AG41" s="49">
        <f t="shared" si="3"/>
        <v>1.1520629927301325</v>
      </c>
      <c r="AH41" s="49"/>
      <c r="AI41" s="49"/>
      <c r="AJ41" s="49"/>
      <c r="AK41" s="49"/>
      <c r="AL41" s="49"/>
      <c r="AM41" s="49"/>
      <c r="AN41" s="28"/>
    </row>
    <row r="42" spans="30:40" x14ac:dyDescent="0.45"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30:40" x14ac:dyDescent="0.45">
      <c r="AD43" s="56" t="s">
        <v>79</v>
      </c>
      <c r="AE43" s="57"/>
      <c r="AF43" s="58"/>
    </row>
    <row r="44" spans="30:40" ht="15.75" x14ac:dyDescent="0.45">
      <c r="AD44" s="30"/>
      <c r="AE44" s="13" t="s">
        <v>76</v>
      </c>
      <c r="AF44" s="22" t="s">
        <v>77</v>
      </c>
    </row>
    <row r="45" spans="30:40" x14ac:dyDescent="0.45">
      <c r="AD45" s="30" t="s">
        <v>69</v>
      </c>
      <c r="AE45" s="13">
        <v>11128</v>
      </c>
      <c r="AF45" s="22">
        <v>9544</v>
      </c>
    </row>
    <row r="46" spans="30:40" x14ac:dyDescent="0.45">
      <c r="AD46" s="30" t="s">
        <v>70</v>
      </c>
      <c r="AE46" s="13">
        <v>1932.7</v>
      </c>
      <c r="AF46" s="22">
        <v>1933</v>
      </c>
    </row>
    <row r="47" spans="30:40" x14ac:dyDescent="0.45">
      <c r="AD47" s="30" t="s">
        <v>71</v>
      </c>
      <c r="AE47" s="13">
        <v>1239.5999999999999</v>
      </c>
      <c r="AF47" s="22"/>
    </row>
    <row r="48" spans="30:40" x14ac:dyDescent="0.45">
      <c r="AD48" s="30" t="s">
        <v>72</v>
      </c>
      <c r="AE48" s="13">
        <v>1709.6</v>
      </c>
      <c r="AF48" s="22">
        <v>1710</v>
      </c>
    </row>
    <row r="49" spans="30:32" x14ac:dyDescent="0.45">
      <c r="AD49" s="31" t="s">
        <v>73</v>
      </c>
      <c r="AE49" s="49">
        <v>1745</v>
      </c>
      <c r="AF49" s="28"/>
    </row>
  </sheetData>
  <mergeCells count="24">
    <mergeCell ref="AD43:AF43"/>
    <mergeCell ref="D3:E3"/>
    <mergeCell ref="K3:M3"/>
    <mergeCell ref="O3:P3"/>
    <mergeCell ref="R3:T3"/>
    <mergeCell ref="AI32:AM32"/>
    <mergeCell ref="AE32:AH32"/>
    <mergeCell ref="AD31:AN31"/>
    <mergeCell ref="AE17:AQ17"/>
    <mergeCell ref="AH3:AI3"/>
    <mergeCell ref="AD3:AF3"/>
    <mergeCell ref="AK3:AM3"/>
    <mergeCell ref="X3:Y3"/>
    <mergeCell ref="X20:Y20"/>
    <mergeCell ref="AE20:AF20"/>
    <mergeCell ref="AN18:AP18"/>
    <mergeCell ref="AE25:AF25"/>
    <mergeCell ref="AG25:AH25"/>
    <mergeCell ref="AE24:AJ24"/>
    <mergeCell ref="AE21:AF21"/>
    <mergeCell ref="AE22:AF22"/>
    <mergeCell ref="AE23:AF23"/>
    <mergeCell ref="AE18:AG18"/>
    <mergeCell ref="AI18:AL18"/>
  </mergeCells>
  <conditionalFormatting sqref="AI4 Y4">
    <cfRule type="cellIs" dxfId="7" priority="5" stopIfTrue="1" operator="notEqual">
      <formula>SUM(Z4:Z7)</formula>
    </cfRule>
  </conditionalFormatting>
  <conditionalFormatting sqref="Y21">
    <cfRule type="cellIs" dxfId="6" priority="3" stopIfTrue="1" operator="notEqual">
      <formula>SUM(Z21:Z24)</formula>
    </cfRule>
  </conditionalFormatting>
  <conditionalFormatting sqref="E4">
    <cfRule type="cellIs" dxfId="5" priority="2" stopIfTrue="1" operator="notEqual">
      <formula>SUM(#REF!)</formula>
    </cfRule>
  </conditionalFormatting>
  <conditionalFormatting sqref="P4">
    <cfRule type="cellIs" dxfId="4" priority="1" stopIfTrue="1" operator="notEqual">
      <formula>SUM(Q4:Q7)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F1" zoomScale="70" zoomScaleNormal="70" workbookViewId="0">
      <selection activeCell="AA8" sqref="AA8"/>
    </sheetView>
  </sheetViews>
  <sheetFormatPr defaultRowHeight="14.25" x14ac:dyDescent="0.45"/>
  <cols>
    <col min="4" max="4" width="18" customWidth="1"/>
    <col min="5" max="6" width="11.73046875" bestFit="1" customWidth="1"/>
    <col min="15" max="15" width="9.06640625" customWidth="1"/>
    <col min="24" max="24" width="17.6640625" customWidth="1"/>
    <col min="31" max="31" width="10.796875" customWidth="1"/>
    <col min="32" max="32" width="15.46484375" customWidth="1"/>
    <col min="33" max="33" width="9.06640625" customWidth="1"/>
    <col min="36" max="36" width="10.86328125" customWidth="1"/>
  </cols>
  <sheetData>
    <row r="1" spans="1:41" x14ac:dyDescent="0.45">
      <c r="D1" s="65">
        <f>L37</f>
        <v>54015.167617799998</v>
      </c>
      <c r="X1" s="65">
        <f>L43</f>
        <v>2351.5707214999998</v>
      </c>
    </row>
    <row r="2" spans="1:41" x14ac:dyDescent="0.45">
      <c r="D2" s="65" t="s">
        <v>78</v>
      </c>
      <c r="X2" s="65" t="s">
        <v>78</v>
      </c>
    </row>
    <row r="3" spans="1:41" ht="46.15" customHeight="1" x14ac:dyDescent="0.45">
      <c r="C3" s="26">
        <v>1</v>
      </c>
      <c r="D3" s="46" t="s">
        <v>18</v>
      </c>
      <c r="E3" s="47"/>
      <c r="F3" s="26">
        <v>1</v>
      </c>
      <c r="K3" s="62" t="s">
        <v>37</v>
      </c>
      <c r="L3" s="62"/>
      <c r="M3" s="63"/>
      <c r="N3" s="1">
        <v>1</v>
      </c>
      <c r="O3" s="46" t="s">
        <v>39</v>
      </c>
      <c r="P3" s="47"/>
      <c r="Q3" s="18">
        <v>1</v>
      </c>
      <c r="R3" s="64" t="s">
        <v>38</v>
      </c>
      <c r="S3" s="62"/>
      <c r="T3" s="62"/>
      <c r="X3" s="46" t="s">
        <v>5</v>
      </c>
      <c r="Y3" s="47"/>
      <c r="AD3" s="62" t="s">
        <v>1</v>
      </c>
      <c r="AE3" s="62"/>
      <c r="AF3" s="63"/>
      <c r="AG3" s="1">
        <v>1</v>
      </c>
      <c r="AH3" s="46" t="s">
        <v>0</v>
      </c>
      <c r="AI3" s="47"/>
      <c r="AJ3" s="18">
        <v>1</v>
      </c>
      <c r="AK3" s="64" t="s">
        <v>2</v>
      </c>
      <c r="AL3" s="62"/>
      <c r="AM3" s="62"/>
    </row>
    <row r="4" spans="1:41" ht="15.75" x14ac:dyDescent="0.45">
      <c r="A4" s="49" t="s">
        <v>33</v>
      </c>
      <c r="B4" s="49"/>
      <c r="C4" s="77">
        <f>'Data for Python'!F2</f>
        <v>2898.8</v>
      </c>
      <c r="D4" s="54" t="s">
        <v>62</v>
      </c>
      <c r="E4" s="5">
        <f>C4+C6+C7+D1</f>
        <v>145147.42761780001</v>
      </c>
      <c r="F4" s="77">
        <f>'Data for Python'!F5</f>
        <v>41123.129999999997</v>
      </c>
      <c r="G4" s="49" t="s">
        <v>36</v>
      </c>
      <c r="H4" s="49"/>
      <c r="I4" s="49"/>
      <c r="J4" s="49"/>
      <c r="K4" s="13"/>
      <c r="L4" s="13"/>
      <c r="M4" s="81">
        <f>'Data for Python'!F8</f>
        <v>2021.61</v>
      </c>
      <c r="N4" s="3"/>
      <c r="O4" s="54" t="s">
        <v>62</v>
      </c>
      <c r="P4" s="5">
        <f>M4+M6</f>
        <v>43144.74</v>
      </c>
      <c r="Q4" s="82">
        <f>'Data for Python'!F9</f>
        <v>554.44999999999993</v>
      </c>
      <c r="R4" s="6"/>
      <c r="S4" s="14"/>
      <c r="T4" s="49"/>
      <c r="U4" s="49"/>
      <c r="V4" s="49"/>
      <c r="W4" s="88">
        <f>Q6</f>
        <v>42590.29</v>
      </c>
      <c r="X4" s="54" t="s">
        <v>60</v>
      </c>
      <c r="Y4" s="5">
        <f>W4+W6+X1</f>
        <v>56027.331823297325</v>
      </c>
      <c r="Z4" s="26">
        <v>1</v>
      </c>
      <c r="AD4" s="13"/>
      <c r="AE4" s="13"/>
      <c r="AF4" s="81">
        <f>'Data for Python'!F19</f>
        <v>67722.899999999994</v>
      </c>
      <c r="AG4" s="3"/>
      <c r="AH4" s="4"/>
      <c r="AI4" s="5">
        <f>AF4+AF6</f>
        <v>135328.19999999998</v>
      </c>
      <c r="AJ4" s="82">
        <f>'Data for Python'!F20</f>
        <v>36926.400000000001</v>
      </c>
      <c r="AK4" s="6"/>
      <c r="AL4" s="14"/>
    </row>
    <row r="5" spans="1:41" ht="15.75" x14ac:dyDescent="0.45">
      <c r="C5" s="26" t="s">
        <v>107</v>
      </c>
      <c r="D5" s="54" t="s">
        <v>63</v>
      </c>
      <c r="E5" s="55">
        <f>F4+G12+F6</f>
        <v>55087.967669489532</v>
      </c>
      <c r="J5" s="21"/>
      <c r="M5" s="14"/>
      <c r="N5" s="6"/>
      <c r="O5" s="54" t="s">
        <v>63</v>
      </c>
      <c r="P5" s="55">
        <f>Q6+Q4+Q7</f>
        <v>43144.74</v>
      </c>
      <c r="Q5" s="8"/>
      <c r="R5" s="6"/>
      <c r="S5" s="50"/>
      <c r="X5" s="54" t="s">
        <v>61</v>
      </c>
      <c r="Y5" s="55">
        <f>Z5+Z14+AA12+AA7</f>
        <v>45847.922706971178</v>
      </c>
      <c r="Z5" s="90">
        <f>'Data for Python'!F16</f>
        <v>39109.35</v>
      </c>
      <c r="AA5" s="27" t="s">
        <v>6</v>
      </c>
      <c r="AB5" s="13"/>
      <c r="AC5" s="13"/>
      <c r="AF5" s="14"/>
      <c r="AG5" s="6"/>
      <c r="AH5" s="4"/>
      <c r="AI5" s="7"/>
      <c r="AJ5" s="8"/>
      <c r="AK5" s="6"/>
      <c r="AL5" s="6"/>
    </row>
    <row r="6" spans="1:41" x14ac:dyDescent="0.45">
      <c r="A6" s="49" t="s">
        <v>106</v>
      </c>
      <c r="B6" s="49"/>
      <c r="C6" s="77">
        <f>'Data for Python'!F25</f>
        <v>78884.540000000008</v>
      </c>
      <c r="D6" s="4"/>
      <c r="E6" s="9"/>
      <c r="F6" s="88">
        <f>'Data for Python'!F4</f>
        <v>13171.824020472295</v>
      </c>
      <c r="G6" s="49"/>
      <c r="H6" s="49"/>
      <c r="J6" s="22"/>
      <c r="K6" s="25" t="s">
        <v>36</v>
      </c>
      <c r="L6" s="24"/>
      <c r="M6" s="80">
        <f>F4</f>
        <v>41123.129999999997</v>
      </c>
      <c r="N6" s="3">
        <v>1</v>
      </c>
      <c r="O6" s="4"/>
      <c r="P6" s="9"/>
      <c r="Q6" s="83">
        <f>M6+M4-Q4</f>
        <v>42590.29</v>
      </c>
      <c r="R6" s="3">
        <v>1</v>
      </c>
      <c r="S6" s="51"/>
      <c r="T6" s="13"/>
      <c r="U6" s="13"/>
      <c r="V6" s="49" t="s">
        <v>56</v>
      </c>
      <c r="W6" s="77">
        <f>T14+Z14</f>
        <v>11085.471101797324</v>
      </c>
      <c r="X6" s="4"/>
      <c r="Y6" s="9"/>
      <c r="Z6" s="29"/>
      <c r="AA6" s="29"/>
      <c r="AB6" s="29"/>
      <c r="AC6" s="21"/>
      <c r="AD6" s="25" t="s">
        <v>7</v>
      </c>
      <c r="AE6" s="24"/>
      <c r="AF6" s="80">
        <f>Z5+Z23</f>
        <v>67605.299999999988</v>
      </c>
      <c r="AG6" s="3">
        <v>1</v>
      </c>
      <c r="AH6" s="4"/>
      <c r="AI6" s="9"/>
      <c r="AJ6" s="83">
        <f>'Data for Python'!F21</f>
        <v>93940.349999999991</v>
      </c>
      <c r="AK6" s="3">
        <v>1</v>
      </c>
      <c r="AL6" s="20" t="s">
        <v>3</v>
      </c>
      <c r="AM6" s="24"/>
      <c r="AN6" s="24"/>
      <c r="AO6" s="24"/>
    </row>
    <row r="7" spans="1:41" ht="15.75" x14ac:dyDescent="0.45">
      <c r="A7" s="29" t="s">
        <v>108</v>
      </c>
      <c r="B7" s="73" t="s">
        <v>107</v>
      </c>
      <c r="C7" s="89">
        <f>'Data for Python'!F26</f>
        <v>9348.92</v>
      </c>
      <c r="D7" s="72"/>
      <c r="E7" s="11">
        <f>E5/E4</f>
        <v>0.37953113309418285</v>
      </c>
      <c r="G7" t="s">
        <v>135</v>
      </c>
      <c r="H7" s="69">
        <f>E4-E5</f>
        <v>90059.459948310483</v>
      </c>
      <c r="M7" s="14"/>
      <c r="N7" s="10"/>
      <c r="O7" s="4"/>
      <c r="P7" s="11">
        <f>(Q6+Q4)/P4</f>
        <v>1</v>
      </c>
      <c r="Q7" s="23">
        <f>P4-Q4-Q6</f>
        <v>0</v>
      </c>
      <c r="R7" s="6"/>
      <c r="S7" s="12"/>
      <c r="U7" s="22"/>
      <c r="X7" s="67">
        <f>AE47</f>
        <v>1239.5999999999999</v>
      </c>
      <c r="Y7" s="11">
        <v>1</v>
      </c>
      <c r="Z7" s="87">
        <f>AF27</f>
        <v>788.6347840432386</v>
      </c>
      <c r="AA7" s="92">
        <f>'Data for Python'!F15</f>
        <v>2542.3944239304542</v>
      </c>
      <c r="AB7" s="69" t="s">
        <v>92</v>
      </c>
      <c r="AC7" s="22"/>
      <c r="AF7" s="14"/>
      <c r="AG7" s="10"/>
      <c r="AH7" s="4"/>
      <c r="AI7" s="11">
        <f>(AJ6+AJ4)/AI4</f>
        <v>0.96703237019335231</v>
      </c>
      <c r="AJ7" s="83">
        <f>AI4-AJ4-AJ6</f>
        <v>4461.4499999999971</v>
      </c>
      <c r="AK7" s="6"/>
      <c r="AL7" s="12"/>
    </row>
    <row r="8" spans="1:41" x14ac:dyDescent="0.45">
      <c r="A8" s="13"/>
      <c r="B8" s="13"/>
      <c r="C8" s="29"/>
      <c r="D8" s="67">
        <f>AE45</f>
        <v>11128</v>
      </c>
      <c r="E8" s="11"/>
      <c r="H8" s="22"/>
      <c r="M8" s="14"/>
      <c r="N8" s="10"/>
      <c r="O8" s="4"/>
      <c r="P8" s="11"/>
      <c r="Q8" s="70"/>
      <c r="R8" s="6"/>
      <c r="S8" s="12"/>
      <c r="U8" s="22"/>
      <c r="X8" s="67"/>
      <c r="Y8" s="11"/>
      <c r="AA8" s="93">
        <f>Y4-Y5</f>
        <v>10179.409116326147</v>
      </c>
      <c r="AB8" s="71" t="s">
        <v>135</v>
      </c>
      <c r="AC8" s="22"/>
      <c r="AF8" s="14"/>
      <c r="AG8" s="10"/>
      <c r="AH8" s="4"/>
      <c r="AI8" s="11"/>
      <c r="AJ8" s="74"/>
      <c r="AK8" s="6"/>
      <c r="AL8" s="12"/>
    </row>
    <row r="9" spans="1:41" x14ac:dyDescent="0.45">
      <c r="C9" s="30"/>
      <c r="E9" s="38" t="s">
        <v>30</v>
      </c>
      <c r="F9" s="21"/>
      <c r="H9" s="22"/>
      <c r="Q9" s="21"/>
      <c r="U9" s="22"/>
      <c r="W9" s="35"/>
      <c r="Y9" s="38" t="s">
        <v>30</v>
      </c>
      <c r="Z9" s="21"/>
      <c r="AB9" s="22"/>
      <c r="AC9" s="22"/>
      <c r="AJ9" s="21"/>
      <c r="AK9" t="s">
        <v>4</v>
      </c>
    </row>
    <row r="10" spans="1:41" x14ac:dyDescent="0.45">
      <c r="C10" s="30"/>
      <c r="D10" s="13"/>
      <c r="E10" s="86">
        <f>'Data for Python'!F6</f>
        <v>2747.2616490172354</v>
      </c>
      <c r="F10" s="22"/>
      <c r="H10" s="22"/>
      <c r="Q10" s="22"/>
      <c r="U10" s="22"/>
      <c r="W10" s="30"/>
      <c r="X10" s="13"/>
      <c r="Y10" s="86">
        <f>AH27</f>
        <v>394.3173920216193</v>
      </c>
      <c r="Z10" s="22"/>
      <c r="AB10" s="22"/>
      <c r="AC10" s="22"/>
      <c r="AJ10" s="22"/>
    </row>
    <row r="11" spans="1:41" x14ac:dyDescent="0.45">
      <c r="C11" s="32"/>
      <c r="D11" s="32"/>
      <c r="E11" s="32"/>
      <c r="F11" s="21"/>
      <c r="H11" s="22"/>
      <c r="U11" s="22"/>
      <c r="W11" s="32"/>
      <c r="X11" s="32"/>
      <c r="Y11" s="32"/>
      <c r="Z11" s="21"/>
      <c r="AB11" s="22"/>
      <c r="AC11" s="22"/>
    </row>
    <row r="12" spans="1:41" x14ac:dyDescent="0.45">
      <c r="F12" s="22"/>
      <c r="G12" s="84">
        <f>'Data for Python'!F3</f>
        <v>793.01364901723559</v>
      </c>
      <c r="H12" s="52" t="s">
        <v>31</v>
      </c>
      <c r="U12" s="22"/>
      <c r="Z12" s="22"/>
      <c r="AA12" s="84">
        <f>'Data for Python'!F23</f>
        <v>962.13443653275101</v>
      </c>
      <c r="AB12" s="52" t="s">
        <v>31</v>
      </c>
      <c r="AC12" s="22"/>
    </row>
    <row r="13" spans="1:41" x14ac:dyDescent="0.45">
      <c r="U13" s="22"/>
      <c r="Z13" s="13"/>
      <c r="AB13" s="22"/>
      <c r="AC13" s="22"/>
    </row>
    <row r="14" spans="1:41" x14ac:dyDescent="0.45">
      <c r="D14" t="s">
        <v>109</v>
      </c>
      <c r="E14" t="s">
        <v>110</v>
      </c>
      <c r="F14" t="s">
        <v>112</v>
      </c>
      <c r="G14" t="s">
        <v>111</v>
      </c>
      <c r="R14" s="49" t="s">
        <v>58</v>
      </c>
      <c r="S14" s="13"/>
      <c r="T14" s="77">
        <f>'Data for Python'!F11</f>
        <v>7851.4272552893544</v>
      </c>
      <c r="U14" s="28"/>
      <c r="V14" s="31"/>
      <c r="W14" s="49"/>
      <c r="X14" s="49" t="s">
        <v>57</v>
      </c>
      <c r="Y14" s="49"/>
      <c r="Z14" s="77">
        <f>'Data for Python'!F13</f>
        <v>3234.0438465079692</v>
      </c>
      <c r="AA14" s="49"/>
      <c r="AB14" s="28"/>
      <c r="AC14" s="22"/>
    </row>
    <row r="15" spans="1:41" x14ac:dyDescent="0.45">
      <c r="D15">
        <v>8142.4</v>
      </c>
      <c r="E15">
        <f>D15*10^6</f>
        <v>8142400000</v>
      </c>
      <c r="F15">
        <f>E15*1.35</f>
        <v>10992240000</v>
      </c>
      <c r="G15">
        <f>F15/10^6</f>
        <v>10992.24</v>
      </c>
      <c r="R15" s="35"/>
      <c r="S15" s="32"/>
      <c r="AB15" s="13"/>
      <c r="AC15" s="22"/>
    </row>
    <row r="16" spans="1:41" x14ac:dyDescent="0.45">
      <c r="D16" t="s">
        <v>113</v>
      </c>
      <c r="E16" t="s">
        <v>114</v>
      </c>
      <c r="G16" t="s">
        <v>127</v>
      </c>
      <c r="H16" t="s">
        <v>128</v>
      </c>
      <c r="R16" s="30"/>
      <c r="S16" s="13"/>
      <c r="AB16" s="13"/>
      <c r="AC16" s="22"/>
    </row>
    <row r="17" spans="4:44" x14ac:dyDescent="0.45">
      <c r="D17">
        <v>26470</v>
      </c>
      <c r="E17">
        <f>D17*10^6</f>
        <v>26470000000</v>
      </c>
      <c r="F17">
        <f>E17/2.44</f>
        <v>10848360655.737705</v>
      </c>
      <c r="G17">
        <v>2.44</v>
      </c>
      <c r="H17">
        <f>F17/1000000</f>
        <v>10848.360655737706</v>
      </c>
      <c r="R17" s="30"/>
      <c r="S17" s="13"/>
      <c r="AB17" s="13"/>
      <c r="AC17" s="22"/>
      <c r="AE17" s="56" t="s">
        <v>66</v>
      </c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8"/>
    </row>
    <row r="18" spans="4:44" ht="15.75" x14ac:dyDescent="0.45">
      <c r="R18" s="30"/>
      <c r="S18" s="13"/>
      <c r="X18" s="65">
        <f>L40</f>
        <v>7349.1830450000007</v>
      </c>
      <c r="AB18" s="13"/>
      <c r="AC18" s="22"/>
      <c r="AE18" s="39" t="s">
        <v>28</v>
      </c>
      <c r="AF18" s="40"/>
      <c r="AG18" s="40"/>
      <c r="AH18" s="33" t="s">
        <v>40</v>
      </c>
      <c r="AI18" s="39" t="s">
        <v>21</v>
      </c>
      <c r="AJ18" s="40"/>
      <c r="AK18" s="40"/>
      <c r="AL18" s="40"/>
      <c r="AM18" s="33">
        <v>3</v>
      </c>
      <c r="AN18" s="39" t="s">
        <v>26</v>
      </c>
      <c r="AO18" s="40"/>
      <c r="AP18" s="40"/>
      <c r="AQ18" s="33">
        <v>4</v>
      </c>
    </row>
    <row r="19" spans="4:44" x14ac:dyDescent="0.45">
      <c r="R19" s="30"/>
      <c r="S19" s="13"/>
      <c r="X19" s="65" t="s">
        <v>78</v>
      </c>
      <c r="AB19" s="13"/>
      <c r="AC19" s="22"/>
      <c r="AE19" s="30"/>
      <c r="AF19" s="13"/>
      <c r="AG19" s="13"/>
      <c r="AH19" s="22"/>
      <c r="AI19" s="30"/>
      <c r="AJ19" s="13"/>
      <c r="AK19" s="13" t="s">
        <v>23</v>
      </c>
      <c r="AL19" s="13" t="s">
        <v>22</v>
      </c>
      <c r="AM19" s="22"/>
      <c r="AN19" s="30"/>
      <c r="AO19" s="13"/>
      <c r="AP19" s="13"/>
      <c r="AQ19" s="22"/>
    </row>
    <row r="20" spans="4:44" x14ac:dyDescent="0.45">
      <c r="L20" t="s">
        <v>64</v>
      </c>
      <c r="O20" t="s">
        <v>129</v>
      </c>
      <c r="R20" s="30"/>
      <c r="S20" s="13"/>
      <c r="X20" s="46" t="s">
        <v>8</v>
      </c>
      <c r="Y20" s="47"/>
      <c r="AB20" s="13"/>
      <c r="AC20" s="22"/>
      <c r="AE20" s="42" t="s">
        <v>11</v>
      </c>
      <c r="AF20" s="43"/>
      <c r="AG20" s="13">
        <v>3557.1</v>
      </c>
      <c r="AH20" s="22"/>
      <c r="AI20" s="30"/>
      <c r="AJ20" s="13" t="s">
        <v>18</v>
      </c>
      <c r="AK20" s="13">
        <v>303.22000000000003</v>
      </c>
      <c r="AL20" s="13">
        <f>AK20/$AK$23</f>
        <v>0.47640894307665721</v>
      </c>
      <c r="AM20" s="22"/>
      <c r="AN20" s="30"/>
      <c r="AO20" s="13"/>
      <c r="AP20" s="13"/>
      <c r="AQ20" s="22"/>
    </row>
    <row r="21" spans="4:44" x14ac:dyDescent="0.45">
      <c r="L21" s="77">
        <f>'Data for Python'!F27</f>
        <v>5475.75</v>
      </c>
      <c r="M21" s="49"/>
      <c r="O21" s="79">
        <f>'Data for Python'!F29</f>
        <v>10517.85</v>
      </c>
      <c r="R21" s="30"/>
      <c r="S21" s="13"/>
      <c r="X21" s="54" t="s">
        <v>60</v>
      </c>
      <c r="Y21" s="5">
        <f>W21+W23+X18</f>
        <v>40178.312482688219</v>
      </c>
      <c r="AB21" s="13"/>
      <c r="AC21" s="22"/>
      <c r="AE21" s="42" t="s">
        <v>10</v>
      </c>
      <c r="AF21" s="43"/>
      <c r="AG21" s="13">
        <v>2215</v>
      </c>
      <c r="AH21" s="22"/>
      <c r="AI21" s="30"/>
      <c r="AJ21" s="13" t="s">
        <v>19</v>
      </c>
      <c r="AK21" s="13">
        <v>141.11000000000001</v>
      </c>
      <c r="AL21" s="13">
        <f t="shared" ref="AL21:AL22" si="0">AK21/$AK$23</f>
        <v>0.22170722893459238</v>
      </c>
      <c r="AM21" s="22"/>
      <c r="AN21" s="30" t="s">
        <v>19</v>
      </c>
      <c r="AO21" s="34">
        <v>0.5</v>
      </c>
      <c r="AP21" s="13"/>
      <c r="AQ21" s="22"/>
    </row>
    <row r="22" spans="4:44" ht="15.75" x14ac:dyDescent="0.45">
      <c r="M22" s="22"/>
      <c r="N22" s="35"/>
      <c r="O22" s="32"/>
      <c r="R22" s="30"/>
      <c r="S22" s="13"/>
      <c r="X22" s="54" t="s">
        <v>61</v>
      </c>
      <c r="Y22" s="55">
        <f>Z23+AA28+AB24</f>
        <v>30192.874419745505</v>
      </c>
      <c r="Z22" s="26">
        <v>1</v>
      </c>
      <c r="AB22" s="13"/>
      <c r="AC22" s="22"/>
      <c r="AE22" s="42" t="s">
        <v>12</v>
      </c>
      <c r="AF22" s="43"/>
      <c r="AG22" s="13">
        <v>1301.8</v>
      </c>
      <c r="AH22" s="22"/>
      <c r="AI22" s="30"/>
      <c r="AJ22" s="13" t="s">
        <v>8</v>
      </c>
      <c r="AK22" s="13">
        <v>192.14</v>
      </c>
      <c r="AL22" s="13">
        <f t="shared" si="0"/>
        <v>0.30188382798875041</v>
      </c>
      <c r="AM22" s="22"/>
      <c r="AN22" s="30" t="s">
        <v>8</v>
      </c>
      <c r="AO22" s="13">
        <v>0.5</v>
      </c>
      <c r="AP22" s="13"/>
      <c r="AQ22" s="22"/>
    </row>
    <row r="23" spans="4:44" x14ac:dyDescent="0.45">
      <c r="L23" s="77">
        <f>'Data for Python'!F28</f>
        <v>45722.656692977573</v>
      </c>
      <c r="M23" s="28"/>
      <c r="N23" s="31"/>
      <c r="O23" s="49" t="s">
        <v>59</v>
      </c>
      <c r="P23" s="49"/>
      <c r="Q23" s="78">
        <f>T14+W23</f>
        <v>40680.556692977574</v>
      </c>
      <c r="R23" s="31"/>
      <c r="S23" s="49"/>
      <c r="T23" s="49"/>
      <c r="U23" s="49" t="s">
        <v>58</v>
      </c>
      <c r="V23" s="49"/>
      <c r="W23" s="77">
        <f>'Data for Python'!F12</f>
        <v>32829.129437688222</v>
      </c>
      <c r="X23" s="4"/>
      <c r="Y23" s="9"/>
      <c r="Z23" s="85">
        <f>'Data for Python'!F18</f>
        <v>28495.949999999997</v>
      </c>
      <c r="AA23" s="27" t="s">
        <v>9</v>
      </c>
      <c r="AB23" s="24"/>
      <c r="AC23" s="28"/>
      <c r="AE23" s="44" t="s">
        <v>13</v>
      </c>
      <c r="AF23" s="45"/>
      <c r="AG23" s="24">
        <v>40.299999999999997</v>
      </c>
      <c r="AH23" s="28"/>
      <c r="AI23" s="31"/>
      <c r="AJ23" s="24" t="s">
        <v>20</v>
      </c>
      <c r="AK23" s="24">
        <f>SUM(AK20:AK22)</f>
        <v>636.47</v>
      </c>
      <c r="AL23" s="24">
        <f>SUM(AL20:AL22)</f>
        <v>1</v>
      </c>
      <c r="AM23" s="28"/>
      <c r="AN23" s="31"/>
      <c r="AO23" s="24"/>
      <c r="AP23" s="24"/>
      <c r="AQ23" s="28"/>
    </row>
    <row r="24" spans="4:44" x14ac:dyDescent="0.45">
      <c r="W24" s="24"/>
      <c r="X24" s="67">
        <f>AE46</f>
        <v>1932.7</v>
      </c>
      <c r="Y24" s="11">
        <v>1</v>
      </c>
      <c r="Z24" s="91">
        <f>AF28</f>
        <v>1073.830964538784</v>
      </c>
      <c r="AA24" s="38" t="s">
        <v>32</v>
      </c>
      <c r="AB24" s="92">
        <f>'Data for Python'!F17</f>
        <v>386.85064300819113</v>
      </c>
      <c r="AC24" t="s">
        <v>92</v>
      </c>
      <c r="AE24" s="56" t="s">
        <v>27</v>
      </c>
      <c r="AF24" s="57"/>
      <c r="AG24" s="57"/>
      <c r="AH24" s="57"/>
      <c r="AI24" s="57"/>
      <c r="AJ24" s="58"/>
      <c r="AK24" s="36"/>
      <c r="AL24" s="36"/>
      <c r="AM24" s="36"/>
      <c r="AN24" s="36"/>
      <c r="AO24" s="36"/>
      <c r="AP24" s="36"/>
      <c r="AQ24" s="36"/>
      <c r="AR24" s="37"/>
    </row>
    <row r="25" spans="4:44" x14ac:dyDescent="0.45">
      <c r="W25" s="30"/>
      <c r="Y25" s="38" t="s">
        <v>30</v>
      </c>
      <c r="Z25" s="22"/>
      <c r="AA25" t="s">
        <v>135</v>
      </c>
      <c r="AB25" s="93">
        <f>Y21-Y22</f>
        <v>9985.4380629427142</v>
      </c>
      <c r="AE25" s="39" t="s">
        <v>29</v>
      </c>
      <c r="AF25" s="41"/>
      <c r="AG25" s="39" t="s">
        <v>30</v>
      </c>
      <c r="AH25" s="41"/>
      <c r="AI25" s="35" t="s">
        <v>31</v>
      </c>
      <c r="AJ25" s="21"/>
    </row>
    <row r="26" spans="4:44" x14ac:dyDescent="0.45">
      <c r="W26" s="30"/>
      <c r="X26" s="13"/>
      <c r="Y26" s="86">
        <f>AH28</f>
        <v>536.91548226939199</v>
      </c>
      <c r="Z26" s="22"/>
      <c r="AE26" s="30" t="s">
        <v>18</v>
      </c>
      <c r="AF26" s="22">
        <f>AL20*AG20</f>
        <v>1694.6342514179773</v>
      </c>
      <c r="AG26" s="30" t="s">
        <v>18</v>
      </c>
      <c r="AH26" s="22">
        <f>AG21-AH27-AH28</f>
        <v>1283.7671257089887</v>
      </c>
      <c r="AI26" s="30" t="s">
        <v>18</v>
      </c>
      <c r="AJ26" s="22">
        <f>AG22-AJ27-AJ28</f>
        <v>370.56712570898867</v>
      </c>
    </row>
    <row r="27" spans="4:44" x14ac:dyDescent="0.45">
      <c r="M27" s="79"/>
      <c r="N27" t="s">
        <v>132</v>
      </c>
      <c r="W27" s="32"/>
      <c r="X27" s="32"/>
      <c r="Y27" s="32"/>
      <c r="Z27" s="21"/>
      <c r="AE27" s="30" t="s">
        <v>19</v>
      </c>
      <c r="AF27" s="22">
        <f>AL21*AG20</f>
        <v>788.6347840432386</v>
      </c>
      <c r="AG27" s="30" t="s">
        <v>19</v>
      </c>
      <c r="AH27" s="22">
        <f>AF27*AO21</f>
        <v>394.3173920216193</v>
      </c>
      <c r="AI27" s="30" t="s">
        <v>19</v>
      </c>
      <c r="AJ27" s="22">
        <f t="shared" ref="AJ27:AJ28" si="1">AF27-AH27</f>
        <v>394.3173920216193</v>
      </c>
    </row>
    <row r="28" spans="4:44" x14ac:dyDescent="0.45">
      <c r="M28" s="76"/>
      <c r="N28" t="s">
        <v>133</v>
      </c>
      <c r="Z28" s="22"/>
      <c r="AA28" s="79">
        <f>'Data for Python'!F24</f>
        <v>1310.0737767373164</v>
      </c>
      <c r="AB28" s="38" t="s">
        <v>31</v>
      </c>
      <c r="AE28" s="31" t="s">
        <v>8</v>
      </c>
      <c r="AF28" s="28">
        <f>AL22*AG20</f>
        <v>1073.830964538784</v>
      </c>
      <c r="AG28" s="31" t="s">
        <v>8</v>
      </c>
      <c r="AH28" s="28">
        <f>AF28*AO22</f>
        <v>536.91548226939199</v>
      </c>
      <c r="AI28" s="31" t="s">
        <v>8</v>
      </c>
      <c r="AJ28" s="28">
        <f t="shared" si="1"/>
        <v>536.91548226939199</v>
      </c>
    </row>
    <row r="29" spans="4:44" x14ac:dyDescent="0.45">
      <c r="M29" s="87"/>
      <c r="N29" t="s">
        <v>134</v>
      </c>
      <c r="Z29" s="13"/>
      <c r="AA29" s="32"/>
      <c r="AE29" s="31" t="s">
        <v>20</v>
      </c>
      <c r="AF29" s="49">
        <f>SUM(AF26:AF28)</f>
        <v>3557.1</v>
      </c>
      <c r="AG29" s="66" t="s">
        <v>20</v>
      </c>
      <c r="AH29" s="49">
        <f>SUM(AH26:AH28)</f>
        <v>2215</v>
      </c>
      <c r="AI29" s="66" t="s">
        <v>20</v>
      </c>
      <c r="AJ29" s="28">
        <f>SUM(AJ26:AJ28)</f>
        <v>1301.8</v>
      </c>
    </row>
    <row r="30" spans="4:44" x14ac:dyDescent="0.45">
      <c r="Z30" s="13"/>
    </row>
    <row r="31" spans="4:44" x14ac:dyDescent="0.45">
      <c r="AD31" s="56" t="s">
        <v>67</v>
      </c>
      <c r="AE31" s="57"/>
      <c r="AF31" s="57"/>
      <c r="AG31" s="57"/>
      <c r="AH31" s="57"/>
      <c r="AI31" s="57"/>
      <c r="AJ31" s="57"/>
      <c r="AK31" s="57"/>
      <c r="AL31" s="57"/>
      <c r="AM31" s="57"/>
      <c r="AN31" s="58"/>
    </row>
    <row r="32" spans="4:44" ht="15.75" x14ac:dyDescent="0.45">
      <c r="AD32" s="35"/>
      <c r="AE32" s="40" t="s">
        <v>41</v>
      </c>
      <c r="AF32" s="40"/>
      <c r="AG32" s="40"/>
      <c r="AH32" s="40"/>
      <c r="AI32" s="40" t="s">
        <v>50</v>
      </c>
      <c r="AJ32" s="40"/>
      <c r="AK32" s="40"/>
      <c r="AL32" s="40"/>
      <c r="AM32" s="40"/>
      <c r="AN32" s="33" t="s">
        <v>51</v>
      </c>
    </row>
    <row r="33" spans="4:40" x14ac:dyDescent="0.45">
      <c r="AD33" s="30"/>
      <c r="AE33" s="13" t="s">
        <v>20</v>
      </c>
      <c r="AF33" s="13" t="s">
        <v>43</v>
      </c>
      <c r="AG33" s="13" t="s">
        <v>42</v>
      </c>
      <c r="AH33" s="13" t="s">
        <v>44</v>
      </c>
      <c r="AI33" s="13" t="s">
        <v>45</v>
      </c>
      <c r="AJ33" s="13" t="s">
        <v>46</v>
      </c>
      <c r="AK33" s="13" t="s">
        <v>47</v>
      </c>
      <c r="AL33" s="13" t="s">
        <v>48</v>
      </c>
      <c r="AM33" s="13" t="s">
        <v>49</v>
      </c>
      <c r="AN33" s="22"/>
    </row>
    <row r="34" spans="4:40" x14ac:dyDescent="0.45">
      <c r="AD34" s="30"/>
      <c r="AE34" s="13">
        <v>5695.8</v>
      </c>
      <c r="AF34" s="13">
        <v>2036.6</v>
      </c>
      <c r="AG34" s="13">
        <v>3259.1</v>
      </c>
      <c r="AH34" s="13">
        <v>400</v>
      </c>
      <c r="AI34" s="13">
        <v>5590.2</v>
      </c>
      <c r="AJ34" s="13">
        <v>2124.8000000000002</v>
      </c>
      <c r="AK34" s="13">
        <v>3449</v>
      </c>
      <c r="AL34" s="13">
        <v>12</v>
      </c>
      <c r="AM34" s="13">
        <v>4.4000000000000004</v>
      </c>
      <c r="AN34" s="22"/>
    </row>
    <row r="35" spans="4:40" x14ac:dyDescent="0.45">
      <c r="E35" t="s">
        <v>20</v>
      </c>
      <c r="F35" t="s">
        <v>136</v>
      </c>
      <c r="G35" t="s">
        <v>137</v>
      </c>
      <c r="H35" t="s">
        <v>138</v>
      </c>
      <c r="I35" t="s">
        <v>139</v>
      </c>
      <c r="J35" t="s">
        <v>140</v>
      </c>
      <c r="AD35" s="30"/>
      <c r="AE35" s="13"/>
      <c r="AF35" s="13"/>
      <c r="AG35" s="13"/>
      <c r="AH35" s="13"/>
      <c r="AI35" s="13"/>
      <c r="AJ35" s="13"/>
      <c r="AK35" s="13"/>
      <c r="AL35" s="13"/>
      <c r="AM35" s="13"/>
      <c r="AN35" s="22"/>
    </row>
    <row r="36" spans="4:40" x14ac:dyDescent="0.45">
      <c r="D36" t="s">
        <v>18</v>
      </c>
      <c r="E36" s="94">
        <v>11128</v>
      </c>
      <c r="F36" s="94">
        <f>E36-H36-I36+J36</f>
        <v>11563.56</v>
      </c>
      <c r="G36" s="94">
        <v>2.7</v>
      </c>
      <c r="H36" s="94">
        <v>328.2</v>
      </c>
      <c r="I36" s="94">
        <f>59.4*3.6</f>
        <v>213.84</v>
      </c>
      <c r="J36" s="95">
        <v>977.6</v>
      </c>
      <c r="AD36" s="30"/>
      <c r="AE36" s="13"/>
      <c r="AF36" s="13"/>
      <c r="AG36" s="13"/>
      <c r="AH36" s="13"/>
      <c r="AI36" s="13"/>
      <c r="AJ36" s="13"/>
      <c r="AK36" s="13"/>
      <c r="AL36" s="13"/>
      <c r="AM36" s="13"/>
      <c r="AN36" s="22"/>
    </row>
    <row r="37" spans="4:40" ht="15.75" x14ac:dyDescent="0.45">
      <c r="D37" t="s">
        <v>141</v>
      </c>
      <c r="F37">
        <f>F36*1.03</f>
        <v>11910.4668</v>
      </c>
      <c r="G37">
        <f>1.03*G36</f>
        <v>2.7810000000000001</v>
      </c>
      <c r="H37">
        <f>0.175*H36</f>
        <v>57.434999999999995</v>
      </c>
      <c r="I37" s="96">
        <f>I36</f>
        <v>213.84</v>
      </c>
      <c r="K37" s="96">
        <f>F37+H37+I37-J36</f>
        <v>11204.141799999999</v>
      </c>
      <c r="L37">
        <f>K37*'Sankey (WIP)'!F4/1000</f>
        <v>54015.167617799998</v>
      </c>
      <c r="AD37" s="30"/>
      <c r="AE37" s="13" t="s">
        <v>52</v>
      </c>
      <c r="AF37" s="13" t="s">
        <v>53</v>
      </c>
      <c r="AG37" s="13" t="s">
        <v>54</v>
      </c>
      <c r="AH37" s="13" t="s">
        <v>55</v>
      </c>
      <c r="AI37" s="13"/>
      <c r="AJ37" s="13"/>
      <c r="AK37" s="59" t="s">
        <v>65</v>
      </c>
      <c r="AL37" s="59" t="s">
        <v>68</v>
      </c>
      <c r="AM37" s="60">
        <v>1</v>
      </c>
      <c r="AN37" s="22"/>
    </row>
    <row r="38" spans="4:40" ht="15.75" x14ac:dyDescent="0.45">
      <c r="AD38" s="30" t="s">
        <v>19</v>
      </c>
      <c r="AE38" s="13">
        <v>295.54000000000002</v>
      </c>
      <c r="AF38" s="13">
        <v>86.22</v>
      </c>
      <c r="AG38" s="13">
        <v>209.32</v>
      </c>
      <c r="AH38" s="13">
        <v>1042.6600000000001</v>
      </c>
      <c r="AI38" s="61">
        <v>3</v>
      </c>
      <c r="AJ38" s="13"/>
      <c r="AK38" s="59">
        <v>745</v>
      </c>
      <c r="AL38" s="59">
        <v>1431</v>
      </c>
      <c r="AM38" s="13"/>
      <c r="AN38" s="22"/>
    </row>
    <row r="39" spans="4:40" x14ac:dyDescent="0.45">
      <c r="D39" t="s">
        <v>8</v>
      </c>
      <c r="E39" s="94">
        <v>1932.7</v>
      </c>
      <c r="F39" s="94">
        <v>318.5</v>
      </c>
      <c r="G39" s="94">
        <v>318.5</v>
      </c>
      <c r="H39" s="94">
        <v>56.4</v>
      </c>
      <c r="I39" s="94">
        <f>451.6*3.6</f>
        <v>1625.7600000000002</v>
      </c>
      <c r="J39" s="95">
        <v>68.099999999999994</v>
      </c>
      <c r="AD39" s="30"/>
      <c r="AE39" s="13">
        <f>AE38/$AH$38</f>
        <v>0.2834481038881323</v>
      </c>
      <c r="AF39" s="13">
        <f t="shared" ref="AF39:AG39" si="2">AF38/$AH$38</f>
        <v>8.2692344580208299E-2</v>
      </c>
      <c r="AG39" s="13">
        <f t="shared" si="2"/>
        <v>0.20075575930792394</v>
      </c>
      <c r="AH39" s="13"/>
      <c r="AI39" s="13"/>
      <c r="AJ39" s="13"/>
      <c r="AK39" s="13"/>
      <c r="AL39" s="13"/>
      <c r="AM39" s="13"/>
      <c r="AN39" s="22"/>
    </row>
    <row r="40" spans="4:40" ht="15.75" x14ac:dyDescent="0.45">
      <c r="F40">
        <f>1.03*F39</f>
        <v>328.05500000000001</v>
      </c>
      <c r="G40">
        <f>1.03*G39</f>
        <v>328.05500000000001</v>
      </c>
      <c r="H40">
        <f>0.175*H39</f>
        <v>9.8699999999999992</v>
      </c>
      <c r="I40" s="96">
        <f>I39</f>
        <v>1625.7600000000002</v>
      </c>
      <c r="K40" s="96">
        <f>F40+H40+I40-J39</f>
        <v>1895.5850000000003</v>
      </c>
      <c r="L40">
        <f>K40*'Sankey (WIP)'!Z23/1000</f>
        <v>7349.1830450000007</v>
      </c>
      <c r="AD40" s="30" t="s">
        <v>8</v>
      </c>
      <c r="AE40" s="13">
        <v>1201.21</v>
      </c>
      <c r="AF40" s="13">
        <v>0</v>
      </c>
      <c r="AG40" s="13">
        <v>1201.21</v>
      </c>
      <c r="AH40" s="13">
        <v>1042.6600000000001</v>
      </c>
      <c r="AI40" s="61">
        <v>3</v>
      </c>
      <c r="AJ40" s="13"/>
      <c r="AK40" s="13"/>
      <c r="AL40" s="13"/>
      <c r="AM40" s="13"/>
      <c r="AN40" s="22"/>
    </row>
    <row r="41" spans="4:40" x14ac:dyDescent="0.45">
      <c r="H41" s="96"/>
      <c r="AD41" s="31"/>
      <c r="AE41" s="49">
        <f>AE40/$AH$40</f>
        <v>1.1520629927301325</v>
      </c>
      <c r="AF41" s="49">
        <f t="shared" ref="AF41:AG41" si="3">AF40/$AH$40</f>
        <v>0</v>
      </c>
      <c r="AG41" s="49">
        <f t="shared" si="3"/>
        <v>1.1520629927301325</v>
      </c>
      <c r="AH41" s="49"/>
      <c r="AI41" s="49"/>
      <c r="AJ41" s="49"/>
      <c r="AK41" s="49"/>
      <c r="AL41" s="49"/>
      <c r="AM41" s="49"/>
      <c r="AN41" s="28"/>
    </row>
    <row r="42" spans="4:40" x14ac:dyDescent="0.45">
      <c r="D42" t="s">
        <v>5</v>
      </c>
      <c r="E42" s="94">
        <v>1239.5999999999999</v>
      </c>
      <c r="F42" s="94">
        <v>217.8</v>
      </c>
      <c r="G42" s="94">
        <v>115.5</v>
      </c>
      <c r="H42" s="94">
        <v>974.9</v>
      </c>
      <c r="I42" s="94">
        <f>72.5*3.6</f>
        <v>261</v>
      </c>
      <c r="J42" s="95">
        <v>214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4:40" x14ac:dyDescent="0.45">
      <c r="F43">
        <f>F42*1.03</f>
        <v>224.33400000000003</v>
      </c>
      <c r="G43">
        <f>1.03*G42</f>
        <v>118.965</v>
      </c>
      <c r="H43">
        <f>0.175*H42</f>
        <v>170.60749999999999</v>
      </c>
      <c r="I43" s="96">
        <f>I42</f>
        <v>261</v>
      </c>
      <c r="K43" s="96">
        <f>F43+H43+I43-J42</f>
        <v>441.94150000000002</v>
      </c>
      <c r="L43">
        <f>K43*'Sankey (WIP)'!Z5/1000</f>
        <v>2351.5707214999998</v>
      </c>
      <c r="AD43" s="56" t="s">
        <v>79</v>
      </c>
      <c r="AE43" s="57"/>
      <c r="AF43" s="58"/>
    </row>
    <row r="44" spans="4:40" ht="15.75" x14ac:dyDescent="0.45">
      <c r="AD44" s="30"/>
      <c r="AE44" s="13" t="s">
        <v>76</v>
      </c>
      <c r="AF44" s="22" t="s">
        <v>77</v>
      </c>
    </row>
    <row r="45" spans="4:40" x14ac:dyDescent="0.45">
      <c r="AD45" s="30" t="s">
        <v>69</v>
      </c>
      <c r="AE45" s="13">
        <v>11128</v>
      </c>
      <c r="AF45" s="22">
        <v>9544</v>
      </c>
    </row>
    <row r="46" spans="4:40" x14ac:dyDescent="0.45">
      <c r="AD46" s="30" t="s">
        <v>70</v>
      </c>
      <c r="AE46" s="13">
        <v>1932.7</v>
      </c>
      <c r="AF46" s="22">
        <v>1933</v>
      </c>
    </row>
    <row r="47" spans="4:40" x14ac:dyDescent="0.45">
      <c r="AD47" s="30" t="s">
        <v>71</v>
      </c>
      <c r="AE47" s="13">
        <v>1239.5999999999999</v>
      </c>
      <c r="AF47" s="22"/>
    </row>
    <row r="48" spans="4:40" x14ac:dyDescent="0.45">
      <c r="AD48" s="30" t="s">
        <v>72</v>
      </c>
      <c r="AE48" s="13">
        <v>1709.6</v>
      </c>
      <c r="AF48" s="22">
        <v>1710</v>
      </c>
    </row>
    <row r="49" spans="30:32" x14ac:dyDescent="0.45">
      <c r="AD49" s="31" t="s">
        <v>73</v>
      </c>
      <c r="AE49" s="49">
        <v>1745</v>
      </c>
      <c r="AF49" s="28"/>
    </row>
  </sheetData>
  <mergeCells count="24">
    <mergeCell ref="AE25:AF25"/>
    <mergeCell ref="AG25:AH25"/>
    <mergeCell ref="AD31:AN31"/>
    <mergeCell ref="AE32:AH32"/>
    <mergeCell ref="AI32:AM32"/>
    <mergeCell ref="AD43:AF43"/>
    <mergeCell ref="X20:Y20"/>
    <mergeCell ref="AE20:AF20"/>
    <mergeCell ref="AE21:AF21"/>
    <mergeCell ref="AE22:AF22"/>
    <mergeCell ref="AE23:AF23"/>
    <mergeCell ref="AE24:AJ24"/>
    <mergeCell ref="AH3:AI3"/>
    <mergeCell ref="AK3:AM3"/>
    <mergeCell ref="AE17:AQ17"/>
    <mergeCell ref="AE18:AG18"/>
    <mergeCell ref="AI18:AL18"/>
    <mergeCell ref="AN18:AP18"/>
    <mergeCell ref="D3:E3"/>
    <mergeCell ref="K3:M3"/>
    <mergeCell ref="O3:P3"/>
    <mergeCell ref="R3:T3"/>
    <mergeCell ref="X3:Y3"/>
    <mergeCell ref="AD3:AF3"/>
  </mergeCells>
  <conditionalFormatting sqref="AI4 Y4">
    <cfRule type="cellIs" dxfId="3" priority="4" stopIfTrue="1" operator="notEqual">
      <formula>SUM(Z4:Z7)</formula>
    </cfRule>
  </conditionalFormatting>
  <conditionalFormatting sqref="Y21">
    <cfRule type="cellIs" dxfId="2" priority="3" stopIfTrue="1" operator="notEqual">
      <formula>SUM(Z21:Z24)</formula>
    </cfRule>
  </conditionalFormatting>
  <conditionalFormatting sqref="E4">
    <cfRule type="cellIs" dxfId="1" priority="2" stopIfTrue="1" operator="notEqual">
      <formula>SUM(#REF!)</formula>
    </cfRule>
  </conditionalFormatting>
  <conditionalFormatting sqref="P4">
    <cfRule type="cellIs" dxfId="0" priority="1" stopIfTrue="1" operator="notEqual">
      <formula>SUM(Q4:Q7)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J9" sqref="J9"/>
    </sheetView>
  </sheetViews>
  <sheetFormatPr defaultRowHeight="14.25" x14ac:dyDescent="0.45"/>
  <cols>
    <col min="2" max="2" width="15.265625" customWidth="1"/>
    <col min="5" max="5" width="16.33203125" customWidth="1"/>
  </cols>
  <sheetData>
    <row r="1" spans="1:6" x14ac:dyDescent="0.45">
      <c r="A1" t="s">
        <v>85</v>
      </c>
      <c r="B1" t="s">
        <v>86</v>
      </c>
      <c r="C1" t="s">
        <v>88</v>
      </c>
      <c r="D1" t="s">
        <v>87</v>
      </c>
      <c r="E1" t="s">
        <v>131</v>
      </c>
      <c r="F1" t="s">
        <v>123</v>
      </c>
    </row>
    <row r="2" spans="1:6" x14ac:dyDescent="0.45">
      <c r="A2" t="s">
        <v>33</v>
      </c>
      <c r="B2" t="s">
        <v>84</v>
      </c>
      <c r="C2" t="s">
        <v>89</v>
      </c>
      <c r="D2">
        <f>'Sankey (WIP)'!C4</f>
        <v>7247</v>
      </c>
      <c r="E2">
        <f>IF(OR(C2="scrap",C2="products"),'Exergy Data'!$D$9,VLOOKUP(C2,'Exergy Data'!$A$2:$D$14,4,FALSE))</f>
        <v>0.4</v>
      </c>
      <c r="F2">
        <f>E2*D2</f>
        <v>2898.8</v>
      </c>
    </row>
    <row r="3" spans="1:6" x14ac:dyDescent="0.45">
      <c r="A3" t="s">
        <v>84</v>
      </c>
      <c r="B3" t="s">
        <v>32</v>
      </c>
      <c r="C3" s="75" t="s">
        <v>90</v>
      </c>
      <c r="D3">
        <f>'Sankey (WIP)'!G12</f>
        <v>370.56712570898867</v>
      </c>
      <c r="E3">
        <f>IF(OR(C3="scrap",C3="products"),'Exergy Data'!$D$9,VLOOKUP(C3,'Exergy Data'!$A$2:$D$14,4,FALSE))</f>
        <v>2.1399999999999997</v>
      </c>
      <c r="F3">
        <f t="shared" ref="F3:F28" si="0">E3*D3</f>
        <v>793.01364901723559</v>
      </c>
    </row>
    <row r="4" spans="1:6" x14ac:dyDescent="0.45">
      <c r="A4" t="s">
        <v>84</v>
      </c>
      <c r="B4" t="s">
        <v>105</v>
      </c>
      <c r="C4" s="75" t="s">
        <v>118</v>
      </c>
      <c r="D4" s="68">
        <f>'Sankey (WIP)'!F6</f>
        <v>4605.5328742910124</v>
      </c>
      <c r="E4">
        <f>IF(OR(C4="scrap",C4="products"),'Exergy Data'!$D$9,VLOOKUP(C4,'Exergy Data'!$A$2:$D$14,4,FALSE))</f>
        <v>2.86</v>
      </c>
      <c r="F4">
        <f t="shared" si="0"/>
        <v>13171.824020472295</v>
      </c>
    </row>
    <row r="5" spans="1:6" x14ac:dyDescent="0.45">
      <c r="A5" t="s">
        <v>84</v>
      </c>
      <c r="B5" t="s">
        <v>69</v>
      </c>
      <c r="C5" t="s">
        <v>93</v>
      </c>
      <c r="D5">
        <f>'Sankey (WIP)'!F4</f>
        <v>4821</v>
      </c>
      <c r="E5">
        <f>IF(OR(C5="scrap",C5="products"),'Exergy Data'!$D$9,VLOOKUP(C5,'Exergy Data'!$A$2:$D$14,4,FALSE))</f>
        <v>8.5299999999999994</v>
      </c>
      <c r="F5">
        <f t="shared" si="0"/>
        <v>41123.129999999997</v>
      </c>
    </row>
    <row r="6" spans="1:6" x14ac:dyDescent="0.45">
      <c r="A6" t="s">
        <v>84</v>
      </c>
      <c r="B6" t="s">
        <v>91</v>
      </c>
      <c r="C6" t="s">
        <v>90</v>
      </c>
      <c r="D6">
        <f>'Sankey (WIP)'!E10</f>
        <v>1283.7671257089887</v>
      </c>
      <c r="E6">
        <f>IF(OR(C6="scrap",C6="products"),'Exergy Data'!$D$9,VLOOKUP(C6,'Exergy Data'!$A$2:$D$14,4,FALSE))</f>
        <v>2.1399999999999997</v>
      </c>
      <c r="F6">
        <f t="shared" si="0"/>
        <v>2747.2616490172354</v>
      </c>
    </row>
    <row r="7" spans="1:6" x14ac:dyDescent="0.45">
      <c r="A7" t="s">
        <v>91</v>
      </c>
      <c r="B7" t="s">
        <v>84</v>
      </c>
      <c r="C7" t="s">
        <v>90</v>
      </c>
      <c r="D7">
        <f>D6</f>
        <v>1283.7671257089887</v>
      </c>
      <c r="E7">
        <f>IF(OR(C7="scrap",C7="products"),'Exergy Data'!$D$9,VLOOKUP(C7,'Exergy Data'!$A$2:$D$14,4,FALSE))</f>
        <v>2.1399999999999997</v>
      </c>
      <c r="F7">
        <f t="shared" si="0"/>
        <v>2747.2616490172354</v>
      </c>
    </row>
    <row r="8" spans="1:6" x14ac:dyDescent="0.45">
      <c r="A8" t="s">
        <v>94</v>
      </c>
      <c r="B8" t="s">
        <v>69</v>
      </c>
      <c r="C8" t="s">
        <v>93</v>
      </c>
      <c r="D8" s="68">
        <f>'Sankey (WIP)'!M4</f>
        <v>237</v>
      </c>
      <c r="E8">
        <f>IF(OR(C8="scrap",C8="products"),'Exergy Data'!$D$9,VLOOKUP(C8,'Exergy Data'!$A$2:$D$14,4,FALSE))</f>
        <v>8.5299999999999994</v>
      </c>
      <c r="F8">
        <f t="shared" si="0"/>
        <v>2021.61</v>
      </c>
    </row>
    <row r="9" spans="1:6" x14ac:dyDescent="0.45">
      <c r="A9" t="s">
        <v>69</v>
      </c>
      <c r="B9" t="s">
        <v>95</v>
      </c>
      <c r="C9" t="s">
        <v>93</v>
      </c>
      <c r="D9" s="68">
        <f>'Sankey (WIP)'!Q4</f>
        <v>65</v>
      </c>
      <c r="E9">
        <f>IF(OR(C9="scrap",C9="products"),'Exergy Data'!$D$9,VLOOKUP(C9,'Exergy Data'!$A$2:$D$14,4,FALSE))</f>
        <v>8.5299999999999994</v>
      </c>
      <c r="F9">
        <f t="shared" si="0"/>
        <v>554.44999999999993</v>
      </c>
    </row>
    <row r="10" spans="1:6" x14ac:dyDescent="0.45">
      <c r="A10" t="s">
        <v>69</v>
      </c>
      <c r="B10" t="s">
        <v>5</v>
      </c>
      <c r="C10" t="s">
        <v>93</v>
      </c>
      <c r="D10" s="68">
        <f>'Sankey (WIP)'!Q6</f>
        <v>4993</v>
      </c>
      <c r="E10">
        <f>IF(OR(C10="scrap",C10="products"),'Exergy Data'!$D$9,VLOOKUP(C10,'Exergy Data'!$A$2:$D$14,4,FALSE))</f>
        <v>8.5299999999999994</v>
      </c>
      <c r="F10">
        <f t="shared" si="0"/>
        <v>42590.289999999994</v>
      </c>
    </row>
    <row r="11" spans="1:6" x14ac:dyDescent="0.45">
      <c r="A11" t="s">
        <v>96</v>
      </c>
      <c r="B11" t="s">
        <v>5</v>
      </c>
      <c r="C11" t="s">
        <v>97</v>
      </c>
      <c r="D11">
        <f>'Sankey (WIP)'!T14</f>
        <v>1068.2213952774632</v>
      </c>
      <c r="E11">
        <f>IF(OR(C11="scrap",C11="products"),'Exergy Data'!$D$9,VLOOKUP(C11,'Exergy Data'!$A$2:$D$14,4,FALSE))</f>
        <v>7.35</v>
      </c>
      <c r="F11">
        <f t="shared" si="0"/>
        <v>7851.4272552893544</v>
      </c>
    </row>
    <row r="12" spans="1:6" x14ac:dyDescent="0.45">
      <c r="A12" t="s">
        <v>96</v>
      </c>
      <c r="B12" t="s">
        <v>8</v>
      </c>
      <c r="C12" t="s">
        <v>97</v>
      </c>
      <c r="D12">
        <f>'Sankey (WIP)'!W23</f>
        <v>4466.5482228147239</v>
      </c>
      <c r="E12">
        <f>IF(OR(C12="scrap",C12="products"),'Exergy Data'!$D$9,VLOOKUP(C12,'Exergy Data'!$A$2:$D$14,4,FALSE))</f>
        <v>7.35</v>
      </c>
      <c r="F12">
        <f t="shared" si="0"/>
        <v>32829.129437688222</v>
      </c>
    </row>
    <row r="13" spans="1:6" x14ac:dyDescent="0.45">
      <c r="A13" t="s">
        <v>5</v>
      </c>
      <c r="B13" t="s">
        <v>98</v>
      </c>
      <c r="C13" t="s">
        <v>97</v>
      </c>
      <c r="D13">
        <f>'Sankey (WIP)'!Z14</f>
        <v>440.00596551128837</v>
      </c>
      <c r="E13">
        <f>IF(OR(C13="scrap",C13="products"),'Exergy Data'!$D$9,VLOOKUP(C13,'Exergy Data'!$A$2:$D$14,4,FALSE))</f>
        <v>7.35</v>
      </c>
      <c r="F13">
        <f t="shared" si="0"/>
        <v>3234.0438465079692</v>
      </c>
    </row>
    <row r="14" spans="1:6" x14ac:dyDescent="0.45">
      <c r="A14" t="s">
        <v>98</v>
      </c>
      <c r="B14" t="s">
        <v>5</v>
      </c>
      <c r="C14" t="s">
        <v>97</v>
      </c>
      <c r="D14">
        <f>D13</f>
        <v>440.00596551128837</v>
      </c>
      <c r="E14">
        <f>IF(OR(C14="scrap",C14="products"),'Exergy Data'!$D$9,VLOOKUP(C14,'Exergy Data'!$A$2:$D$14,4,FALSE))</f>
        <v>7.35</v>
      </c>
      <c r="F14">
        <f t="shared" si="0"/>
        <v>3234.0438465079692</v>
      </c>
    </row>
    <row r="15" spans="1:6" x14ac:dyDescent="0.45">
      <c r="A15" t="s">
        <v>5</v>
      </c>
      <c r="B15" t="s">
        <v>105</v>
      </c>
      <c r="C15" t="s">
        <v>100</v>
      </c>
      <c r="D15" s="68">
        <f>'Sankey (WIP)'!AA7</f>
        <v>345.90400325584415</v>
      </c>
      <c r="E15">
        <f>IF(OR(C15="scrap",C15="products"),'Exergy Data'!$D$9,VLOOKUP(C15,'Exergy Data'!$A$2:$D$14,4,FALSE))</f>
        <v>7.35</v>
      </c>
      <c r="F15">
        <f t="shared" si="0"/>
        <v>2542.3944239304542</v>
      </c>
    </row>
    <row r="16" spans="1:6" x14ac:dyDescent="0.45">
      <c r="A16" t="s">
        <v>5</v>
      </c>
      <c r="B16" t="s">
        <v>99</v>
      </c>
      <c r="C16" t="s">
        <v>100</v>
      </c>
      <c r="D16">
        <f>'Sankey (WIP)'!Z5</f>
        <v>5321</v>
      </c>
      <c r="E16">
        <f>IF(OR(C16="scrap",C16="products"),'Exergy Data'!$D$9,VLOOKUP(C16,'Exergy Data'!$A$2:$D$14,4,FALSE))</f>
        <v>7.35</v>
      </c>
      <c r="F16">
        <f t="shared" si="0"/>
        <v>39109.35</v>
      </c>
    </row>
    <row r="17" spans="1:6" x14ac:dyDescent="0.45">
      <c r="A17" t="s">
        <v>8</v>
      </c>
      <c r="B17" t="s">
        <v>105</v>
      </c>
      <c r="C17" t="s">
        <v>100</v>
      </c>
      <c r="D17" s="68">
        <f>'Sankey (WIP)'!AB24</f>
        <v>52.632740545332126</v>
      </c>
      <c r="E17">
        <f>IF(OR(C17="scrap",C17="products"),'Exergy Data'!$D$9,VLOOKUP(C17,'Exergy Data'!$A$2:$D$14,4,FALSE))</f>
        <v>7.35</v>
      </c>
      <c r="F17">
        <f t="shared" si="0"/>
        <v>386.85064300819113</v>
      </c>
    </row>
    <row r="18" spans="1:6" x14ac:dyDescent="0.45">
      <c r="A18" t="s">
        <v>8</v>
      </c>
      <c r="B18" t="s">
        <v>99</v>
      </c>
      <c r="C18" t="s">
        <v>100</v>
      </c>
      <c r="D18">
        <f>'Sankey (WIP)'!Z23</f>
        <v>3877</v>
      </c>
      <c r="E18">
        <f>IF(OR(C18="scrap",C18="products"),'Exergy Data'!$D$9,VLOOKUP(C18,'Exergy Data'!$A$2:$D$14,4,FALSE))</f>
        <v>7.35</v>
      </c>
      <c r="F18">
        <f t="shared" si="0"/>
        <v>28495.949999999997</v>
      </c>
    </row>
    <row r="19" spans="1:6" x14ac:dyDescent="0.45">
      <c r="A19" t="s">
        <v>101</v>
      </c>
      <c r="B19" t="s">
        <v>99</v>
      </c>
      <c r="C19" t="s">
        <v>104</v>
      </c>
      <c r="D19" s="68">
        <f>'Sankey (WIP)'!AF4</f>
        <v>9214</v>
      </c>
      <c r="E19">
        <f>IF(OR(C19="scrap",C19="products"),'Exergy Data'!$D$9,VLOOKUP(C19,'Exergy Data'!$A$2:$D$14,4,FALSE))</f>
        <v>7.35</v>
      </c>
      <c r="F19">
        <f t="shared" si="0"/>
        <v>67722.899999999994</v>
      </c>
    </row>
    <row r="20" spans="1:6" x14ac:dyDescent="0.45">
      <c r="A20" t="s">
        <v>99</v>
      </c>
      <c r="B20" t="s">
        <v>102</v>
      </c>
      <c r="C20" t="s">
        <v>104</v>
      </c>
      <c r="D20" s="68">
        <f>'Sankey (WIP)'!AJ4</f>
        <v>5024</v>
      </c>
      <c r="E20">
        <f>IF(OR(C20="scrap",C20="products"),'Exergy Data'!$D$9,VLOOKUP(C20,'Exergy Data'!$A$2:$D$14,4,FALSE))</f>
        <v>7.35</v>
      </c>
      <c r="F20">
        <f t="shared" si="0"/>
        <v>36926.400000000001</v>
      </c>
    </row>
    <row r="21" spans="1:6" x14ac:dyDescent="0.45">
      <c r="A21" t="s">
        <v>99</v>
      </c>
      <c r="B21" t="s">
        <v>103</v>
      </c>
      <c r="C21" t="s">
        <v>100</v>
      </c>
      <c r="D21" s="68">
        <f>'Sankey (WIP)'!AJ6</f>
        <v>12781</v>
      </c>
      <c r="E21">
        <f>IF(OR(C21="scrap",C21="products"),'Exergy Data'!$D$9,VLOOKUP(C21,'Exergy Data'!$A$2:$D$14,4,FALSE))</f>
        <v>7.35</v>
      </c>
      <c r="F21">
        <f t="shared" si="0"/>
        <v>93940.349999999991</v>
      </c>
    </row>
    <row r="22" spans="1:6" x14ac:dyDescent="0.45">
      <c r="A22" t="s">
        <v>99</v>
      </c>
      <c r="B22" t="s">
        <v>105</v>
      </c>
      <c r="C22" t="s">
        <v>100</v>
      </c>
      <c r="D22" s="68">
        <f>'Sankey (WIP)'!AJ7</f>
        <v>607</v>
      </c>
      <c r="E22">
        <f>IF(OR(C22="scrap",C22="products"),'Exergy Data'!$D$9,VLOOKUP(C22,'Exergy Data'!$A$2:$D$14,4,FALSE))</f>
        <v>7.35</v>
      </c>
      <c r="F22">
        <f t="shared" si="0"/>
        <v>4461.45</v>
      </c>
    </row>
    <row r="23" spans="1:6" x14ac:dyDescent="0.45">
      <c r="A23" t="s">
        <v>5</v>
      </c>
      <c r="B23" t="s">
        <v>32</v>
      </c>
      <c r="C23" t="s">
        <v>124</v>
      </c>
      <c r="D23">
        <f>'Sankey (WIP)'!AA12</f>
        <v>394.3173920216193</v>
      </c>
      <c r="E23">
        <f>IF(OR(C23="scrap",C23="products"),'Exergy Data'!$D$9,VLOOKUP(C23,'Exergy Data'!$A$2:$D$14,4,FALSE))</f>
        <v>2.44</v>
      </c>
      <c r="F23">
        <f t="shared" si="0"/>
        <v>962.13443653275101</v>
      </c>
    </row>
    <row r="24" spans="1:6" x14ac:dyDescent="0.45">
      <c r="A24" t="s">
        <v>8</v>
      </c>
      <c r="B24" t="s">
        <v>32</v>
      </c>
      <c r="C24" t="s">
        <v>124</v>
      </c>
      <c r="D24">
        <f>'Sankey (WIP)'!AA28</f>
        <v>536.91548226939199</v>
      </c>
      <c r="E24">
        <f>IF(OR(C24="scrap",C24="products"),'Exergy Data'!$D$9,VLOOKUP(C24,'Exergy Data'!$A$2:$D$14,4,FALSE))</f>
        <v>2.44</v>
      </c>
      <c r="F24">
        <f t="shared" si="0"/>
        <v>1310.0737767373164</v>
      </c>
    </row>
    <row r="25" spans="1:6" x14ac:dyDescent="0.45">
      <c r="A25" t="s">
        <v>106</v>
      </c>
      <c r="B25" t="s">
        <v>84</v>
      </c>
      <c r="C25" t="s">
        <v>106</v>
      </c>
      <c r="D25">
        <f>'Sankey (WIP)'!C6</f>
        <v>2279.9</v>
      </c>
      <c r="E25">
        <f>IF(OR(C25="scrap",C25="products"),'Exergy Data'!$D$9,VLOOKUP(C25,'Exergy Data'!$A$2:$D$14,4,FALSE))</f>
        <v>34.6</v>
      </c>
      <c r="F25">
        <f t="shared" si="0"/>
        <v>78884.540000000008</v>
      </c>
    </row>
    <row r="26" spans="1:6" x14ac:dyDescent="0.45">
      <c r="A26" t="s">
        <v>108</v>
      </c>
      <c r="B26" t="s">
        <v>84</v>
      </c>
      <c r="C26" t="s">
        <v>106</v>
      </c>
      <c r="D26">
        <f>'Sankey (WIP)'!C7</f>
        <v>270.2</v>
      </c>
      <c r="E26">
        <f>IF(OR(C26="scrap",C26="products"),'Exergy Data'!$D$9,VLOOKUP(C26,'Exergy Data'!$A$2:$D$14,4,FALSE))</f>
        <v>34.6</v>
      </c>
      <c r="F26">
        <f t="shared" si="0"/>
        <v>9348.92</v>
      </c>
    </row>
    <row r="27" spans="1:6" x14ac:dyDescent="0.45">
      <c r="A27" t="s">
        <v>64</v>
      </c>
      <c r="B27" t="s">
        <v>96</v>
      </c>
      <c r="C27" t="s">
        <v>97</v>
      </c>
      <c r="D27">
        <f>'Sankey (WIP)'!L21</f>
        <v>745</v>
      </c>
      <c r="E27">
        <f>IF(OR(C27="scrap",C27="products"),'Exergy Data'!$D$9,VLOOKUP(C27,'Exergy Data'!$A$2:$D$14,4,FALSE))</f>
        <v>7.35</v>
      </c>
      <c r="F27">
        <f t="shared" si="0"/>
        <v>5475.75</v>
      </c>
    </row>
    <row r="28" spans="1:6" x14ac:dyDescent="0.45">
      <c r="A28" t="s">
        <v>130</v>
      </c>
      <c r="B28" t="s">
        <v>96</v>
      </c>
      <c r="C28" t="s">
        <v>97</v>
      </c>
      <c r="D28">
        <f>'Sankey (WIP)'!L23</f>
        <v>6220.7696180921866</v>
      </c>
      <c r="E28">
        <f>IF(OR(C28="scrap",C28="products"),'Exergy Data'!$D$9,VLOOKUP(C28,'Exergy Data'!$A$2:$D$14,4,FALSE))</f>
        <v>7.35</v>
      </c>
      <c r="F28">
        <f t="shared" si="0"/>
        <v>45722.656692977573</v>
      </c>
    </row>
    <row r="29" spans="1:6" x14ac:dyDescent="0.45">
      <c r="A29" t="s">
        <v>96</v>
      </c>
      <c r="B29" t="s">
        <v>129</v>
      </c>
      <c r="C29" t="s">
        <v>97</v>
      </c>
      <c r="D29">
        <f>'Sankey (WIP)'!O21</f>
        <v>1431</v>
      </c>
      <c r="E29">
        <f>IF(OR(C29="scrap",C29="products"),'Exergy Data'!$D$9,VLOOKUP(C29,'Exergy Data'!$A$2:$D$14,4,FALSE))</f>
        <v>7.35</v>
      </c>
      <c r="F29">
        <f t="shared" ref="F29" si="1">E29*D29</f>
        <v>10517.85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6" workbookViewId="0">
      <selection activeCell="I30" sqref="I30"/>
    </sheetView>
  </sheetViews>
  <sheetFormatPr defaultRowHeight="14.25" x14ac:dyDescent="0.45"/>
  <cols>
    <col min="2" max="2" width="15.265625" customWidth="1"/>
    <col min="5" max="5" width="16.33203125" customWidth="1"/>
  </cols>
  <sheetData>
    <row r="1" spans="1:6" x14ac:dyDescent="0.45">
      <c r="A1" t="s">
        <v>85</v>
      </c>
      <c r="B1" t="s">
        <v>86</v>
      </c>
      <c r="C1" t="s">
        <v>88</v>
      </c>
      <c r="D1" t="s">
        <v>87</v>
      </c>
      <c r="E1" t="s">
        <v>131</v>
      </c>
      <c r="F1" t="s">
        <v>123</v>
      </c>
    </row>
    <row r="2" spans="1:6" x14ac:dyDescent="0.45">
      <c r="A2" t="s">
        <v>33</v>
      </c>
      <c r="B2" t="s">
        <v>84</v>
      </c>
      <c r="C2" t="s">
        <v>89</v>
      </c>
      <c r="D2">
        <f>'Sankey (WIP)'!C4</f>
        <v>7247</v>
      </c>
      <c r="E2">
        <f>IF(OR(C2="scrap",C2="products"),'Exergy Data'!$D$9,VLOOKUP(C2,'Exergy Data'!$A$2:$D$14,4,FALSE))</f>
        <v>0.4</v>
      </c>
      <c r="F2">
        <f>E2*D2</f>
        <v>2898.8</v>
      </c>
    </row>
    <row r="3" spans="1:6" x14ac:dyDescent="0.45">
      <c r="A3" t="s">
        <v>84</v>
      </c>
      <c r="B3" t="s">
        <v>32</v>
      </c>
      <c r="C3" s="75" t="s">
        <v>90</v>
      </c>
      <c r="D3">
        <f>'Sankey (WIP)'!G12</f>
        <v>370.56712570898867</v>
      </c>
      <c r="E3">
        <f>IF(OR(C3="scrap",C3="products"),'Exergy Data'!$D$9,VLOOKUP(C3,'Exergy Data'!$A$2:$D$14,4,FALSE))</f>
        <v>2.1399999999999997</v>
      </c>
      <c r="F3">
        <f t="shared" ref="F3:F29" si="0">E3*D3</f>
        <v>793.01364901723559</v>
      </c>
    </row>
    <row r="4" spans="1:6" x14ac:dyDescent="0.45">
      <c r="A4" t="s">
        <v>84</v>
      </c>
      <c r="B4" t="s">
        <v>105</v>
      </c>
      <c r="C4" s="75" t="s">
        <v>118</v>
      </c>
      <c r="D4" s="68">
        <f>'Sankey (WIP)'!F6</f>
        <v>4605.5328742910124</v>
      </c>
      <c r="E4">
        <f>IF(OR(C4="scrap",C4="products"),'Exergy Data'!$D$9,VLOOKUP(C4,'Exergy Data'!$A$2:$D$14,4,FALSE))</f>
        <v>2.86</v>
      </c>
      <c r="F4">
        <f t="shared" si="0"/>
        <v>13171.824020472295</v>
      </c>
    </row>
    <row r="5" spans="1:6" x14ac:dyDescent="0.45">
      <c r="A5" t="s">
        <v>84</v>
      </c>
      <c r="B5" t="s">
        <v>69</v>
      </c>
      <c r="C5" t="s">
        <v>93</v>
      </c>
      <c r="D5">
        <f>'Sankey (WIP)'!F4</f>
        <v>4821</v>
      </c>
      <c r="E5">
        <f>IF(OR(C5="scrap",C5="products"),'Exergy Data'!$D$9,VLOOKUP(C5,'Exergy Data'!$A$2:$D$14,4,FALSE))</f>
        <v>8.5299999999999994</v>
      </c>
      <c r="F5">
        <f t="shared" si="0"/>
        <v>41123.129999999997</v>
      </c>
    </row>
    <row r="6" spans="1:6" x14ac:dyDescent="0.45">
      <c r="A6" t="s">
        <v>84</v>
      </c>
      <c r="B6" t="s">
        <v>91</v>
      </c>
      <c r="C6" t="s">
        <v>90</v>
      </c>
      <c r="D6">
        <f>'Sankey (WIP)'!E10</f>
        <v>1283.7671257089887</v>
      </c>
      <c r="E6">
        <f>IF(OR(C6="scrap",C6="products"),'Exergy Data'!$D$9,VLOOKUP(C6,'Exergy Data'!$A$2:$D$14,4,FALSE))</f>
        <v>2.1399999999999997</v>
      </c>
      <c r="F6">
        <f t="shared" si="0"/>
        <v>2747.2616490172354</v>
      </c>
    </row>
    <row r="7" spans="1:6" x14ac:dyDescent="0.45">
      <c r="A7" t="s">
        <v>91</v>
      </c>
      <c r="B7" t="s">
        <v>84</v>
      </c>
      <c r="C7" t="s">
        <v>90</v>
      </c>
      <c r="D7">
        <f>D6</f>
        <v>1283.7671257089887</v>
      </c>
      <c r="E7">
        <f>IF(OR(C7="scrap",C7="products"),'Exergy Data'!$D$9,VLOOKUP(C7,'Exergy Data'!$A$2:$D$14,4,FALSE))</f>
        <v>2.1399999999999997</v>
      </c>
      <c r="F7">
        <f t="shared" si="0"/>
        <v>2747.2616490172354</v>
      </c>
    </row>
    <row r="8" spans="1:6" x14ac:dyDescent="0.45">
      <c r="A8" t="s">
        <v>94</v>
      </c>
      <c r="B8" t="s">
        <v>69</v>
      </c>
      <c r="C8" t="s">
        <v>93</v>
      </c>
      <c r="D8" s="68">
        <f>'Sankey (WIP)'!M4</f>
        <v>237</v>
      </c>
      <c r="E8">
        <f>IF(OR(C8="scrap",C8="products"),'Exergy Data'!$D$9,VLOOKUP(C8,'Exergy Data'!$A$2:$D$14,4,FALSE))</f>
        <v>8.5299999999999994</v>
      </c>
      <c r="F8">
        <f t="shared" si="0"/>
        <v>2021.61</v>
      </c>
    </row>
    <row r="9" spans="1:6" x14ac:dyDescent="0.45">
      <c r="A9" t="s">
        <v>69</v>
      </c>
      <c r="B9" t="s">
        <v>95</v>
      </c>
      <c r="C9" t="s">
        <v>93</v>
      </c>
      <c r="D9" s="68">
        <f>'Sankey (WIP)'!Q4</f>
        <v>65</v>
      </c>
      <c r="E9">
        <f>IF(OR(C9="scrap",C9="products"),'Exergy Data'!$D$9,VLOOKUP(C9,'Exergy Data'!$A$2:$D$14,4,FALSE))</f>
        <v>8.5299999999999994</v>
      </c>
      <c r="F9">
        <f t="shared" si="0"/>
        <v>554.44999999999993</v>
      </c>
    </row>
    <row r="10" spans="1:6" x14ac:dyDescent="0.45">
      <c r="A10" t="s">
        <v>69</v>
      </c>
      <c r="B10" t="s">
        <v>5</v>
      </c>
      <c r="C10" t="s">
        <v>93</v>
      </c>
      <c r="D10" s="68">
        <f>'Sankey (WIP)'!Q6</f>
        <v>4993</v>
      </c>
      <c r="E10">
        <f>IF(OR(C10="scrap",C10="products"),'Exergy Data'!$D$9,VLOOKUP(C10,'Exergy Data'!$A$2:$D$14,4,FALSE))</f>
        <v>8.5299999999999994</v>
      </c>
      <c r="F10">
        <f t="shared" si="0"/>
        <v>42590.289999999994</v>
      </c>
    </row>
    <row r="11" spans="1:6" x14ac:dyDescent="0.45">
      <c r="A11" t="s">
        <v>96</v>
      </c>
      <c r="B11" t="s">
        <v>5</v>
      </c>
      <c r="C11" t="s">
        <v>97</v>
      </c>
      <c r="D11">
        <f>'Sankey (WIP)'!T14</f>
        <v>1068.2213952774632</v>
      </c>
      <c r="E11">
        <f>IF(OR(C11="scrap",C11="products"),'Exergy Data'!$D$9,VLOOKUP(C11,'Exergy Data'!$A$2:$D$14,4,FALSE))</f>
        <v>7.35</v>
      </c>
      <c r="F11">
        <f t="shared" si="0"/>
        <v>7851.4272552893544</v>
      </c>
    </row>
    <row r="12" spans="1:6" x14ac:dyDescent="0.45">
      <c r="A12" t="s">
        <v>96</v>
      </c>
      <c r="B12" t="s">
        <v>8</v>
      </c>
      <c r="C12" t="s">
        <v>97</v>
      </c>
      <c r="D12">
        <f>'Sankey (WIP)'!W23</f>
        <v>4466.5482228147239</v>
      </c>
      <c r="E12">
        <f>IF(OR(C12="scrap",C12="products"),'Exergy Data'!$D$9,VLOOKUP(C12,'Exergy Data'!$A$2:$D$14,4,FALSE))</f>
        <v>7.35</v>
      </c>
      <c r="F12">
        <f t="shared" si="0"/>
        <v>32829.129437688222</v>
      </c>
    </row>
    <row r="13" spans="1:6" x14ac:dyDescent="0.45">
      <c r="A13" t="s">
        <v>5</v>
      </c>
      <c r="B13" t="s">
        <v>98</v>
      </c>
      <c r="C13" t="s">
        <v>97</v>
      </c>
      <c r="D13">
        <f>'Sankey (WIP)'!Z14</f>
        <v>440.00596551128837</v>
      </c>
      <c r="E13">
        <f>IF(OR(C13="scrap",C13="products"),'Exergy Data'!$D$9,VLOOKUP(C13,'Exergy Data'!$A$2:$D$14,4,FALSE))</f>
        <v>7.35</v>
      </c>
      <c r="F13">
        <f t="shared" si="0"/>
        <v>3234.0438465079692</v>
      </c>
    </row>
    <row r="14" spans="1:6" x14ac:dyDescent="0.45">
      <c r="A14" t="s">
        <v>98</v>
      </c>
      <c r="B14" t="s">
        <v>5</v>
      </c>
      <c r="C14" t="s">
        <v>97</v>
      </c>
      <c r="D14">
        <f>D13</f>
        <v>440.00596551128837</v>
      </c>
      <c r="E14">
        <f>IF(OR(C14="scrap",C14="products"),'Exergy Data'!$D$9,VLOOKUP(C14,'Exergy Data'!$A$2:$D$14,4,FALSE))</f>
        <v>7.35</v>
      </c>
      <c r="F14">
        <f t="shared" si="0"/>
        <v>3234.0438465079692</v>
      </c>
    </row>
    <row r="15" spans="1:6" x14ac:dyDescent="0.45">
      <c r="A15" t="s">
        <v>5</v>
      </c>
      <c r="B15" t="s">
        <v>105</v>
      </c>
      <c r="C15" t="s">
        <v>100</v>
      </c>
      <c r="D15" s="68">
        <f>'Sankey (WIP)'!AA7</f>
        <v>345.90400325584415</v>
      </c>
      <c r="E15">
        <f>IF(OR(C15="scrap",C15="products"),'Exergy Data'!$D$9,VLOOKUP(C15,'Exergy Data'!$A$2:$D$14,4,FALSE))</f>
        <v>7.35</v>
      </c>
      <c r="F15">
        <f t="shared" si="0"/>
        <v>2542.3944239304542</v>
      </c>
    </row>
    <row r="16" spans="1:6" x14ac:dyDescent="0.45">
      <c r="A16" t="s">
        <v>5</v>
      </c>
      <c r="B16" t="s">
        <v>99</v>
      </c>
      <c r="C16" t="s">
        <v>100</v>
      </c>
      <c r="D16">
        <f>'Sankey (WIP)'!Z5</f>
        <v>5321</v>
      </c>
      <c r="E16">
        <f>IF(OR(C16="scrap",C16="products"),'Exergy Data'!$D$9,VLOOKUP(C16,'Exergy Data'!$A$2:$D$14,4,FALSE))</f>
        <v>7.35</v>
      </c>
      <c r="F16">
        <f t="shared" si="0"/>
        <v>39109.35</v>
      </c>
    </row>
    <row r="17" spans="1:6" x14ac:dyDescent="0.45">
      <c r="A17" t="s">
        <v>8</v>
      </c>
      <c r="B17" t="s">
        <v>105</v>
      </c>
      <c r="C17" t="s">
        <v>100</v>
      </c>
      <c r="D17" s="68">
        <f>'Sankey (WIP)'!AB24</f>
        <v>52.632740545332126</v>
      </c>
      <c r="E17">
        <f>IF(OR(C17="scrap",C17="products"),'Exergy Data'!$D$9,VLOOKUP(C17,'Exergy Data'!$A$2:$D$14,4,FALSE))</f>
        <v>7.35</v>
      </c>
      <c r="F17">
        <f t="shared" si="0"/>
        <v>386.85064300819113</v>
      </c>
    </row>
    <row r="18" spans="1:6" x14ac:dyDescent="0.45">
      <c r="A18" t="s">
        <v>8</v>
      </c>
      <c r="B18" t="s">
        <v>99</v>
      </c>
      <c r="C18" t="s">
        <v>100</v>
      </c>
      <c r="D18">
        <f>'Sankey (WIP)'!Z23</f>
        <v>3877</v>
      </c>
      <c r="E18">
        <f>IF(OR(C18="scrap",C18="products"),'Exergy Data'!$D$9,VLOOKUP(C18,'Exergy Data'!$A$2:$D$14,4,FALSE))</f>
        <v>7.35</v>
      </c>
      <c r="F18">
        <f t="shared" si="0"/>
        <v>28495.949999999997</v>
      </c>
    </row>
    <row r="19" spans="1:6" x14ac:dyDescent="0.45">
      <c r="A19" t="s">
        <v>101</v>
      </c>
      <c r="B19" t="s">
        <v>99</v>
      </c>
      <c r="C19" t="s">
        <v>104</v>
      </c>
      <c r="D19" s="68">
        <f>'Sankey (WIP)'!AF4</f>
        <v>9214</v>
      </c>
      <c r="E19">
        <f>IF(OR(C19="scrap",C19="products"),'Exergy Data'!$D$9,VLOOKUP(C19,'Exergy Data'!$A$2:$D$14,4,FALSE))</f>
        <v>7.35</v>
      </c>
      <c r="F19">
        <f t="shared" si="0"/>
        <v>67722.899999999994</v>
      </c>
    </row>
    <row r="20" spans="1:6" x14ac:dyDescent="0.45">
      <c r="A20" t="s">
        <v>99</v>
      </c>
      <c r="B20" t="s">
        <v>102</v>
      </c>
      <c r="C20" t="s">
        <v>104</v>
      </c>
      <c r="D20" s="68">
        <f>'Sankey (WIP)'!AJ4</f>
        <v>5024</v>
      </c>
      <c r="E20">
        <f>IF(OR(C20="scrap",C20="products"),'Exergy Data'!$D$9,VLOOKUP(C20,'Exergy Data'!$A$2:$D$14,4,FALSE))</f>
        <v>7.35</v>
      </c>
      <c r="F20">
        <f t="shared" si="0"/>
        <v>36926.400000000001</v>
      </c>
    </row>
    <row r="21" spans="1:6" x14ac:dyDescent="0.45">
      <c r="A21" t="s">
        <v>99</v>
      </c>
      <c r="B21" t="s">
        <v>103</v>
      </c>
      <c r="C21" t="s">
        <v>100</v>
      </c>
      <c r="D21" s="68">
        <f>'Sankey (WIP)'!AJ6</f>
        <v>12781</v>
      </c>
      <c r="E21">
        <f>IF(OR(C21="scrap",C21="products"),'Exergy Data'!$D$9,VLOOKUP(C21,'Exergy Data'!$A$2:$D$14,4,FALSE))</f>
        <v>7.35</v>
      </c>
      <c r="F21">
        <f t="shared" si="0"/>
        <v>93940.349999999991</v>
      </c>
    </row>
    <row r="22" spans="1:6" x14ac:dyDescent="0.45">
      <c r="A22" t="s">
        <v>99</v>
      </c>
      <c r="B22" t="s">
        <v>105</v>
      </c>
      <c r="C22" t="s">
        <v>100</v>
      </c>
      <c r="D22" s="68">
        <f>'Sankey (WIP)'!AJ7</f>
        <v>607</v>
      </c>
      <c r="E22">
        <f>IF(OR(C22="scrap",C22="products"),'Exergy Data'!$D$9,VLOOKUP(C22,'Exergy Data'!$A$2:$D$14,4,FALSE))</f>
        <v>7.35</v>
      </c>
      <c r="F22">
        <f t="shared" si="0"/>
        <v>4461.45</v>
      </c>
    </row>
    <row r="23" spans="1:6" x14ac:dyDescent="0.45">
      <c r="A23" t="s">
        <v>5</v>
      </c>
      <c r="B23" t="s">
        <v>32</v>
      </c>
      <c r="C23" t="s">
        <v>124</v>
      </c>
      <c r="D23">
        <f>'Sankey (WIP)'!AA12</f>
        <v>394.3173920216193</v>
      </c>
      <c r="E23">
        <f>IF(OR(C23="scrap",C23="products"),'Exergy Data'!$D$9,VLOOKUP(C23,'Exergy Data'!$A$2:$D$14,4,FALSE))</f>
        <v>2.44</v>
      </c>
      <c r="F23">
        <f t="shared" si="0"/>
        <v>962.13443653275101</v>
      </c>
    </row>
    <row r="24" spans="1:6" x14ac:dyDescent="0.45">
      <c r="A24" t="s">
        <v>8</v>
      </c>
      <c r="B24" t="s">
        <v>32</v>
      </c>
      <c r="C24" t="s">
        <v>124</v>
      </c>
      <c r="D24">
        <f>'Sankey (WIP)'!AA28</f>
        <v>536.91548226939199</v>
      </c>
      <c r="E24">
        <f>IF(OR(C24="scrap",C24="products"),'Exergy Data'!$D$9,VLOOKUP(C24,'Exergy Data'!$A$2:$D$14,4,FALSE))</f>
        <v>2.44</v>
      </c>
      <c r="F24">
        <f t="shared" si="0"/>
        <v>1310.0737767373164</v>
      </c>
    </row>
    <row r="25" spans="1:6" x14ac:dyDescent="0.45">
      <c r="A25" t="s">
        <v>106</v>
      </c>
      <c r="B25" t="s">
        <v>84</v>
      </c>
      <c r="C25" t="s">
        <v>106</v>
      </c>
      <c r="D25">
        <f>'Sankey (WIP)'!C6</f>
        <v>2279.9</v>
      </c>
      <c r="E25">
        <f>IF(OR(C25="scrap",C25="products"),'Exergy Data'!$D$9,VLOOKUP(C25,'Exergy Data'!$A$2:$D$14,4,FALSE))</f>
        <v>34.6</v>
      </c>
      <c r="F25">
        <f t="shared" si="0"/>
        <v>78884.540000000008</v>
      </c>
    </row>
    <row r="26" spans="1:6" x14ac:dyDescent="0.45">
      <c r="A26" t="s">
        <v>108</v>
      </c>
      <c r="B26" t="s">
        <v>84</v>
      </c>
      <c r="C26" t="s">
        <v>106</v>
      </c>
      <c r="D26">
        <f>'Sankey (WIP)'!C7</f>
        <v>270.2</v>
      </c>
      <c r="E26">
        <f>IF(OR(C26="scrap",C26="products"),'Exergy Data'!$D$9,VLOOKUP(C26,'Exergy Data'!$A$2:$D$14,4,FALSE))</f>
        <v>34.6</v>
      </c>
      <c r="F26">
        <f t="shared" si="0"/>
        <v>9348.92</v>
      </c>
    </row>
    <row r="27" spans="1:6" x14ac:dyDescent="0.45">
      <c r="A27" t="s">
        <v>64</v>
      </c>
      <c r="B27" t="s">
        <v>96</v>
      </c>
      <c r="C27" t="s">
        <v>97</v>
      </c>
      <c r="D27">
        <f>'Sankey (WIP)'!L21</f>
        <v>745</v>
      </c>
      <c r="E27">
        <f>IF(OR(C27="scrap",C27="products"),'Exergy Data'!$D$9,VLOOKUP(C27,'Exergy Data'!$A$2:$D$14,4,FALSE))</f>
        <v>7.35</v>
      </c>
      <c r="F27">
        <f t="shared" si="0"/>
        <v>5475.75</v>
      </c>
    </row>
    <row r="28" spans="1:6" x14ac:dyDescent="0.45">
      <c r="A28" t="s">
        <v>130</v>
      </c>
      <c r="B28" t="s">
        <v>96</v>
      </c>
      <c r="C28" t="s">
        <v>97</v>
      </c>
      <c r="D28">
        <f>'Sankey (WIP)'!L23</f>
        <v>6220.7696180921866</v>
      </c>
      <c r="E28">
        <f>IF(OR(C28="scrap",C28="products"),'Exergy Data'!$D$9,VLOOKUP(C28,'Exergy Data'!$A$2:$D$14,4,FALSE))</f>
        <v>7.35</v>
      </c>
      <c r="F28">
        <f t="shared" si="0"/>
        <v>45722.656692977573</v>
      </c>
    </row>
    <row r="29" spans="1:6" x14ac:dyDescent="0.45">
      <c r="A29" t="s">
        <v>96</v>
      </c>
      <c r="B29" t="s">
        <v>129</v>
      </c>
      <c r="C29" t="s">
        <v>97</v>
      </c>
      <c r="D29">
        <f>'Sankey (WIP)'!O21</f>
        <v>1431</v>
      </c>
      <c r="E29">
        <f>IF(OR(C29="scrap",C29="products"),'Exergy Data'!$D$9,VLOOKUP(C29,'Exergy Data'!$A$2:$D$14,4,FALSE))</f>
        <v>7.35</v>
      </c>
      <c r="F29">
        <f t="shared" si="0"/>
        <v>10517.85</v>
      </c>
    </row>
    <row r="30" spans="1:6" x14ac:dyDescent="0.45">
      <c r="A30" t="s">
        <v>84</v>
      </c>
      <c r="B30" t="s">
        <v>135</v>
      </c>
      <c r="C30" t="s">
        <v>135</v>
      </c>
      <c r="F30" s="68">
        <f>'Sankey (WIP) (Exergy)'!H7</f>
        <v>90059.459948310483</v>
      </c>
    </row>
    <row r="31" spans="1:6" x14ac:dyDescent="0.45">
      <c r="A31" t="s">
        <v>5</v>
      </c>
      <c r="B31" t="s">
        <v>135</v>
      </c>
      <c r="C31" t="s">
        <v>135</v>
      </c>
      <c r="F31" s="68">
        <f>'Sankey (WIP) (Exergy)'!AA8</f>
        <v>10179.409116326147</v>
      </c>
    </row>
    <row r="32" spans="1:6" x14ac:dyDescent="0.45">
      <c r="A32" t="s">
        <v>8</v>
      </c>
      <c r="B32" t="s">
        <v>135</v>
      </c>
      <c r="C32" t="s">
        <v>135</v>
      </c>
      <c r="F32" s="68">
        <f>'Sankey (WIP) (Exergy)'!AB25</f>
        <v>9985.4380629427142</v>
      </c>
    </row>
    <row r="33" spans="1:6" x14ac:dyDescent="0.45">
      <c r="A33" t="s">
        <v>142</v>
      </c>
      <c r="B33" t="s">
        <v>84</v>
      </c>
      <c r="C33" t="s">
        <v>143</v>
      </c>
      <c r="F33">
        <f>'Sankey (WIP) (Exergy)'!D1</f>
        <v>54015.167617799998</v>
      </c>
    </row>
    <row r="34" spans="1:6" x14ac:dyDescent="0.45">
      <c r="A34" t="s">
        <v>142</v>
      </c>
      <c r="B34" t="s">
        <v>5</v>
      </c>
      <c r="C34" t="s">
        <v>143</v>
      </c>
      <c r="F34">
        <f>'Sankey (WIP) (Exergy)'!X1</f>
        <v>2351.5707214999998</v>
      </c>
    </row>
    <row r="35" spans="1:6" x14ac:dyDescent="0.45">
      <c r="A35" t="s">
        <v>142</v>
      </c>
      <c r="B35" t="s">
        <v>8</v>
      </c>
      <c r="C35" t="s">
        <v>143</v>
      </c>
      <c r="F35">
        <f>'Sankey (WIP) (Exergy)'!X18</f>
        <v>7349.1830450000007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8" sqref="D8"/>
    </sheetView>
  </sheetViews>
  <sheetFormatPr defaultRowHeight="14.25" x14ac:dyDescent="0.45"/>
  <sheetData>
    <row r="1" spans="1:4" x14ac:dyDescent="0.45">
      <c r="B1" t="s">
        <v>125</v>
      </c>
      <c r="C1" t="s">
        <v>122</v>
      </c>
      <c r="D1" t="s">
        <v>126</v>
      </c>
    </row>
    <row r="2" spans="1:4" x14ac:dyDescent="0.45">
      <c r="A2" t="s">
        <v>116</v>
      </c>
      <c r="B2">
        <v>0.65</v>
      </c>
      <c r="C2">
        <v>6.89</v>
      </c>
      <c r="D2">
        <f>SUM(B2:C2)</f>
        <v>7.54</v>
      </c>
    </row>
    <row r="3" spans="1:4" x14ac:dyDescent="0.45">
      <c r="A3" t="s">
        <v>117</v>
      </c>
      <c r="B3">
        <v>1.2</v>
      </c>
      <c r="C3">
        <v>42.81</v>
      </c>
      <c r="D3">
        <f t="shared" ref="D3:D14" si="0">SUM(B3:C3)</f>
        <v>44.010000000000005</v>
      </c>
    </row>
    <row r="4" spans="1:4" x14ac:dyDescent="0.45">
      <c r="A4" t="s">
        <v>118</v>
      </c>
      <c r="B4">
        <v>0.35</v>
      </c>
      <c r="C4">
        <v>2.5099999999999998</v>
      </c>
      <c r="D4">
        <f t="shared" si="0"/>
        <v>2.86</v>
      </c>
    </row>
    <row r="5" spans="1:4" x14ac:dyDescent="0.45">
      <c r="A5" s="75" t="s">
        <v>90</v>
      </c>
      <c r="B5">
        <v>0.94</v>
      </c>
      <c r="C5">
        <v>1.2</v>
      </c>
      <c r="D5">
        <f t="shared" si="0"/>
        <v>2.1399999999999997</v>
      </c>
    </row>
    <row r="6" spans="1:4" x14ac:dyDescent="0.45">
      <c r="A6" t="s">
        <v>119</v>
      </c>
      <c r="B6">
        <v>1.35</v>
      </c>
      <c r="D6">
        <f t="shared" si="0"/>
        <v>1.35</v>
      </c>
    </row>
    <row r="7" spans="1:4" x14ac:dyDescent="0.45">
      <c r="A7" t="s">
        <v>120</v>
      </c>
      <c r="B7">
        <v>0.75</v>
      </c>
      <c r="D7">
        <f t="shared" si="0"/>
        <v>0.75</v>
      </c>
    </row>
    <row r="8" spans="1:4" x14ac:dyDescent="0.45">
      <c r="A8" t="s">
        <v>93</v>
      </c>
      <c r="B8">
        <v>0.53</v>
      </c>
      <c r="C8">
        <v>8</v>
      </c>
      <c r="D8">
        <f t="shared" si="0"/>
        <v>8.5299999999999994</v>
      </c>
    </row>
    <row r="9" spans="1:4" x14ac:dyDescent="0.45">
      <c r="A9" t="s">
        <v>100</v>
      </c>
      <c r="B9">
        <v>0.55000000000000004</v>
      </c>
      <c r="C9">
        <v>6.8</v>
      </c>
      <c r="D9">
        <f t="shared" si="0"/>
        <v>7.35</v>
      </c>
    </row>
    <row r="10" spans="1:4" x14ac:dyDescent="0.45">
      <c r="A10" t="s">
        <v>72</v>
      </c>
      <c r="B10">
        <v>0.55000000000000004</v>
      </c>
      <c r="D10">
        <f t="shared" si="0"/>
        <v>0.55000000000000004</v>
      </c>
    </row>
    <row r="11" spans="1:4" x14ac:dyDescent="0.45">
      <c r="A11" t="s">
        <v>106</v>
      </c>
      <c r="B11">
        <v>0.7</v>
      </c>
      <c r="C11">
        <v>33.9</v>
      </c>
      <c r="D11">
        <f t="shared" si="0"/>
        <v>34.6</v>
      </c>
    </row>
    <row r="12" spans="1:4" x14ac:dyDescent="0.45">
      <c r="A12" t="s">
        <v>121</v>
      </c>
      <c r="B12">
        <v>0.25</v>
      </c>
      <c r="D12">
        <f t="shared" si="0"/>
        <v>0.25</v>
      </c>
    </row>
    <row r="13" spans="1:4" x14ac:dyDescent="0.45">
      <c r="A13" t="s">
        <v>89</v>
      </c>
      <c r="C13">
        <v>0.4</v>
      </c>
      <c r="D13">
        <f t="shared" si="0"/>
        <v>0.4</v>
      </c>
    </row>
    <row r="14" spans="1:4" x14ac:dyDescent="0.45">
      <c r="A14" t="s">
        <v>124</v>
      </c>
      <c r="B14">
        <v>0.94</v>
      </c>
      <c r="C14">
        <v>1.5</v>
      </c>
      <c r="D14">
        <f t="shared" si="0"/>
        <v>2.44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6"/>
  <sheetViews>
    <sheetView topLeftCell="B1" workbookViewId="0">
      <selection activeCell="I6" sqref="I6"/>
    </sheetView>
  </sheetViews>
  <sheetFormatPr defaultRowHeight="14.25" x14ac:dyDescent="0.45"/>
  <sheetData>
    <row r="4" spans="1:9" x14ac:dyDescent="0.45">
      <c r="A4">
        <v>1</v>
      </c>
      <c r="B4" s="48" t="s">
        <v>34</v>
      </c>
      <c r="C4" s="48"/>
      <c r="D4" s="48"/>
      <c r="E4" s="48"/>
      <c r="F4" s="48"/>
      <c r="G4" s="48"/>
      <c r="H4" s="48"/>
      <c r="I4" s="16" t="s">
        <v>35</v>
      </c>
    </row>
    <row r="5" spans="1:9" x14ac:dyDescent="0.45">
      <c r="A5">
        <v>2</v>
      </c>
      <c r="B5" s="48" t="s">
        <v>14</v>
      </c>
      <c r="C5" s="48"/>
      <c r="D5" s="48"/>
      <c r="E5" s="48"/>
      <c r="F5" s="48"/>
      <c r="G5" s="48"/>
      <c r="H5" s="48"/>
      <c r="I5" s="16" t="s">
        <v>15</v>
      </c>
    </row>
    <row r="6" spans="1:9" x14ac:dyDescent="0.45">
      <c r="A6">
        <v>3</v>
      </c>
      <c r="B6" s="48" t="s">
        <v>16</v>
      </c>
      <c r="C6" s="48"/>
      <c r="D6" s="48"/>
      <c r="E6" s="48"/>
      <c r="F6" s="48"/>
      <c r="G6" s="48"/>
      <c r="H6" s="48"/>
      <c r="I6" s="16" t="s">
        <v>17</v>
      </c>
    </row>
    <row r="7" spans="1:9" x14ac:dyDescent="0.45">
      <c r="A7">
        <v>4</v>
      </c>
      <c r="B7" s="48" t="s">
        <v>25</v>
      </c>
      <c r="C7" s="48"/>
      <c r="D7" s="48"/>
      <c r="E7" s="48"/>
      <c r="F7" s="48"/>
      <c r="G7" s="48"/>
      <c r="H7" s="48"/>
      <c r="I7" s="16" t="s">
        <v>24</v>
      </c>
    </row>
    <row r="8" spans="1:9" x14ac:dyDescent="0.45">
      <c r="A8">
        <v>5</v>
      </c>
      <c r="B8" s="48" t="s">
        <v>75</v>
      </c>
      <c r="C8" s="48"/>
      <c r="D8" s="48"/>
      <c r="E8" s="48"/>
      <c r="F8" s="48"/>
      <c r="G8" s="48"/>
      <c r="H8" s="48"/>
      <c r="I8" s="16" t="s">
        <v>74</v>
      </c>
    </row>
    <row r="9" spans="1:9" x14ac:dyDescent="0.45">
      <c r="A9">
        <v>6</v>
      </c>
      <c r="B9" s="48"/>
      <c r="C9" s="48"/>
      <c r="D9" s="48"/>
      <c r="E9" s="48"/>
      <c r="F9" s="48"/>
      <c r="G9" s="48"/>
      <c r="H9" s="48"/>
    </row>
    <row r="10" spans="1:9" x14ac:dyDescent="0.45">
      <c r="A10">
        <v>7</v>
      </c>
      <c r="B10" s="48"/>
      <c r="C10" s="48"/>
      <c r="D10" s="48"/>
      <c r="E10" s="48"/>
      <c r="F10" s="48"/>
      <c r="G10" s="48"/>
      <c r="H10" s="48"/>
    </row>
    <row r="11" spans="1:9" x14ac:dyDescent="0.45">
      <c r="A11">
        <v>8</v>
      </c>
      <c r="B11" s="48"/>
      <c r="C11" s="48"/>
      <c r="D11" s="48"/>
      <c r="E11" s="48"/>
      <c r="F11" s="48"/>
      <c r="G11" s="48"/>
      <c r="H11" s="48"/>
    </row>
    <row r="12" spans="1:9" x14ac:dyDescent="0.45">
      <c r="A12">
        <v>9</v>
      </c>
      <c r="B12" s="48"/>
      <c r="C12" s="48"/>
      <c r="D12" s="48"/>
      <c r="E12" s="48"/>
      <c r="F12" s="48"/>
      <c r="G12" s="48"/>
      <c r="H12" s="48"/>
    </row>
    <row r="13" spans="1:9" x14ac:dyDescent="0.45">
      <c r="A13">
        <v>10</v>
      </c>
      <c r="B13" s="48"/>
      <c r="C13" s="48"/>
      <c r="D13" s="48"/>
      <c r="E13" s="48"/>
      <c r="F13" s="48"/>
      <c r="G13" s="48"/>
      <c r="H13" s="48"/>
    </row>
    <row r="14" spans="1:9" x14ac:dyDescent="0.45">
      <c r="A14">
        <v>11</v>
      </c>
      <c r="B14" s="48"/>
      <c r="C14" s="48"/>
      <c r="D14" s="48"/>
      <c r="E14" s="48"/>
      <c r="F14" s="48"/>
      <c r="G14" s="48"/>
      <c r="H14" s="48"/>
    </row>
    <row r="15" spans="1:9" x14ac:dyDescent="0.45">
      <c r="A15">
        <v>12</v>
      </c>
      <c r="B15" s="48"/>
      <c r="C15" s="48"/>
      <c r="D15" s="48"/>
      <c r="E15" s="48"/>
      <c r="F15" s="48"/>
      <c r="G15" s="48"/>
      <c r="H15" s="48"/>
    </row>
    <row r="16" spans="1:9" x14ac:dyDescent="0.45">
      <c r="A16">
        <v>13</v>
      </c>
      <c r="B16" s="48"/>
      <c r="C16" s="48"/>
      <c r="D16" s="48"/>
      <c r="E16" s="48"/>
      <c r="F16" s="48"/>
      <c r="G16" s="48"/>
      <c r="H16" s="48"/>
    </row>
  </sheetData>
  <mergeCells count="13">
    <mergeCell ref="B9:H9"/>
    <mergeCell ref="B4:H4"/>
    <mergeCell ref="B5:H5"/>
    <mergeCell ref="B6:H6"/>
    <mergeCell ref="B7:H7"/>
    <mergeCell ref="B8:H8"/>
    <mergeCell ref="B16:H16"/>
    <mergeCell ref="B10:H10"/>
    <mergeCell ref="B11:H11"/>
    <mergeCell ref="B12:H12"/>
    <mergeCell ref="B13:H13"/>
    <mergeCell ref="B14:H14"/>
    <mergeCell ref="B15:H15"/>
  </mergeCells>
  <hyperlinks>
    <hyperlink ref="I4" r:id="rId1"/>
    <hyperlink ref="I5" r:id="rId2"/>
    <hyperlink ref="I6" r:id="rId3"/>
    <hyperlink ref="I7" r:id="rId4"/>
    <hyperlink ref="I8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4.25" x14ac:dyDescent="0.45"/>
  <sheetData>
    <row r="1" spans="1:1" x14ac:dyDescent="0.45">
      <c r="A1" t="s">
        <v>80</v>
      </c>
    </row>
    <row r="2" spans="1:1" x14ac:dyDescent="0.45">
      <c r="A2" t="s">
        <v>81</v>
      </c>
    </row>
    <row r="3" spans="1:1" x14ac:dyDescent="0.45">
      <c r="A3" t="s">
        <v>82</v>
      </c>
    </row>
    <row r="4" spans="1:1" x14ac:dyDescent="0.45">
      <c r="A4" t="s">
        <v>83</v>
      </c>
    </row>
    <row r="6" spans="1:1" x14ac:dyDescent="0.45">
      <c r="A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Sankey (WIP)</vt:lpstr>
      <vt:lpstr>Sankey (WIP) (Exergy)</vt:lpstr>
      <vt:lpstr>Data for Python</vt:lpstr>
      <vt:lpstr>Data for Python (Exergy)</vt:lpstr>
      <vt:lpstr>Exergy Data</vt:lpstr>
      <vt:lpstr>Ref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Michalakakis</dc:creator>
  <cp:lastModifiedBy>Harry Michalakakis</cp:lastModifiedBy>
  <dcterms:created xsi:type="dcterms:W3CDTF">2018-02-10T14:58:20Z</dcterms:created>
  <dcterms:modified xsi:type="dcterms:W3CDTF">2018-02-23T12:03:43Z</dcterms:modified>
</cp:coreProperties>
</file>