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680" tabRatio="500"/>
  </bookViews>
  <sheets>
    <sheet name="traffic_overview" sheetId="3" r:id="rId1"/>
    <sheet name="2011_browsers" sheetId="1" r:id="rId2"/>
    <sheet name="2012_browsers" sheetId="2" r:id="rId3"/>
    <sheet name="lookup_raw_data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3" l="1"/>
  <c r="D19" i="3"/>
  <c r="D18" i="3"/>
  <c r="D17" i="3"/>
  <c r="D16" i="3"/>
  <c r="D15" i="3"/>
  <c r="D10" i="3"/>
  <c r="D9" i="3"/>
  <c r="D8" i="3"/>
  <c r="D7" i="3"/>
  <c r="D6" i="3"/>
  <c r="D5" i="3"/>
  <c r="O44" i="2"/>
  <c r="M44" i="2"/>
  <c r="K44" i="2"/>
  <c r="O33" i="2"/>
  <c r="M33" i="2"/>
  <c r="O34" i="2"/>
  <c r="P32" i="2"/>
  <c r="M34" i="2"/>
  <c r="N32" i="2"/>
  <c r="K33" i="2"/>
  <c r="K34" i="2"/>
  <c r="L32" i="2"/>
  <c r="J43" i="2"/>
  <c r="J32" i="2"/>
  <c r="O22" i="2"/>
  <c r="G32" i="2"/>
  <c r="M22" i="2"/>
  <c r="E32" i="2"/>
  <c r="C32" i="2"/>
  <c r="O12" i="2"/>
  <c r="G17" i="2"/>
  <c r="M12" i="2"/>
  <c r="E17" i="2"/>
  <c r="C17" i="2"/>
  <c r="K45" i="2"/>
  <c r="L43" i="2"/>
  <c r="M45" i="2"/>
  <c r="N43" i="2"/>
  <c r="O45" i="2"/>
  <c r="P43" i="2"/>
  <c r="L40" i="2"/>
  <c r="L41" i="2"/>
  <c r="L42" i="2"/>
  <c r="L44" i="2"/>
  <c r="N40" i="2"/>
  <c r="N41" i="2"/>
  <c r="N42" i="2"/>
  <c r="N44" i="2"/>
  <c r="P40" i="2"/>
  <c r="P41" i="2"/>
  <c r="P42" i="2"/>
  <c r="P44" i="2"/>
  <c r="P29" i="2"/>
  <c r="P30" i="2"/>
  <c r="P31" i="2"/>
  <c r="P33" i="2"/>
  <c r="N29" i="2"/>
  <c r="N30" i="2"/>
  <c r="N31" i="2"/>
  <c r="N33" i="2"/>
  <c r="L29" i="2"/>
  <c r="L30" i="2"/>
  <c r="L31" i="2"/>
  <c r="L33" i="2"/>
  <c r="K23" i="2"/>
  <c r="L19" i="2"/>
  <c r="L20" i="2"/>
  <c r="L21" i="2"/>
  <c r="L22" i="2"/>
  <c r="M23" i="2"/>
  <c r="N19" i="2"/>
  <c r="N20" i="2"/>
  <c r="N21" i="2"/>
  <c r="N22" i="2"/>
  <c r="O23" i="2"/>
  <c r="P19" i="2"/>
  <c r="P20" i="2"/>
  <c r="P21" i="2"/>
  <c r="P22" i="2"/>
  <c r="O13" i="2"/>
  <c r="P9" i="2"/>
  <c r="P10" i="2"/>
  <c r="P11" i="2"/>
  <c r="P12" i="2"/>
  <c r="M13" i="2"/>
  <c r="N9" i="2"/>
  <c r="N10" i="2"/>
  <c r="N11" i="2"/>
  <c r="N12" i="2"/>
  <c r="K13" i="2"/>
  <c r="L11" i="2"/>
  <c r="L10" i="2"/>
  <c r="L9" i="2"/>
  <c r="G33" i="2"/>
  <c r="E33" i="2"/>
  <c r="C33" i="2"/>
  <c r="H32" i="2"/>
  <c r="F32" i="2"/>
  <c r="D32" i="2"/>
  <c r="H31" i="2"/>
  <c r="F31" i="2"/>
  <c r="D31" i="2"/>
  <c r="H30" i="2"/>
  <c r="F30" i="2"/>
  <c r="D30" i="2"/>
  <c r="H29" i="2"/>
  <c r="F29" i="2"/>
  <c r="D29" i="2"/>
  <c r="H28" i="2"/>
  <c r="F28" i="2"/>
  <c r="D28" i="2"/>
  <c r="H27" i="2"/>
  <c r="F27" i="2"/>
  <c r="D27" i="2"/>
  <c r="H26" i="2"/>
  <c r="F26" i="2"/>
  <c r="D26" i="2"/>
  <c r="H25" i="2"/>
  <c r="F25" i="2"/>
  <c r="D25" i="2"/>
  <c r="H24" i="2"/>
  <c r="F24" i="2"/>
  <c r="D24" i="2"/>
  <c r="G18" i="2"/>
  <c r="E18" i="2"/>
  <c r="C18" i="2"/>
  <c r="H17" i="2"/>
  <c r="F17" i="2"/>
  <c r="D17" i="2"/>
  <c r="H16" i="2"/>
  <c r="F16" i="2"/>
  <c r="D16" i="2"/>
  <c r="H15" i="2"/>
  <c r="F15" i="2"/>
  <c r="D15" i="2"/>
  <c r="H14" i="2"/>
  <c r="F14" i="2"/>
  <c r="D14" i="2"/>
  <c r="H13" i="2"/>
  <c r="F13" i="2"/>
  <c r="D13" i="2"/>
  <c r="L12" i="2"/>
  <c r="H12" i="2"/>
  <c r="F12" i="2"/>
  <c r="D12" i="2"/>
  <c r="H11" i="2"/>
  <c r="F11" i="2"/>
  <c r="D11" i="2"/>
  <c r="H10" i="2"/>
  <c r="F10" i="2"/>
  <c r="D10" i="2"/>
  <c r="H9" i="2"/>
  <c r="F9" i="2"/>
  <c r="D9" i="2"/>
  <c r="O42" i="1"/>
  <c r="M42" i="1"/>
  <c r="K42" i="1"/>
  <c r="C32" i="1"/>
  <c r="C33" i="1"/>
  <c r="E32" i="1"/>
  <c r="E33" i="1"/>
  <c r="G32" i="1"/>
  <c r="G33" i="1"/>
  <c r="O32" i="1"/>
  <c r="K32" i="1"/>
  <c r="M32" i="1"/>
  <c r="L42" i="1"/>
  <c r="L32" i="1"/>
  <c r="N32" i="1"/>
  <c r="N42" i="1"/>
  <c r="P42" i="1"/>
  <c r="P32" i="1"/>
  <c r="P22" i="1"/>
  <c r="O22" i="1"/>
  <c r="N22" i="1"/>
  <c r="M22" i="1"/>
  <c r="L22" i="1"/>
  <c r="K22" i="1"/>
  <c r="P12" i="1"/>
  <c r="O12" i="1"/>
  <c r="L12" i="1"/>
  <c r="N12" i="1"/>
  <c r="M12" i="1"/>
  <c r="K12" i="1"/>
  <c r="H25" i="1"/>
  <c r="H26" i="1"/>
  <c r="H27" i="1"/>
  <c r="H28" i="1"/>
  <c r="H29" i="1"/>
  <c r="H30" i="1"/>
  <c r="H31" i="1"/>
  <c r="H32" i="1"/>
  <c r="H24" i="1"/>
  <c r="F25" i="1"/>
  <c r="F26" i="1"/>
  <c r="F27" i="1"/>
  <c r="F28" i="1"/>
  <c r="F29" i="1"/>
  <c r="F30" i="1"/>
  <c r="F31" i="1"/>
  <c r="F32" i="1"/>
  <c r="F24" i="1"/>
  <c r="G17" i="1"/>
  <c r="E17" i="1"/>
  <c r="E18" i="1"/>
  <c r="H17" i="1"/>
  <c r="H16" i="1"/>
  <c r="H15" i="1"/>
  <c r="H14" i="1"/>
  <c r="H13" i="1"/>
  <c r="H12" i="1"/>
  <c r="H11" i="1"/>
  <c r="H10" i="1"/>
  <c r="H9" i="1"/>
  <c r="F10" i="1"/>
  <c r="F11" i="1"/>
  <c r="F12" i="1"/>
  <c r="F13" i="1"/>
  <c r="F14" i="1"/>
  <c r="F15" i="1"/>
  <c r="F16" i="1"/>
  <c r="F17" i="1"/>
  <c r="F9" i="1"/>
  <c r="C17" i="1"/>
  <c r="C18" i="1"/>
  <c r="D17" i="1"/>
  <c r="D16" i="1"/>
  <c r="D15" i="1"/>
  <c r="D14" i="1"/>
  <c r="D13" i="1"/>
  <c r="D12" i="1"/>
  <c r="D11" i="1"/>
  <c r="D10" i="1"/>
  <c r="D9" i="1"/>
  <c r="D32" i="1"/>
  <c r="D27" i="1"/>
  <c r="D28" i="1"/>
  <c r="D29" i="1"/>
  <c r="D30" i="1"/>
  <c r="D31" i="1"/>
  <c r="D25" i="1"/>
  <c r="D26" i="1"/>
  <c r="D24" i="1"/>
  <c r="O43" i="1"/>
  <c r="M43" i="1"/>
  <c r="K43" i="1"/>
  <c r="O33" i="1"/>
  <c r="M33" i="1"/>
  <c r="K33" i="1"/>
  <c r="O23" i="1"/>
  <c r="M23" i="1"/>
  <c r="K23" i="1"/>
  <c r="G18" i="1"/>
  <c r="O13" i="1"/>
  <c r="M13" i="1"/>
  <c r="K13" i="1"/>
</calcChain>
</file>

<file path=xl/sharedStrings.xml><?xml version="1.0" encoding="utf-8"?>
<sst xmlns="http://schemas.openxmlformats.org/spreadsheetml/2006/main" count="313" uniqueCount="52">
  <si>
    <t>MyKmart Browser Traffic</t>
  </si>
  <si>
    <t>MyKmart Internet Explorer Traffic</t>
  </si>
  <si>
    <t>MyKmart Author Rollup</t>
  </si>
  <si>
    <t>MyKmart Category Rollup</t>
  </si>
  <si>
    <t>MyKmart Page Type Rollup</t>
  </si>
  <si>
    <t>Browser Name</t>
  </si>
  <si>
    <t>Visits</t>
  </si>
  <si>
    <t>Page Views</t>
  </si>
  <si>
    <t>Percentage</t>
  </si>
  <si>
    <t>Version</t>
  </si>
  <si>
    <t>Internet Explorer</t>
  </si>
  <si>
    <t>Firefox</t>
  </si>
  <si>
    <t>Chrome</t>
  </si>
  <si>
    <t>Safari</t>
  </si>
  <si>
    <t>Other</t>
  </si>
  <si>
    <t>Android Browser</t>
  </si>
  <si>
    <t>Total</t>
  </si>
  <si>
    <t>IE with Chrome Frame</t>
  </si>
  <si>
    <t>Opera</t>
  </si>
  <si>
    <t>MySears Internet Explorer Traffic</t>
  </si>
  <si>
    <t>Mozilla Compatible Agent</t>
  </si>
  <si>
    <t>MySears Author Rollup</t>
  </si>
  <si>
    <t>MySears Category Rollup</t>
  </si>
  <si>
    <t>MySears Page Type Rollup</t>
  </si>
  <si>
    <t>MySears Browser Traffic</t>
  </si>
  <si>
    <t>MyKmart Firefox Traffic</t>
  </si>
  <si>
    <t>9.0.1</t>
  </si>
  <si>
    <t>MySears Firefox Traffic</t>
  </si>
  <si>
    <t>MySears Page Type Roll.</t>
  </si>
  <si>
    <t>MyKmart Cat. Rollup</t>
  </si>
  <si>
    <t>MyKmart Page Type Roll.</t>
  </si>
  <si>
    <t>MySears Cat. Rollup</t>
  </si>
  <si>
    <t>3.6.13</t>
  </si>
  <si>
    <t>4.0.1</t>
  </si>
  <si>
    <t>5.0</t>
  </si>
  <si>
    <t>Jan 1, 2011 - Dec 31, 2011 Traffic by Browser</t>
  </si>
  <si>
    <t>Jan 1, 2012 - Jan 6, 2012 Traffic by Browser</t>
  </si>
  <si>
    <t>Site</t>
  </si>
  <si>
    <t>10.0.2</t>
  </si>
  <si>
    <t>Search Traffic</t>
  </si>
  <si>
    <t>Referral Traffic</t>
  </si>
  <si>
    <t>Direct Traffic</t>
  </si>
  <si>
    <t>Campaigns</t>
  </si>
  <si>
    <t>Traffic Category</t>
  </si>
  <si>
    <t>Lower Bound</t>
  </si>
  <si>
    <t>Visitors</t>
  </si>
  <si>
    <t>Jan 1, 2012 - Jun 6, 2012 Visitors and Page Views</t>
  </si>
  <si>
    <t>Jan 1, 2011 - Jun 6, 2011 Visitors and Page Views</t>
  </si>
  <si>
    <t>MyKmart Traffic Sources: Jan 1, 2011 - Dec 31, 2011</t>
  </si>
  <si>
    <t>MySears Traffic Sources: Jan 1, 2012 - Jun 6, 2012</t>
  </si>
  <si>
    <t>MyKmart Traffic Sources: Jan 1, 2012 - Jun 6, 2012</t>
  </si>
  <si>
    <t>MySears Traffic Sources: Jan 1, 2011 - Dec 31,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</si>
</sst>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2"/>
      <color theme="1"/>
      <name val="Calibri"/>
      <family val="2"/>
      <scheme val="minor"/>
    </font>
    <font>
      <sz val="12"/>
      <name val="Arial"/>
    </font>
    <font>
      <b/>
      <sz val="24"/>
      <name val="Arial"/>
    </font>
    <font>
      <b/>
      <sz val="12"/>
      <name val="Arial"/>
    </font>
    <font>
      <sz val="12"/>
      <color rgb="FF000000"/>
      <name val="Arial"/>
      <family val="2"/>
    </font>
    <font>
      <b/>
      <sz val="12"/>
      <color theme="1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Arial"/>
    </font>
    <font>
      <b/>
      <sz val="13"/>
      <color rgb="FF000000"/>
      <name val="Arial"/>
    </font>
    <font>
      <b/>
      <sz val="30"/>
      <name val="Arial"/>
    </font>
    <font>
      <b/>
      <sz val="14"/>
      <color theme="1"/>
      <name val="Arial"/>
    </font>
    <font>
      <b/>
      <sz val="18"/>
      <color theme="1"/>
      <name val="Arial"/>
    </font>
    <font>
      <b/>
      <sz val="15"/>
      <color theme="1"/>
      <name val="Arial"/>
    </font>
    <font>
      <b/>
      <sz val="15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0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3" fillId="3" borderId="7" xfId="0" applyFont="1" applyFill="1" applyBorder="1"/>
    <xf numFmtId="0" fontId="3" fillId="4" borderId="7" xfId="0" applyFont="1" applyFill="1" applyBorder="1"/>
    <xf numFmtId="0" fontId="3" fillId="4" borderId="8" xfId="0" applyFont="1" applyFill="1" applyBorder="1" applyAlignment="1">
      <alignment horizontal="center"/>
    </xf>
    <xf numFmtId="10" fontId="1" fillId="0" borderId="2" xfId="0" applyNumberFormat="1" applyFont="1" applyBorder="1"/>
    <xf numFmtId="3" fontId="4" fillId="0" borderId="1" xfId="0" applyNumberFormat="1" applyFont="1" applyBorder="1"/>
    <xf numFmtId="10" fontId="1" fillId="0" borderId="3" xfId="0" applyNumberFormat="1" applyFont="1" applyBorder="1"/>
    <xf numFmtId="164" fontId="1" fillId="0" borderId="9" xfId="0" applyNumberFormat="1" applyFont="1" applyBorder="1"/>
    <xf numFmtId="0" fontId="1" fillId="0" borderId="9" xfId="0" applyFont="1" applyBorder="1"/>
    <xf numFmtId="3" fontId="1" fillId="0" borderId="9" xfId="0" applyNumberFormat="1" applyFont="1" applyBorder="1"/>
    <xf numFmtId="3" fontId="4" fillId="0" borderId="9" xfId="0" applyNumberFormat="1" applyFont="1" applyBorder="1"/>
    <xf numFmtId="10" fontId="4" fillId="0" borderId="10" xfId="0" applyNumberFormat="1" applyFont="1" applyBorder="1"/>
    <xf numFmtId="0" fontId="1" fillId="0" borderId="9" xfId="0" applyFont="1" applyBorder="1" applyAlignment="1">
      <alignment horizontal="right"/>
    </xf>
    <xf numFmtId="3" fontId="1" fillId="0" borderId="4" xfId="0" applyNumberFormat="1" applyFont="1" applyBorder="1"/>
    <xf numFmtId="3" fontId="1" fillId="0" borderId="5" xfId="0" applyNumberFormat="1" applyFont="1" applyBorder="1"/>
    <xf numFmtId="10" fontId="1" fillId="0" borderId="6" xfId="0" applyNumberFormat="1" applyFont="1" applyBorder="1"/>
    <xf numFmtId="0" fontId="3" fillId="4" borderId="11" xfId="0" applyFont="1" applyFill="1" applyBorder="1" applyAlignment="1">
      <alignment horizontal="right"/>
    </xf>
    <xf numFmtId="3" fontId="3" fillId="4" borderId="11" xfId="0" applyNumberFormat="1" applyFont="1" applyFill="1" applyBorder="1"/>
    <xf numFmtId="0" fontId="3" fillId="4" borderId="12" xfId="0" applyFont="1" applyFill="1" applyBorder="1"/>
    <xf numFmtId="0" fontId="1" fillId="4" borderId="13" xfId="0" applyFont="1" applyFill="1" applyBorder="1"/>
    <xf numFmtId="10" fontId="1" fillId="0" borderId="10" xfId="0" applyNumberFormat="1" applyFont="1" applyBorder="1"/>
    <xf numFmtId="0" fontId="1" fillId="0" borderId="0" xfId="0" applyFont="1" applyBorder="1"/>
    <xf numFmtId="3" fontId="4" fillId="0" borderId="2" xfId="0" applyNumberFormat="1" applyFont="1" applyBorder="1"/>
    <xf numFmtId="10" fontId="4" fillId="0" borderId="0" xfId="0" applyNumberFormat="1" applyFont="1" applyBorder="1"/>
    <xf numFmtId="3" fontId="4" fillId="0" borderId="0" xfId="0" applyNumberFormat="1" applyFont="1" applyBorder="1"/>
    <xf numFmtId="0" fontId="3" fillId="4" borderId="7" xfId="0" applyFont="1" applyFill="1" applyBorder="1" applyAlignment="1">
      <alignment horizontal="center"/>
    </xf>
    <xf numFmtId="0" fontId="1" fillId="0" borderId="14" xfId="0" applyFont="1" applyBorder="1"/>
    <xf numFmtId="0" fontId="3" fillId="0" borderId="0" xfId="0" applyFont="1" applyFill="1" applyBorder="1" applyAlignment="1">
      <alignment horizontal="right"/>
    </xf>
    <xf numFmtId="3" fontId="1" fillId="0" borderId="0" xfId="0" applyNumberFormat="1" applyFont="1" applyFill="1" applyBorder="1"/>
    <xf numFmtId="0" fontId="1" fillId="0" borderId="0" xfId="0" applyFont="1" applyFill="1" applyBorder="1"/>
    <xf numFmtId="3" fontId="4" fillId="0" borderId="0" xfId="0" applyNumberFormat="1" applyFont="1"/>
    <xf numFmtId="0" fontId="4" fillId="0" borderId="0" xfId="0" applyFont="1"/>
    <xf numFmtId="0" fontId="1" fillId="0" borderId="0" xfId="0" applyFont="1" applyFill="1"/>
    <xf numFmtId="0" fontId="1" fillId="4" borderId="7" xfId="0" applyFont="1" applyFill="1" applyBorder="1"/>
    <xf numFmtId="0" fontId="1" fillId="3" borderId="7" xfId="0" applyFont="1" applyFill="1" applyBorder="1"/>
    <xf numFmtId="49" fontId="1" fillId="0" borderId="9" xfId="0" applyNumberFormat="1" applyFon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0" fontId="9" fillId="0" borderId="0" xfId="0" applyFont="1"/>
    <xf numFmtId="3" fontId="10" fillId="0" borderId="0" xfId="0" applyNumberFormat="1" applyFont="1"/>
    <xf numFmtId="10" fontId="9" fillId="0" borderId="0" xfId="0" applyNumberFormat="1" applyFont="1"/>
    <xf numFmtId="3" fontId="3" fillId="4" borderId="4" xfId="0" applyNumberFormat="1" applyFont="1" applyFill="1" applyBorder="1"/>
    <xf numFmtId="0" fontId="3" fillId="4" borderId="5" xfId="0" applyFont="1" applyFill="1" applyBorder="1"/>
    <xf numFmtId="0" fontId="1" fillId="4" borderId="6" xfId="0" applyFont="1" applyFill="1" applyBorder="1"/>
    <xf numFmtId="164" fontId="1" fillId="0" borderId="8" xfId="0" applyNumberFormat="1" applyFont="1" applyBorder="1" applyAlignment="1">
      <alignment horizontal="right"/>
    </xf>
    <xf numFmtId="164" fontId="1" fillId="0" borderId="14" xfId="0" applyNumberFormat="1" applyFont="1" applyBorder="1" applyAlignment="1">
      <alignment horizontal="right"/>
    </xf>
    <xf numFmtId="49" fontId="1" fillId="0" borderId="14" xfId="0" applyNumberFormat="1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4" fillId="0" borderId="8" xfId="0" applyFont="1" applyBorder="1"/>
    <xf numFmtId="3" fontId="6" fillId="0" borderId="0" xfId="0" applyNumberFormat="1" applyFont="1" applyBorder="1" applyAlignment="1">
      <alignment horizontal="right"/>
    </xf>
    <xf numFmtId="3" fontId="6" fillId="0" borderId="8" xfId="0" applyNumberFormat="1" applyFont="1" applyBorder="1" applyAlignment="1">
      <alignment horizontal="right"/>
    </xf>
    <xf numFmtId="0" fontId="6" fillId="0" borderId="14" xfId="0" applyFont="1" applyBorder="1"/>
    <xf numFmtId="3" fontId="6" fillId="0" borderId="14" xfId="0" applyNumberFormat="1" applyFont="1" applyBorder="1" applyAlignment="1">
      <alignment horizontal="right"/>
    </xf>
    <xf numFmtId="0" fontId="6" fillId="0" borderId="15" xfId="0" applyFont="1" applyBorder="1"/>
    <xf numFmtId="3" fontId="6" fillId="0" borderId="5" xfId="0" applyNumberFormat="1" applyFont="1" applyBorder="1" applyAlignment="1">
      <alignment horizontal="right"/>
    </xf>
    <xf numFmtId="3" fontId="6" fillId="0" borderId="15" xfId="0" applyNumberFormat="1" applyFont="1" applyBorder="1" applyAlignment="1">
      <alignment horizontal="right"/>
    </xf>
    <xf numFmtId="0" fontId="6" fillId="0" borderId="0" xfId="0" applyFont="1"/>
    <xf numFmtId="0" fontId="6" fillId="0" borderId="8" xfId="0" applyFont="1" applyBorder="1"/>
    <xf numFmtId="0" fontId="6" fillId="0" borderId="9" xfId="0" applyFont="1" applyBorder="1"/>
    <xf numFmtId="10" fontId="6" fillId="0" borderId="10" xfId="0" applyNumberFormat="1" applyFont="1" applyBorder="1"/>
    <xf numFmtId="0" fontId="6" fillId="0" borderId="4" xfId="0" applyFont="1" applyBorder="1"/>
    <xf numFmtId="10" fontId="6" fillId="0" borderId="6" xfId="0" applyNumberFormat="1" applyFont="1" applyBorder="1"/>
    <xf numFmtId="0" fontId="6" fillId="0" borderId="1" xfId="0" applyFont="1" applyBorder="1"/>
    <xf numFmtId="10" fontId="6" fillId="0" borderId="3" xfId="0" applyNumberFormat="1" applyFont="1" applyBorder="1"/>
    <xf numFmtId="10" fontId="6" fillId="0" borderId="8" xfId="0" applyNumberFormat="1" applyFont="1" applyBorder="1"/>
    <xf numFmtId="10" fontId="6" fillId="0" borderId="14" xfId="0" applyNumberFormat="1" applyFont="1" applyBorder="1"/>
    <xf numFmtId="10" fontId="6" fillId="0" borderId="15" xfId="0" applyNumberFormat="1" applyFont="1" applyBorder="1"/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6" fillId="0" borderId="0" xfId="0" applyFont="1" applyBorder="1"/>
    <xf numFmtId="3" fontId="6" fillId="0" borderId="6" xfId="0" applyNumberFormat="1" applyFont="1" applyBorder="1" applyAlignment="1">
      <alignment horizontal="right"/>
    </xf>
    <xf numFmtId="3" fontId="6" fillId="0" borderId="10" xfId="0" applyNumberFormat="1" applyFont="1" applyBorder="1" applyAlignment="1">
      <alignment horizontal="right"/>
    </xf>
    <xf numFmtId="3" fontId="6" fillId="0" borderId="3" xfId="0" applyNumberFormat="1" applyFont="1" applyBorder="1" applyAlignment="1">
      <alignment horizontal="right"/>
    </xf>
    <xf numFmtId="0" fontId="12" fillId="3" borderId="7" xfId="0" applyFont="1" applyFill="1" applyBorder="1"/>
    <xf numFmtId="0" fontId="5" fillId="3" borderId="7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10" fontId="6" fillId="0" borderId="0" xfId="0" applyNumberFormat="1" applyFont="1" applyBorder="1"/>
    <xf numFmtId="0" fontId="6" fillId="4" borderId="7" xfId="0" applyFont="1" applyFill="1" applyBorder="1" applyAlignment="1">
      <alignment horizontal="center"/>
    </xf>
    <xf numFmtId="0" fontId="5" fillId="3" borderId="7" xfId="0" applyNumberFormat="1" applyFont="1" applyFill="1" applyBorder="1" applyAlignment="1">
      <alignment horizontal="center"/>
    </xf>
    <xf numFmtId="0" fontId="5" fillId="3" borderId="13" xfId="0" applyNumberFormat="1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</cellXfs>
  <cellStyles count="2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43</xdr:row>
      <xdr:rowOff>0</xdr:rowOff>
    </xdr:from>
    <xdr:to>
      <xdr:col>2</xdr:col>
      <xdr:colOff>12700</xdr:colOff>
      <xdr:row>43</xdr:row>
      <xdr:rowOff>12700</xdr:rowOff>
    </xdr:to>
    <xdr:pic>
      <xdr:nvPicPr>
        <xdr:cNvPr id="2049" name="Picture 1" descr="//www.google.com/analytics/web/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4400" y="816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12700</xdr:colOff>
      <xdr:row>44</xdr:row>
      <xdr:rowOff>12700</xdr:rowOff>
    </xdr:to>
    <xdr:pic>
      <xdr:nvPicPr>
        <xdr:cNvPr id="2050" name="Picture 2" descr="//www.google.com/analytics/web/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4400" y="835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12700</xdr:colOff>
      <xdr:row>45</xdr:row>
      <xdr:rowOff>12700</xdr:rowOff>
    </xdr:to>
    <xdr:pic>
      <xdr:nvPicPr>
        <xdr:cNvPr id="2051" name="Picture 3" descr="//www.google.com/analytics/web/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4400" y="8547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12700</xdr:colOff>
      <xdr:row>46</xdr:row>
      <xdr:rowOff>12700</xdr:rowOff>
    </xdr:to>
    <xdr:pic>
      <xdr:nvPicPr>
        <xdr:cNvPr id="2052" name="Picture 4" descr="//www.google.com/analytics/web/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4400" y="873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12700</xdr:colOff>
      <xdr:row>49</xdr:row>
      <xdr:rowOff>12700</xdr:rowOff>
    </xdr:to>
    <xdr:pic>
      <xdr:nvPicPr>
        <xdr:cNvPr id="2053" name="Picture 5" descr="//www.google.com/analytics/web/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4400" y="9309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12700</xdr:colOff>
      <xdr:row>50</xdr:row>
      <xdr:rowOff>12700</xdr:rowOff>
    </xdr:to>
    <xdr:pic>
      <xdr:nvPicPr>
        <xdr:cNvPr id="2054" name="Picture 6" descr="//www.google.com/analytics/web/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4400" y="949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12700</xdr:colOff>
      <xdr:row>51</xdr:row>
      <xdr:rowOff>12700</xdr:rowOff>
    </xdr:to>
    <xdr:pic>
      <xdr:nvPicPr>
        <xdr:cNvPr id="2055" name="Picture 7" descr="//www.google.com/analytics/web/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4400" y="969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12700</xdr:colOff>
      <xdr:row>47</xdr:row>
      <xdr:rowOff>12700</xdr:rowOff>
    </xdr:to>
    <xdr:pic>
      <xdr:nvPicPr>
        <xdr:cNvPr id="2056" name="Picture 8" descr="//www.google.com/analytics/web/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4400" y="892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12700</xdr:colOff>
      <xdr:row>48</xdr:row>
      <xdr:rowOff>12700</xdr:rowOff>
    </xdr:to>
    <xdr:pic>
      <xdr:nvPicPr>
        <xdr:cNvPr id="2057" name="Picture 9" descr="//www.google.com/analytics/web/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4400" y="911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12700</xdr:colOff>
      <xdr:row>37</xdr:row>
      <xdr:rowOff>12700</xdr:rowOff>
    </xdr:to>
    <xdr:pic>
      <xdr:nvPicPr>
        <xdr:cNvPr id="2058" name="Picture 10" descr="//www.google.com/analytics/web/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7900" y="7023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12700</xdr:colOff>
      <xdr:row>38</xdr:row>
      <xdr:rowOff>12700</xdr:rowOff>
    </xdr:to>
    <xdr:pic>
      <xdr:nvPicPr>
        <xdr:cNvPr id="2059" name="Picture 11" descr="//www.google.com/analytics/web/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7900" y="721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12700</xdr:colOff>
      <xdr:row>39</xdr:row>
      <xdr:rowOff>12700</xdr:rowOff>
    </xdr:to>
    <xdr:pic>
      <xdr:nvPicPr>
        <xdr:cNvPr id="2060" name="Picture 12" descr="//www.google.com/analytics/web/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7900" y="7404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12700</xdr:colOff>
      <xdr:row>40</xdr:row>
      <xdr:rowOff>12700</xdr:rowOff>
    </xdr:to>
    <xdr:pic>
      <xdr:nvPicPr>
        <xdr:cNvPr id="2061" name="Picture 13" descr="//www.google.com/analytics/web/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7900" y="759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12700</xdr:colOff>
      <xdr:row>41</xdr:row>
      <xdr:rowOff>12700</xdr:rowOff>
    </xdr:to>
    <xdr:pic>
      <xdr:nvPicPr>
        <xdr:cNvPr id="2062" name="Picture 14" descr="//www.google.com/analytics/web/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7900" y="778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42</xdr:row>
      <xdr:rowOff>0</xdr:rowOff>
    </xdr:from>
    <xdr:to>
      <xdr:col>10</xdr:col>
      <xdr:colOff>12700</xdr:colOff>
      <xdr:row>42</xdr:row>
      <xdr:rowOff>12700</xdr:rowOff>
    </xdr:to>
    <xdr:pic>
      <xdr:nvPicPr>
        <xdr:cNvPr id="2063" name="Picture 15" descr="//www.google.com/analytics/web/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7900" y="797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12700</xdr:colOff>
      <xdr:row>43</xdr:row>
      <xdr:rowOff>12700</xdr:rowOff>
    </xdr:to>
    <xdr:pic>
      <xdr:nvPicPr>
        <xdr:cNvPr id="2064" name="Picture 16" descr="//www.google.com/analytics/web/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7900" y="816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56</xdr:row>
      <xdr:rowOff>0</xdr:rowOff>
    </xdr:from>
    <xdr:to>
      <xdr:col>10</xdr:col>
      <xdr:colOff>12700</xdr:colOff>
      <xdr:row>56</xdr:row>
      <xdr:rowOff>12700</xdr:rowOff>
    </xdr:to>
    <xdr:pic>
      <xdr:nvPicPr>
        <xdr:cNvPr id="2065" name="Picture 17" descr="//www.google.com/analytics/web/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7900" y="1064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57</xdr:row>
      <xdr:rowOff>0</xdr:rowOff>
    </xdr:from>
    <xdr:to>
      <xdr:col>10</xdr:col>
      <xdr:colOff>12700</xdr:colOff>
      <xdr:row>57</xdr:row>
      <xdr:rowOff>12700</xdr:rowOff>
    </xdr:to>
    <xdr:pic>
      <xdr:nvPicPr>
        <xdr:cNvPr id="2066" name="Picture 18" descr="//www.google.com/analytics/web/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7900" y="1084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tabSelected="1" workbookViewId="0">
      <selection activeCell="J19" sqref="J19"/>
    </sheetView>
  </sheetViews>
  <sheetFormatPr baseColWidth="10" defaultRowHeight="15" x14ac:dyDescent="0"/>
  <cols>
    <col min="1" max="1" width="2.83203125" style="57" customWidth="1"/>
    <col min="2" max="2" width="25.5" style="57" bestFit="1" customWidth="1"/>
    <col min="3" max="3" width="11.1640625" style="57" bestFit="1" customWidth="1"/>
    <col min="4" max="4" width="14" style="57" bestFit="1" customWidth="1"/>
    <col min="5" max="5" width="12.1640625" style="57" bestFit="1" customWidth="1"/>
    <col min="6" max="16384" width="10.83203125" style="57"/>
  </cols>
  <sheetData>
    <row r="2" spans="2:5">
      <c r="B2" s="90" t="s">
        <v>46</v>
      </c>
      <c r="C2" s="91"/>
      <c r="D2" s="91"/>
      <c r="E2" s="92"/>
    </row>
    <row r="3" spans="2:5" ht="15" customHeight="1">
      <c r="B3" s="93"/>
      <c r="C3" s="94"/>
      <c r="D3" s="94"/>
      <c r="E3" s="95"/>
    </row>
    <row r="4" spans="2:5" ht="15" customHeight="1">
      <c r="B4" s="88" t="s">
        <v>37</v>
      </c>
      <c r="C4" s="89" t="s">
        <v>45</v>
      </c>
      <c r="D4" s="89" t="s">
        <v>44</v>
      </c>
      <c r="E4" s="89" t="s">
        <v>7</v>
      </c>
    </row>
    <row r="5" spans="2:5">
      <c r="B5" s="49" t="s">
        <v>2</v>
      </c>
      <c r="C5" s="50">
        <v>4864</v>
      </c>
      <c r="D5" s="51">
        <f>C5*(1-lookup_raw_data!C6)</f>
        <v>2213.12</v>
      </c>
      <c r="E5" s="87">
        <v>0</v>
      </c>
    </row>
    <row r="6" spans="2:5">
      <c r="B6" s="52" t="s">
        <v>3</v>
      </c>
      <c r="C6" s="50">
        <v>1655171</v>
      </c>
      <c r="D6" s="53">
        <f>C6*(1-lookup_raw_data!E6)</f>
        <v>1499419.4089000002</v>
      </c>
      <c r="E6" s="86">
        <v>5161387</v>
      </c>
    </row>
    <row r="7" spans="2:5">
      <c r="B7" s="52" t="s">
        <v>4</v>
      </c>
      <c r="C7" s="50">
        <v>1654018</v>
      </c>
      <c r="D7" s="53">
        <f>C7*(1-lookup_raw_data!G6)</f>
        <v>1498374.9062000001</v>
      </c>
      <c r="E7" s="86">
        <v>4676548</v>
      </c>
    </row>
    <row r="8" spans="2:5">
      <c r="B8" s="52" t="s">
        <v>21</v>
      </c>
      <c r="C8" s="50">
        <v>4864</v>
      </c>
      <c r="D8" s="53">
        <f>C8*(1-lookup_raw_data!C15)</f>
        <v>2213.12</v>
      </c>
      <c r="E8" s="86">
        <v>0</v>
      </c>
    </row>
    <row r="9" spans="2:5">
      <c r="B9" s="52" t="s">
        <v>22</v>
      </c>
      <c r="C9" s="50">
        <v>3367535</v>
      </c>
      <c r="D9" s="53">
        <f>C9*(1-lookup_raw_data!E15)</f>
        <v>1869318.6784999997</v>
      </c>
      <c r="E9" s="86">
        <v>11517797</v>
      </c>
    </row>
    <row r="10" spans="2:5">
      <c r="B10" s="54" t="s">
        <v>23</v>
      </c>
      <c r="C10" s="55">
        <v>3345032</v>
      </c>
      <c r="D10" s="56">
        <f>C10*(1-lookup_raw_data!G15)</f>
        <v>1850806.2056</v>
      </c>
      <c r="E10" s="85">
        <v>10029365</v>
      </c>
    </row>
    <row r="12" spans="2:5" ht="15" customHeight="1">
      <c r="B12" s="90" t="s">
        <v>47</v>
      </c>
      <c r="C12" s="91"/>
      <c r="D12" s="91"/>
      <c r="E12" s="92"/>
    </row>
    <row r="13" spans="2:5" ht="15" customHeight="1">
      <c r="B13" s="93"/>
      <c r="C13" s="94"/>
      <c r="D13" s="94"/>
      <c r="E13" s="95"/>
    </row>
    <row r="14" spans="2:5" ht="15" customHeight="1">
      <c r="B14" s="88" t="s">
        <v>37</v>
      </c>
      <c r="C14" s="89" t="s">
        <v>45</v>
      </c>
      <c r="D14" s="89" t="s">
        <v>44</v>
      </c>
      <c r="E14" s="89" t="s">
        <v>7</v>
      </c>
    </row>
    <row r="15" spans="2:5">
      <c r="B15" s="49" t="s">
        <v>2</v>
      </c>
      <c r="C15" s="50">
        <v>125356</v>
      </c>
      <c r="D15" s="51">
        <f>C15*(1-lookup_raw_data!C24)</f>
        <v>119012.98640000001</v>
      </c>
      <c r="E15" s="87">
        <v>250991</v>
      </c>
    </row>
    <row r="16" spans="2:5">
      <c r="B16" s="52" t="s">
        <v>3</v>
      </c>
      <c r="C16" s="50">
        <v>6314720</v>
      </c>
      <c r="D16" s="53">
        <f>C16*(1-lookup_raw_data!E24)</f>
        <v>6009087.5520000001</v>
      </c>
      <c r="E16" s="86">
        <v>18295770</v>
      </c>
    </row>
    <row r="17" spans="2:5">
      <c r="B17" s="52" t="s">
        <v>4</v>
      </c>
      <c r="C17" s="50">
        <v>6312067</v>
      </c>
      <c r="D17" s="53">
        <f>C17*(1-lookup_raw_data!G24)</f>
        <v>6006562.9572000001</v>
      </c>
      <c r="E17" s="86">
        <v>17762622</v>
      </c>
    </row>
    <row r="18" spans="2:5">
      <c r="B18" s="52" t="s">
        <v>21</v>
      </c>
      <c r="C18" s="50">
        <v>2022785</v>
      </c>
      <c r="D18" s="53">
        <f>C18*(1-lookup_raw_data!C33)</f>
        <v>326275.2205</v>
      </c>
      <c r="E18" s="86">
        <v>3225509</v>
      </c>
    </row>
    <row r="19" spans="2:5">
      <c r="B19" s="52" t="s">
        <v>22</v>
      </c>
      <c r="C19" s="50">
        <v>10657596</v>
      </c>
      <c r="D19" s="53">
        <f>C19*(1-lookup_raw_data!E33)</f>
        <v>4460203.926</v>
      </c>
      <c r="E19" s="86">
        <v>29645730</v>
      </c>
    </row>
    <row r="20" spans="2:5">
      <c r="B20" s="54" t="s">
        <v>23</v>
      </c>
      <c r="C20" s="55">
        <v>10631818</v>
      </c>
      <c r="D20" s="56">
        <f>C20*(1-lookup_raw_data!G33)</f>
        <v>4440910.3785999995</v>
      </c>
      <c r="E20" s="85">
        <v>28603990</v>
      </c>
    </row>
    <row r="24" spans="2:5">
      <c r="B24" s="50"/>
    </row>
  </sheetData>
  <mergeCells count="2">
    <mergeCell ref="B2:E3"/>
    <mergeCell ref="B12:E1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A5" sqref="A5"/>
    </sheetView>
  </sheetViews>
  <sheetFormatPr baseColWidth="10" defaultRowHeight="15" x14ac:dyDescent="0"/>
  <cols>
    <col min="1" max="1" width="3.1640625" style="1" customWidth="1"/>
    <col min="2" max="2" width="25.5" style="1" bestFit="1" customWidth="1"/>
    <col min="3" max="3" width="11.83203125" style="1" customWidth="1"/>
    <col min="4" max="5" width="11.6640625" style="1" customWidth="1"/>
    <col min="6" max="6" width="11.6640625" style="1" bestFit="1" customWidth="1"/>
    <col min="7" max="7" width="11.6640625" style="1" customWidth="1"/>
    <col min="8" max="8" width="11.6640625" style="1" bestFit="1" customWidth="1"/>
    <col min="9" max="9" width="3.1640625" style="1" customWidth="1"/>
    <col min="10" max="10" width="10.83203125" style="1" bestFit="1" customWidth="1"/>
    <col min="11" max="11" width="11.6640625" style="1" customWidth="1"/>
    <col min="12" max="12" width="12" style="1" customWidth="1"/>
    <col min="13" max="13" width="11.83203125" style="1" customWidth="1"/>
    <col min="14" max="14" width="12" style="1" bestFit="1" customWidth="1"/>
    <col min="15" max="15" width="11.83203125" style="1" customWidth="1"/>
    <col min="16" max="16" width="12" style="1" bestFit="1" customWidth="1"/>
    <col min="17" max="17" width="7.33203125" style="1" bestFit="1" customWidth="1"/>
    <col min="18" max="16384" width="10.83203125" style="1"/>
  </cols>
  <sheetData>
    <row r="1" spans="2:16">
      <c r="B1" s="68" t="s">
        <v>35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70"/>
    </row>
    <row r="2" spans="2:16">
      <c r="B2" s="71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3"/>
    </row>
    <row r="3" spans="2:16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6"/>
    </row>
    <row r="5" spans="2:16" ht="15" customHeight="1">
      <c r="B5" s="77" t="s">
        <v>0</v>
      </c>
      <c r="C5" s="78"/>
      <c r="D5" s="78"/>
      <c r="E5" s="78"/>
      <c r="F5" s="78"/>
      <c r="G5" s="78"/>
      <c r="H5" s="79"/>
      <c r="J5" s="77" t="s">
        <v>1</v>
      </c>
      <c r="K5" s="78"/>
      <c r="L5" s="78"/>
      <c r="M5" s="78"/>
      <c r="N5" s="78"/>
      <c r="O5" s="78"/>
      <c r="P5" s="79"/>
    </row>
    <row r="6" spans="2:16" ht="15" customHeight="1">
      <c r="B6" s="80"/>
      <c r="C6" s="81"/>
      <c r="D6" s="81"/>
      <c r="E6" s="81"/>
      <c r="F6" s="81"/>
      <c r="G6" s="81"/>
      <c r="H6" s="82"/>
      <c r="J6" s="80"/>
      <c r="K6" s="81"/>
      <c r="L6" s="81"/>
      <c r="M6" s="81"/>
      <c r="N6" s="81"/>
      <c r="O6" s="81"/>
      <c r="P6" s="82"/>
    </row>
    <row r="7" spans="2:16" ht="15" customHeight="1">
      <c r="B7" s="2"/>
      <c r="C7" s="83" t="s">
        <v>2</v>
      </c>
      <c r="D7" s="83"/>
      <c r="E7" s="83" t="s">
        <v>29</v>
      </c>
      <c r="F7" s="83"/>
      <c r="G7" s="83" t="s">
        <v>30</v>
      </c>
      <c r="H7" s="83"/>
      <c r="J7" s="2"/>
      <c r="K7" s="83" t="s">
        <v>2</v>
      </c>
      <c r="L7" s="83"/>
      <c r="M7" s="83" t="s">
        <v>29</v>
      </c>
      <c r="N7" s="83"/>
      <c r="O7" s="83" t="s">
        <v>30</v>
      </c>
      <c r="P7" s="83"/>
    </row>
    <row r="8" spans="2:16" ht="15" customHeight="1">
      <c r="B8" s="34" t="s">
        <v>5</v>
      </c>
      <c r="C8" s="26" t="s">
        <v>6</v>
      </c>
      <c r="D8" s="26" t="s">
        <v>8</v>
      </c>
      <c r="E8" s="26" t="s">
        <v>6</v>
      </c>
      <c r="F8" s="26" t="s">
        <v>8</v>
      </c>
      <c r="G8" s="26" t="s">
        <v>6</v>
      </c>
      <c r="H8" s="26" t="s">
        <v>8</v>
      </c>
      <c r="J8" s="3" t="s">
        <v>9</v>
      </c>
      <c r="K8" s="4" t="s">
        <v>6</v>
      </c>
      <c r="L8" s="4" t="s">
        <v>8</v>
      </c>
      <c r="M8" s="4" t="s">
        <v>6</v>
      </c>
      <c r="N8" s="4" t="s">
        <v>8</v>
      </c>
      <c r="O8" s="4" t="s">
        <v>6</v>
      </c>
      <c r="P8" s="4" t="s">
        <v>8</v>
      </c>
    </row>
    <row r="9" spans="2:16">
      <c r="B9" s="27" t="s">
        <v>10</v>
      </c>
      <c r="C9" s="23">
        <v>80561</v>
      </c>
      <c r="D9" s="7">
        <f t="shared" ref="D9:D17" si="0">C9/$C$18</f>
        <v>0.64367439556400707</v>
      </c>
      <c r="E9" s="6">
        <v>4503261</v>
      </c>
      <c r="F9" s="7">
        <f t="shared" ref="F9:F17" si="1">E9/$E$18</f>
        <v>0.71452104081419265</v>
      </c>
      <c r="G9" s="6">
        <v>4503261</v>
      </c>
      <c r="H9" s="7">
        <f>G9/$E$18</f>
        <v>0.71452104081419265</v>
      </c>
      <c r="J9" s="8">
        <v>9</v>
      </c>
      <c r="K9" s="6">
        <v>16474</v>
      </c>
      <c r="L9" s="7">
        <v>0.20449999999999999</v>
      </c>
      <c r="M9" s="6">
        <v>575912</v>
      </c>
      <c r="N9" s="7">
        <v>0.12590000000000001</v>
      </c>
      <c r="O9" s="6">
        <v>575499</v>
      </c>
      <c r="P9" s="7">
        <v>0.1278</v>
      </c>
    </row>
    <row r="10" spans="2:16">
      <c r="B10" s="27" t="s">
        <v>11</v>
      </c>
      <c r="C10" s="11">
        <v>23243</v>
      </c>
      <c r="D10" s="12">
        <f t="shared" si="0"/>
        <v>0.18570926349094743</v>
      </c>
      <c r="E10" s="11">
        <v>897476</v>
      </c>
      <c r="F10" s="12">
        <f t="shared" si="1"/>
        <v>0.14240024853672889</v>
      </c>
      <c r="G10" s="11">
        <v>897476</v>
      </c>
      <c r="H10" s="12">
        <f t="shared" ref="H10:H17" si="2">G10/$E$18</f>
        <v>0.14240024853672889</v>
      </c>
      <c r="J10" s="8">
        <v>8</v>
      </c>
      <c r="K10" s="11">
        <v>53354</v>
      </c>
      <c r="L10" s="12">
        <v>0.68230000000000002</v>
      </c>
      <c r="M10" s="11">
        <v>3091033</v>
      </c>
      <c r="N10" s="12">
        <v>0.68640000000000001</v>
      </c>
      <c r="O10" s="11">
        <v>3090377</v>
      </c>
      <c r="P10" s="12">
        <v>0.68640000000000001</v>
      </c>
    </row>
    <row r="11" spans="2:16">
      <c r="B11" s="27" t="s">
        <v>12</v>
      </c>
      <c r="C11" s="11">
        <v>11901</v>
      </c>
      <c r="D11" s="12">
        <f t="shared" si="0"/>
        <v>9.5087809009412105E-2</v>
      </c>
      <c r="E11" s="11">
        <v>449380</v>
      </c>
      <c r="F11" s="12">
        <f t="shared" si="1"/>
        <v>7.1301988785700376E-2</v>
      </c>
      <c r="G11" s="11">
        <v>449380</v>
      </c>
      <c r="H11" s="12">
        <f t="shared" si="2"/>
        <v>7.1301988785700376E-2</v>
      </c>
      <c r="J11" s="8">
        <v>7</v>
      </c>
      <c r="K11" s="11">
        <v>8980</v>
      </c>
      <c r="L11" s="12">
        <v>0.1115</v>
      </c>
      <c r="M11" s="11">
        <v>479487</v>
      </c>
      <c r="N11" s="12">
        <v>0.1065</v>
      </c>
      <c r="O11" s="11">
        <v>479388</v>
      </c>
      <c r="P11" s="12">
        <v>0.1065</v>
      </c>
    </row>
    <row r="12" spans="2:16">
      <c r="B12" s="27" t="s">
        <v>13</v>
      </c>
      <c r="C12" s="11">
        <v>8282</v>
      </c>
      <c r="D12" s="12">
        <f t="shared" si="0"/>
        <v>6.617235813931191E-2</v>
      </c>
      <c r="E12" s="11">
        <v>348319</v>
      </c>
      <c r="F12" s="12">
        <f t="shared" si="1"/>
        <v>5.5266895348805842E-2</v>
      </c>
      <c r="G12" s="11">
        <v>348319</v>
      </c>
      <c r="H12" s="12">
        <f t="shared" si="2"/>
        <v>5.5266895348805842E-2</v>
      </c>
      <c r="J12" s="13" t="s">
        <v>14</v>
      </c>
      <c r="K12" s="14">
        <f>1749+2+1+1</f>
        <v>1753</v>
      </c>
      <c r="L12" s="16">
        <f>1-SUM(L9:L11)</f>
        <v>1.6999999999999238E-3</v>
      </c>
      <c r="M12" s="14">
        <f>355016+1659+95+40+6+5+5</f>
        <v>356826</v>
      </c>
      <c r="N12" s="16">
        <f>1-SUM(N9:N11)</f>
        <v>8.1199999999999939E-2</v>
      </c>
      <c r="O12" s="14">
        <f>354978+1659+95+40+6+5+5</f>
        <v>356788</v>
      </c>
      <c r="P12" s="16">
        <f>1-SUM(P9:P11)</f>
        <v>7.9299999999999926E-2</v>
      </c>
    </row>
    <row r="13" spans="2:16">
      <c r="B13" s="27" t="s">
        <v>15</v>
      </c>
      <c r="C13" s="11">
        <v>497</v>
      </c>
      <c r="D13" s="12">
        <f t="shared" si="0"/>
        <v>3.9709806804199494E-3</v>
      </c>
      <c r="E13" s="11">
        <v>65590</v>
      </c>
      <c r="F13" s="12">
        <f t="shared" si="1"/>
        <v>1.040699952034823E-2</v>
      </c>
      <c r="G13" s="11">
        <v>65590</v>
      </c>
      <c r="H13" s="12">
        <f t="shared" si="2"/>
        <v>1.040699952034823E-2</v>
      </c>
      <c r="J13" s="17" t="s">
        <v>16</v>
      </c>
      <c r="K13" s="18">
        <f>SUM(K9:K12)</f>
        <v>80561</v>
      </c>
      <c r="L13" s="19"/>
      <c r="M13" s="18">
        <f>SUM(M9:M12)</f>
        <v>4503258</v>
      </c>
      <c r="N13" s="19"/>
      <c r="O13" s="18">
        <f>SUM(O9:O12)</f>
        <v>4502052</v>
      </c>
      <c r="P13" s="20"/>
    </row>
    <row r="14" spans="2:16">
      <c r="B14" s="27" t="s">
        <v>17</v>
      </c>
      <c r="C14" s="11">
        <v>112</v>
      </c>
      <c r="D14" s="12">
        <f t="shared" si="0"/>
        <v>8.9486888572843921E-4</v>
      </c>
      <c r="E14" s="11">
        <v>5679</v>
      </c>
      <c r="F14" s="12">
        <f t="shared" si="1"/>
        <v>9.0107257624725721E-4</v>
      </c>
      <c r="G14" s="11">
        <v>5679</v>
      </c>
      <c r="H14" s="12">
        <f t="shared" si="2"/>
        <v>9.0107257624725721E-4</v>
      </c>
    </row>
    <row r="15" spans="2:16">
      <c r="B15" s="27" t="s">
        <v>18</v>
      </c>
      <c r="C15" s="11">
        <v>326</v>
      </c>
      <c r="D15" s="12">
        <f t="shared" si="0"/>
        <v>2.6047076495309927E-3</v>
      </c>
      <c r="E15" s="11">
        <v>12064</v>
      </c>
      <c r="F15" s="12">
        <f t="shared" si="1"/>
        <v>1.9141643880695388E-3</v>
      </c>
      <c r="G15" s="11">
        <v>12064</v>
      </c>
      <c r="H15" s="12">
        <f t="shared" si="2"/>
        <v>1.9141643880695388E-3</v>
      </c>
      <c r="J15" s="77" t="s">
        <v>19</v>
      </c>
      <c r="K15" s="78"/>
      <c r="L15" s="78"/>
      <c r="M15" s="78"/>
      <c r="N15" s="78"/>
      <c r="O15" s="78"/>
      <c r="P15" s="79"/>
    </row>
    <row r="16" spans="2:16">
      <c r="B16" s="27" t="s">
        <v>20</v>
      </c>
      <c r="C16" s="11">
        <v>103</v>
      </c>
      <c r="D16" s="12">
        <f t="shared" si="0"/>
        <v>8.2295977883954684E-4</v>
      </c>
      <c r="E16" s="11">
        <v>15626</v>
      </c>
      <c r="F16" s="12">
        <f t="shared" si="1"/>
        <v>2.4793379250642087E-3</v>
      </c>
      <c r="G16" s="11">
        <v>15626</v>
      </c>
      <c r="H16" s="12">
        <f t="shared" si="2"/>
        <v>2.4793379250642087E-3</v>
      </c>
      <c r="J16" s="80"/>
      <c r="K16" s="81"/>
      <c r="L16" s="81"/>
      <c r="M16" s="81"/>
      <c r="N16" s="81"/>
      <c r="O16" s="81"/>
      <c r="P16" s="82"/>
    </row>
    <row r="17" spans="1:16" ht="14" customHeight="1">
      <c r="B17" s="27" t="s">
        <v>14</v>
      </c>
      <c r="C17" s="10">
        <f>95+38</f>
        <v>133</v>
      </c>
      <c r="D17" s="21">
        <f t="shared" si="0"/>
        <v>1.0626568018025217E-3</v>
      </c>
      <c r="E17" s="10">
        <f>2834+2260</f>
        <v>5094</v>
      </c>
      <c r="F17" s="21">
        <f t="shared" si="1"/>
        <v>8.0825210484302312E-4</v>
      </c>
      <c r="G17" s="10">
        <f>2834+2260</f>
        <v>5094</v>
      </c>
      <c r="H17" s="21">
        <f t="shared" si="2"/>
        <v>8.0825210484302312E-4</v>
      </c>
      <c r="J17" s="2"/>
      <c r="K17" s="83" t="s">
        <v>21</v>
      </c>
      <c r="L17" s="83"/>
      <c r="M17" s="83" t="s">
        <v>31</v>
      </c>
      <c r="N17" s="83"/>
      <c r="O17" s="83" t="s">
        <v>28</v>
      </c>
      <c r="P17" s="83"/>
    </row>
    <row r="18" spans="1:16">
      <c r="A18" s="22"/>
      <c r="B18" s="17" t="s">
        <v>16</v>
      </c>
      <c r="C18" s="18">
        <f>SUM(C9:C17)</f>
        <v>125158</v>
      </c>
      <c r="D18" s="19"/>
      <c r="E18" s="18">
        <f>SUM(E9:E17)</f>
        <v>6302489</v>
      </c>
      <c r="F18" s="19"/>
      <c r="G18" s="18">
        <f>SUM(G9:G17)</f>
        <v>6302489</v>
      </c>
      <c r="H18" s="20"/>
      <c r="I18" s="22"/>
      <c r="J18" s="3" t="s">
        <v>9</v>
      </c>
      <c r="K18" s="4" t="s">
        <v>6</v>
      </c>
      <c r="L18" s="4" t="s">
        <v>8</v>
      </c>
      <c r="M18" s="4" t="s">
        <v>6</v>
      </c>
      <c r="N18" s="4" t="s">
        <v>8</v>
      </c>
      <c r="O18" s="4" t="s">
        <v>6</v>
      </c>
      <c r="P18" s="4" t="s">
        <v>8</v>
      </c>
    </row>
    <row r="19" spans="1:16">
      <c r="J19" s="8">
        <v>9</v>
      </c>
      <c r="K19" s="6">
        <v>132074</v>
      </c>
      <c r="L19" s="5">
        <v>0.1356</v>
      </c>
      <c r="M19" s="6">
        <v>949901</v>
      </c>
      <c r="N19" s="7">
        <v>0.1749</v>
      </c>
      <c r="O19" s="23">
        <v>946381</v>
      </c>
      <c r="P19" s="7">
        <v>0.17469999999999999</v>
      </c>
    </row>
    <row r="20" spans="1:16" ht="15" customHeight="1">
      <c r="B20" s="77" t="s">
        <v>24</v>
      </c>
      <c r="C20" s="78"/>
      <c r="D20" s="78"/>
      <c r="E20" s="78"/>
      <c r="F20" s="78"/>
      <c r="G20" s="78"/>
      <c r="H20" s="79"/>
      <c r="J20" s="8">
        <v>8</v>
      </c>
      <c r="K20" s="11">
        <v>655075</v>
      </c>
      <c r="L20" s="24">
        <v>0.67249999999999999</v>
      </c>
      <c r="M20" s="11">
        <v>3442018</v>
      </c>
      <c r="N20" s="12">
        <v>0.63390000000000002</v>
      </c>
      <c r="O20" s="25">
        <v>3434040</v>
      </c>
      <c r="P20" s="12">
        <v>0.63400000000000001</v>
      </c>
    </row>
    <row r="21" spans="1:16" ht="15" customHeight="1">
      <c r="B21" s="80"/>
      <c r="C21" s="81"/>
      <c r="D21" s="81"/>
      <c r="E21" s="81"/>
      <c r="F21" s="81"/>
      <c r="G21" s="81"/>
      <c r="H21" s="82"/>
      <c r="J21" s="8">
        <v>7</v>
      </c>
      <c r="K21" s="11">
        <v>155279</v>
      </c>
      <c r="L21" s="24">
        <v>0.15939999999999999</v>
      </c>
      <c r="M21" s="11">
        <v>776197</v>
      </c>
      <c r="N21" s="12">
        <v>0.1429</v>
      </c>
      <c r="O21" s="25">
        <v>774778</v>
      </c>
      <c r="P21" s="12">
        <v>0.14299999999999999</v>
      </c>
    </row>
    <row r="22" spans="1:16">
      <c r="B22" s="35"/>
      <c r="C22" s="83" t="s">
        <v>21</v>
      </c>
      <c r="D22" s="83"/>
      <c r="E22" s="83" t="s">
        <v>31</v>
      </c>
      <c r="F22" s="83"/>
      <c r="G22" s="83" t="s">
        <v>28</v>
      </c>
      <c r="H22" s="83"/>
      <c r="J22" s="13" t="s">
        <v>14</v>
      </c>
      <c r="K22" s="14">
        <f>31487+85+79+12+4+3+2</f>
        <v>31672</v>
      </c>
      <c r="L22" s="16">
        <f>1-SUM(L19:L21)</f>
        <v>3.2499999999999973E-2</v>
      </c>
      <c r="M22" s="14">
        <f>260846+409+400+162+17+16+13</f>
        <v>261863</v>
      </c>
      <c r="N22" s="16">
        <f>1-SUM(N19:N21)</f>
        <v>4.830000000000001E-2</v>
      </c>
      <c r="O22" s="15">
        <f>260317+408+398+162+16+16+12</f>
        <v>261329</v>
      </c>
      <c r="P22" s="16">
        <f>1-SUM(P19:P21)</f>
        <v>4.830000000000001E-2</v>
      </c>
    </row>
    <row r="23" spans="1:16">
      <c r="B23" s="34" t="s">
        <v>5</v>
      </c>
      <c r="C23" s="26" t="s">
        <v>6</v>
      </c>
      <c r="D23" s="26" t="s">
        <v>8</v>
      </c>
      <c r="E23" s="26" t="s">
        <v>6</v>
      </c>
      <c r="F23" s="26" t="s">
        <v>8</v>
      </c>
      <c r="G23" s="26" t="s">
        <v>6</v>
      </c>
      <c r="H23" s="26" t="s">
        <v>8</v>
      </c>
      <c r="J23" s="17" t="s">
        <v>16</v>
      </c>
      <c r="K23" s="18">
        <f>SUM(K19:K22)</f>
        <v>974100</v>
      </c>
      <c r="L23" s="19"/>
      <c r="M23" s="18">
        <f>SUM(M19:M22)</f>
        <v>5429979</v>
      </c>
      <c r="N23" s="19"/>
      <c r="O23" s="18">
        <f>SUM(O19:O22)</f>
        <v>5416528</v>
      </c>
      <c r="P23" s="20"/>
    </row>
    <row r="24" spans="1:16">
      <c r="B24" s="27" t="s">
        <v>10</v>
      </c>
      <c r="C24" s="23">
        <v>974100</v>
      </c>
      <c r="D24" s="7">
        <f>C24/C33</f>
        <v>0.48304387561756573</v>
      </c>
      <c r="E24" s="6">
        <v>5429991</v>
      </c>
      <c r="F24" s="7">
        <f t="shared" ref="F24:F32" si="3">E24/$E$33</f>
        <v>0.51109641092068947</v>
      </c>
      <c r="G24" s="6">
        <v>5416540</v>
      </c>
      <c r="H24" s="7">
        <f>G24/$G$33</f>
        <v>0.51106666037646842</v>
      </c>
      <c r="J24" s="28"/>
      <c r="K24" s="29"/>
      <c r="L24" s="30"/>
      <c r="M24" s="29"/>
      <c r="N24" s="30"/>
      <c r="O24" s="29"/>
      <c r="P24" s="30"/>
    </row>
    <row r="25" spans="1:16">
      <c r="B25" s="27" t="s">
        <v>11</v>
      </c>
      <c r="C25" s="11">
        <v>458966</v>
      </c>
      <c r="D25" s="12">
        <f t="shared" ref="D25:D32" si="4">C25/$C$33</f>
        <v>0.22759543724123979</v>
      </c>
      <c r="E25" s="11">
        <v>2395400</v>
      </c>
      <c r="F25" s="12">
        <f t="shared" si="3"/>
        <v>0.2254663668354919</v>
      </c>
      <c r="G25" s="11">
        <v>2391403</v>
      </c>
      <c r="H25" s="12">
        <f t="shared" ref="H25:H32" si="5">G25/$G$33</f>
        <v>0.22563598622446573</v>
      </c>
      <c r="J25" s="77" t="s">
        <v>25</v>
      </c>
      <c r="K25" s="78"/>
      <c r="L25" s="78"/>
      <c r="M25" s="78"/>
      <c r="N25" s="78"/>
      <c r="O25" s="78"/>
      <c r="P25" s="79"/>
    </row>
    <row r="26" spans="1:16">
      <c r="B26" s="27" t="s">
        <v>12</v>
      </c>
      <c r="C26" s="11">
        <v>225485</v>
      </c>
      <c r="D26" s="12">
        <f t="shared" si="4"/>
        <v>0.11181516096255703</v>
      </c>
      <c r="E26" s="11">
        <v>1061988</v>
      </c>
      <c r="F26" s="12">
        <f t="shared" si="3"/>
        <v>9.9959328706224593E-2</v>
      </c>
      <c r="G26" s="11">
        <v>1059570</v>
      </c>
      <c r="H26" s="12">
        <f t="shared" si="5"/>
        <v>9.9973581167146289E-2</v>
      </c>
      <c r="J26" s="80"/>
      <c r="K26" s="81"/>
      <c r="L26" s="81"/>
      <c r="M26" s="81"/>
      <c r="N26" s="81"/>
      <c r="O26" s="81"/>
      <c r="P26" s="82"/>
    </row>
    <row r="27" spans="1:16" ht="14" customHeight="1">
      <c r="B27" s="27" t="s">
        <v>13</v>
      </c>
      <c r="C27" s="11">
        <v>296267</v>
      </c>
      <c r="D27" s="12">
        <f t="shared" si="4"/>
        <v>0.14691505995030216</v>
      </c>
      <c r="E27" s="11">
        <v>1380010</v>
      </c>
      <c r="F27" s="12">
        <f t="shared" si="3"/>
        <v>0.12989306207591517</v>
      </c>
      <c r="G27" s="11">
        <v>1375622</v>
      </c>
      <c r="H27" s="12">
        <f t="shared" si="5"/>
        <v>0.12979402745671556</v>
      </c>
      <c r="J27" s="2"/>
      <c r="K27" s="83" t="s">
        <v>2</v>
      </c>
      <c r="L27" s="83"/>
      <c r="M27" s="83" t="s">
        <v>29</v>
      </c>
      <c r="N27" s="83"/>
      <c r="O27" s="83" t="s">
        <v>30</v>
      </c>
      <c r="P27" s="83"/>
    </row>
    <row r="28" spans="1:16">
      <c r="B28" s="27" t="s">
        <v>15</v>
      </c>
      <c r="C28" s="11">
        <v>31575</v>
      </c>
      <c r="D28" s="12">
        <f t="shared" si="4"/>
        <v>1.5657643335001168E-2</v>
      </c>
      <c r="E28" s="11">
        <v>193794</v>
      </c>
      <c r="F28" s="12">
        <f t="shared" si="3"/>
        <v>1.8240807002804258E-2</v>
      </c>
      <c r="G28" s="11">
        <v>192827</v>
      </c>
      <c r="H28" s="12">
        <f t="shared" si="5"/>
        <v>1.8193801009576828E-2</v>
      </c>
      <c r="J28" s="3" t="s">
        <v>9</v>
      </c>
      <c r="K28" s="4" t="s">
        <v>6</v>
      </c>
      <c r="L28" s="4" t="s">
        <v>8</v>
      </c>
      <c r="M28" s="26" t="s">
        <v>6</v>
      </c>
      <c r="N28" s="26" t="s">
        <v>8</v>
      </c>
      <c r="O28" s="26" t="s">
        <v>6</v>
      </c>
      <c r="P28" s="26" t="s">
        <v>8</v>
      </c>
    </row>
    <row r="29" spans="1:16">
      <c r="B29" s="27" t="s">
        <v>17</v>
      </c>
      <c r="C29" s="11">
        <v>1783</v>
      </c>
      <c r="D29" s="12">
        <f t="shared" si="4"/>
        <v>8.8416715966134864E-4</v>
      </c>
      <c r="E29" s="11">
        <v>10599</v>
      </c>
      <c r="F29" s="12">
        <f t="shared" si="3"/>
        <v>9.976279627992731E-4</v>
      </c>
      <c r="G29" s="11">
        <v>10568</v>
      </c>
      <c r="H29" s="12">
        <f t="shared" si="5"/>
        <v>9.9712223427843565E-4</v>
      </c>
      <c r="J29" s="37" t="s">
        <v>32</v>
      </c>
      <c r="K29" s="6">
        <v>3693</v>
      </c>
      <c r="L29" s="7">
        <v>0.15890000000000001</v>
      </c>
      <c r="M29" s="6">
        <v>129395</v>
      </c>
      <c r="N29" s="7">
        <v>0.14419999999999999</v>
      </c>
      <c r="O29" s="11">
        <v>129394</v>
      </c>
      <c r="P29" s="21">
        <v>0.14419999999999999</v>
      </c>
    </row>
    <row r="30" spans="1:16">
      <c r="B30" s="27" t="s">
        <v>18</v>
      </c>
      <c r="C30" s="11">
        <v>9956</v>
      </c>
      <c r="D30" s="12">
        <f t="shared" si="4"/>
        <v>4.937054538187542E-3</v>
      </c>
      <c r="E30" s="11">
        <v>39317</v>
      </c>
      <c r="F30" s="12">
        <f t="shared" si="3"/>
        <v>3.7007018221887934E-3</v>
      </c>
      <c r="G30" s="11">
        <v>39031</v>
      </c>
      <c r="H30" s="12">
        <f t="shared" si="5"/>
        <v>3.682690946832099E-3</v>
      </c>
      <c r="J30" s="37" t="s">
        <v>33</v>
      </c>
      <c r="K30" s="11">
        <v>2916</v>
      </c>
      <c r="L30" s="12">
        <v>0.1255</v>
      </c>
      <c r="M30" s="11">
        <v>85446</v>
      </c>
      <c r="N30" s="12">
        <v>9.5200000000000007E-2</v>
      </c>
      <c r="O30" s="11">
        <v>85437</v>
      </c>
      <c r="P30" s="12">
        <v>9.5200000000000007E-2</v>
      </c>
    </row>
    <row r="31" spans="1:16">
      <c r="B31" s="27" t="s">
        <v>20</v>
      </c>
      <c r="C31" s="11">
        <v>14854</v>
      </c>
      <c r="D31" s="12">
        <f t="shared" si="4"/>
        <v>7.3659108186257278E-3</v>
      </c>
      <c r="E31" s="11">
        <v>99189</v>
      </c>
      <c r="F31" s="12">
        <f t="shared" si="3"/>
        <v>9.3361373716479949E-3</v>
      </c>
      <c r="G31" s="11">
        <v>99056</v>
      </c>
      <c r="H31" s="12">
        <f t="shared" si="5"/>
        <v>9.3462282398452615E-3</v>
      </c>
      <c r="J31" s="36" t="s">
        <v>34</v>
      </c>
      <c r="K31" s="11">
        <v>2659</v>
      </c>
      <c r="L31" s="12">
        <v>0.1144</v>
      </c>
      <c r="M31" s="11">
        <v>68786</v>
      </c>
      <c r="N31" s="12">
        <v>7.6600000000000001E-2</v>
      </c>
      <c r="O31" s="11">
        <v>68777</v>
      </c>
      <c r="P31" s="12">
        <v>7.6700000000000004E-2</v>
      </c>
    </row>
    <row r="32" spans="1:16">
      <c r="B32" s="27" t="s">
        <v>14</v>
      </c>
      <c r="C32" s="10">
        <f>2472+1129</f>
        <v>3601</v>
      </c>
      <c r="D32" s="21">
        <f t="shared" si="4"/>
        <v>1.7856903768595155E-3</v>
      </c>
      <c r="E32" s="10">
        <f>8492+5421</f>
        <v>13913</v>
      </c>
      <c r="F32" s="21">
        <f t="shared" si="3"/>
        <v>1.30955730223854E-3</v>
      </c>
      <c r="G32" s="10">
        <f>8480+5403</f>
        <v>13883</v>
      </c>
      <c r="H32" s="21">
        <f t="shared" si="5"/>
        <v>1.3099023446714157E-3</v>
      </c>
      <c r="J32" s="13" t="s">
        <v>14</v>
      </c>
      <c r="K32" s="14">
        <f>23243-SUM(K29:K31)</f>
        <v>13975</v>
      </c>
      <c r="L32" s="16">
        <f>1-SUM(L29:L31)</f>
        <v>0.60119999999999996</v>
      </c>
      <c r="M32" s="14">
        <f>897476-SUM(M29:M31)</f>
        <v>613849</v>
      </c>
      <c r="N32" s="16">
        <f>1-SUM(N29:N31)</f>
        <v>0.68399999999999994</v>
      </c>
      <c r="O32" s="14">
        <f>897144-SUM(O29:O31)</f>
        <v>613536</v>
      </c>
      <c r="P32" s="16">
        <f>1-SUM(P29:P31)</f>
        <v>0.68389999999999995</v>
      </c>
    </row>
    <row r="33" spans="1:16">
      <c r="B33" s="17" t="s">
        <v>16</v>
      </c>
      <c r="C33" s="18">
        <f>SUM(C24:C32)</f>
        <v>2016587</v>
      </c>
      <c r="D33" s="19"/>
      <c r="E33" s="18">
        <f>SUM(E24:E32)</f>
        <v>10624201</v>
      </c>
      <c r="F33" s="19"/>
      <c r="G33" s="18">
        <f>SUM(G24:G32)</f>
        <v>10598500</v>
      </c>
      <c r="H33" s="20"/>
      <c r="J33" s="17" t="s">
        <v>16</v>
      </c>
      <c r="K33" s="18">
        <f>SUM(K29:K32)</f>
        <v>23243</v>
      </c>
      <c r="L33" s="19"/>
      <c r="M33" s="18">
        <f>SUM(M29:M32)</f>
        <v>897476</v>
      </c>
      <c r="N33" s="19"/>
      <c r="O33" s="18">
        <f>SUM(O29:O32)</f>
        <v>897144</v>
      </c>
      <c r="P33" s="20"/>
    </row>
    <row r="35" spans="1:16">
      <c r="J35" s="77" t="s">
        <v>27</v>
      </c>
      <c r="K35" s="78"/>
      <c r="L35" s="78"/>
      <c r="M35" s="78"/>
      <c r="N35" s="78"/>
      <c r="O35" s="78"/>
      <c r="P35" s="79"/>
    </row>
    <row r="36" spans="1:16">
      <c r="A36" s="22"/>
      <c r="I36" s="25"/>
      <c r="J36" s="80"/>
      <c r="K36" s="81"/>
      <c r="L36" s="81"/>
      <c r="M36" s="81"/>
      <c r="N36" s="81"/>
      <c r="O36" s="81"/>
      <c r="P36" s="82"/>
    </row>
    <row r="37" spans="1:16">
      <c r="I37" s="31"/>
      <c r="J37" s="2"/>
      <c r="K37" s="83" t="s">
        <v>21</v>
      </c>
      <c r="L37" s="83"/>
      <c r="M37" s="83" t="s">
        <v>31</v>
      </c>
      <c r="N37" s="83"/>
      <c r="O37" s="83" t="s">
        <v>28</v>
      </c>
      <c r="P37" s="83"/>
    </row>
    <row r="38" spans="1:16">
      <c r="I38" s="32"/>
      <c r="J38" s="3" t="s">
        <v>9</v>
      </c>
      <c r="K38" s="4" t="s">
        <v>6</v>
      </c>
      <c r="L38" s="4" t="s">
        <v>8</v>
      </c>
      <c r="M38" s="4" t="s">
        <v>6</v>
      </c>
      <c r="N38" s="4" t="s">
        <v>8</v>
      </c>
      <c r="O38" s="4" t="s">
        <v>6</v>
      </c>
      <c r="P38" s="4" t="s">
        <v>8</v>
      </c>
    </row>
    <row r="39" spans="1:16">
      <c r="I39" s="32"/>
      <c r="J39" s="37" t="s">
        <v>32</v>
      </c>
      <c r="K39" s="6">
        <v>107705</v>
      </c>
      <c r="L39" s="5">
        <v>0.23469999999999999</v>
      </c>
      <c r="M39" s="6">
        <v>379827</v>
      </c>
      <c r="N39" s="7">
        <v>0.15859999999999999</v>
      </c>
      <c r="O39" s="23">
        <v>379478</v>
      </c>
      <c r="P39" s="7">
        <v>0.15870000000000001</v>
      </c>
    </row>
    <row r="40" spans="1:16">
      <c r="I40" s="32"/>
      <c r="J40" s="37" t="s">
        <v>33</v>
      </c>
      <c r="K40" s="11">
        <v>47729</v>
      </c>
      <c r="L40" s="24">
        <v>0.104</v>
      </c>
      <c r="M40" s="11">
        <v>190881</v>
      </c>
      <c r="N40" s="12">
        <v>7.9699999999999993E-2</v>
      </c>
      <c r="O40" s="25">
        <v>190723</v>
      </c>
      <c r="P40" s="12">
        <v>7.9799999999999996E-2</v>
      </c>
    </row>
    <row r="41" spans="1:16">
      <c r="J41" s="36" t="s">
        <v>34</v>
      </c>
      <c r="K41" s="11">
        <v>44078</v>
      </c>
      <c r="L41" s="24">
        <v>9.6000000000000002E-2</v>
      </c>
      <c r="M41" s="11">
        <v>168889</v>
      </c>
      <c r="N41" s="12">
        <v>7.0499999999999993E-2</v>
      </c>
      <c r="O41" s="25">
        <v>168630</v>
      </c>
      <c r="P41" s="12">
        <v>7.0499999999999993E-2</v>
      </c>
    </row>
    <row r="42" spans="1:16">
      <c r="I42" s="32"/>
      <c r="J42" s="13" t="s">
        <v>14</v>
      </c>
      <c r="K42" s="14">
        <f>458966-SUM(K39:K41)</f>
        <v>259454</v>
      </c>
      <c r="L42" s="16">
        <f>1-SUM(L39:L41)</f>
        <v>0.56530000000000002</v>
      </c>
      <c r="M42" s="14">
        <f>2395400-SUM(M39:M41)</f>
        <v>1655803</v>
      </c>
      <c r="N42" s="16">
        <f>1-SUM(N39:N41)</f>
        <v>0.69120000000000004</v>
      </c>
      <c r="O42" s="15">
        <f>2391403-SUM(O39:O41)</f>
        <v>1652572</v>
      </c>
      <c r="P42" s="16">
        <f>1-SUM(P39:P41)</f>
        <v>0.69100000000000006</v>
      </c>
    </row>
    <row r="43" spans="1:16">
      <c r="I43" s="32"/>
      <c r="J43" s="17" t="s">
        <v>16</v>
      </c>
      <c r="K43" s="18">
        <f>SUM(K39:K42)</f>
        <v>458966</v>
      </c>
      <c r="L43" s="19"/>
      <c r="M43" s="18">
        <f>SUM(M39:M42)</f>
        <v>2395400</v>
      </c>
      <c r="N43" s="19"/>
      <c r="O43" s="18">
        <f>SUM(O39:O42)</f>
        <v>2391403</v>
      </c>
      <c r="P43" s="20"/>
    </row>
    <row r="56" s="33" customFormat="1"/>
  </sheetData>
  <mergeCells count="25">
    <mergeCell ref="O7:P7"/>
    <mergeCell ref="J35:P36"/>
    <mergeCell ref="K37:L37"/>
    <mergeCell ref="M37:N37"/>
    <mergeCell ref="O37:P37"/>
    <mergeCell ref="J15:P16"/>
    <mergeCell ref="K17:L17"/>
    <mergeCell ref="M17:N17"/>
    <mergeCell ref="O17:P17"/>
    <mergeCell ref="B1:P3"/>
    <mergeCell ref="J25:P26"/>
    <mergeCell ref="K27:L27"/>
    <mergeCell ref="M27:N27"/>
    <mergeCell ref="O27:P27"/>
    <mergeCell ref="B20:H21"/>
    <mergeCell ref="C22:D22"/>
    <mergeCell ref="E22:F22"/>
    <mergeCell ref="G22:H22"/>
    <mergeCell ref="B5:H6"/>
    <mergeCell ref="J5:P6"/>
    <mergeCell ref="C7:D7"/>
    <mergeCell ref="E7:F7"/>
    <mergeCell ref="G7:H7"/>
    <mergeCell ref="K7:L7"/>
    <mergeCell ref="M7:N7"/>
  </mergeCells>
  <pageMargins left="0.75" right="0.75" top="1" bottom="1" header="0.5" footer="0.5"/>
  <pageSetup paperSize="9" orientation="portrait" horizontalDpi="4294967292" verticalDpi="4294967292"/>
  <ignoredErrors>
    <ignoredError sqref="M12:N12" formula="1"/>
    <ignoredError sqref="J3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selection activeCell="M18" sqref="M18"/>
    </sheetView>
  </sheetViews>
  <sheetFormatPr baseColWidth="10" defaultRowHeight="15" x14ac:dyDescent="0"/>
  <cols>
    <col min="1" max="1" width="3.1640625" style="1" customWidth="1"/>
    <col min="2" max="2" width="25.5" style="1" bestFit="1" customWidth="1"/>
    <col min="3" max="3" width="11.83203125" style="1" customWidth="1"/>
    <col min="4" max="5" width="11.6640625" style="1" customWidth="1"/>
    <col min="6" max="6" width="11.6640625" style="1" bestFit="1" customWidth="1"/>
    <col min="7" max="7" width="11.6640625" style="1" customWidth="1"/>
    <col min="8" max="8" width="11.6640625" style="1" bestFit="1" customWidth="1"/>
    <col min="9" max="9" width="3.1640625" style="1" customWidth="1"/>
    <col min="10" max="10" width="10.83203125" style="1" bestFit="1" customWidth="1"/>
    <col min="11" max="11" width="11.6640625" style="1" customWidth="1"/>
    <col min="12" max="12" width="12" style="1" customWidth="1"/>
    <col min="13" max="13" width="11.83203125" style="1" customWidth="1"/>
    <col min="14" max="14" width="12" style="1" bestFit="1" customWidth="1"/>
    <col min="15" max="15" width="11.83203125" style="1" customWidth="1"/>
    <col min="16" max="16" width="12" style="1" bestFit="1" customWidth="1"/>
    <col min="17" max="17" width="7.33203125" style="1" bestFit="1" customWidth="1"/>
    <col min="18" max="16384" width="10.83203125" style="1"/>
  </cols>
  <sheetData>
    <row r="1" spans="2:16">
      <c r="B1" s="68" t="s">
        <v>36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70"/>
    </row>
    <row r="2" spans="2:16">
      <c r="B2" s="71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3"/>
    </row>
    <row r="3" spans="2:16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6"/>
    </row>
    <row r="5" spans="2:16" ht="15" customHeight="1">
      <c r="B5" s="77" t="s">
        <v>0</v>
      </c>
      <c r="C5" s="78"/>
      <c r="D5" s="78"/>
      <c r="E5" s="78"/>
      <c r="F5" s="78"/>
      <c r="G5" s="78"/>
      <c r="H5" s="79"/>
      <c r="J5" s="77" t="s">
        <v>1</v>
      </c>
      <c r="K5" s="78"/>
      <c r="L5" s="78"/>
      <c r="M5" s="78"/>
      <c r="N5" s="78"/>
      <c r="O5" s="78"/>
      <c r="P5" s="79"/>
    </row>
    <row r="6" spans="2:16" ht="15" customHeight="1">
      <c r="B6" s="80"/>
      <c r="C6" s="81"/>
      <c r="D6" s="81"/>
      <c r="E6" s="81"/>
      <c r="F6" s="81"/>
      <c r="G6" s="81"/>
      <c r="H6" s="82"/>
      <c r="J6" s="80"/>
      <c r="K6" s="81"/>
      <c r="L6" s="81"/>
      <c r="M6" s="81"/>
      <c r="N6" s="81"/>
      <c r="O6" s="81"/>
      <c r="P6" s="82"/>
    </row>
    <row r="7" spans="2:16" ht="15" customHeight="1">
      <c r="B7" s="2"/>
      <c r="C7" s="83" t="s">
        <v>2</v>
      </c>
      <c r="D7" s="83"/>
      <c r="E7" s="83" t="s">
        <v>29</v>
      </c>
      <c r="F7" s="83"/>
      <c r="G7" s="83" t="s">
        <v>30</v>
      </c>
      <c r="H7" s="83"/>
      <c r="J7" s="2"/>
      <c r="K7" s="83" t="s">
        <v>2</v>
      </c>
      <c r="L7" s="83"/>
      <c r="M7" s="83" t="s">
        <v>29</v>
      </c>
      <c r="N7" s="83"/>
      <c r="O7" s="83" t="s">
        <v>30</v>
      </c>
      <c r="P7" s="83"/>
    </row>
    <row r="8" spans="2:16" ht="15" customHeight="1">
      <c r="B8" s="34" t="s">
        <v>5</v>
      </c>
      <c r="C8" s="26" t="s">
        <v>6</v>
      </c>
      <c r="D8" s="26" t="s">
        <v>8</v>
      </c>
      <c r="E8" s="26" t="s">
        <v>6</v>
      </c>
      <c r="F8" s="26" t="s">
        <v>8</v>
      </c>
      <c r="G8" s="26" t="s">
        <v>6</v>
      </c>
      <c r="H8" s="26" t="s">
        <v>8</v>
      </c>
      <c r="J8" s="3" t="s">
        <v>9</v>
      </c>
      <c r="K8" s="4" t="s">
        <v>6</v>
      </c>
      <c r="L8" s="4" t="s">
        <v>8</v>
      </c>
      <c r="M8" s="4" t="s">
        <v>6</v>
      </c>
      <c r="N8" s="4" t="s">
        <v>8</v>
      </c>
      <c r="O8" s="4" t="s">
        <v>6</v>
      </c>
      <c r="P8" s="4" t="s">
        <v>8</v>
      </c>
    </row>
    <row r="9" spans="2:16">
      <c r="B9" s="27" t="s">
        <v>10</v>
      </c>
      <c r="C9" s="23">
        <v>2120</v>
      </c>
      <c r="D9" s="7">
        <f t="shared" ref="D9:D17" si="0">C9/$C$18</f>
        <v>0.43603455368161248</v>
      </c>
      <c r="E9" s="6">
        <v>1088047</v>
      </c>
      <c r="F9" s="7">
        <f t="shared" ref="F9:F17" si="1">E9/$E$18</f>
        <v>0.65820613907996672</v>
      </c>
      <c r="G9" s="6">
        <v>1087549</v>
      </c>
      <c r="H9" s="7">
        <f>G9/$E$18</f>
        <v>0.6579048775928602</v>
      </c>
      <c r="J9" s="8">
        <v>9</v>
      </c>
      <c r="K9" s="6">
        <v>876</v>
      </c>
      <c r="L9" s="7">
        <f>K9/K13</f>
        <v>0.41320754716981134</v>
      </c>
      <c r="M9" s="6">
        <v>300111</v>
      </c>
      <c r="N9" s="7">
        <f>M9/M13</f>
        <v>0.27582540092477625</v>
      </c>
      <c r="O9" s="6">
        <v>299935</v>
      </c>
      <c r="P9" s="7">
        <f>O9/O13</f>
        <v>0.27578987245632153</v>
      </c>
    </row>
    <row r="10" spans="2:16">
      <c r="B10" s="27" t="s">
        <v>11</v>
      </c>
      <c r="C10" s="11">
        <v>1101</v>
      </c>
      <c r="D10" s="12">
        <f t="shared" si="0"/>
        <v>0.22645002056766764</v>
      </c>
      <c r="E10" s="11">
        <v>258743</v>
      </c>
      <c r="F10" s="12">
        <f t="shared" si="1"/>
        <v>0.15652470071970037</v>
      </c>
      <c r="G10" s="11">
        <v>258627</v>
      </c>
      <c r="H10" s="12">
        <f t="shared" ref="H10:H17" si="2">G10/$E$18</f>
        <v>0.15645452736125789</v>
      </c>
      <c r="J10" s="8">
        <v>8</v>
      </c>
      <c r="K10" s="11">
        <v>1019</v>
      </c>
      <c r="L10" s="12">
        <f>K10/K13</f>
        <v>0.48066037735849054</v>
      </c>
      <c r="M10" s="11">
        <v>673581</v>
      </c>
      <c r="N10" s="12">
        <f>M10/M13</f>
        <v>0.61907344076129067</v>
      </c>
      <c r="O10" s="11">
        <v>673309</v>
      </c>
      <c r="P10" s="12">
        <f>O10/O13</f>
        <v>0.6191068172560501</v>
      </c>
    </row>
    <row r="11" spans="2:16">
      <c r="B11" s="27" t="s">
        <v>12</v>
      </c>
      <c r="C11" s="11">
        <v>970</v>
      </c>
      <c r="D11" s="12">
        <f t="shared" si="0"/>
        <v>0.19950637597696422</v>
      </c>
      <c r="E11" s="11">
        <v>132498</v>
      </c>
      <c r="F11" s="12">
        <f t="shared" si="1"/>
        <v>8.0153703852698863E-2</v>
      </c>
      <c r="G11" s="11">
        <v>132391</v>
      </c>
      <c r="H11" s="12">
        <f t="shared" si="2"/>
        <v>8.0088974978963112E-2</v>
      </c>
      <c r="J11" s="8">
        <v>7</v>
      </c>
      <c r="K11" s="11">
        <v>219</v>
      </c>
      <c r="L11" s="12">
        <f>K11/K13</f>
        <v>0.10330188679245284</v>
      </c>
      <c r="M11" s="11">
        <v>92629</v>
      </c>
      <c r="N11" s="12">
        <f>M11/M13</f>
        <v>8.5133270897304991E-2</v>
      </c>
      <c r="O11" s="11">
        <v>92596</v>
      </c>
      <c r="P11" s="12">
        <f>O11/O13</f>
        <v>8.5141910847235394E-2</v>
      </c>
    </row>
    <row r="12" spans="2:16">
      <c r="B12" s="27" t="s">
        <v>13</v>
      </c>
      <c r="C12" s="11">
        <v>502</v>
      </c>
      <c r="D12" s="12">
        <f t="shared" si="0"/>
        <v>0.1032496914849856</v>
      </c>
      <c r="E12" s="11">
        <v>109513</v>
      </c>
      <c r="F12" s="12">
        <f t="shared" si="1"/>
        <v>6.6249094854417503E-2</v>
      </c>
      <c r="G12" s="11">
        <v>109138</v>
      </c>
      <c r="H12" s="12">
        <f t="shared" si="2"/>
        <v>6.6022241324969796E-2</v>
      </c>
      <c r="J12" s="13" t="s">
        <v>14</v>
      </c>
      <c r="K12" s="14">
        <v>6</v>
      </c>
      <c r="L12" s="16">
        <f>1-SUM(L9:L11)</f>
        <v>2.8301886792452269E-3</v>
      </c>
      <c r="M12" s="14">
        <f>1088047-SUM(M9:M11)</f>
        <v>21726</v>
      </c>
      <c r="N12" s="16">
        <f>1-SUM(N9:N11)</f>
        <v>1.9967887416628027E-2</v>
      </c>
      <c r="O12" s="14">
        <f>1087549-SUM(O9:O11)</f>
        <v>21709</v>
      </c>
      <c r="P12" s="16">
        <f>1-SUM(P9:P11)</f>
        <v>1.9961399440392991E-2</v>
      </c>
    </row>
    <row r="13" spans="2:16">
      <c r="B13" s="27" t="s">
        <v>15</v>
      </c>
      <c r="C13" s="11">
        <v>139</v>
      </c>
      <c r="D13" s="12">
        <f t="shared" si="0"/>
        <v>2.8589058000822707E-2</v>
      </c>
      <c r="E13" s="11">
        <v>52781</v>
      </c>
      <c r="F13" s="12">
        <f t="shared" si="1"/>
        <v>3.1929483034078242E-2</v>
      </c>
      <c r="G13" s="11">
        <v>52768</v>
      </c>
      <c r="H13" s="12">
        <f t="shared" si="2"/>
        <v>3.1921618778390719E-2</v>
      </c>
      <c r="J13" s="17" t="s">
        <v>16</v>
      </c>
      <c r="K13" s="18">
        <f>SUM(K9:K12)</f>
        <v>2120</v>
      </c>
      <c r="L13" s="19"/>
      <c r="M13" s="18">
        <f>SUM(M9:M12)</f>
        <v>1088047</v>
      </c>
      <c r="N13" s="19"/>
      <c r="O13" s="18">
        <f>SUM(O9:O12)</f>
        <v>1087549</v>
      </c>
      <c r="P13" s="20"/>
    </row>
    <row r="14" spans="2:16">
      <c r="B14" s="27" t="s">
        <v>17</v>
      </c>
      <c r="C14" s="11">
        <v>8</v>
      </c>
      <c r="D14" s="12">
        <f t="shared" si="0"/>
        <v>1.6454134101192926E-3</v>
      </c>
      <c r="E14" s="11">
        <v>3145</v>
      </c>
      <c r="F14" s="12">
        <f t="shared" si="1"/>
        <v>1.902544933634756E-3</v>
      </c>
      <c r="G14" s="11">
        <v>3144</v>
      </c>
      <c r="H14" s="12">
        <f t="shared" si="2"/>
        <v>1.9019399908895623E-3</v>
      </c>
    </row>
    <row r="15" spans="2:16">
      <c r="B15" s="27" t="s">
        <v>18</v>
      </c>
      <c r="C15" s="11">
        <v>15</v>
      </c>
      <c r="D15" s="12">
        <f t="shared" si="0"/>
        <v>3.0851501439736733E-3</v>
      </c>
      <c r="E15" s="11">
        <v>2367</v>
      </c>
      <c r="F15" s="12">
        <f t="shared" si="1"/>
        <v>1.4318994778739166E-3</v>
      </c>
      <c r="G15" s="11">
        <v>2327</v>
      </c>
      <c r="H15" s="12">
        <f t="shared" si="2"/>
        <v>1.4077017680661614E-3</v>
      </c>
      <c r="J15" s="77" t="s">
        <v>19</v>
      </c>
      <c r="K15" s="78"/>
      <c r="L15" s="78"/>
      <c r="M15" s="78"/>
      <c r="N15" s="78"/>
      <c r="O15" s="78"/>
      <c r="P15" s="79"/>
    </row>
    <row r="16" spans="2:16">
      <c r="B16" s="27" t="s">
        <v>20</v>
      </c>
      <c r="C16" s="11">
        <v>3</v>
      </c>
      <c r="D16" s="12">
        <f t="shared" si="0"/>
        <v>6.1703002879473468E-4</v>
      </c>
      <c r="E16" s="11">
        <v>4123</v>
      </c>
      <c r="F16" s="12">
        <f t="shared" si="1"/>
        <v>2.494178938434372E-3</v>
      </c>
      <c r="G16" s="11">
        <v>4122</v>
      </c>
      <c r="H16" s="12">
        <f t="shared" si="2"/>
        <v>2.493573995689178E-3</v>
      </c>
      <c r="J16" s="80"/>
      <c r="K16" s="81"/>
      <c r="L16" s="81"/>
      <c r="M16" s="81"/>
      <c r="N16" s="81"/>
      <c r="O16" s="81"/>
      <c r="P16" s="82"/>
    </row>
    <row r="17" spans="1:16" ht="14" customHeight="1">
      <c r="B17" s="27" t="s">
        <v>14</v>
      </c>
      <c r="C17" s="10">
        <f>2+2</f>
        <v>4</v>
      </c>
      <c r="D17" s="21">
        <f t="shared" si="0"/>
        <v>8.2270670505964628E-4</v>
      </c>
      <c r="E17" s="10">
        <f>1133+699</f>
        <v>1832</v>
      </c>
      <c r="F17" s="21">
        <f t="shared" si="1"/>
        <v>1.1082551091951903E-3</v>
      </c>
      <c r="G17" s="10">
        <f>1133+699</f>
        <v>1832</v>
      </c>
      <c r="H17" s="21">
        <f t="shared" si="2"/>
        <v>1.1082551091951903E-3</v>
      </c>
      <c r="J17" s="2"/>
      <c r="K17" s="83" t="s">
        <v>21</v>
      </c>
      <c r="L17" s="83"/>
      <c r="M17" s="83" t="s">
        <v>31</v>
      </c>
      <c r="N17" s="83"/>
      <c r="O17" s="83" t="s">
        <v>28</v>
      </c>
      <c r="P17" s="83"/>
    </row>
    <row r="18" spans="1:16">
      <c r="A18" s="22"/>
      <c r="B18" s="17" t="s">
        <v>16</v>
      </c>
      <c r="C18" s="18">
        <f>SUM(C9:C17)</f>
        <v>4862</v>
      </c>
      <c r="D18" s="19"/>
      <c r="E18" s="18">
        <f>SUM(E9:E17)</f>
        <v>1653049</v>
      </c>
      <c r="F18" s="19"/>
      <c r="G18" s="18">
        <f>SUM(G9:G17)</f>
        <v>1651898</v>
      </c>
      <c r="H18" s="20"/>
      <c r="I18" s="22"/>
      <c r="J18" s="3" t="s">
        <v>9</v>
      </c>
      <c r="K18" s="4" t="s">
        <v>6</v>
      </c>
      <c r="L18" s="4" t="s">
        <v>8</v>
      </c>
      <c r="M18" s="4" t="s">
        <v>6</v>
      </c>
      <c r="N18" s="4" t="s">
        <v>8</v>
      </c>
      <c r="O18" s="4" t="s">
        <v>6</v>
      </c>
      <c r="P18" s="4" t="s">
        <v>8</v>
      </c>
    </row>
    <row r="19" spans="1:16">
      <c r="J19" s="8">
        <v>9</v>
      </c>
      <c r="K19" s="6">
        <v>876</v>
      </c>
      <c r="L19" s="7">
        <f>K19/K23</f>
        <v>0.41320754716981134</v>
      </c>
      <c r="M19" s="6">
        <v>606619</v>
      </c>
      <c r="N19" s="7">
        <f>M19/M23</f>
        <v>0.44344012795471294</v>
      </c>
      <c r="O19" s="23">
        <v>602287</v>
      </c>
      <c r="P19" s="7">
        <f>O19/O23</f>
        <v>0.44347993841364325</v>
      </c>
    </row>
    <row r="20" spans="1:16" ht="15" customHeight="1">
      <c r="B20" s="77" t="s">
        <v>24</v>
      </c>
      <c r="C20" s="78"/>
      <c r="D20" s="78"/>
      <c r="E20" s="78"/>
      <c r="F20" s="78"/>
      <c r="G20" s="78"/>
      <c r="H20" s="79"/>
      <c r="J20" s="8">
        <v>8</v>
      </c>
      <c r="K20" s="11">
        <v>1019</v>
      </c>
      <c r="L20" s="12">
        <f>K20/K23</f>
        <v>0.48066037735849054</v>
      </c>
      <c r="M20" s="11">
        <v>621861</v>
      </c>
      <c r="N20" s="12">
        <f>M20/M23</f>
        <v>0.45458207113533494</v>
      </c>
      <c r="O20" s="25">
        <v>617271</v>
      </c>
      <c r="P20" s="12">
        <f>O20/O23</f>
        <v>0.45451305617509258</v>
      </c>
    </row>
    <row r="21" spans="1:16" ht="15" customHeight="1">
      <c r="B21" s="80"/>
      <c r="C21" s="81"/>
      <c r="D21" s="81"/>
      <c r="E21" s="81"/>
      <c r="F21" s="81"/>
      <c r="G21" s="81"/>
      <c r="H21" s="82"/>
      <c r="J21" s="8">
        <v>7</v>
      </c>
      <c r="K21" s="11">
        <v>219</v>
      </c>
      <c r="L21" s="12">
        <f>K21/K23</f>
        <v>0.10330188679245284</v>
      </c>
      <c r="M21" s="11">
        <v>126153</v>
      </c>
      <c r="N21" s="12">
        <f>M21/M23</f>
        <v>9.2218183838407464E-2</v>
      </c>
      <c r="O21" s="25">
        <v>125369</v>
      </c>
      <c r="P21" s="12">
        <f>O21/O23</f>
        <v>9.2312529407043556E-2</v>
      </c>
    </row>
    <row r="22" spans="1:16">
      <c r="B22" s="35"/>
      <c r="C22" s="83" t="s">
        <v>21</v>
      </c>
      <c r="D22" s="83"/>
      <c r="E22" s="83" t="s">
        <v>31</v>
      </c>
      <c r="F22" s="83"/>
      <c r="G22" s="83" t="s">
        <v>28</v>
      </c>
      <c r="H22" s="83"/>
      <c r="J22" s="13" t="s">
        <v>14</v>
      </c>
      <c r="K22" s="14">
        <v>6</v>
      </c>
      <c r="L22" s="16">
        <f>1-SUM(L19:L21)</f>
        <v>2.8301886792452269E-3</v>
      </c>
      <c r="M22" s="14">
        <f>1367984-SUM(M19:M21)</f>
        <v>13351</v>
      </c>
      <c r="N22" s="16">
        <f>1-SUM(N19:N21)</f>
        <v>9.7596170715446018E-3</v>
      </c>
      <c r="O22" s="15">
        <f>1358093-SUM(O19:O21)</f>
        <v>13166</v>
      </c>
      <c r="P22" s="16">
        <f>1-SUM(P19:P21)</f>
        <v>9.6944760042205758E-3</v>
      </c>
    </row>
    <row r="23" spans="1:16">
      <c r="B23" s="34" t="s">
        <v>5</v>
      </c>
      <c r="C23" s="26" t="s">
        <v>6</v>
      </c>
      <c r="D23" s="26" t="s">
        <v>8</v>
      </c>
      <c r="E23" s="26" t="s">
        <v>6</v>
      </c>
      <c r="F23" s="26" t="s">
        <v>8</v>
      </c>
      <c r="G23" s="26" t="s">
        <v>6</v>
      </c>
      <c r="H23" s="26" t="s">
        <v>8</v>
      </c>
      <c r="J23" s="17" t="s">
        <v>16</v>
      </c>
      <c r="K23" s="18">
        <f>SUM(K19:K22)</f>
        <v>2120</v>
      </c>
      <c r="L23" s="19"/>
      <c r="M23" s="18">
        <f>SUM(M19:M22)</f>
        <v>1367984</v>
      </c>
      <c r="N23" s="19"/>
      <c r="O23" s="18">
        <f>SUM(O19:O22)</f>
        <v>1358093</v>
      </c>
      <c r="P23" s="20"/>
    </row>
    <row r="24" spans="1:16">
      <c r="B24" s="27" t="s">
        <v>10</v>
      </c>
      <c r="C24" s="23">
        <v>2120</v>
      </c>
      <c r="D24" s="7">
        <f>C24/C33</f>
        <v>0.43603455368161248</v>
      </c>
      <c r="E24" s="6">
        <v>1367984</v>
      </c>
      <c r="F24" s="7">
        <f t="shared" ref="F24:F32" si="3">E24/$E$33</f>
        <v>0.40821756340800003</v>
      </c>
      <c r="G24" s="6">
        <v>1358093</v>
      </c>
      <c r="H24" s="7">
        <f>G24/$G$33</f>
        <v>0.40799084576899203</v>
      </c>
      <c r="J24" s="28"/>
      <c r="K24" s="29"/>
      <c r="L24" s="30"/>
      <c r="M24" s="29"/>
      <c r="N24" s="30"/>
      <c r="O24" s="29"/>
      <c r="P24" s="30"/>
    </row>
    <row r="25" spans="1:16">
      <c r="B25" s="27" t="s">
        <v>11</v>
      </c>
      <c r="C25" s="11">
        <v>1101</v>
      </c>
      <c r="D25" s="12">
        <f t="shared" ref="D25:D32" si="4">C25/$C$33</f>
        <v>0.22645002056766764</v>
      </c>
      <c r="E25" s="11">
        <v>830471</v>
      </c>
      <c r="F25" s="12">
        <f t="shared" si="3"/>
        <v>0.2478193079019968</v>
      </c>
      <c r="G25" s="11">
        <v>827565</v>
      </c>
      <c r="H25" s="12">
        <f t="shared" ref="H25:H32" si="5">G25/$G$33</f>
        <v>0.24861253557658858</v>
      </c>
      <c r="J25" s="77" t="s">
        <v>25</v>
      </c>
      <c r="K25" s="78"/>
      <c r="L25" s="78"/>
      <c r="M25" s="78"/>
      <c r="N25" s="78"/>
      <c r="O25" s="78"/>
      <c r="P25" s="79"/>
    </row>
    <row r="26" spans="1:16">
      <c r="B26" s="27" t="s">
        <v>12</v>
      </c>
      <c r="C26" s="11">
        <v>970</v>
      </c>
      <c r="D26" s="12">
        <f t="shared" si="4"/>
        <v>0.19950637597696422</v>
      </c>
      <c r="E26" s="11">
        <v>503703</v>
      </c>
      <c r="F26" s="12">
        <f t="shared" si="3"/>
        <v>0.15030907623283593</v>
      </c>
      <c r="G26" s="11">
        <v>404923</v>
      </c>
      <c r="H26" s="12">
        <f t="shared" si="5"/>
        <v>0.12164474541973014</v>
      </c>
      <c r="J26" s="80"/>
      <c r="K26" s="81"/>
      <c r="L26" s="81"/>
      <c r="M26" s="81"/>
      <c r="N26" s="81"/>
      <c r="O26" s="81"/>
      <c r="P26" s="82"/>
    </row>
    <row r="27" spans="1:16" ht="14" customHeight="1">
      <c r="B27" s="27" t="s">
        <v>13</v>
      </c>
      <c r="C27" s="11">
        <v>502</v>
      </c>
      <c r="D27" s="12">
        <f t="shared" si="4"/>
        <v>0.1032496914849856</v>
      </c>
      <c r="E27" s="11">
        <v>407290</v>
      </c>
      <c r="F27" s="12">
        <f t="shared" si="3"/>
        <v>0.12153865206058283</v>
      </c>
      <c r="G27" s="11">
        <v>498814</v>
      </c>
      <c r="H27" s="12">
        <f t="shared" si="5"/>
        <v>0.14985096436062478</v>
      </c>
      <c r="J27" s="2"/>
      <c r="K27" s="83" t="s">
        <v>2</v>
      </c>
      <c r="L27" s="83"/>
      <c r="M27" s="83" t="s">
        <v>29</v>
      </c>
      <c r="N27" s="83"/>
      <c r="O27" s="83" t="s">
        <v>30</v>
      </c>
      <c r="P27" s="83"/>
    </row>
    <row r="28" spans="1:16">
      <c r="B28" s="27" t="s">
        <v>15</v>
      </c>
      <c r="C28" s="11">
        <v>139</v>
      </c>
      <c r="D28" s="12">
        <f t="shared" si="4"/>
        <v>2.8589058000822707E-2</v>
      </c>
      <c r="E28" s="11">
        <v>142895</v>
      </c>
      <c r="F28" s="12">
        <f t="shared" si="3"/>
        <v>4.2641031417901203E-2</v>
      </c>
      <c r="G28" s="11">
        <v>141099</v>
      </c>
      <c r="H28" s="12">
        <f t="shared" si="5"/>
        <v>4.238818722072716E-2</v>
      </c>
      <c r="J28" s="3" t="s">
        <v>9</v>
      </c>
      <c r="K28" s="4" t="s">
        <v>6</v>
      </c>
      <c r="L28" s="4" t="s">
        <v>8</v>
      </c>
      <c r="M28" s="26" t="s">
        <v>6</v>
      </c>
      <c r="N28" s="26" t="s">
        <v>8</v>
      </c>
      <c r="O28" s="26" t="s">
        <v>6</v>
      </c>
      <c r="P28" s="26" t="s">
        <v>8</v>
      </c>
    </row>
    <row r="29" spans="1:16">
      <c r="B29" s="27" t="s">
        <v>17</v>
      </c>
      <c r="C29" s="11">
        <v>8</v>
      </c>
      <c r="D29" s="12">
        <f t="shared" si="4"/>
        <v>1.6454134101192926E-3</v>
      </c>
      <c r="E29" s="11">
        <v>5314</v>
      </c>
      <c r="F29" s="12">
        <f t="shared" si="3"/>
        <v>1.5857408653537704E-3</v>
      </c>
      <c r="G29" s="11">
        <v>5273</v>
      </c>
      <c r="H29" s="12">
        <f t="shared" si="5"/>
        <v>1.5840857214784961E-3</v>
      </c>
      <c r="J29" s="44" t="s">
        <v>26</v>
      </c>
      <c r="K29" s="6">
        <v>220</v>
      </c>
      <c r="L29" s="7">
        <f>K29/K34</f>
        <v>0.19981834695731154</v>
      </c>
      <c r="M29" s="6">
        <v>112198</v>
      </c>
      <c r="N29" s="7">
        <f>M29/M34</f>
        <v>0.43362718991431654</v>
      </c>
      <c r="O29" s="6">
        <v>112170</v>
      </c>
      <c r="P29" s="7">
        <f>O29/O34</f>
        <v>0.4337134173926156</v>
      </c>
    </row>
    <row r="30" spans="1:16">
      <c r="B30" s="27" t="s">
        <v>18</v>
      </c>
      <c r="C30" s="11">
        <v>15</v>
      </c>
      <c r="D30" s="12">
        <f t="shared" si="4"/>
        <v>3.0851501439736733E-3</v>
      </c>
      <c r="E30" s="11">
        <v>11074</v>
      </c>
      <c r="F30" s="12">
        <f t="shared" si="3"/>
        <v>3.3045717619359528E-3</v>
      </c>
      <c r="G30" s="11">
        <v>10836</v>
      </c>
      <c r="H30" s="12">
        <f t="shared" si="5"/>
        <v>3.2552916514206301E-3</v>
      </c>
      <c r="J30" s="45">
        <v>12</v>
      </c>
      <c r="K30" s="11">
        <v>195</v>
      </c>
      <c r="L30" s="12">
        <f>K30/K34</f>
        <v>0.17711171662125341</v>
      </c>
      <c r="M30" s="11">
        <v>17644</v>
      </c>
      <c r="N30" s="12">
        <f>M30/M34</f>
        <v>6.8191216767216886E-2</v>
      </c>
      <c r="O30" s="11">
        <v>17640</v>
      </c>
      <c r="P30" s="12">
        <f>O30/O34</f>
        <v>6.8206335765407328E-2</v>
      </c>
    </row>
    <row r="31" spans="1:16">
      <c r="B31" s="27" t="s">
        <v>20</v>
      </c>
      <c r="C31" s="11">
        <v>3</v>
      </c>
      <c r="D31" s="12">
        <f t="shared" si="4"/>
        <v>6.1703002879473468E-4</v>
      </c>
      <c r="E31" s="11">
        <v>69698</v>
      </c>
      <c r="F31" s="12">
        <f t="shared" si="3"/>
        <v>2.0798450664927942E-2</v>
      </c>
      <c r="G31" s="11">
        <v>69486</v>
      </c>
      <c r="H31" s="12">
        <f t="shared" si="5"/>
        <v>2.0874602776911583E-2</v>
      </c>
      <c r="J31" s="46" t="s">
        <v>38</v>
      </c>
      <c r="K31" s="11">
        <v>177</v>
      </c>
      <c r="L31" s="12">
        <f>K31/K34</f>
        <v>0.16076294277929154</v>
      </c>
      <c r="M31" s="11">
        <v>27739</v>
      </c>
      <c r="N31" s="12">
        <f>M31/M34</f>
        <v>0.10720676501393274</v>
      </c>
      <c r="O31" s="11">
        <v>27716</v>
      </c>
      <c r="P31" s="12">
        <f>O31/O34</f>
        <v>0.1071659184849223</v>
      </c>
    </row>
    <row r="32" spans="1:16">
      <c r="B32" s="27" t="s">
        <v>14</v>
      </c>
      <c r="C32" s="10">
        <f>2+2</f>
        <v>4</v>
      </c>
      <c r="D32" s="21">
        <f t="shared" si="4"/>
        <v>8.2270670505964628E-4</v>
      </c>
      <c r="E32" s="10">
        <f>7372+5314</f>
        <v>12686</v>
      </c>
      <c r="F32" s="21">
        <f t="shared" si="3"/>
        <v>3.7856056864655494E-3</v>
      </c>
      <c r="G32" s="10">
        <f>5273+7372</f>
        <v>12645</v>
      </c>
      <c r="H32" s="21">
        <f t="shared" si="5"/>
        <v>3.7987415035265659E-3</v>
      </c>
      <c r="J32" s="48" t="str">
        <f>"11.0"</f>
        <v>11.0</v>
      </c>
      <c r="K32" s="9">
        <v>166</v>
      </c>
      <c r="L32" s="21">
        <f>K32/K34</f>
        <v>0.15077202543142598</v>
      </c>
      <c r="M32" s="10">
        <v>26306</v>
      </c>
      <c r="N32" s="21">
        <f>M32/M34</f>
        <v>0.10166845093393831</v>
      </c>
      <c r="O32" s="10">
        <v>26290</v>
      </c>
      <c r="P32" s="21">
        <f>O32/O34</f>
        <v>0.10165218635331964</v>
      </c>
    </row>
    <row r="33" spans="1:16">
      <c r="B33" s="17" t="s">
        <v>16</v>
      </c>
      <c r="C33" s="18">
        <f>SUM(C24:C32)</f>
        <v>4862</v>
      </c>
      <c r="D33" s="19"/>
      <c r="E33" s="18">
        <f>SUM(E24:E32)</f>
        <v>3351115</v>
      </c>
      <c r="F33" s="19"/>
      <c r="G33" s="18">
        <f>SUM(G24:G32)</f>
        <v>3328734</v>
      </c>
      <c r="H33" s="20"/>
      <c r="J33" s="47" t="s">
        <v>14</v>
      </c>
      <c r="K33" s="14">
        <f>1101-SUM(K29:K32)</f>
        <v>343</v>
      </c>
      <c r="L33" s="16">
        <f>1-SUM(L29:L32)</f>
        <v>0.31153496821071758</v>
      </c>
      <c r="M33" s="14">
        <f>258743-SUM(M29:M32)</f>
        <v>74856</v>
      </c>
      <c r="N33" s="16">
        <f>1-SUM(N29:N32)</f>
        <v>0.2893063773705955</v>
      </c>
      <c r="O33" s="14">
        <f>258627-SUM(O29:O32)</f>
        <v>74811</v>
      </c>
      <c r="P33" s="16">
        <f>1-SUM(P29:P32)</f>
        <v>0.28926214200373512</v>
      </c>
    </row>
    <row r="34" spans="1:16">
      <c r="J34" s="17" t="s">
        <v>16</v>
      </c>
      <c r="K34" s="41">
        <f>SUM(K29:K33)</f>
        <v>1101</v>
      </c>
      <c r="L34" s="42"/>
      <c r="M34" s="41">
        <f>SUM(M29:M33)</f>
        <v>258743</v>
      </c>
      <c r="N34" s="42"/>
      <c r="O34" s="41">
        <f>SUM(O29:O33)</f>
        <v>258627</v>
      </c>
      <c r="P34" s="43"/>
    </row>
    <row r="36" spans="1:16">
      <c r="A36" s="22"/>
      <c r="I36" s="25"/>
      <c r="J36" s="77" t="s">
        <v>27</v>
      </c>
      <c r="K36" s="78"/>
      <c r="L36" s="78"/>
      <c r="M36" s="78"/>
      <c r="N36" s="78"/>
      <c r="O36" s="78"/>
      <c r="P36" s="79"/>
    </row>
    <row r="37" spans="1:16">
      <c r="I37" s="31"/>
      <c r="J37" s="80"/>
      <c r="K37" s="81"/>
      <c r="L37" s="81"/>
      <c r="M37" s="81"/>
      <c r="N37" s="81"/>
      <c r="O37" s="81"/>
      <c r="P37" s="82"/>
    </row>
    <row r="38" spans="1:16">
      <c r="I38" s="32"/>
      <c r="J38" s="2"/>
      <c r="K38" s="83" t="s">
        <v>21</v>
      </c>
      <c r="L38" s="83"/>
      <c r="M38" s="83" t="s">
        <v>31</v>
      </c>
      <c r="N38" s="83"/>
      <c r="O38" s="83" t="s">
        <v>28</v>
      </c>
      <c r="P38" s="83"/>
    </row>
    <row r="39" spans="1:16">
      <c r="I39" s="32"/>
      <c r="J39" s="3" t="s">
        <v>9</v>
      </c>
      <c r="K39" s="4" t="s">
        <v>6</v>
      </c>
      <c r="L39" s="4" t="s">
        <v>8</v>
      </c>
      <c r="M39" s="26" t="s">
        <v>6</v>
      </c>
      <c r="N39" s="26" t="s">
        <v>8</v>
      </c>
      <c r="O39" s="26" t="s">
        <v>6</v>
      </c>
      <c r="P39" s="26" t="s">
        <v>8</v>
      </c>
    </row>
    <row r="40" spans="1:16">
      <c r="I40" s="32"/>
      <c r="J40" s="44" t="s">
        <v>26</v>
      </c>
      <c r="K40" s="6">
        <v>220</v>
      </c>
      <c r="L40" s="7">
        <f>K40/K45</f>
        <v>0.19981834695731154</v>
      </c>
      <c r="M40" s="6">
        <v>310102</v>
      </c>
      <c r="N40" s="7">
        <f>M40/M45</f>
        <v>0.37340497139575013</v>
      </c>
      <c r="O40" s="6">
        <v>309605</v>
      </c>
      <c r="P40" s="7">
        <f>O40/O45</f>
        <v>0.37411562837964391</v>
      </c>
    </row>
    <row r="41" spans="1:16">
      <c r="J41" s="45">
        <v>12</v>
      </c>
      <c r="K41" s="11">
        <v>195</v>
      </c>
      <c r="L41" s="12">
        <f>K41/K45</f>
        <v>0.17711171662125341</v>
      </c>
      <c r="M41" s="11">
        <v>79418</v>
      </c>
      <c r="N41" s="12">
        <f>M41/M45</f>
        <v>9.5630070165002745E-2</v>
      </c>
      <c r="O41" s="11">
        <v>79072</v>
      </c>
      <c r="P41" s="12">
        <f>O41/O45</f>
        <v>9.5547781745240562E-2</v>
      </c>
    </row>
    <row r="42" spans="1:16">
      <c r="I42" s="32"/>
      <c r="J42" s="46" t="s">
        <v>38</v>
      </c>
      <c r="K42" s="11">
        <v>177</v>
      </c>
      <c r="L42" s="12">
        <f>K42/K45</f>
        <v>0.16076294277929154</v>
      </c>
      <c r="M42" s="11">
        <v>108890</v>
      </c>
      <c r="N42" s="12">
        <f>M42/M45</f>
        <v>0.13111836536134314</v>
      </c>
      <c r="O42" s="11">
        <v>108592</v>
      </c>
      <c r="P42" s="12">
        <f>O42/O45</f>
        <v>0.13121869581241352</v>
      </c>
    </row>
    <row r="43" spans="1:16">
      <c r="I43" s="32"/>
      <c r="J43" s="48" t="str">
        <f>"11.0"</f>
        <v>11.0</v>
      </c>
      <c r="K43" s="10">
        <v>166</v>
      </c>
      <c r="L43" s="12">
        <f>K43/K45</f>
        <v>0.15077202543142598</v>
      </c>
      <c r="M43" s="10">
        <v>71392</v>
      </c>
      <c r="N43" s="12">
        <f>M43/M45</f>
        <v>8.5965674900147018E-2</v>
      </c>
      <c r="O43" s="10">
        <v>70544</v>
      </c>
      <c r="P43" s="12">
        <f>O43/O45</f>
        <v>8.5242851014723925E-2</v>
      </c>
    </row>
    <row r="44" spans="1:16">
      <c r="J44" s="47" t="s">
        <v>14</v>
      </c>
      <c r="K44" s="14">
        <f>1101-SUM(K40:K43)</f>
        <v>343</v>
      </c>
      <c r="L44" s="16">
        <f>1-SUM(L40:L43)</f>
        <v>0.31153496821071758</v>
      </c>
      <c r="M44" s="14">
        <f>830471-SUM(M40:M43)</f>
        <v>260669</v>
      </c>
      <c r="N44" s="16">
        <f>1-SUM(N40:N43)</f>
        <v>0.31388091817775698</v>
      </c>
      <c r="O44" s="14">
        <f>827565-SUM(O40:O43)</f>
        <v>259752</v>
      </c>
      <c r="P44" s="16">
        <f>1-SUM(P40:P43)</f>
        <v>0.31387504304797809</v>
      </c>
    </row>
    <row r="45" spans="1:16">
      <c r="J45" s="17" t="s">
        <v>16</v>
      </c>
      <c r="K45" s="41">
        <f>SUM(K40:K44)</f>
        <v>1101</v>
      </c>
      <c r="L45" s="42"/>
      <c r="M45" s="41">
        <f>SUM(M40:M44)</f>
        <v>830471</v>
      </c>
      <c r="N45" s="42"/>
      <c r="O45" s="41">
        <f>SUM(O40:O44)</f>
        <v>827565</v>
      </c>
      <c r="P45" s="43"/>
    </row>
    <row r="56" spans="10:13" s="33" customFormat="1"/>
    <row r="57" spans="10:13" ht="16">
      <c r="J57" s="38"/>
      <c r="K57" s="38"/>
      <c r="L57" s="39"/>
      <c r="M57" s="40"/>
    </row>
    <row r="58" spans="10:13" ht="16">
      <c r="J58" s="38"/>
      <c r="K58" s="38"/>
      <c r="L58" s="39"/>
      <c r="M58" s="38"/>
    </row>
  </sheetData>
  <mergeCells count="25">
    <mergeCell ref="O7:P7"/>
    <mergeCell ref="J36:P37"/>
    <mergeCell ref="K38:L38"/>
    <mergeCell ref="M38:N38"/>
    <mergeCell ref="O38:P38"/>
    <mergeCell ref="J15:P16"/>
    <mergeCell ref="K17:L17"/>
    <mergeCell ref="M17:N17"/>
    <mergeCell ref="O17:P17"/>
    <mergeCell ref="B1:P3"/>
    <mergeCell ref="J25:P26"/>
    <mergeCell ref="K27:L27"/>
    <mergeCell ref="M27:N27"/>
    <mergeCell ref="O27:P27"/>
    <mergeCell ref="B20:H21"/>
    <mergeCell ref="C22:D22"/>
    <mergeCell ref="E22:F22"/>
    <mergeCell ref="G22:H22"/>
    <mergeCell ref="B5:H6"/>
    <mergeCell ref="J5:P6"/>
    <mergeCell ref="C7:D7"/>
    <mergeCell ref="E7:F7"/>
    <mergeCell ref="G7:H7"/>
    <mergeCell ref="K7:L7"/>
    <mergeCell ref="M7:N7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workbookViewId="0">
      <selection activeCell="J6" sqref="J6"/>
    </sheetView>
  </sheetViews>
  <sheetFormatPr baseColWidth="10" defaultRowHeight="15" x14ac:dyDescent="0"/>
  <cols>
    <col min="1" max="1" width="2.83203125" customWidth="1"/>
    <col min="2" max="2" width="16.1640625" style="57" customWidth="1"/>
    <col min="3" max="3" width="11.5" style="57" bestFit="1" customWidth="1"/>
    <col min="4" max="4" width="15.1640625" style="57" customWidth="1"/>
    <col min="5" max="5" width="10.83203125" style="57" customWidth="1"/>
    <col min="6" max="6" width="15.6640625" style="57" customWidth="1"/>
    <col min="7" max="7" width="11.5" style="57" bestFit="1" customWidth="1"/>
  </cols>
  <sheetData>
    <row r="1" spans="2:9">
      <c r="H1" s="57"/>
    </row>
    <row r="2" spans="2:9">
      <c r="B2" s="101" t="s">
        <v>50</v>
      </c>
      <c r="C2" s="102"/>
      <c r="D2" s="102"/>
      <c r="E2" s="102"/>
      <c r="F2" s="102"/>
      <c r="G2" s="103"/>
    </row>
    <row r="3" spans="2:9">
      <c r="B3" s="104" t="s">
        <v>50</v>
      </c>
      <c r="C3" s="100"/>
      <c r="D3" s="100"/>
      <c r="E3" s="100"/>
      <c r="F3" s="100"/>
      <c r="G3" s="105"/>
    </row>
    <row r="4" spans="2:9">
      <c r="B4" s="98" t="s">
        <v>2</v>
      </c>
      <c r="C4" s="98"/>
      <c r="D4" s="99" t="s">
        <v>3</v>
      </c>
      <c r="E4" s="98"/>
      <c r="F4" s="98" t="s">
        <v>4</v>
      </c>
      <c r="G4" s="98"/>
    </row>
    <row r="5" spans="2:9">
      <c r="B5" s="97" t="s">
        <v>43</v>
      </c>
      <c r="C5" s="97" t="s">
        <v>8</v>
      </c>
      <c r="D5" s="97" t="s">
        <v>43</v>
      </c>
      <c r="E5" s="97" t="s">
        <v>8</v>
      </c>
      <c r="F5" s="97" t="s">
        <v>43</v>
      </c>
      <c r="G5" s="97" t="s">
        <v>8</v>
      </c>
    </row>
    <row r="6" spans="2:9">
      <c r="B6" s="59" t="s">
        <v>39</v>
      </c>
      <c r="C6" s="65">
        <v>0.54500000000000004</v>
      </c>
      <c r="D6" s="63" t="s">
        <v>39</v>
      </c>
      <c r="E6" s="65">
        <v>9.4100000000000003E-2</v>
      </c>
      <c r="F6" s="58" t="s">
        <v>39</v>
      </c>
      <c r="G6" s="64">
        <v>9.4100000000000003E-2</v>
      </c>
    </row>
    <row r="7" spans="2:9">
      <c r="B7" s="59" t="s">
        <v>40</v>
      </c>
      <c r="C7" s="66">
        <v>0.18909999999999999</v>
      </c>
      <c r="D7" s="59" t="s">
        <v>40</v>
      </c>
      <c r="E7" s="66">
        <v>0.29870000000000002</v>
      </c>
      <c r="F7" s="52" t="s">
        <v>40</v>
      </c>
      <c r="G7" s="60">
        <v>0.29870000000000002</v>
      </c>
    </row>
    <row r="8" spans="2:9">
      <c r="B8" s="59" t="s">
        <v>41</v>
      </c>
      <c r="C8" s="66">
        <v>0.24590000000000001</v>
      </c>
      <c r="D8" s="59" t="s">
        <v>41</v>
      </c>
      <c r="E8" s="66">
        <v>0.59030000000000005</v>
      </c>
      <c r="F8" s="52" t="s">
        <v>41</v>
      </c>
      <c r="G8" s="60">
        <v>0.59030000000000005</v>
      </c>
    </row>
    <row r="9" spans="2:9">
      <c r="B9" s="61" t="s">
        <v>42</v>
      </c>
      <c r="C9" s="67">
        <v>1.9900000000000001E-2</v>
      </c>
      <c r="D9" s="61" t="s">
        <v>42</v>
      </c>
      <c r="E9" s="67">
        <v>1.6899999999999998E-2</v>
      </c>
      <c r="F9" s="54" t="s">
        <v>42</v>
      </c>
      <c r="G9" s="62">
        <v>1.6899999999999998E-2</v>
      </c>
    </row>
    <row r="10" spans="2:9">
      <c r="B10" s="84"/>
      <c r="C10" s="96"/>
      <c r="D10" s="84"/>
      <c r="E10" s="96"/>
      <c r="F10" s="84"/>
      <c r="G10" s="96"/>
    </row>
    <row r="11" spans="2:9">
      <c r="B11" s="101" t="s">
        <v>49</v>
      </c>
      <c r="C11" s="102"/>
      <c r="D11" s="102"/>
      <c r="E11" s="102"/>
      <c r="F11" s="102"/>
      <c r="G11" s="103"/>
    </row>
    <row r="12" spans="2:9" ht="15" customHeight="1">
      <c r="B12" s="104" t="s">
        <v>49</v>
      </c>
      <c r="C12" s="100"/>
      <c r="D12" s="100"/>
      <c r="E12" s="100"/>
      <c r="F12" s="100"/>
      <c r="G12" s="105"/>
      <c r="I12" s="57"/>
    </row>
    <row r="13" spans="2:9" ht="15" customHeight="1">
      <c r="B13" s="98" t="s">
        <v>21</v>
      </c>
      <c r="C13" s="98"/>
      <c r="D13" s="99" t="s">
        <v>22</v>
      </c>
      <c r="E13" s="98"/>
      <c r="F13" s="98" t="s">
        <v>23</v>
      </c>
      <c r="G13" s="98"/>
    </row>
    <row r="14" spans="2:9">
      <c r="B14" s="97" t="s">
        <v>43</v>
      </c>
      <c r="C14" s="97" t="s">
        <v>8</v>
      </c>
      <c r="D14" s="97" t="s">
        <v>43</v>
      </c>
      <c r="E14" s="97" t="s">
        <v>8</v>
      </c>
      <c r="F14" s="97" t="s">
        <v>43</v>
      </c>
      <c r="G14" s="97" t="s">
        <v>8</v>
      </c>
    </row>
    <row r="15" spans="2:9">
      <c r="B15" s="59" t="s">
        <v>39</v>
      </c>
      <c r="C15" s="65">
        <v>0.54500000000000004</v>
      </c>
      <c r="D15" s="63" t="s">
        <v>39</v>
      </c>
      <c r="E15" s="65">
        <v>0.44490000000000002</v>
      </c>
      <c r="F15" s="58" t="s">
        <v>39</v>
      </c>
      <c r="G15" s="64">
        <v>0.44669999999999999</v>
      </c>
    </row>
    <row r="16" spans="2:9">
      <c r="B16" s="59" t="s">
        <v>40</v>
      </c>
      <c r="C16" s="66">
        <v>0.18909999999999999</v>
      </c>
      <c r="D16" s="59" t="s">
        <v>40</v>
      </c>
      <c r="E16" s="66">
        <v>0.30990000000000001</v>
      </c>
      <c r="F16" s="52" t="s">
        <v>40</v>
      </c>
      <c r="G16" s="60">
        <v>0.30930000000000002</v>
      </c>
    </row>
    <row r="17" spans="2:11">
      <c r="B17" s="59" t="s">
        <v>41</v>
      </c>
      <c r="C17" s="66">
        <v>0.24590000000000001</v>
      </c>
      <c r="D17" s="59" t="s">
        <v>41</v>
      </c>
      <c r="E17" s="66">
        <v>0.2336</v>
      </c>
      <c r="F17" s="52" t="s">
        <v>41</v>
      </c>
      <c r="G17" s="60">
        <v>0.23230000000000001</v>
      </c>
    </row>
    <row r="18" spans="2:11">
      <c r="B18" s="61" t="s">
        <v>42</v>
      </c>
      <c r="C18" s="67">
        <v>1.9900000000000001E-2</v>
      </c>
      <c r="D18" s="61" t="s">
        <v>42</v>
      </c>
      <c r="E18" s="67">
        <v>1.1599999999999999E-2</v>
      </c>
      <c r="F18" s="54" t="s">
        <v>42</v>
      </c>
      <c r="G18" s="62">
        <v>1.17E-2</v>
      </c>
    </row>
    <row r="19" spans="2:11">
      <c r="B19" s="84"/>
      <c r="C19" s="96"/>
      <c r="D19" s="84"/>
      <c r="E19" s="96"/>
      <c r="F19" s="84"/>
      <c r="G19" s="96"/>
    </row>
    <row r="20" spans="2:11">
      <c r="B20" s="101" t="s">
        <v>48</v>
      </c>
      <c r="C20" s="102"/>
      <c r="D20" s="102"/>
      <c r="E20" s="102"/>
      <c r="F20" s="102"/>
      <c r="G20" s="103"/>
    </row>
    <row r="21" spans="2:11" ht="15" customHeight="1">
      <c r="B21" s="104" t="s">
        <v>48</v>
      </c>
      <c r="C21" s="100"/>
      <c r="D21" s="100"/>
      <c r="E21" s="100"/>
      <c r="F21" s="100"/>
      <c r="G21" s="105"/>
    </row>
    <row r="22" spans="2:11">
      <c r="B22" s="98" t="s">
        <v>2</v>
      </c>
      <c r="C22" s="98"/>
      <c r="D22" s="99" t="s">
        <v>3</v>
      </c>
      <c r="E22" s="98"/>
      <c r="F22" s="98" t="s">
        <v>4</v>
      </c>
      <c r="G22" s="98"/>
      <c r="K22" s="57"/>
    </row>
    <row r="23" spans="2:11">
      <c r="B23" s="97" t="s">
        <v>43</v>
      </c>
      <c r="C23" s="97" t="s">
        <v>8</v>
      </c>
      <c r="D23" s="97" t="s">
        <v>43</v>
      </c>
      <c r="E23" s="97" t="s">
        <v>8</v>
      </c>
      <c r="F23" s="97" t="s">
        <v>43</v>
      </c>
      <c r="G23" s="97" t="s">
        <v>8</v>
      </c>
    </row>
    <row r="24" spans="2:11">
      <c r="B24" s="59" t="s">
        <v>39</v>
      </c>
      <c r="C24" s="65">
        <v>5.0599999999999999E-2</v>
      </c>
      <c r="D24" s="63" t="s">
        <v>39</v>
      </c>
      <c r="E24" s="65">
        <v>4.8399999999999999E-2</v>
      </c>
      <c r="F24" s="58" t="s">
        <v>39</v>
      </c>
      <c r="G24" s="64">
        <v>4.8399999999999999E-2</v>
      </c>
    </row>
    <row r="25" spans="2:11">
      <c r="B25" s="59" t="s">
        <v>40</v>
      </c>
      <c r="C25" s="66">
        <v>0.39050000000000001</v>
      </c>
      <c r="D25" s="59" t="s">
        <v>40</v>
      </c>
      <c r="E25" s="66">
        <v>0.37640000000000001</v>
      </c>
      <c r="F25" s="52" t="s">
        <v>40</v>
      </c>
      <c r="G25" s="60">
        <v>0.37640000000000001</v>
      </c>
    </row>
    <row r="26" spans="2:11">
      <c r="B26" s="59" t="s">
        <v>41</v>
      </c>
      <c r="C26" s="66">
        <v>0.55720000000000003</v>
      </c>
      <c r="D26" s="59" t="s">
        <v>41</v>
      </c>
      <c r="E26" s="66">
        <v>0.57450000000000001</v>
      </c>
      <c r="F26" s="52" t="s">
        <v>41</v>
      </c>
      <c r="G26" s="60">
        <v>0.57450000000000001</v>
      </c>
    </row>
    <row r="27" spans="2:11">
      <c r="B27" s="61" t="s">
        <v>42</v>
      </c>
      <c r="C27" s="67">
        <v>1.6000000000000001E-3</v>
      </c>
      <c r="D27" s="61" t="s">
        <v>42</v>
      </c>
      <c r="E27" s="67">
        <v>5.9999999999999995E-4</v>
      </c>
      <c r="F27" s="54" t="s">
        <v>42</v>
      </c>
      <c r="G27" s="62">
        <v>5.9999999999999995E-4</v>
      </c>
    </row>
    <row r="28" spans="2:11">
      <c r="B28" s="84"/>
      <c r="C28" s="96"/>
      <c r="D28" s="84"/>
      <c r="E28" s="96"/>
      <c r="F28" s="84"/>
      <c r="G28" s="96"/>
    </row>
    <row r="29" spans="2:11">
      <c r="B29" s="101" t="s">
        <v>51</v>
      </c>
      <c r="C29" s="102"/>
      <c r="D29" s="102"/>
      <c r="E29" s="102"/>
      <c r="F29" s="102"/>
      <c r="G29" s="103"/>
    </row>
    <row r="30" spans="2:11">
      <c r="B30" s="104"/>
      <c r="C30" s="100"/>
      <c r="D30" s="100"/>
      <c r="E30" s="100"/>
      <c r="F30" s="100"/>
      <c r="G30" s="105"/>
    </row>
    <row r="31" spans="2:11">
      <c r="B31" s="98" t="s">
        <v>21</v>
      </c>
      <c r="C31" s="98"/>
      <c r="D31" s="99" t="s">
        <v>22</v>
      </c>
      <c r="E31" s="98"/>
      <c r="F31" s="98" t="s">
        <v>23</v>
      </c>
      <c r="G31" s="98"/>
    </row>
    <row r="32" spans="2:11">
      <c r="B32" s="97" t="s">
        <v>43</v>
      </c>
      <c r="C32" s="97" t="s">
        <v>8</v>
      </c>
      <c r="D32" s="97" t="s">
        <v>43</v>
      </c>
      <c r="E32" s="97" t="s">
        <v>8</v>
      </c>
      <c r="F32" s="97" t="s">
        <v>43</v>
      </c>
      <c r="G32" s="97" t="s">
        <v>8</v>
      </c>
    </row>
    <row r="33" spans="2:7">
      <c r="B33" s="59" t="s">
        <v>39</v>
      </c>
      <c r="C33" s="65">
        <v>0.8387</v>
      </c>
      <c r="D33" s="63" t="s">
        <v>39</v>
      </c>
      <c r="E33" s="65">
        <v>0.58150000000000002</v>
      </c>
      <c r="F33" s="58" t="s">
        <v>39</v>
      </c>
      <c r="G33" s="64">
        <v>0.58230000000000004</v>
      </c>
    </row>
    <row r="34" spans="2:7">
      <c r="B34" s="59" t="s">
        <v>40</v>
      </c>
      <c r="C34" s="66">
        <v>9.9500000000000005E-2</v>
      </c>
      <c r="D34" s="59" t="s">
        <v>40</v>
      </c>
      <c r="E34" s="66">
        <v>0.2702</v>
      </c>
      <c r="F34" s="52" t="s">
        <v>40</v>
      </c>
      <c r="G34" s="60">
        <v>0.26960000000000001</v>
      </c>
    </row>
    <row r="35" spans="2:7">
      <c r="B35" s="59" t="s">
        <v>41</v>
      </c>
      <c r="C35" s="66">
        <v>6.1499999999999999E-2</v>
      </c>
      <c r="D35" s="59" t="s">
        <v>41</v>
      </c>
      <c r="E35" s="66">
        <v>0.14749999999999999</v>
      </c>
      <c r="F35" s="52" t="s">
        <v>41</v>
      </c>
      <c r="G35" s="60">
        <v>0.14729999999999999</v>
      </c>
    </row>
    <row r="36" spans="2:7">
      <c r="B36" s="61" t="s">
        <v>42</v>
      </c>
      <c r="C36" s="67">
        <v>2.9999999999999997E-4</v>
      </c>
      <c r="D36" s="61" t="s">
        <v>42</v>
      </c>
      <c r="E36" s="67">
        <v>8.0000000000000004E-4</v>
      </c>
      <c r="F36" s="54" t="s">
        <v>42</v>
      </c>
      <c r="G36" s="62">
        <v>8.0000000000000004E-4</v>
      </c>
    </row>
  </sheetData>
  <mergeCells count="16">
    <mergeCell ref="B29:G30"/>
    <mergeCell ref="B20:G21"/>
    <mergeCell ref="B11:G12"/>
    <mergeCell ref="B2:G3"/>
    <mergeCell ref="B22:C22"/>
    <mergeCell ref="D22:E22"/>
    <mergeCell ref="F22:G22"/>
    <mergeCell ref="B31:C31"/>
    <mergeCell ref="D31:E31"/>
    <mergeCell ref="F31:G31"/>
    <mergeCell ref="B4:C4"/>
    <mergeCell ref="D4:E4"/>
    <mergeCell ref="F4:G4"/>
    <mergeCell ref="B13:C13"/>
    <mergeCell ref="D13:E13"/>
    <mergeCell ref="F13:G1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traffic_overview</vt:lpstr>
      <vt:lpstr>2011_browsers</vt:lpstr>
      <vt:lpstr>2012_browsers</vt:lpstr>
      <vt:lpstr>lookup_raw_data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Seok Oh</dc:creator>
  <cp:lastModifiedBy>Hyun Seok Oh</cp:lastModifiedBy>
  <dcterms:created xsi:type="dcterms:W3CDTF">2012-06-07T03:25:01Z</dcterms:created>
  <dcterms:modified xsi:type="dcterms:W3CDTF">2012-06-07T16:55:28Z</dcterms:modified>
</cp:coreProperties>
</file>