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6990"/>
  </bookViews>
  <sheets>
    <sheet name="Sheet1" sheetId="1" r:id="rId1"/>
    <sheet name="Core shopping" sheetId="2" r:id="rId2"/>
    <sheet name="High Voltage Feedback" sheetId="3" r:id="rId3"/>
    <sheet name="VillardVessel" sheetId="4" r:id="rId4"/>
    <sheet name="Sheet2" sheetId="5" r:id="rId5"/>
    <sheet name="Sheet3" sheetId="6" r:id="rId6"/>
    <sheet name="Sheet4" sheetId="7" r:id="rId7"/>
  </sheets>
  <calcPr calcId="144525"/>
</workbook>
</file>

<file path=xl/calcChain.xml><?xml version="1.0" encoding="utf-8"?>
<calcChain xmlns="http://schemas.openxmlformats.org/spreadsheetml/2006/main">
  <c r="T46" i="1" l="1"/>
  <c r="D21" i="4" l="1"/>
  <c r="D20" i="4"/>
  <c r="D17" i="4"/>
  <c r="D18" i="4" s="1"/>
  <c r="D16" i="4"/>
  <c r="D15" i="4"/>
  <c r="D14" i="4"/>
  <c r="D13" i="4"/>
  <c r="D11" i="4"/>
  <c r="T101" i="1" l="1"/>
  <c r="T116" i="1" l="1"/>
  <c r="T115" i="1"/>
  <c r="T114" i="1"/>
  <c r="T113" i="1"/>
  <c r="T107" i="1"/>
  <c r="T106" i="1"/>
  <c r="T105" i="1"/>
  <c r="T99" i="1"/>
  <c r="T98" i="1"/>
  <c r="T97" i="1"/>
  <c r="T87" i="1"/>
  <c r="T95" i="1"/>
  <c r="T84" i="1"/>
  <c r="T76" i="1"/>
  <c r="T75" i="1"/>
  <c r="T74" i="1"/>
  <c r="T73" i="1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7" i="1"/>
  <c r="T78" i="1"/>
  <c r="T79" i="1"/>
  <c r="T80" i="1"/>
  <c r="T81" i="1"/>
  <c r="T82" i="1"/>
  <c r="T83" i="1"/>
  <c r="T85" i="1"/>
  <c r="T88" i="1"/>
  <c r="T89" i="1"/>
  <c r="T90" i="1"/>
  <c r="T91" i="1"/>
  <c r="T92" i="1"/>
  <c r="T93" i="1"/>
  <c r="T94" i="1"/>
  <c r="T96" i="1"/>
  <c r="T100" i="1"/>
  <c r="T111" i="1"/>
  <c r="T102" i="1"/>
  <c r="T103" i="1"/>
  <c r="T104" i="1"/>
  <c r="T108" i="1"/>
  <c r="T109" i="1"/>
  <c r="T110" i="1"/>
  <c r="T112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9" i="1"/>
  <c r="L31" i="3" l="1"/>
  <c r="L33" i="3"/>
  <c r="L34" i="3" s="1"/>
  <c r="L35" i="3"/>
  <c r="L36" i="3" s="1"/>
  <c r="R12" i="3" l="1"/>
  <c r="S12" i="3" s="1"/>
  <c r="S11" i="3"/>
  <c r="S13" i="3"/>
  <c r="K43" i="3"/>
  <c r="K31" i="3"/>
  <c r="K35" i="3"/>
  <c r="H28" i="3"/>
  <c r="H47" i="3"/>
  <c r="H48" i="3" s="1"/>
  <c r="G47" i="3"/>
  <c r="G48" i="3" s="1"/>
  <c r="G52" i="3" s="1"/>
  <c r="G28" i="3"/>
  <c r="H60" i="3"/>
  <c r="H61" i="3"/>
  <c r="H25" i="3"/>
  <c r="H26" i="3" s="1"/>
  <c r="H27" i="3" s="1"/>
  <c r="H67" i="3"/>
  <c r="H69" i="3"/>
  <c r="H70" i="3" s="1"/>
  <c r="H71" i="3" s="1"/>
  <c r="H77" i="3"/>
  <c r="G67" i="3"/>
  <c r="G77" i="3"/>
  <c r="G69" i="3"/>
  <c r="S3" i="3"/>
  <c r="H23" i="3"/>
  <c r="H34" i="3" s="1"/>
  <c r="H43" i="3"/>
  <c r="H40" i="3" s="1"/>
  <c r="H44" i="3"/>
  <c r="H45" i="3" s="1"/>
  <c r="H49" i="3"/>
  <c r="H50" i="3" s="1"/>
  <c r="G61" i="3"/>
  <c r="G60" i="3"/>
  <c r="G49" i="3"/>
  <c r="G44" i="3"/>
  <c r="G43" i="3"/>
  <c r="G41" i="3" s="1"/>
  <c r="G25" i="3"/>
  <c r="G26" i="3" s="1"/>
  <c r="G27" i="3" s="1"/>
  <c r="G23" i="3"/>
  <c r="G34" i="3" l="1"/>
  <c r="G36" i="3" s="1"/>
  <c r="G76" i="3" s="1"/>
  <c r="H57" i="3"/>
  <c r="H75" i="3"/>
  <c r="H74" i="3" s="1"/>
  <c r="H72" i="3"/>
  <c r="K33" i="3"/>
  <c r="H76" i="3"/>
  <c r="H80" i="3" s="1"/>
  <c r="H81" i="3" s="1"/>
  <c r="H52" i="3"/>
  <c r="G70" i="3"/>
  <c r="G71" i="3" s="1"/>
  <c r="G72" i="3" s="1"/>
  <c r="H46" i="3"/>
  <c r="H51" i="3"/>
  <c r="G51" i="3"/>
  <c r="H54" i="3"/>
  <c r="H56" i="3" s="1"/>
  <c r="G40" i="3"/>
  <c r="G50" i="3"/>
  <c r="H41" i="3"/>
  <c r="G45" i="3"/>
  <c r="G46" i="3"/>
  <c r="K34" i="3" l="1"/>
  <c r="K36" i="3"/>
  <c r="H78" i="3"/>
  <c r="H79" i="3" s="1"/>
  <c r="H55" i="3"/>
  <c r="G57" i="3"/>
  <c r="G75" i="3"/>
  <c r="G74" i="3" s="1"/>
  <c r="G55" i="3"/>
  <c r="G59" i="3" s="1"/>
  <c r="G54" i="3"/>
  <c r="G56" i="3" s="1"/>
  <c r="H59" i="3" l="1"/>
  <c r="H58" i="3"/>
  <c r="H62" i="3" s="1"/>
  <c r="G80" i="3"/>
  <c r="G81" i="3" s="1"/>
  <c r="G78" i="3"/>
  <c r="G79" i="3" s="1"/>
  <c r="G58" i="3"/>
  <c r="G62" i="3" s="1"/>
  <c r="G63" i="3"/>
  <c r="H64" i="3" l="1"/>
  <c r="H63" i="3"/>
  <c r="H82" i="3" s="1"/>
  <c r="G82" i="3"/>
  <c r="G64" i="3"/>
</calcChain>
</file>

<file path=xl/sharedStrings.xml><?xml version="1.0" encoding="utf-8"?>
<sst xmlns="http://schemas.openxmlformats.org/spreadsheetml/2006/main" count="1094" uniqueCount="498">
  <si>
    <t>Item #</t>
  </si>
  <si>
    <t>Unique identifier or reference number for each part (useful for cross-referencing in schematics).</t>
  </si>
  <si>
    <t>Part Name</t>
  </si>
  <si>
    <t>Name of the component (e.g., Resistor, Capacitor, MOSFET).</t>
  </si>
  <si>
    <t>Part Number</t>
  </si>
  <si>
    <t>Manufacturer’s part number or internal part number.</t>
  </si>
  <si>
    <t>Category</t>
  </si>
  <si>
    <t>Number of each component required for the project.</t>
  </si>
  <si>
    <t>Quantity Needed</t>
  </si>
  <si>
    <t>Quantity in Stock</t>
  </si>
  <si>
    <t>Number of components you currently have.</t>
  </si>
  <si>
    <t>Description</t>
  </si>
  <si>
    <t>Brief description of the part, including key specs (e.g., 10kΩ, 1/4W for a resistor).</t>
  </si>
  <si>
    <t>Value/Rating</t>
  </si>
  <si>
    <t>Specific value, rating, or specification (e.g., 10µF, 16V for a capacitor).</t>
  </si>
  <si>
    <t>Tolerance</t>
  </si>
  <si>
    <t>Tolerance for components like resistors and capacitors (e.g., ±5%).</t>
  </si>
  <si>
    <t>Voltage Rating</t>
  </si>
  <si>
    <t>Voltage rating (especially important for capacitors, diodes, etc.).</t>
  </si>
  <si>
    <t>Power Rating</t>
  </si>
  <si>
    <t>Power rating for resistors, MOSFETs, etc.</t>
  </si>
  <si>
    <t>Package/Size</t>
  </si>
  <si>
    <t>Package type (e.g., SMD-0805, TO-220) or physical size.</t>
  </si>
  <si>
    <t>Supplier</t>
  </si>
  <si>
    <t>Supplier name (e.g., Digi-Key, Mouser, LCSC).</t>
  </si>
  <si>
    <t>Supplier Part Number</t>
  </si>
  <si>
    <t>Supplier-specific part number, if different from manufacturer part number.</t>
  </si>
  <si>
    <t>Unit Price</t>
  </si>
  <si>
    <t>Price per unit of the part.</t>
  </si>
  <si>
    <t>Total Cost</t>
  </si>
  <si>
    <t>Total cost calculated as Quantity Needed × Unit Price.</t>
  </si>
  <si>
    <t>Lead Time</t>
  </si>
  <si>
    <t>Expected time for delivery from supplier.</t>
  </si>
  <si>
    <t>Notes</t>
  </si>
  <si>
    <t>Any additional notes, like alternatives or special instructions.</t>
  </si>
  <si>
    <t>Subsystem</t>
  </si>
  <si>
    <t>VR68000002496FAC00</t>
  </si>
  <si>
    <t>https://www.mouser.co.uk/ProductDetail/Vishay-BC-Components/VR68000002496FAC00?qs=wEmTtUuRSe6YkQzEm4CWKw%3D%3D</t>
  </si>
  <si>
    <t>Url</t>
  </si>
  <si>
    <t>TC1413N</t>
  </si>
  <si>
    <t>n channel gate driver</t>
  </si>
  <si>
    <t xml:space="preserve">single n channel non inverting gate driver able to drive up to 1800pf gate. </t>
  </si>
  <si>
    <t>CSD19534KCS 100V N-Channel NexFET</t>
  </si>
  <si>
    <t>CSD19534KCS</t>
  </si>
  <si>
    <t>100V N-Channel NexFET</t>
  </si>
  <si>
    <t>C320C104K5R5TA</t>
  </si>
  <si>
    <t>1uf X7R capacitor</t>
  </si>
  <si>
    <t>Capacitor that goes across Vdd and Gnd for TC1413N</t>
  </si>
  <si>
    <t>1uf</t>
  </si>
  <si>
    <t>zener diode protection, 3v 0.8uA leakage</t>
  </si>
  <si>
    <t>1N4619 BK PBFREE</t>
  </si>
  <si>
    <t>DO-35-2</t>
  </si>
  <si>
    <t>0.25w</t>
  </si>
  <si>
    <t>SM108033006FE</t>
  </si>
  <si>
    <t>Thick Film Resistors - Through Hole 300M ohms 1%</t>
  </si>
  <si>
    <t>300M</t>
  </si>
  <si>
    <t>2.5w</t>
  </si>
  <si>
    <t>250v</t>
  </si>
  <si>
    <t>20kv</t>
  </si>
  <si>
    <t>C322C102F5G5TA</t>
  </si>
  <si>
    <t>Multilayer Ceramic Capacitors MLCC - Leaded 50V 1000pF C0G 1% LS=5.08mm</t>
  </si>
  <si>
    <t>1000pf</t>
  </si>
  <si>
    <t>50v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</si>
  <si>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</si>
  <si>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MFR-25FBF52-30K1</t>
  </si>
  <si>
    <t>30.1k</t>
  </si>
  <si>
    <t>Metal Film Resistors - Through Hole 30.1K OHM 1/4W 1%</t>
  </si>
  <si>
    <t>s</t>
  </si>
  <si>
    <t>RS Stock No.:270-7764</t>
  </si>
  <si>
    <t>RS Stock No.:270-7763</t>
  </si>
  <si>
    <t xml:space="preserve">RS PRO 16Mbps Fibre Optic Transmitter 640 → 670nm, Square Fiber Optic Connector, 13.6 x 11.5 x 9.5mm SUPPORTS toslink </t>
  </si>
  <si>
    <t xml:space="preserve">RS PRO 16Mbps 650nm Fibre Optic Receiver, Square, Fiber Optic Connector SUPPORTS toslink </t>
  </si>
  <si>
    <t>C317C300J5G5TA</t>
  </si>
  <si>
    <t>Multilayer Ceramic Capacitors MLCC - Leaded 50V 30pF C0G 5% LS=5.08mm</t>
  </si>
  <si>
    <t>30pf</t>
  </si>
  <si>
    <t>C322C104J5R5TA</t>
  </si>
  <si>
    <t>Multilayer Ceramic Capacitors MLCC - Leaded 50V 0.1uF X7R 5% LS=5.08mm</t>
  </si>
  <si>
    <t>0.1uf</t>
  </si>
  <si>
    <t>WP154A4SEJ3VBDZGW/CA</t>
  </si>
  <si>
    <t>Common anode RGB led WP154A4SEJ3VBDZGW/CA</t>
  </si>
  <si>
    <t>CL08-35</t>
  </si>
  <si>
    <t>35kv 200ma high voltage diodes for main villard cascading</t>
  </si>
  <si>
    <t>https://www.hv-caps.com/HV-Ceramic-Disc-Capacitor/hv-ceramic-disc-capacitor163.html</t>
  </si>
  <si>
    <t>HVC-20KV-DL21-F12.5-102K</t>
  </si>
  <si>
    <t>https://www.aliexpress.com/item/1005008408941647.html?spm=a2g0o.productlist.main.15.5dadMykrMykrlA&amp;algo_pvid=1009c52e-ae98-46af-91f0-7ddd7918c21c&amp;algo_exp_id=1009c52e-ae98-46af-91f0-7ddd7918c21c-7&amp;pdp_ext_f=%7B%22order%22%3A%22-1%22%2C%22eval%22%3A%221%22%7D&amp;pdp_npi=4%40dis%21GBP%2113.32%2111.59%21%21%2116.10%2114.01%21%40211b807017393297059435746e9bc9%2112000044924074998%21sea%21UK%210%21ABX&amp;curPageLogUid=gArtZsvuC8H6&amp;utparam-url=scene%3Asearch%7Cquery_from%3A#nav-specification</t>
  </si>
  <si>
    <t xml:space="preserve">35kv 0.1 amp diodes </t>
  </si>
  <si>
    <t>2CL2FP</t>
  </si>
  <si>
    <t>high voltage capacitor</t>
  </si>
  <si>
    <t>https://www.aliexpress.com/item/1005007066972173.html?spm=a2g0o.productlist.main.1.1bc91c12wcexwn&amp;algo_pvid=a1b7faf6-3c4f-43eb-a82c-136c8b3c6b16&amp;algo_exp_id=a1b7faf6-3c4f-43eb-a82c-136c8b3c6b16-0&amp;pdp_ext_f=%7B%22order%22%3A%226%22%2C%22eval%22%3A%221%22%7D&amp;pdp_npi=4%40dis%21GBP%2118.65%2115.29%21%21%2122.55%2118.49%21%402103835c17393607216281449ee924%2112000039294426968%21sea%21UK%210%21ABX&amp;curPageLogUid=rM9T1360B4wo&amp;utparam-url=scene%3Asearch%7Cquery_from%3A</t>
  </si>
  <si>
    <t>35kv 100ma</t>
  </si>
  <si>
    <t>https://www.aliexpress.com/item/32991104517.html?spm=a2g0o.productlist.main.21.5c48fa6fuiADcd&amp;algo_pvid=72df4cbd-c540-4ad5-a38c-9d43de7faa9d&amp;algo_exp_id=72df4cbd-c540-4ad5-a38c-9d43de7faa9d-10&amp;pdp_ext_f=%7B%22order%22%3A%221%22%2C%22eval%22%3A%221%22%7D&amp;pdp_npi=4%40dis%21GBP%211.96%211.45%21%21%212.37%211.75%21%40211b612817393628342711656e9961%2166883477045%21sea%21UK%210%21ABX&amp;curPageLogUid=ToarRvtiZw8L&amp;utparam-url=scene%3Asearch%7Cquery_from%3A</t>
  </si>
  <si>
    <t>2CL2FR</t>
  </si>
  <si>
    <t>Link(s) to related pages</t>
  </si>
  <si>
    <t xml:space="preserve">‎ </t>
  </si>
  <si>
    <t>Gate Driver</t>
  </si>
  <si>
    <t>Capacitor Distcharge Resistor</t>
  </si>
  <si>
    <t>Villard Distcharge Resistor</t>
  </si>
  <si>
    <t>villard Diode</t>
  </si>
  <si>
    <t>Villard Capacitor</t>
  </si>
  <si>
    <t>Voltage Feedback</t>
  </si>
  <si>
    <t>MHR0422SA_1G</t>
  </si>
  <si>
    <t>https://www.mouser.co.uk/ProductDetail/Murata-Power-Solutions/MHR0422SA108F70?qs=T3oQrply3y%252BIxqV4afI14A%3D%3D</t>
  </si>
  <si>
    <t xml:space="preserve"> 2G HVR82ML2204J  * 2 in series</t>
  </si>
  <si>
    <t>30kv</t>
  </si>
  <si>
    <t>https://www.aliexpress.com/item/1005005496744751.html?pdp_npi=4%40dis%21GBP%21%EF%BF%A11.85%21%EF%BF%A11.85%21%21%2116.38%2116.38%21%40211b80f717393762297004843e18dc%2112000033309969743%21sh%21UK%214911257576%21X&amp;spm=a2g0o.store_pc_allItems_or_groupList.new_all_items_2007602645286.1005005496744751602645286.1005005496744751</t>
  </si>
  <si>
    <t>2G HVR82MY2505  * 2 in series</t>
  </si>
  <si>
    <t>https://www.aliexpress.com/item/1005005756305538.html?pdp_npi=4%40dis%21GBP%21%EF%BF%A12.19%21%EF%BF%A12.19%21%21%2119.36%2119.36%21%402103894417393769459258619e1dcc%2112000044390347544%21sh%21UK%214911257576%21X&amp;spm=a2g0o.store_pc_allItems_or_groupList.new_all_items_2007602645286.1005005756305538</t>
  </si>
  <si>
    <t>multiple HVR82MZ1005. cheap high values low power small</t>
  </si>
  <si>
    <t>https://www.aliexpress.com/item/1005007223750578.html?pdp_npi=4%40dis%21GBP%21%EF%BF%A12.06%21%EF%BF%A12.06%21%21%212.49%212.49%21%40211b613917393798486998837e7ffe%2112000039869987414%21sh%21UK%214911257576%21X&amp;spm=a2g0o.store_pc_allItems_or_groupList.new_all_items_2007615960136.1005007223750578#nav-specification</t>
  </si>
  <si>
    <t>HVC-20KV -DL28- F16 -202K</t>
  </si>
  <si>
    <t>Nice quick reply alibaba</t>
  </si>
  <si>
    <t>https://anxon.en.alibaba.com/catalog/865474/index.html?chatToken=TDFKeWNGRlpkWFZTWmtkNFRYRnZjVWxhVTBsU2RVcHNkRVpKVTJsMlRteERiM0ZyWlhrM2VHMXhZeTkwTVVSb2RIQnFRMGxKTmtONE9GSllWWFFyVG5wWWVsUjRjM05oTW5ZeFJIaExWVWt3VkZkUE9HRXlja3RCYlhsVlNqSlphRU5YU1dNeldFNUVRelEyT1dwRU1VUmlLMjR5YVZwUVdFUkRMM1o1T1RGWFdWQXhNbEpMUVhacWFURlJSMUZ1Vm1aNFZtUjNQVDA9JnZlcnNpb249Mi4wLjA%3D&amp;encryptTargetLoginId=8pctgRBMALPv3TZEmb5udhhiAsAau0jR</t>
  </si>
  <si>
    <t>HVCC203Y6P102MEAX</t>
  </si>
  <si>
    <t>https://www.mouser.co.uk/ProductDetail/Vishay-Roederstein/HVCC203Y6P102MEAX?qs=sGAEpiMZZMsh%252B1woXyUXj%2FgcXCpI1SPdufugygDSI7k%3D</t>
  </si>
  <si>
    <t>UY42 UY120/89/42 </t>
  </si>
  <si>
    <t>https://www.aliexpress.com/item/1005006725342220.html?spm=a2g0o.detail.pcDetailBottomMoreThisSeller.1.7e61H0GHH0GHDF&amp;gps-id=pcDetailBottomMoreThisSeller&amp;scm=1007.13339.291025.0&amp;scm_id=1007.13339.291025.0&amp;scm-url=1007.13339.291025.0&amp;pvid=6eba14be-f9cf-4fdd-b126-b5ff00bb50d2&amp;_t=gps-id:pcDetailBottomMoreThisSeller,scm-url:1007.13339.291025.0,pvid:6eba14be-f9cf-4fdd-b126-b5ff00bb50d2,tpp_buckets:668%232846%238107%231934&amp;pdp_ext_f=%7B%22order%22%3A%222%22%2C%22eval%22%3A%221%22%2C%22sceneId%22%3A%223339%22%7D&amp;pdp_npi=4%40dis%21GBP%2183.59%2183.59%21%21%21101.11%21101.11%21%40211b813f17394808960611292e49f4%2112000038100026281%21rec%21UK%214911257576%21XZ&amp;utparam-url=scene%3ApcDetailBottomMoreThisSeller%7Cquery_from%3A</t>
  </si>
  <si>
    <t>https://www.aliexpress.com/item/1005005826311044.html?spm=a2g0o.productlist.main.1.4bf41f00DiTx8E&amp;algo_pvid=39013217-76fc-48da-86be-33d106e06dd3&amp;algo_exp_id=39013217-76fc-48da-86be-33d106e06dd3-0&amp;pdp_ext_f=%7B%22order%22%3A%221%22%2C%22eval%22%3A%221%22%7D&amp;pdp_npi=4%40dis%21GBP%2139.67%2136.89%21%21%2147.99%2144.63%21%40211b628117394812670537834eb7b9%2112000034489258814%21sea%21UK%214911257576%21X&amp;curPageLogUid=S4RiljjKiKmp&amp;utparam-url=scene%3Asearch%7Cquery_from%3A</t>
  </si>
  <si>
    <t>1pair/lot UY42 Ultra Large Power Transformer Core Al 8448nH/N2 UY120/89/42 UU Isolator Ferrite Core Ferrite Chokes MnZn PC40</t>
  </si>
  <si>
    <t>https://www.aliexpress.com/item/33011851355.html?spm=a2g0o.detail.pcDetailBottomMoreOtherSeller.9.182f0Fai0FaihF&amp;gps-id=pcDetailBottomMoreOtherSeller&amp;scm=1007.40050.354490.0&amp;scm_id=1007.40050.354490.0&amp;scm-url=1007.40050.354490.0&amp;pvid=1a87e9bd-3149-43a6-ab27-247b67de65c8&amp;_t=gps-id:pcDetailBottomMoreOtherSeller,scm-url:1007.40050.354490.0,pvid:1a87e9bd-3149-43a6-ab27-247b67de65c8,tpp_buckets:668%232846%238107%231934&amp;pdp_ext_f=%7B%22order%22%3A%221%22%2C%22eval%22%3A%221%22%2C%22sceneId%22%3A%2230050%22%7D&amp;pdp_npi=4%40dis%21GBP%2154.11%2145.99%21%21%2166.01%2156.10%21%40211b430817395428023505935e05c3%2167085726545%21rec%21UK%214911257576%21XZ&amp;utparam-url=scene%3ApcDetailBottomMoreOtherSeller%7Cquery_from%3A#nav-specification</t>
  </si>
  <si>
    <t>uy30</t>
  </si>
  <si>
    <t>https://www.aliexpress.com/item/1005002286755922.html?spm=a2g0o.productlist.main.3.3ee72c79evnynr&amp;algo_pvid=ab994f9b-027d-4973-add5-c00e30c5fb3a&amp;algo_exp_id=ab994f9b-027d-4973-add5-c00e30c5fb3a-1&amp;pdp_ext_f=%7B%22order%22%3A%226%22%2C%22eval%22%3A%221%22%7D&amp;pdp_npi=4%40dis%21GBP%2133.79%2133.79%21%21%2141.22%2141.22%21%40211b613917395428653956413ed184%2112000019918789375%21sea%21UK%214911257576%21X&amp;curPageLogUid=vFmHUvXlVtvK&amp;utparam-url=scene%3Asearch%7Cquery_from%3A#nav-specification</t>
  </si>
  <si>
    <t>1pair UY 30 MnZn PC40 U Shape Ferrite Filter 130x95mm For Transformer Core</t>
  </si>
  <si>
    <t>https://www.aliexpress.com/item/1005002286755922.html?spm=a2g0o.order_list.order_list_main.5.2db41802LMfDzB</t>
  </si>
  <si>
    <t>https://www.aliexpress.com/item/1005003588041883.html?spm=a2g0o.productlist.main.3.6c656dbaZ85iE2&amp;algo_pvid=05ec214c-a47e-4a04-8e2d-0facab680951&amp;algo_exp_id=05ec214c-a47e-4a04-8e2d-0facab680951-1&amp;pdp_ext_f=%7B%22order%22%3A%2212%22%2C%22eval%22%3A%221%22%7D&amp;pdp_npi=4%40dis%21GBP%211.88%211.73%21%21%2116.70%2115.34%21%40211b813b17398452195263534e8e0d%2112000026393910246%21sea%21UK%214911257576%21X&amp;curPageLogUid=03HBBS9xxyt4&amp;utparam-url=scene%3Asearch%7Cquery_from%3A</t>
  </si>
  <si>
    <t>CT81 20KV 1000PF N4700 D19.5xT8.5xF13.0mm, d0.8</t>
  </si>
  <si>
    <t>7-8 weeks</t>
  </si>
  <si>
    <t>$0.68</t>
  </si>
  <si>
    <t>AnXon</t>
  </si>
  <si>
    <t>AXCT81D20KV102K</t>
  </si>
  <si>
    <t>1uF</t>
  </si>
  <si>
    <t>https://www.alibaba.com/product-detail/CT81-20KV-1000PF-N4700-D19-5xT8_60495534513.html?spm=a2756.trade-list-buyer.0.0.45af76e9MlB5mq</t>
  </si>
  <si>
    <t>Villard Capacitors</t>
  </si>
  <si>
    <t>N4700</t>
  </si>
  <si>
    <t>$48 Fedex postage from china</t>
  </si>
  <si>
    <t>Flyback Core</t>
  </si>
  <si>
    <t>PC40</t>
  </si>
  <si>
    <t>Aliexpress, New Accessory Store, Store no 912028214</t>
  </si>
  <si>
    <t>Maximum high voltage</t>
  </si>
  <si>
    <t>Minimum high voltage</t>
  </si>
  <si>
    <t>Maximum zener diode leakage current</t>
  </si>
  <si>
    <t>Maximum tap voltage</t>
  </si>
  <si>
    <t>Minimum tap voltage</t>
  </si>
  <si>
    <t>Resistor ratio required</t>
  </si>
  <si>
    <t>X zener leakage current minimum</t>
  </si>
  <si>
    <t>minimum current</t>
  </si>
  <si>
    <t>tolerance</t>
  </si>
  <si>
    <t>voltage rating</t>
  </si>
  <si>
    <t>resistance</t>
  </si>
  <si>
    <t>Rh individual high voltage resistor resistance</t>
  </si>
  <si>
    <t>Rh tolerance percent</t>
  </si>
  <si>
    <t>High volatge resistor Rh</t>
  </si>
  <si>
    <t>Nrh high voltage resistors</t>
  </si>
  <si>
    <t>Nrh x Vrh Total voltage rating</t>
  </si>
  <si>
    <t>Nrh x Vrh / safety factor Operating voltage rating</t>
  </si>
  <si>
    <t>Safety factor</t>
  </si>
  <si>
    <t>Acceptibly large current at minimum high voltage</t>
  </si>
  <si>
    <t>Alter resistance by proportion</t>
  </si>
  <si>
    <t>Low voltage resistor Rl</t>
  </si>
  <si>
    <t>High voltage resistors Acceptible voltage rating</t>
  </si>
  <si>
    <t>Low voltage resistor acceptible voltage rating</t>
  </si>
  <si>
    <t>RL voltage rating</t>
  </si>
  <si>
    <t>RL resistance</t>
  </si>
  <si>
    <t>RL tolerance percent</t>
  </si>
  <si>
    <t>RH total series resistance</t>
  </si>
  <si>
    <t>RH maximum resistance</t>
  </si>
  <si>
    <t>RH minimum resistance</t>
  </si>
  <si>
    <t>Suggested value</t>
  </si>
  <si>
    <t>RL maximum resistance</t>
  </si>
  <si>
    <t>RH tolerance proportion</t>
  </si>
  <si>
    <t>RL minimum resistance</t>
  </si>
  <si>
    <t>Maximum current (at highest high voltage and lowest end of tolerance)</t>
  </si>
  <si>
    <t>Minimum current (at lowest high voltage and highest end of tolerance)</t>
  </si>
  <si>
    <t>Rl power rating</t>
  </si>
  <si>
    <t>Rh power rating</t>
  </si>
  <si>
    <t>P_Rh Maximum power disipation individual high voltage resistor</t>
  </si>
  <si>
    <t>P_RL Maximum power disipation low voltage resistor</t>
  </si>
  <si>
    <t>Rh individual minimum resistance</t>
  </si>
  <si>
    <t>Rh individual maximum resistance</t>
  </si>
  <si>
    <t>Rh power rating acceptible</t>
  </si>
  <si>
    <t>Rh maximum power rating including safety factor</t>
  </si>
  <si>
    <t>Rl power rating acceptible</t>
  </si>
  <si>
    <t>Rl maximum power rating including safety factor</t>
  </si>
  <si>
    <t>Total power loss</t>
  </si>
  <si>
    <t>Resistor part</t>
  </si>
  <si>
    <t>Suitable</t>
  </si>
  <si>
    <t>RN60C1351FB14</t>
  </si>
  <si>
    <t>300v</t>
  </si>
  <si>
    <t>100M</t>
  </si>
  <si>
    <t>MHR0844SA107F70</t>
  </si>
  <si>
    <t>https://www.mouser.co.uk/ProductDetail/Murata-Power-Solutions/MHR0844SA107F70?qs=T3oQrply3y%252Bo2f2KmFIg%2Fg%3D%3D</t>
  </si>
  <si>
    <t>15.8 kV</t>
  </si>
  <si>
    <t>Potential divider calculations</t>
  </si>
  <si>
    <t>Instance name</t>
  </si>
  <si>
    <t>First Stage Voltage Feedback</t>
  </si>
  <si>
    <t>Male Male pin strip</t>
  </si>
  <si>
    <t>Fiber optic transmitter</t>
  </si>
  <si>
    <t>Fiber optic receiver</t>
  </si>
  <si>
    <t>Potential divider lower bias capacitor</t>
  </si>
  <si>
    <t>Potential divider lower leg resistor</t>
  </si>
  <si>
    <t>Potential divider upper leg resistors</t>
  </si>
  <si>
    <t>Zener diode over voltage clamp</t>
  </si>
  <si>
    <t>Period</t>
  </si>
  <si>
    <t>Time taken for V_L to go from maximum to within 0.99 of minimum value</t>
  </si>
  <si>
    <t>N Cycles taken for V_L to go from maximum to within 0.99 of minimum value</t>
  </si>
  <si>
    <t>Time taken for V_L to go from lowest to within 0.99 of maximum value</t>
  </si>
  <si>
    <t>N cycles taken for V_L to go from lowest to within 0.99 of maximum value</t>
  </si>
  <si>
    <t>V_∞min</t>
  </si>
  <si>
    <t>V_∞max</t>
  </si>
  <si>
    <t>Frequency of driver</t>
  </si>
  <si>
    <t>t_99% desired</t>
  </si>
  <si>
    <t>t_99% actual</t>
  </si>
  <si>
    <t>Effective time constant τ for actual capacitor</t>
  </si>
  <si>
    <t>Effective time constant τ desired</t>
  </si>
  <si>
    <t>Actual lower leg capacitance</t>
  </si>
  <si>
    <t>Suggested lower leg capacitance</t>
  </si>
  <si>
    <t>Minimum cycles to rise through full voltage range (limited by energy transformer can transfer to capacitor per cycle)</t>
  </si>
  <si>
    <t>Minimum cycles to fall through full voltage range (limited by output current limiting resistance)</t>
  </si>
  <si>
    <t>Minimum transition time</t>
  </si>
  <si>
    <t>C322C271K2G5TA</t>
  </si>
  <si>
    <t>270pf</t>
  </si>
  <si>
    <t>Lower leg capacitor</t>
  </si>
  <si>
    <t>Metal Film Resistors - Through Hole 27K OHM 1/4W 1%</t>
  </si>
  <si>
    <t>MFR-25FRF52-27K</t>
  </si>
  <si>
    <t>https://www.mouser.co.uk/ProductDetail/YAGEO/MFR-25FRF52-27K?qs=sGAEpiMZZMsPqMdJzcrNwiweiCzxKzWLhyrsT9Ty9ww%3D</t>
  </si>
  <si>
    <t xml:space="preserve">Output Voltage Feedback 200Kv </t>
  </si>
  <si>
    <t>Power dissipated at maximum series resistance and high voltage</t>
  </si>
  <si>
    <t>maximum RL to give high enough current</t>
  </si>
  <si>
    <t>Rh minimum individual voltage rating required</t>
  </si>
  <si>
    <t>Rh actual voltage rating</t>
  </si>
  <si>
    <t>resistance required</t>
  </si>
  <si>
    <t>voltage rating of part</t>
  </si>
  <si>
    <t>n parts required minimum</t>
  </si>
  <si>
    <t>safety factor</t>
  </si>
  <si>
    <t>max voltage</t>
  </si>
  <si>
    <t>desired resistance</t>
  </si>
  <si>
    <t>desired resistance M</t>
  </si>
  <si>
    <t>Composite resistor combination finding</t>
  </si>
  <si>
    <t>voltage across each part</t>
  </si>
  <si>
    <t>power dissipation in each part</t>
  </si>
  <si>
    <t>https://www.aliexpress.com/item/1005004279932436.html?pdp_npi=4%40dis%21GBP%21%EF%BF%A11.33%21%EF%BF%A11.33%21%21%2111.82%2111.82%21%40211b619a17401876960841815eaddb%2112000035453859120%21sh%21UK%214911257576%21X&amp;spm=a2g0o.store_pc_allItems_or_groupList.new_all_items_2007602645286.1005004279932436</t>
  </si>
  <si>
    <t>1G</t>
  </si>
  <si>
    <t>unit price</t>
  </si>
  <si>
    <t>total price</t>
  </si>
  <si>
    <t>part power rating</t>
  </si>
  <si>
    <t>3.5W</t>
  </si>
  <si>
    <t>unit length mm</t>
  </si>
  <si>
    <t>part number</t>
  </si>
  <si>
    <t>HVR82MY5010 1GF (1% version)</t>
  </si>
  <si>
    <t>actual number of parts using</t>
  </si>
  <si>
    <t>HVR82MY5010 1GF</t>
  </si>
  <si>
    <t>Voltage Feedback Board</t>
  </si>
  <si>
    <t>Villard First Stage Potential Divider</t>
  </si>
  <si>
    <t>200KV Villard Output Voltage</t>
  </si>
  <si>
    <t>https://www.aliexpress.com/item/1005004279932436.html?pdp_npi=4%40dis%21GBP%21%EF%BF%A11.33%21%EF%BF%A11.33%21%21%2111.82%2111.82%21%40211b619a17401876960841815eaddb%2112000035453859120%21sh%21UK%214911257576%21X&amp;spm=a2g0o.store_pc_allItems</t>
  </si>
  <si>
    <t>1G ohm</t>
  </si>
  <si>
    <t>25kv</t>
  </si>
  <si>
    <t>3.5w</t>
  </si>
  <si>
    <t>Alibaba: twjohm</t>
  </si>
  <si>
    <t>HVR82MY5010 100MF 1%</t>
  </si>
  <si>
    <t>HVR82MY5010 1GF 1%</t>
  </si>
  <si>
    <t>HVR82MY5010 100MF (1% version)</t>
  </si>
  <si>
    <t>https://www.aliexpress.com/item/1005003776755496.html?spm=a2g0o.cart.0.0.26a938da5L2xoV&amp;mp=1&amp;pdp_npi=5%40dis%21GBP%21GBP%204.08%21GBP%203.73%21%21%21%21%21%40211b612517403184808552682e86dc%2112000027127775987%21ct%21UK%214911257576%21%211%210</t>
  </si>
  <si>
    <t>M2 standoffs kit</t>
  </si>
  <si>
    <t>https://www.alibaba.com/product-detail/hot-sell-MT100F35-100mA-35KV-100ns_1601105852602.html?chatToken=TDFKeWNGRlpkWFZTWmtkNFRYRnZjVWxhVTBsU2RVcHNkRVpKVTJsMlRteERiM0ZyWlhrM2VHMXhZeTkwTVVSb2RIQnFRMGxKTmtONE9GSllWWFFyVGpsTGQyVlNOMmhVVG01dFJHdFVVV0pFY0RadFNFbDJUR295ZGpoVk1ubFBTSEYzT1ZKb2FsWnRja0p5YTJ0cmNVMXRhMUZPUVhOSVVrVlBlVGN4VW1kUFNrcHNSRVJLU21wT1pGbFpRbEZyTkhsUGRsSlRZWFJEY0VoM1duVkxXQzlaTldoSk5YQmpXbmRaUFE9PSZ2ZXJzaW9uPTIuMC4w&amp;encryptTargetLoginId=8pctgRBMALPQugcIxMP3dtL1x07pnOat6wdkfYSa%2Bs4%3D</t>
  </si>
  <si>
    <t>hot sell MT100F35 100mA 35KV 100ns Fast Recovery High Voltage Diode replace 2CL2FR for wholesales</t>
  </si>
  <si>
    <t>MT100F35</t>
  </si>
  <si>
    <t>https://www.trentplastics.co.uk/product/clear-acrylic-tube/</t>
  </si>
  <si>
    <t>200x5x190x1000</t>
  </si>
  <si>
    <t>3mm</t>
  </si>
  <si>
    <t>200K</t>
  </si>
  <si>
    <t>https://www.aliexpress.com/item/1005006754784195.html?spm=a2g0o.cart.0.0.322938daTrlqB9&amp;mp=1&amp;pdp_npi=5%40dis%21GBP%21GBP%204.14%21GBP%204.14%21%21%21%21%21%4021038df617417047619325936ee264%2112000038195597222%21ct%21UK%214911257576%21%211%210</t>
  </si>
  <si>
    <t>https://www.aliexpress.com/item/1005007549969044.html?spm=a2g0o.cart.0.0.322938daTrlqB9&amp;mp=1&amp;pdp_npi=5%40dis%21GBP%21GBP%209.36%21GBP%203.10%21%21%21%21%21%4021038df617417047619325936ee264%2112000041255827313%21ct%21UK%214911257576%21%211%210</t>
  </si>
  <si>
    <t>Mineral oil pumping and floating power generation</t>
  </si>
  <si>
    <t>https://www.aliexpress.com/item/1005007511957479.html?spm=a2g0o.cart.0.0.285b38daVK3RYa&amp;mp=1&amp;pdp_npi=5%40dis%21GBP%21GBP%207.37%21GBP%204.21%21%21%21%21%21%402103919917417052311211128ebd3a%2112000041079905237%21ct%21UK%214911257576%21%211%210</t>
  </si>
  <si>
    <t>Mainboard: First Stage Voltage Feedback</t>
  </si>
  <si>
    <t>Mainboard: Output Voltage Feedback</t>
  </si>
  <si>
    <t>Mainboard: Output Current Feedback</t>
  </si>
  <si>
    <t>Mainboard: 2.5V Reference</t>
  </si>
  <si>
    <t>Mainboard: Flyback Connections</t>
  </si>
  <si>
    <t>Mainboard: Driver</t>
  </si>
  <si>
    <t>Mainboard: Accelerometer</t>
  </si>
  <si>
    <t>Mainboard: I2C Offboard</t>
  </si>
  <si>
    <t>Mainboard: Snubber</t>
  </si>
  <si>
    <t>Mainboard: Snubber Voltage Feedback</t>
  </si>
  <si>
    <t>Mainboard: Primary Current Feedback</t>
  </si>
  <si>
    <t>Include (green)</t>
  </si>
  <si>
    <t>80-C322C104J5R</t>
  </si>
  <si>
    <t>https://www.mouser.co.uk/ProductDetail/KEMET/C322C104J5R5TA?qs=fv%2FgaNrLmF3mCSYhUi18YA%3D%3D&amp;srsltid=AfmBOoog_8tujTmWNkJb14BfbsvR13gzVXTH2wfyWdqMqEeVaejEXDE6</t>
  </si>
  <si>
    <t xml:space="preserve"> 50V</t>
  </si>
  <si>
    <t>https://www.mouser.co.uk/ProductDetail/?qs=b8KOIaRqXtdsFXPxXiN2GA%3D%3D&amp;srsltid=AfmBOorgIfwWrXtxGPcv7W7mJrzwKdrDn7FLdSy2BuTUbWHSz4U4saFH</t>
  </si>
  <si>
    <t>80-C317C300J5G</t>
  </si>
  <si>
    <t>‎ http://uk.rs-online.com/web/p/fibre-optic-transmitters/2707764?gb=s</t>
  </si>
  <si>
    <t>‎ https://uk.rs-online.com/web/p/fibre-optic-receivers/2707763?gb=s</t>
  </si>
  <si>
    <t>RS PRO 16Mbps 650nm Fibre Optic Receiver, Square, Fiber Optic Connector</t>
  </si>
  <si>
    <t>RS PRO 16Mbps Fibre Optic Transmitter 640 → 670nm, Square Fiber Optic Connector, 13.6 x 11.5 x 9.5mm</t>
  </si>
  <si>
    <t>LM4040C25ILPR</t>
  </si>
  <si>
    <t>RS</t>
  </si>
  <si>
    <t>Mouser</t>
  </si>
  <si>
    <t>595-LM4040C25ILPR</t>
  </si>
  <si>
    <t>270-7763</t>
  </si>
  <si>
    <t>270-7764</t>
  </si>
  <si>
    <t>2.5V</t>
  </si>
  <si>
    <t>15 mA</t>
  </si>
  <si>
    <t>TO-92-3</t>
  </si>
  <si>
    <t>Voltage References 2.5-V Precision Micr opower Shunt A 595-LM4040C25ILP</t>
  </si>
  <si>
    <t>https://www.mouser.co.uk/ProductDetail/Texas-Instruments/LM4040C25ILPR?qs=xRTSnXjzBs7toHVdgzq9EQ%3D%3D&amp;srsltid=AfmBOorulDQJInWMpaTyBVp6CUrRi4XKRocWnjsF8qJo_eTCVoGlTvHH</t>
  </si>
  <si>
    <t>Metal Film Resistors - Through Hole 1/4watt 3Kohms 5% Rated to 1/2watt</t>
  </si>
  <si>
    <t>CCF073K00JKE36</t>
  </si>
  <si>
    <t>71-CCF073K00JKE36</t>
  </si>
  <si>
    <t>6.22 mm</t>
  </si>
  <si>
    <t>250 V</t>
  </si>
  <si>
    <t>3K</t>
  </si>
  <si>
    <t>Metal Film Resistors 1/4watt 3Kohms 5% Rated to 1/2watt</t>
  </si>
  <si>
    <t>https://www.mouser.co.uk/ProductDetail/Vishay-Dale/CCF073K00JKE36?qs=sGAEpiMZZMsPqMdJzcrNwnm4HgxDBxQ2t3rjIbEQs6M%3D</t>
  </si>
  <si>
    <t>Multilayer Ceramic Capacitors MLCC - Leaded .1UF 50V 5% 5.0MM</t>
  </si>
  <si>
    <t>81-RDE5C1H104J2K1H3B</t>
  </si>
  <si>
    <t>5mm</t>
  </si>
  <si>
    <t>50V</t>
  </si>
  <si>
    <t>0.1 uF</t>
  </si>
  <si>
    <t>RDE5C1H104J2K1H03B</t>
  </si>
  <si>
    <t>https://www.mouser.co.uk/ProductDetail/Murata-Electronics/RDE5C1H104J2K1H03B?qs=sGAEpiMZZMvsSlwiRhF8qqaXG%2FqyeHNlsYzqnOuJEXPRN2Vw37PZSg%3D%3D</t>
  </si>
  <si>
    <t>TC1413NEPA</t>
  </si>
  <si>
    <t>579-TC1413NEPA</t>
  </si>
  <si>
    <t>Gate Drivers 3A Sngl N-Inv</t>
  </si>
  <si>
    <t>https://www.mouser.co.uk/ProductDetail/Microchip-Technology/TC1413NEPA?qs=Ux5rHyN1IXTGNXxjM5rIZA%3D%3D</t>
  </si>
  <si>
    <t>350V</t>
  </si>
  <si>
    <t>6.5 mm</t>
  </si>
  <si>
    <t>250V</t>
  </si>
  <si>
    <t>Multilayer Ceramic Capacitors MLCC - Leaded 50V 1uF X7R 10% LS=2.54mm</t>
  </si>
  <si>
    <t>C320C105K5R5TA</t>
  </si>
  <si>
    <t>Capacitor that goes across Vdd and Gnd for TC1413N. Multilayer Ceramic Capacitors MLCC - Leaded 50V 1uF X7R 10% LS=2.54mm</t>
  </si>
  <si>
    <t>2.54mm</t>
  </si>
  <si>
    <t>80-C320C105K5R5TA</t>
  </si>
  <si>
    <t>https://www.mouser.co.uk/ProductDetail/KEMET/C320C105K5R5TA?qs=J6JJqAtew8ZzkfLDcKcSxg%3D%3D</t>
  </si>
  <si>
    <t>Metal Film Resistors - Through Hole 1/2W 5ohms 1%</t>
  </si>
  <si>
    <t>CMF555R0000FKEA</t>
  </si>
  <si>
    <t>https://www.mouser.co.uk/ProductDetail/Vishay-Dale/CMF555R0000FKEA?qs=2tJBorIoXcvFADtNDQGMUg%3D%3D</t>
  </si>
  <si>
    <t>0.5w</t>
  </si>
  <si>
    <t>71-CMF555R0000FKEA</t>
  </si>
  <si>
    <t>IXFP60N25X3</t>
  </si>
  <si>
    <t>MOSFETs 250V/60A Ultra Junct ion X3-Class MOSFET</t>
  </si>
  <si>
    <t>747-IXFP60N25X3</t>
  </si>
  <si>
    <t>https://www.mouser.co.uk/ProductDetail/IXYS/IXFP60N25X3?qs=5aG0NVq1C4yTnBULxG9HTw%3D%3D</t>
  </si>
  <si>
    <t>Operational Amplifiers - Op Amps Single 2.3V PNP in</t>
  </si>
  <si>
    <t>579-MCP616-I/P</t>
  </si>
  <si>
    <t>MCP6021-E/P</t>
  </si>
  <si>
    <t>PCS2512FR0010ET</t>
  </si>
  <si>
    <t>588-PCS2512FR0010ET</t>
  </si>
  <si>
    <t>Current Sense Resistors - SMD 2W 0.001 OHMS 1%</t>
  </si>
  <si>
    <t>https://www.mouser.co.uk/ProductDetail/Ohmite/PCS2512FR0010ET?qs=sGAEpiMZZMtlleCFQhR%2FzRH%2FPnzm6Qg0pMQ9daoG75oWum56UMmJrA%3D%3D</t>
  </si>
  <si>
    <t>Metal Film Resistors - Through Hole 0.1% 25ppm 56K ohm</t>
  </si>
  <si>
    <t>MFP-25BRD52-56K</t>
  </si>
  <si>
    <t>603-MFP-25BRD52-56K</t>
  </si>
  <si>
    <t>https://www.mouser.co.uk/ProductDetail/YAGEO/MFP-25BRD52-56K?qs=sGAEpiMZZMsPqMdJzcrNwoCBRj4QZwnj4HpF0pWKCkX5KzEJtVvyfA%3D%3D</t>
  </si>
  <si>
    <t>Metal Film Resistors - Through Hole 0.1% 25ppm 1K ohm</t>
  </si>
  <si>
    <t>MFP-25BRD52-1K</t>
  </si>
  <si>
    <t>603-MFP-25BRD52-1K</t>
  </si>
  <si>
    <t>https://www.mouser.co.uk/ProductDetail/YAGEO/MFP-25BRD52-1K?qs=sGAEpiMZZMsPqMdJzcrNwoCBRj4QZwnjRFUbHbo2ThFQSK%252BEGqBO%252Bw%3D%3D</t>
  </si>
  <si>
    <t>Mainboard: Power Input Conditioning</t>
  </si>
  <si>
    <t>100V</t>
  </si>
  <si>
    <t>https://www.mouser.co.uk/ProductDetail/Coilcraft/SER2918H-223KL?qs=sGAEpiMZZMv126LJFLh8y87RAMOD9eCRO2Rd2U%252Bmya8%3D</t>
  </si>
  <si>
    <t>Power Inductors - SMD 22uH Shld 20% 28A 2.86mOhms AECQ2</t>
  </si>
  <si>
    <t>SER2918H-223KL</t>
  </si>
  <si>
    <t>994-SER2918H-223KL</t>
  </si>
  <si>
    <t>2PCS RX24-100W</t>
  </si>
  <si>
    <t>2PCS RX24-100W-33</t>
  </si>
  <si>
    <t>https://www.aliexpress.com/item/1005003907866404.html?spm=a2g0o.cart.0.0.d74738daena4wR&amp;mp=1&amp;pdp_npi=5%40dis%21GBP%21GBP%201.73%21GBP%201.73%21%21%21%21%21%402103890917435078886122087e9b77%2112000032183463804%21ct%21UK%214911257576%21%211%210</t>
  </si>
  <si>
    <t>2PCS RX24-100W high-power winding resistor</t>
  </si>
  <si>
    <t>0232008.MX125P</t>
  </si>
  <si>
    <t>576-0232008.MX125P</t>
  </si>
  <si>
    <t>https://www.mouser.co.uk/ProductDetail/Littelfuse/0232008.MX125P?qs=sGAEpiMZZMsIz3CjQ1xegdbeLroawJnwOMAZ7PVp66s%3D</t>
  </si>
  <si>
    <t>FH-320-NV</t>
  </si>
  <si>
    <t>Fuse Holder Accessories Fuse Holder,Black,5X20 Fuse</t>
  </si>
  <si>
    <t>https://www.mouser.co.uk/ProductDetail/Essentra/FH-320-NV?qs=PzGy0jfpSMtU9GQhdYJRvA%3D%3D</t>
  </si>
  <si>
    <t>144-FH-320-NV</t>
  </si>
  <si>
    <t>512-2N7000</t>
  </si>
  <si>
    <t>MOSFETs N-Channel Enhancement Mode Field Effect Transistor 60V, 200mA, 5 ohm</t>
  </si>
  <si>
    <t>https://www.mouser.co.uk/ProductDetail/onsemi-Fairchild/2N7000?qs=FOlmdCx%252BAA2o%2FKZOTk%2F3hg%3D%3D</t>
  </si>
  <si>
    <t>https://www.mouser.co.uk/ProductDetail/Amphenol-Anytek/AWHSH112DM00G?qs=rSMjJ%252B1ewcRkINR7MLX27w%3D%3D</t>
  </si>
  <si>
    <t>AWHSH124D00G</t>
  </si>
  <si>
    <t>523-AWHSH124D00G</t>
  </si>
  <si>
    <t>General Purpose Relays Commercial RelayRated Carrying Current :15AType of Sealing : Sealed and Waterproof TypeNumber of pole : one poleCoil Voltage : 24VCoil Type : Standard DC CoilContact Form : Form C</t>
  </si>
  <si>
    <t>Metal Film Resistors - Through Hole 1.33K Ohm 1/2 Wat 1% Miniature Version</t>
  </si>
  <si>
    <t>MFR50SFTE52-1K33</t>
  </si>
  <si>
    <t>https://www.mouser.co.uk/ProductDetail/YAGEO/MFR50SFTE52-1K33?qs=UFD7vfw3J8osCEB2xFvg0Q%3D%3D</t>
  </si>
  <si>
    <t>603-MFR50SFTE52-1K33</t>
  </si>
  <si>
    <t>TE Connectivity, Nylon Screw Terminal, Vertical, 37.8A</t>
  </si>
  <si>
    <t>5055556-9</t>
  </si>
  <si>
    <t>217-5473</t>
  </si>
  <si>
    <t>https://www.we-online.com/components/products/datasheet/74436411500.pdf</t>
  </si>
  <si>
    <t>710-74436411500</t>
  </si>
  <si>
    <t>Power Inductors - SMD WE-HCF HighCurr 2815 15uH 36A 1.31mOhms AEC-Q200</t>
  </si>
  <si>
    <t>MBR40250G</t>
  </si>
  <si>
    <t>863-MBR40250G</t>
  </si>
  <si>
    <t>Schottky Diodes &amp; Rectifiers 40A 250</t>
  </si>
  <si>
    <t>Film Capacitors 1.25k V 0.22 uF 105C 5% 2 Pin LS=27.5 mm AEC-Q200</t>
  </si>
  <si>
    <t>https://www.mouser.co.uk/ProductDetail/KEMET/R75RR322050L4J?qs=zW32dvEIR3sfSLCevL5nlQ%3D%3D</t>
  </si>
  <si>
    <t>R75RR322050L4J</t>
  </si>
  <si>
    <t>80-R75RR322050L4J</t>
  </si>
  <si>
    <t>https://www.mouser.co.uk/ProductDetail/onsemi/MBR40250G?qs=3JMERSakebrJFUp9PnjkTw%3D%3D&amp;srsltid=AfmBOoqUeoW-xjhcl8KA3Z3TPyWqk2CF47jVjuUuQUkpLLXa29i5fdEv</t>
  </si>
  <si>
    <t>Heat Sinks Heat Sink+Solder Pins, TO220, Flat-Back, Vertical, 12.8 Degree C/W, 2.67mm Hole</t>
  </si>
  <si>
    <t>532-581202B25G</t>
  </si>
  <si>
    <t>https://www.mouser.co.uk/ProductDetail/Microchip-Technology/MCP6021-E-P?qs=W2ndVjZwIIKVhoK39SuWRw%3D%3D</t>
  </si>
  <si>
    <t>Mainboard: Other Peripherals</t>
  </si>
  <si>
    <t>647-25ABEP</t>
  </si>
  <si>
    <t>https://www.mouser.co.uk/ProductDetail/Wakefield-Thermal/647-25ABPE?qs=1%252ByrAFyf4wEF4vm1j%252Byz0w%3D%3D</t>
  </si>
  <si>
    <t>Heat Sinks High Performance Heat Sink for Vertical Board Mounting for TO-220, 63.5mm Height</t>
  </si>
  <si>
    <t>Metal Film Resistors - Through Hole 1Kohm 1% 1/4W Metal Film Resistor</t>
  </si>
  <si>
    <t>MFR-25FRE52-1K</t>
  </si>
  <si>
    <t>Metal Film Resistors 1Kohm 1% 1/4W Metal Film Resistor</t>
  </si>
  <si>
    <t>603-MFR-25FRE52-1K</t>
  </si>
  <si>
    <t>https://www.mouser.co.uk/ProductDetail/YAGEO/MFR-25FRE52-1K?qs=sGAEpiMZZMsPqMdJzcrNwrSrS5p3UYvSlBJNFv%2F3GbtPT0MmdWbEKA%3D%3D</t>
  </si>
  <si>
    <t>Metal Film Resistors - Through Hole 6.8K OHM 1/4W 1%</t>
  </si>
  <si>
    <t>MFR-25FBF52-6K8</t>
  </si>
  <si>
    <t>Metal Film Resistors 6.8K OHM 1/4W 1%</t>
  </si>
  <si>
    <t>603-MFR-25FBF52-6K8</t>
  </si>
  <si>
    <t>MFR-25FTF52-500K</t>
  </si>
  <si>
    <t>Metal Film Resistors</t>
  </si>
  <si>
    <t>https://www.mouser.co.uk/ProductDetail/YAGEO/MFR-25FTF52-500K?qs=sGAEpiMZZMsPqMdJzcrNwl6kmOwLxsHbSaOlxzLAn7hSChCiC%2FeQcw%3D%3D</t>
  </si>
  <si>
    <t>603-MFR-25FTF52-500K</t>
  </si>
  <si>
    <t>Zener Diodes .25W 5% Lw Noise/Lvl</t>
  </si>
  <si>
    <t>https://www.mouser.co.uk/ProductDetail/Central-Semiconductor/1N4619-BK-PBFREE?qs=l7cgNqFNU1hI2SGXFdSwFQ%3D%3D</t>
  </si>
  <si>
    <t>3V</t>
  </si>
  <si>
    <t>610-1N4619</t>
  </si>
  <si>
    <t>https://www.mouser.co.uk/ProductDetail/YAGEO/MFR-25FTF52-500K?qs=xZ%2FP%252Ba9zWqaL8mzaXpXK8g%3D%3D</t>
  </si>
  <si>
    <t>EKYB101ELL102MM40S</t>
  </si>
  <si>
    <t>Aluminium Electrolytic Capacitors - Radial Leaded 100VDC 1000uF Tol 20% 18x40mm</t>
  </si>
  <si>
    <t>https://www.mouser.co.uk/ProductDetail/Chemi-Con/EKYB101ELL102MM40S?qs=IYueExuAvkrcoErCvSFiXg%3D%3D</t>
  </si>
  <si>
    <t>661-EKYB101E102MM40S</t>
  </si>
  <si>
    <t>2N7000</t>
  </si>
  <si>
    <t>Fuse 576-0232008.MX125P</t>
  </si>
  <si>
    <t>1N4148</t>
  </si>
  <si>
    <t>Small Signal Switching Diodes 100V Io/200mA BULK</t>
  </si>
  <si>
    <t>512-1N4148</t>
  </si>
  <si>
    <t>https://www.mouser.co.uk/ProductDetail/onsemi-Fairchild/1N4148?qs=i4Fj9T%2FoRm8RMUhj5DeFQg%3D%3D</t>
  </si>
  <si>
    <t>Metal Film Resistors - Through Hole 10 kOhms 250 mW 1% 5 0 PPM / C</t>
  </si>
  <si>
    <t>MFR-25FTE52-10K</t>
  </si>
  <si>
    <t>https://www.mouser.co.uk/ProductDetail/YAGEO/MFR-25FTE52-10K?qs=oAGoVhmvjhyxqkhLibETTw%3D%3D</t>
  </si>
  <si>
    <t>603-MFR-25FTE52-10K</t>
  </si>
  <si>
    <t>Mainboard:Power Conditioning Voltage Feedback</t>
  </si>
  <si>
    <t>MFR-25FTF52-270K</t>
  </si>
  <si>
    <t>https://www.mouser.co.uk/ProductDetail/YAGEO/MFR-25FTF52-270K?qs=sGAEpiMZZMsPqMdJzcrNwgOGnOXkAglZBhDJAK4kv60%3D</t>
  </si>
  <si>
    <t>603-MFR-25FTF52-270K</t>
  </si>
  <si>
    <t>https://www.mouser.co.uk/ProductDetail/Molex/50-57-9404?qs=u6Gr9%2FNt%252B%2F%2FUw3Dr7T8xxg%3D%3D</t>
  </si>
  <si>
    <t>Headers &amp; Wire Housings HSG 4P SINGLE ROW POSITIVE LATCH</t>
  </si>
  <si>
    <t>50-57-9404</t>
  </si>
  <si>
    <t>538-50-57-9404</t>
  </si>
  <si>
    <t>https://www.mouser.co.uk/ProductDetail/Molex/70553-0003?qs=tYx%252BZc2nXqor1JDF8v%2FPGQ%3D%3D</t>
  </si>
  <si>
    <t>70553-0003</t>
  </si>
  <si>
    <t>70553-0003Headers &amp; Wire Housings R/A HDR 4P low profile single</t>
  </si>
  <si>
    <t>Headers &amp; Wire Housings R/A HDR 4P low profile single</t>
  </si>
  <si>
    <t>538-70553-0003</t>
  </si>
  <si>
    <t>https://www.mouser.co.uk/ProductDetail/JST-Commercial/XNIRP-04V-A-S?qs=QpmGXVUTftGz3941P8FIaA%3D%3D</t>
  </si>
  <si>
    <t>XNIRP-04V-A-S</t>
  </si>
  <si>
    <t>/</t>
  </si>
  <si>
    <t>https://www.mouser.co.uk/ProductDetail/Nichicon/UHD1H101MPD1TD?qs=NE4YvPat5pF7RlHwNM%252BO%2Fg%3D%3D</t>
  </si>
  <si>
    <t>UHD1H101MPD1TD</t>
  </si>
  <si>
    <t>Aluminium Electrolytic Capacitors - Radial Leaded 100uF 50V 20% Aluminum Capacitor</t>
  </si>
  <si>
    <t>647-UHD1H101MPD1TD</t>
  </si>
  <si>
    <t>https://www.mouser.co.uk/ProductDetail/Nichicon/UPW1E102MHD?qs=ecywdsU7aIK%252BPPnr1yjSKg%3D%3D&amp;srsltid=AfmBOooCHuez-3lzjqXYTJ0y0ujLDhBHEyoDVIbPHozXV5bJWNBgv1ZR</t>
  </si>
  <si>
    <t>UPW1E102MHD</t>
  </si>
  <si>
    <t>Aluminium Electrolytic Capacitors - Radial Leaded 25volts 1000uF AEC-Q200</t>
  </si>
  <si>
    <t>647-UPW1E102MHD</t>
  </si>
  <si>
    <t>Mineral oil volume</t>
  </si>
  <si>
    <t>OD tube</t>
  </si>
  <si>
    <t>ID tube</t>
  </si>
  <si>
    <t>Height tube</t>
  </si>
  <si>
    <t>m^3</t>
  </si>
  <si>
    <t>m</t>
  </si>
  <si>
    <t>Density</t>
  </si>
  <si>
    <t>kg/m^3</t>
  </si>
  <si>
    <t>Bending moment about base when on side filled supported at base</t>
  </si>
  <si>
    <t>Mass of mineral oil</t>
  </si>
  <si>
    <t>Minimum distance between vessel base bolts</t>
  </si>
  <si>
    <t>Maximum bending moment on bolt</t>
  </si>
  <si>
    <t>Required bolt tensile strength</t>
  </si>
  <si>
    <t>N</t>
  </si>
  <si>
    <t>σ_nylon</t>
  </si>
  <si>
    <t>m^2</t>
  </si>
  <si>
    <t>Required Tensile stress diameter</t>
  </si>
  <si>
    <t>Required bolt tensile stress area</t>
  </si>
  <si>
    <t>Bolts for structure</t>
  </si>
  <si>
    <t>https://www.allthread.co.uk/custom-plastic-parts/</t>
  </si>
  <si>
    <t xml:space="preserve">Nylon rods, Allthread.co.uk </t>
  </si>
  <si>
    <t>two 107cm long lengths of M8 nylon rod</t>
  </si>
  <si>
    <t>https://www.plastock.co.uk/products/acrylic-extruded-clear-tube?variant=42776698618080</t>
  </si>
  <si>
    <t>£77 quid 180mm 5mm 500mm acrylic tube.</t>
  </si>
  <si>
    <t>https://www.aliexpress.com/item/1005009422281234.html?spm=a2g0o.order_list.order_list_main.5.43251802sTtMek</t>
  </si>
  <si>
    <t>150kv 13awg silicon cable 1m</t>
  </si>
  <si>
    <t>https://www.aliexpress.com/item/1005006421523336.html?spm=a2g0o.order_list.order_list_main.11.21a01802INKUSh</t>
  </si>
  <si>
    <t>JB289</t>
  </si>
  <si>
    <t>JB289 HIGH high voltage diodes</t>
  </si>
  <si>
    <t>35kv 100mA</t>
  </si>
  <si>
    <t>35kv</t>
  </si>
  <si>
    <t>https://www.aliexpress.com/item/1005005833058990.html?spm=a2g0o.order_list.order_list_main.27.21a01802INKUSh</t>
  </si>
  <si>
    <t>TOSLINK Fiber optic cables</t>
  </si>
  <si>
    <t>Fiber optic cables</t>
  </si>
  <si>
    <t>High voltage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</si>
</sst>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23"/>
      <color theme="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393939"/>
      <name val="Calibri"/>
      <family val="2"/>
      <scheme val="minor"/>
    </font>
    <font>
      <sz val="17"/>
      <color rgb="FF9D1F5F"/>
      <name val="Arial"/>
      <family val="2"/>
    </font>
    <font>
      <b/>
      <i/>
      <u/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10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 applyAlignment="1">
      <alignment horizontal="left" vertical="top" readingOrder="1"/>
    </xf>
    <xf numFmtId="0" fontId="2" fillId="11" borderId="0" xfId="0" applyFont="1" applyFill="1" applyAlignment="1">
      <alignment horizontal="left" vertical="top" readingOrder="1"/>
    </xf>
    <xf numFmtId="0" fontId="4" fillId="8" borderId="2" xfId="0" applyFont="1" applyFill="1" applyBorder="1" applyAlignment="1">
      <alignment horizontal="left" vertical="top" readingOrder="1"/>
    </xf>
    <xf numFmtId="0" fontId="2" fillId="3" borderId="2" xfId="0" applyFont="1" applyFill="1" applyBorder="1" applyAlignment="1">
      <alignment horizontal="left" vertical="top" readingOrder="1"/>
    </xf>
    <xf numFmtId="0" fontId="2" fillId="8" borderId="2" xfId="0" applyFont="1" applyFill="1" applyBorder="1" applyAlignment="1">
      <alignment horizontal="left" vertical="top" readingOrder="1"/>
    </xf>
    <xf numFmtId="0" fontId="2" fillId="12" borderId="2" xfId="0" applyFont="1" applyFill="1" applyBorder="1" applyAlignment="1">
      <alignment horizontal="left" vertical="top" readingOrder="1"/>
    </xf>
    <xf numFmtId="0" fontId="2" fillId="7" borderId="0" xfId="0" applyFont="1" applyFill="1" applyAlignment="1">
      <alignment horizontal="left" vertical="top" readingOrder="1"/>
    </xf>
    <xf numFmtId="0" fontId="2" fillId="13" borderId="2" xfId="0" applyFont="1" applyFill="1" applyBorder="1" applyAlignment="1">
      <alignment horizontal="left" vertical="top" readingOrder="1"/>
    </xf>
    <xf numFmtId="0" fontId="2" fillId="14" borderId="2" xfId="0" applyFont="1" applyFill="1" applyBorder="1" applyAlignment="1">
      <alignment horizontal="left" vertical="top" readingOrder="1"/>
    </xf>
    <xf numFmtId="0" fontId="2" fillId="5" borderId="2" xfId="0" applyFont="1" applyFill="1" applyBorder="1" applyAlignment="1">
      <alignment horizontal="left" vertical="top" readingOrder="1"/>
    </xf>
    <xf numFmtId="0" fontId="2" fillId="6" borderId="2" xfId="0" applyFont="1" applyFill="1" applyBorder="1" applyAlignment="1">
      <alignment horizontal="left" vertical="top" readingOrder="1"/>
    </xf>
    <xf numFmtId="0" fontId="5" fillId="0" borderId="3" xfId="0" applyFont="1" applyBorder="1" applyAlignment="1">
      <alignment horizontal="left" vertical="center" wrapText="1" readingOrder="1"/>
    </xf>
    <xf numFmtId="0" fontId="2" fillId="15" borderId="2" xfId="0" applyFont="1" applyFill="1" applyBorder="1" applyAlignment="1">
      <alignment horizontal="left" vertical="top" readingOrder="1"/>
    </xf>
    <xf numFmtId="0" fontId="2" fillId="16" borderId="2" xfId="0" applyFont="1" applyFill="1" applyBorder="1" applyAlignment="1">
      <alignment horizontal="left" vertical="top" readingOrder="1"/>
    </xf>
    <xf numFmtId="0" fontId="2" fillId="17" borderId="2" xfId="0" applyFont="1" applyFill="1" applyBorder="1" applyAlignment="1">
      <alignment horizontal="left" vertical="top" readingOrder="1"/>
    </xf>
    <xf numFmtId="0" fontId="2" fillId="10" borderId="2" xfId="0" applyFont="1" applyFill="1" applyBorder="1" applyAlignment="1">
      <alignment horizontal="left" vertical="top" readingOrder="1"/>
    </xf>
    <xf numFmtId="0" fontId="2" fillId="9" borderId="2" xfId="0" applyFont="1" applyFill="1" applyBorder="1" applyAlignment="1">
      <alignment horizontal="left" vertical="top" readingOrder="1"/>
    </xf>
    <xf numFmtId="0" fontId="2" fillId="2" borderId="2" xfId="0" applyFont="1" applyFill="1" applyBorder="1" applyAlignment="1">
      <alignment horizontal="left" vertical="top" readingOrder="1"/>
    </xf>
    <xf numFmtId="0" fontId="2" fillId="4" borderId="2" xfId="0" applyFont="1" applyFill="1" applyBorder="1" applyAlignment="1">
      <alignment horizontal="left" vertical="top" readingOrder="1"/>
    </xf>
    <xf numFmtId="0" fontId="2" fillId="18" borderId="2" xfId="0" applyFont="1" applyFill="1" applyBorder="1" applyAlignment="1">
      <alignment horizontal="left" vertical="top" readingOrder="1"/>
    </xf>
    <xf numFmtId="0" fontId="2" fillId="19" borderId="2" xfId="0" applyFont="1" applyFill="1" applyBorder="1" applyAlignment="1">
      <alignment horizontal="left" vertical="top" readingOrder="1"/>
    </xf>
    <xf numFmtId="0" fontId="2" fillId="4" borderId="6" xfId="0" applyFont="1" applyFill="1" applyBorder="1" applyAlignment="1">
      <alignment horizontal="left" vertical="top" readingOrder="1"/>
    </xf>
    <xf numFmtId="0" fontId="2" fillId="7" borderId="6" xfId="0" applyFont="1" applyFill="1" applyBorder="1" applyAlignment="1">
      <alignment horizontal="left" vertical="top" readingOrder="1"/>
    </xf>
    <xf numFmtId="0" fontId="2" fillId="5" borderId="6" xfId="0" applyFont="1" applyFill="1" applyBorder="1" applyAlignment="1">
      <alignment horizontal="left" vertical="top" readingOrder="1"/>
    </xf>
    <xf numFmtId="0" fontId="2" fillId="13" borderId="6" xfId="0" applyFont="1" applyFill="1" applyBorder="1" applyAlignment="1">
      <alignment horizontal="left" vertical="top" readingOrder="1"/>
    </xf>
    <xf numFmtId="0" fontId="2" fillId="6" borderId="6" xfId="0" applyFont="1" applyFill="1" applyBorder="1" applyAlignment="1">
      <alignment horizontal="left" vertical="top" readingOrder="1"/>
    </xf>
    <xf numFmtId="0" fontId="2" fillId="15" borderId="6" xfId="0" applyFont="1" applyFill="1" applyBorder="1" applyAlignment="1">
      <alignment horizontal="left" vertical="top" readingOrder="1"/>
    </xf>
    <xf numFmtId="0" fontId="2" fillId="16" borderId="6" xfId="0" applyFont="1" applyFill="1" applyBorder="1" applyAlignment="1">
      <alignment horizontal="left" vertical="top" readingOrder="1"/>
    </xf>
    <xf numFmtId="0" fontId="2" fillId="3" borderId="6" xfId="0" applyFont="1" applyFill="1" applyBorder="1" applyAlignment="1">
      <alignment horizontal="left" vertical="top" readingOrder="1"/>
    </xf>
    <xf numFmtId="0" fontId="2" fillId="11" borderId="6" xfId="0" applyFont="1" applyFill="1" applyBorder="1" applyAlignment="1">
      <alignment horizontal="left" vertical="top" readingOrder="1"/>
    </xf>
    <xf numFmtId="0" fontId="2" fillId="8" borderId="6" xfId="0" applyFont="1" applyFill="1" applyBorder="1" applyAlignment="1">
      <alignment horizontal="left" vertical="top" readingOrder="1"/>
    </xf>
    <xf numFmtId="0" fontId="2" fillId="12" borderId="6" xfId="0" applyFont="1" applyFill="1" applyBorder="1" applyAlignment="1">
      <alignment horizontal="left" vertical="top" readingOrder="1"/>
    </xf>
    <xf numFmtId="0" fontId="2" fillId="17" borderId="6" xfId="0" applyFont="1" applyFill="1" applyBorder="1" applyAlignment="1">
      <alignment horizontal="left" vertical="top" readingOrder="1"/>
    </xf>
    <xf numFmtId="0" fontId="2" fillId="9" borderId="6" xfId="0" applyFont="1" applyFill="1" applyBorder="1" applyAlignment="1">
      <alignment horizontal="left" vertical="top" readingOrder="1"/>
    </xf>
    <xf numFmtId="0" fontId="2" fillId="10" borderId="6" xfId="0" applyFont="1" applyFill="1" applyBorder="1" applyAlignment="1">
      <alignment horizontal="left" vertical="top" readingOrder="1"/>
    </xf>
    <xf numFmtId="0" fontId="2" fillId="19" borderId="6" xfId="0" applyFont="1" applyFill="1" applyBorder="1" applyAlignment="1">
      <alignment horizontal="left" vertical="top" readingOrder="1"/>
    </xf>
    <xf numFmtId="0" fontId="2" fillId="18" borderId="6" xfId="0" applyFont="1" applyFill="1" applyBorder="1" applyAlignment="1">
      <alignment horizontal="left" vertical="top" readingOrder="1"/>
    </xf>
    <xf numFmtId="0" fontId="2" fillId="2" borderId="6" xfId="0" applyFont="1" applyFill="1" applyBorder="1" applyAlignment="1">
      <alignment horizontal="left" vertical="top" readingOrder="1"/>
    </xf>
    <xf numFmtId="0" fontId="3" fillId="7" borderId="6" xfId="1" applyFont="1" applyFill="1" applyBorder="1" applyAlignment="1">
      <alignment horizontal="left" vertical="top" readingOrder="1"/>
    </xf>
    <xf numFmtId="9" fontId="2" fillId="8" borderId="6" xfId="0" applyNumberFormat="1" applyFont="1" applyFill="1" applyBorder="1" applyAlignment="1">
      <alignment horizontal="left" vertical="top" readingOrder="1"/>
    </xf>
    <xf numFmtId="0" fontId="3" fillId="3" borderId="6" xfId="1" applyFont="1" applyFill="1" applyBorder="1" applyAlignment="1">
      <alignment horizontal="left" vertical="top" readingOrder="1"/>
    </xf>
    <xf numFmtId="0" fontId="2" fillId="13" borderId="6" xfId="1" applyFont="1" applyFill="1" applyBorder="1" applyAlignment="1">
      <alignment horizontal="left" vertical="top" readingOrder="1"/>
    </xf>
    <xf numFmtId="0" fontId="6" fillId="8" borderId="6" xfId="0" applyFont="1" applyFill="1" applyBorder="1" applyAlignment="1">
      <alignment horizontal="left" vertical="top" readingOrder="1"/>
    </xf>
    <xf numFmtId="0" fontId="6" fillId="8" borderId="6" xfId="1" applyFont="1" applyFill="1" applyBorder="1" applyAlignment="1">
      <alignment horizontal="left" vertical="top" readingOrder="1"/>
    </xf>
    <xf numFmtId="0" fontId="6" fillId="8" borderId="2" xfId="0" applyFont="1" applyFill="1" applyBorder="1" applyAlignment="1">
      <alignment horizontal="left" vertical="top" readingOrder="1"/>
    </xf>
    <xf numFmtId="0" fontId="2" fillId="14" borderId="5" xfId="0" applyFont="1" applyFill="1" applyBorder="1" applyAlignment="1">
      <alignment horizontal="left" vertical="top" readingOrder="1"/>
    </xf>
    <xf numFmtId="0" fontId="2" fillId="14" borderId="6" xfId="0" applyFont="1" applyFill="1" applyBorder="1" applyAlignment="1">
      <alignment horizontal="left" vertical="top" readingOrder="1"/>
    </xf>
    <xf numFmtId="0" fontId="2" fillId="14" borderId="0" xfId="0" applyFont="1" applyFill="1" applyAlignment="1">
      <alignment horizontal="left" vertical="top" readingOrder="1"/>
    </xf>
    <xf numFmtId="0" fontId="2" fillId="20" borderId="6" xfId="0" applyFont="1" applyFill="1" applyBorder="1" applyAlignment="1">
      <alignment horizontal="left" vertical="top" readingOrder="1"/>
    </xf>
    <xf numFmtId="0" fontId="0" fillId="4" borderId="1" xfId="0" applyFont="1" applyFill="1" applyBorder="1" applyAlignment="1">
      <alignment horizontal="center" vertical="top" readingOrder="1"/>
    </xf>
    <xf numFmtId="0" fontId="1" fillId="8" borderId="6" xfId="1" applyFill="1" applyBorder="1" applyAlignment="1">
      <alignment horizontal="left" vertical="top" readingOrder="1"/>
    </xf>
    <xf numFmtId="0" fontId="7" fillId="0" borderId="0" xfId="0" applyFont="1"/>
    <xf numFmtId="0" fontId="2" fillId="21" borderId="6" xfId="0" applyFont="1" applyFill="1" applyBorder="1" applyAlignment="1">
      <alignment horizontal="left" vertical="top" readingOrder="1"/>
    </xf>
    <xf numFmtId="0" fontId="2" fillId="22" borderId="6" xfId="0" applyFont="1" applyFill="1" applyBorder="1" applyAlignment="1">
      <alignment horizontal="left" vertical="top" readingOrder="1"/>
    </xf>
    <xf numFmtId="0" fontId="2" fillId="20" borderId="0" xfId="0" applyFont="1" applyFill="1" applyAlignment="1">
      <alignment horizontal="left" vertical="top" readingOrder="1"/>
    </xf>
    <xf numFmtId="8" fontId="2" fillId="19" borderId="6" xfId="0" applyNumberFormat="1" applyFont="1" applyFill="1" applyBorder="1" applyAlignment="1">
      <alignment horizontal="left" vertical="top" readingOrder="1"/>
    </xf>
    <xf numFmtId="0" fontId="8" fillId="8" borderId="6" xfId="0" applyFont="1" applyFill="1" applyBorder="1" applyAlignment="1">
      <alignment horizontal="left" vertical="top" readingOrder="1"/>
    </xf>
    <xf numFmtId="0" fontId="10" fillId="4" borderId="4" xfId="0" applyFont="1" applyFill="1" applyBorder="1" applyAlignment="1">
      <alignment horizontal="left" vertical="center" wrapText="1" readingOrder="1"/>
    </xf>
    <xf numFmtId="0" fontId="10" fillId="7" borderId="3" xfId="0" applyFont="1" applyFill="1" applyBorder="1" applyAlignment="1">
      <alignment horizontal="left" vertical="center" wrapText="1" readingOrder="1"/>
    </xf>
    <xf numFmtId="0" fontId="11" fillId="8" borderId="5" xfId="0" applyFont="1" applyFill="1" applyBorder="1" applyAlignment="1">
      <alignment horizontal="left" vertical="center" wrapText="1" readingOrder="1"/>
    </xf>
    <xf numFmtId="0" fontId="10" fillId="5" borderId="5" xfId="0" applyFont="1" applyFill="1" applyBorder="1" applyAlignment="1">
      <alignment horizontal="left" vertical="center" wrapText="1" readingOrder="1"/>
    </xf>
    <xf numFmtId="0" fontId="10" fillId="13" borderId="5" xfId="0" applyFont="1" applyFill="1" applyBorder="1" applyAlignment="1">
      <alignment horizontal="left" vertical="center" wrapText="1" readingOrder="1"/>
    </xf>
    <xf numFmtId="0" fontId="10" fillId="6" borderId="5" xfId="0" applyFont="1" applyFill="1" applyBorder="1" applyAlignment="1">
      <alignment horizontal="left" vertical="center" wrapText="1" readingOrder="1"/>
    </xf>
    <xf numFmtId="0" fontId="10" fillId="15" borderId="5" xfId="0" applyFont="1" applyFill="1" applyBorder="1" applyAlignment="1">
      <alignment horizontal="left" vertical="center" wrapText="1" readingOrder="1"/>
    </xf>
    <xf numFmtId="0" fontId="10" fillId="16" borderId="5" xfId="0" applyFont="1" applyFill="1" applyBorder="1" applyAlignment="1">
      <alignment horizontal="left" vertical="center" wrapText="1" readingOrder="1"/>
    </xf>
    <xf numFmtId="0" fontId="10" fillId="3" borderId="5" xfId="0" applyFont="1" applyFill="1" applyBorder="1" applyAlignment="1">
      <alignment horizontal="left" vertical="center" wrapText="1" readingOrder="1"/>
    </xf>
    <xf numFmtId="0" fontId="10" fillId="11" borderId="3" xfId="0" applyFont="1" applyFill="1" applyBorder="1" applyAlignment="1">
      <alignment horizontal="left" vertical="center" wrapText="1" readingOrder="1"/>
    </xf>
    <xf numFmtId="0" fontId="10" fillId="8" borderId="5" xfId="0" applyFont="1" applyFill="1" applyBorder="1" applyAlignment="1">
      <alignment horizontal="left" vertical="center" wrapText="1" readingOrder="1"/>
    </xf>
    <xf numFmtId="0" fontId="10" fillId="12" borderId="5" xfId="0" applyFont="1" applyFill="1" applyBorder="1" applyAlignment="1">
      <alignment horizontal="left" vertical="center" wrapText="1" readingOrder="1"/>
    </xf>
    <xf numFmtId="0" fontId="10" fillId="17" borderId="5" xfId="0" applyFont="1" applyFill="1" applyBorder="1" applyAlignment="1">
      <alignment horizontal="left" vertical="center" wrapText="1" readingOrder="1"/>
    </xf>
    <xf numFmtId="0" fontId="10" fillId="9" borderId="5" xfId="0" applyFont="1" applyFill="1" applyBorder="1" applyAlignment="1">
      <alignment horizontal="left" vertical="center" wrapText="1" readingOrder="1"/>
    </xf>
    <xf numFmtId="0" fontId="10" fillId="10" borderId="5" xfId="0" applyFont="1" applyFill="1" applyBorder="1" applyAlignment="1">
      <alignment horizontal="left" vertical="center" wrapText="1" readingOrder="1"/>
    </xf>
    <xf numFmtId="0" fontId="10" fillId="19" borderId="5" xfId="0" applyFont="1" applyFill="1" applyBorder="1" applyAlignment="1">
      <alignment horizontal="left" vertical="center" wrapText="1" readingOrder="1"/>
    </xf>
    <xf numFmtId="0" fontId="10" fillId="18" borderId="5" xfId="0" applyFont="1" applyFill="1" applyBorder="1" applyAlignment="1">
      <alignment horizontal="left" vertical="center" wrapText="1" readingOrder="1"/>
    </xf>
    <xf numFmtId="0" fontId="10" fillId="2" borderId="5" xfId="0" applyFont="1" applyFill="1" applyBorder="1" applyAlignment="1">
      <alignment horizontal="left" vertical="center" wrapText="1" readingOrder="1"/>
    </xf>
    <xf numFmtId="0" fontId="10" fillId="4" borderId="5" xfId="0" applyFont="1" applyFill="1" applyBorder="1" applyAlignment="1">
      <alignment horizontal="left" vertical="center" wrapText="1" readingOrder="1"/>
    </xf>
    <xf numFmtId="0" fontId="2" fillId="4" borderId="6" xfId="0" applyFont="1" applyFill="1" applyBorder="1" applyAlignment="1">
      <alignment horizontal="center" vertical="top" readingOrder="1"/>
    </xf>
    <xf numFmtId="0" fontId="2" fillId="13" borderId="6" xfId="0" applyFont="1" applyFill="1" applyBorder="1"/>
    <xf numFmtId="0" fontId="2" fillId="13" borderId="0" xfId="1" applyFont="1" applyFill="1"/>
    <xf numFmtId="0" fontId="3" fillId="8" borderId="6" xfId="1" applyFont="1" applyFill="1" applyBorder="1" applyAlignment="1">
      <alignment horizontal="left" vertical="top" readingOrder="1"/>
    </xf>
    <xf numFmtId="0" fontId="2" fillId="4" borderId="1" xfId="0" applyFont="1" applyFill="1" applyBorder="1" applyAlignment="1">
      <alignment horizontal="center" vertical="top" readingOrder="1"/>
    </xf>
    <xf numFmtId="0" fontId="13" fillId="5" borderId="0" xfId="0" applyFont="1" applyFill="1"/>
    <xf numFmtId="0" fontId="13" fillId="3" borderId="0" xfId="0" applyFont="1" applyFill="1"/>
    <xf numFmtId="0" fontId="14" fillId="7" borderId="6" xfId="0" applyFont="1" applyFill="1" applyBorder="1" applyAlignment="1">
      <alignment horizontal="left" vertical="top" readingOrder="1"/>
    </xf>
    <xf numFmtId="0" fontId="14" fillId="5" borderId="6" xfId="0" applyFont="1" applyFill="1" applyBorder="1" applyAlignment="1">
      <alignment horizontal="left" vertical="top" readingOrder="1"/>
    </xf>
    <xf numFmtId="0" fontId="14" fillId="17" borderId="6" xfId="0" applyFont="1" applyFill="1" applyBorder="1" applyAlignment="1">
      <alignment horizontal="left" vertical="top" readingOrder="1"/>
    </xf>
    <xf numFmtId="0" fontId="14" fillId="3" borderId="6" xfId="0" applyFont="1" applyFill="1" applyBorder="1" applyAlignment="1">
      <alignment horizontal="left" vertical="top" readingOrder="1"/>
    </xf>
    <xf numFmtId="0" fontId="15" fillId="7" borderId="6" xfId="0" applyFont="1" applyFill="1" applyBorder="1" applyAlignment="1">
      <alignment horizontal="left" vertical="top" readingOrder="1"/>
    </xf>
    <xf numFmtId="0" fontId="15" fillId="3" borderId="6" xfId="0" applyFont="1" applyFill="1" applyBorder="1" applyAlignment="1">
      <alignment horizontal="left" vertical="top" readingOrder="1"/>
    </xf>
    <xf numFmtId="0" fontId="13" fillId="13" borderId="0" xfId="0" applyFont="1" applyFill="1"/>
    <xf numFmtId="0" fontId="14" fillId="23" borderId="6" xfId="0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horizontal="left" vertical="top" readingOrder="1"/>
    </xf>
    <xf numFmtId="0" fontId="6" fillId="23" borderId="6" xfId="0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horizontal="center" vertical="top" readingOrder="1"/>
    </xf>
    <xf numFmtId="0" fontId="3" fillId="23" borderId="6" xfId="1" applyFont="1" applyFill="1" applyBorder="1" applyAlignment="1">
      <alignment horizontal="left" vertical="top" readingOrder="1"/>
    </xf>
    <xf numFmtId="0" fontId="2" fillId="23" borderId="6" xfId="1" applyFont="1" applyFill="1" applyBorder="1" applyAlignment="1">
      <alignment horizontal="left" vertical="top" readingOrder="1"/>
    </xf>
    <xf numFmtId="9" fontId="2" fillId="23" borderId="6" xfId="0" applyNumberFormat="1" applyFont="1" applyFill="1" applyBorder="1" applyAlignment="1">
      <alignment horizontal="left" vertical="top" readingOrder="1"/>
    </xf>
    <xf numFmtId="0" fontId="15" fillId="23" borderId="6" xfId="0" applyFont="1" applyFill="1" applyBorder="1" applyAlignment="1">
      <alignment horizontal="left" vertical="top" readingOrder="1"/>
    </xf>
    <xf numFmtId="0" fontId="2" fillId="23" borderId="2" xfId="0" applyFont="1" applyFill="1" applyBorder="1" applyAlignment="1">
      <alignment horizontal="left" vertical="top" readingOrder="1"/>
    </xf>
    <xf numFmtId="0" fontId="13" fillId="23" borderId="6" xfId="0" applyFont="1" applyFill="1" applyBorder="1" applyAlignment="1">
      <alignment horizontal="left" vertical="top" readingOrder="1"/>
    </xf>
    <xf numFmtId="0" fontId="13" fillId="23" borderId="6" xfId="0" applyFont="1" applyFill="1" applyBorder="1"/>
    <xf numFmtId="11" fontId="2" fillId="23" borderId="6" xfId="0" applyNumberFormat="1" applyFont="1" applyFill="1" applyBorder="1" applyAlignment="1">
      <alignment horizontal="left" vertical="top" readingOrder="1"/>
    </xf>
    <xf numFmtId="11" fontId="2" fillId="15" borderId="6" xfId="0" applyNumberFormat="1" applyFont="1" applyFill="1" applyBorder="1" applyAlignment="1">
      <alignment horizontal="left" vertical="top" readingOrder="1"/>
    </xf>
    <xf numFmtId="0" fontId="2" fillId="24" borderId="6" xfId="0" applyFont="1" applyFill="1" applyBorder="1" applyAlignment="1">
      <alignment horizontal="left" vertical="top" readingOrder="1"/>
    </xf>
    <xf numFmtId="11" fontId="2" fillId="24" borderId="6" xfId="0" applyNumberFormat="1" applyFont="1" applyFill="1" applyBorder="1" applyAlignment="1">
      <alignment horizontal="left" vertical="top" readingOrder="1"/>
    </xf>
    <xf numFmtId="0" fontId="2" fillId="25" borderId="6" xfId="0" applyFont="1" applyFill="1" applyBorder="1" applyAlignment="1">
      <alignment horizontal="left" vertical="top" readingOrder="1"/>
    </xf>
    <xf numFmtId="0" fontId="9" fillId="23" borderId="6" xfId="0" applyFont="1" applyFill="1" applyBorder="1" applyAlignment="1">
      <alignment vertical="center" readingOrder="1"/>
    </xf>
    <xf numFmtId="0" fontId="2" fillId="23" borderId="8" xfId="0" applyFont="1" applyFill="1" applyBorder="1" applyAlignment="1">
      <alignment horizontal="left" vertical="top" readingOrder="1"/>
    </xf>
    <xf numFmtId="0" fontId="2" fillId="23" borderId="10" xfId="0" applyFont="1" applyFill="1" applyBorder="1" applyAlignment="1">
      <alignment horizontal="left" vertical="top" readingOrder="1"/>
    </xf>
    <xf numFmtId="0" fontId="2" fillId="23" borderId="7" xfId="0" applyFont="1" applyFill="1" applyBorder="1" applyAlignment="1">
      <alignment horizontal="left" vertical="top" readingOrder="1"/>
    </xf>
    <xf numFmtId="0" fontId="2" fillId="23" borderId="5" xfId="0" applyFont="1" applyFill="1" applyBorder="1" applyAlignment="1">
      <alignment horizontal="left" vertical="top" readingOrder="1"/>
    </xf>
    <xf numFmtId="0" fontId="2" fillId="23" borderId="13" xfId="0" applyFont="1" applyFill="1" applyBorder="1" applyAlignment="1">
      <alignment horizontal="left" vertical="top" readingOrder="1"/>
    </xf>
    <xf numFmtId="0" fontId="2" fillId="23" borderId="14" xfId="0" applyFont="1" applyFill="1" applyBorder="1" applyAlignment="1">
      <alignment horizontal="left" vertical="top" readingOrder="1"/>
    </xf>
    <xf numFmtId="11" fontId="2" fillId="23" borderId="14" xfId="0" applyNumberFormat="1" applyFont="1" applyFill="1" applyBorder="1" applyAlignment="1">
      <alignment horizontal="left" vertical="top" readingOrder="1"/>
    </xf>
    <xf numFmtId="0" fontId="2" fillId="15" borderId="14" xfId="0" applyFont="1" applyFill="1" applyBorder="1" applyAlignment="1">
      <alignment horizontal="left" vertical="top" readingOrder="1"/>
    </xf>
    <xf numFmtId="0" fontId="2" fillId="24" borderId="14" xfId="0" applyFont="1" applyFill="1" applyBorder="1" applyAlignment="1">
      <alignment horizontal="left" vertical="top" readingOrder="1"/>
    </xf>
    <xf numFmtId="11" fontId="2" fillId="24" borderId="14" xfId="0" applyNumberFormat="1" applyFont="1" applyFill="1" applyBorder="1" applyAlignment="1">
      <alignment horizontal="left" vertical="top" readingOrder="1"/>
    </xf>
    <xf numFmtId="0" fontId="2" fillId="25" borderId="14" xfId="0" applyFont="1" applyFill="1" applyBorder="1" applyAlignment="1">
      <alignment horizontal="left" vertical="top" readingOrder="1"/>
    </xf>
    <xf numFmtId="0" fontId="2" fillId="23" borderId="17" xfId="0" applyFont="1" applyFill="1" applyBorder="1" applyAlignment="1">
      <alignment horizontal="left" vertical="top" readingOrder="1"/>
    </xf>
    <xf numFmtId="0" fontId="2" fillId="23" borderId="18" xfId="0" applyFont="1" applyFill="1" applyBorder="1" applyAlignment="1">
      <alignment horizontal="left" vertical="top" readingOrder="1"/>
    </xf>
    <xf numFmtId="0" fontId="2" fillId="23" borderId="19" xfId="0" applyFont="1" applyFill="1" applyBorder="1" applyAlignment="1">
      <alignment horizontal="left" vertical="top" readingOrder="1"/>
    </xf>
    <xf numFmtId="8" fontId="2" fillId="18" borderId="6" xfId="0" applyNumberFormat="1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vertical="top" readingOrder="1"/>
    </xf>
    <xf numFmtId="0" fontId="2" fillId="23" borderId="6" xfId="0" applyFont="1" applyFill="1" applyBorder="1" applyAlignment="1">
      <alignment horizontal="left" vertical="top" wrapText="1" readingOrder="1"/>
    </xf>
    <xf numFmtId="0" fontId="2" fillId="23" borderId="13" xfId="0" applyFont="1" applyFill="1" applyBorder="1" applyAlignment="1">
      <alignment vertical="top" readingOrder="1"/>
    </xf>
    <xf numFmtId="0" fontId="2" fillId="23" borderId="14" xfId="0" applyFont="1" applyFill="1" applyBorder="1" applyAlignment="1">
      <alignment vertical="top" readingOrder="1"/>
    </xf>
    <xf numFmtId="0" fontId="2" fillId="5" borderId="13" xfId="0" applyFont="1" applyFill="1" applyBorder="1" applyAlignment="1">
      <alignment horizontal="left" vertical="top" readingOrder="1"/>
    </xf>
    <xf numFmtId="0" fontId="2" fillId="23" borderId="13" xfId="0" applyFont="1" applyFill="1" applyBorder="1" applyAlignment="1">
      <alignment horizontal="center" vertical="center" wrapText="1" readingOrder="1"/>
    </xf>
    <xf numFmtId="0" fontId="2" fillId="23" borderId="9" xfId="0" applyFont="1" applyFill="1" applyBorder="1" applyAlignment="1">
      <alignment horizontal="left" vertical="top" readingOrder="1"/>
    </xf>
    <xf numFmtId="9" fontId="2" fillId="23" borderId="10" xfId="0" applyNumberFormat="1" applyFont="1" applyFill="1" applyBorder="1" applyAlignment="1">
      <alignment horizontal="left" vertical="top" readingOrder="1"/>
    </xf>
    <xf numFmtId="0" fontId="14" fillId="23" borderId="13" xfId="0" applyFont="1" applyFill="1" applyBorder="1" applyAlignment="1">
      <alignment horizontal="left" vertical="top" readingOrder="1"/>
    </xf>
    <xf numFmtId="0" fontId="14" fillId="23" borderId="17" xfId="0" applyFont="1" applyFill="1" applyBorder="1" applyAlignment="1">
      <alignment horizontal="left" vertical="top" readingOrder="1"/>
    </xf>
    <xf numFmtId="8" fontId="2" fillId="23" borderId="6" xfId="0" applyNumberFormat="1" applyFont="1" applyFill="1" applyBorder="1" applyAlignment="1">
      <alignment horizontal="left" vertical="top" readingOrder="1"/>
    </xf>
    <xf numFmtId="0" fontId="13" fillId="0" borderId="0" xfId="0" applyFont="1"/>
    <xf numFmtId="0" fontId="14" fillId="23" borderId="16" xfId="0" applyFont="1" applyFill="1" applyBorder="1" applyAlignment="1">
      <alignment horizontal="left" vertical="top" readingOrder="1"/>
    </xf>
    <xf numFmtId="0" fontId="2" fillId="23" borderId="23" xfId="0" applyFont="1" applyFill="1" applyBorder="1" applyAlignment="1">
      <alignment horizontal="left" vertical="top" readingOrder="1"/>
    </xf>
    <xf numFmtId="0" fontId="15" fillId="23" borderId="13" xfId="0" applyFont="1" applyFill="1" applyBorder="1" applyAlignment="1">
      <alignment horizontal="left" vertical="top" readingOrder="1"/>
    </xf>
    <xf numFmtId="0" fontId="2" fillId="5" borderId="15" xfId="0" applyFont="1" applyFill="1" applyBorder="1" applyAlignment="1">
      <alignment horizontal="left" vertical="top" readingOrder="1"/>
    </xf>
    <xf numFmtId="0" fontId="13" fillId="0" borderId="22" xfId="0" applyFont="1" applyBorder="1"/>
    <xf numFmtId="9" fontId="2" fillId="23" borderId="14" xfId="0" applyNumberFormat="1" applyFont="1" applyFill="1" applyBorder="1" applyAlignment="1">
      <alignment horizontal="left" vertical="top" readingOrder="1"/>
    </xf>
    <xf numFmtId="8" fontId="2" fillId="23" borderId="14" xfId="0" applyNumberFormat="1" applyFont="1" applyFill="1" applyBorder="1" applyAlignment="1">
      <alignment horizontal="left" vertical="top" readingOrder="1"/>
    </xf>
    <xf numFmtId="0" fontId="2" fillId="23" borderId="22" xfId="0" applyFont="1" applyFill="1" applyBorder="1" applyAlignment="1">
      <alignment horizontal="left" vertical="top" readingOrder="1"/>
    </xf>
    <xf numFmtId="0" fontId="2" fillId="20" borderId="8" xfId="0" applyFont="1" applyFill="1" applyBorder="1" applyAlignment="1">
      <alignment horizontal="left" vertical="top" readingOrder="1"/>
    </xf>
    <xf numFmtId="0" fontId="2" fillId="5" borderId="4" xfId="0" applyFont="1" applyFill="1" applyBorder="1" applyAlignment="1">
      <alignment horizontal="left" vertical="top" readingOrder="1"/>
    </xf>
    <xf numFmtId="0" fontId="2" fillId="13" borderId="5" xfId="0" applyFont="1" applyFill="1" applyBorder="1" applyAlignment="1">
      <alignment horizontal="left" vertical="top" readingOrder="1"/>
    </xf>
    <xf numFmtId="0" fontId="2" fillId="6" borderId="5" xfId="0" applyFont="1" applyFill="1" applyBorder="1" applyAlignment="1">
      <alignment horizontal="left" vertical="top" readingOrder="1"/>
    </xf>
    <xf numFmtId="0" fontId="1" fillId="23" borderId="14" xfId="1" applyFill="1" applyBorder="1" applyAlignment="1">
      <alignment horizontal="left" vertical="top" readingOrder="1"/>
    </xf>
    <xf numFmtId="0" fontId="2" fillId="23" borderId="15" xfId="0" applyFont="1" applyFill="1" applyBorder="1" applyAlignment="1">
      <alignment horizontal="left" vertical="top" readingOrder="1"/>
    </xf>
    <xf numFmtId="0" fontId="2" fillId="23" borderId="4" xfId="0" applyFont="1" applyFill="1" applyBorder="1" applyAlignment="1">
      <alignment horizontal="left" vertical="top" readingOrder="1"/>
    </xf>
    <xf numFmtId="8" fontId="16" fillId="0" borderId="0" xfId="0" applyNumberFormat="1" applyFont="1"/>
    <xf numFmtId="0" fontId="1" fillId="0" borderId="0" xfId="1"/>
    <xf numFmtId="0" fontId="2" fillId="0" borderId="6" xfId="0" applyFont="1" applyBorder="1" applyAlignment="1">
      <alignment horizontal="left" vertical="top" readingOrder="1"/>
    </xf>
    <xf numFmtId="0" fontId="0" fillId="4" borderId="6" xfId="0" applyFont="1" applyFill="1" applyBorder="1" applyAlignment="1">
      <alignment horizontal="center" vertical="top" readingOrder="1"/>
    </xf>
    <xf numFmtId="0" fontId="4" fillId="8" borderId="6" xfId="0" applyFont="1" applyFill="1" applyBorder="1" applyAlignment="1">
      <alignment horizontal="left" vertical="top" readingOrder="1"/>
    </xf>
    <xf numFmtId="0" fontId="17" fillId="14" borderId="5" xfId="0" applyFont="1" applyFill="1" applyBorder="1" applyAlignment="1">
      <alignment horizontal="center" vertical="center" wrapText="1" readingOrder="1"/>
    </xf>
    <xf numFmtId="0" fontId="13" fillId="13" borderId="6" xfId="0" applyFont="1" applyFill="1" applyBorder="1"/>
    <xf numFmtId="0" fontId="18" fillId="0" borderId="0" xfId="0" applyFont="1"/>
    <xf numFmtId="10" fontId="2" fillId="8" borderId="6" xfId="0" applyNumberFormat="1" applyFont="1" applyFill="1" applyBorder="1" applyAlignment="1">
      <alignment horizontal="left" vertical="top" readingOrder="1"/>
    </xf>
    <xf numFmtId="0" fontId="19" fillId="0" borderId="0" xfId="0" applyFont="1"/>
    <xf numFmtId="0" fontId="2" fillId="3" borderId="6" xfId="0" applyFont="1" applyFill="1" applyBorder="1" applyAlignment="1">
      <alignment horizontal="left" vertical="top" wrapText="1" readingOrder="1"/>
    </xf>
    <xf numFmtId="0" fontId="2" fillId="5" borderId="6" xfId="0" applyFont="1" applyFill="1" applyBorder="1" applyAlignment="1">
      <alignment horizontal="left" vertical="top" wrapText="1" readingOrder="1"/>
    </xf>
    <xf numFmtId="0" fontId="19" fillId="13" borderId="0" xfId="0" applyFont="1" applyFill="1"/>
    <xf numFmtId="0" fontId="2" fillId="13" borderId="6" xfId="0" applyFont="1" applyFill="1" applyBorder="1" applyAlignment="1">
      <alignment horizontal="left" vertical="top" wrapText="1" readingOrder="1"/>
    </xf>
    <xf numFmtId="0" fontId="2" fillId="15" borderId="6" xfId="0" applyFont="1" applyFill="1" applyBorder="1" applyAlignment="1">
      <alignment horizontal="center" vertical="top" readingOrder="1"/>
    </xf>
    <xf numFmtId="0" fontId="0" fillId="15" borderId="6" xfId="0" applyFont="1" applyFill="1" applyBorder="1" applyAlignment="1">
      <alignment horizontal="center" vertical="top" readingOrder="1"/>
    </xf>
    <xf numFmtId="8" fontId="2" fillId="2" borderId="6" xfId="0" applyNumberFormat="1" applyFont="1" applyFill="1" applyBorder="1" applyAlignment="1">
      <alignment horizontal="left" vertical="top" readingOrder="1"/>
    </xf>
    <xf numFmtId="0" fontId="2" fillId="7" borderId="10" xfId="0" applyFont="1" applyFill="1" applyBorder="1" applyAlignment="1">
      <alignment horizontal="left" vertical="top" readingOrder="1"/>
    </xf>
    <xf numFmtId="0" fontId="14" fillId="7" borderId="10" xfId="0" applyFont="1" applyFill="1" applyBorder="1" applyAlignment="1">
      <alignment horizontal="left" vertical="top" readingOrder="1"/>
    </xf>
    <xf numFmtId="0" fontId="3" fillId="7" borderId="10" xfId="1" applyFont="1" applyFill="1" applyBorder="1" applyAlignment="1">
      <alignment horizontal="left" vertical="top" readingOrder="1"/>
    </xf>
    <xf numFmtId="0" fontId="15" fillId="7" borderId="10" xfId="0" applyFont="1" applyFill="1" applyBorder="1" applyAlignment="1">
      <alignment horizontal="left" vertical="top" readingOrder="1"/>
    </xf>
    <xf numFmtId="0" fontId="13" fillId="7" borderId="10" xfId="0" applyFont="1" applyFill="1" applyBorder="1" applyAlignment="1">
      <alignment horizontal="left" vertical="top" readingOrder="1"/>
    </xf>
    <xf numFmtId="0" fontId="2" fillId="7" borderId="10" xfId="1" applyFont="1" applyFill="1" applyBorder="1" applyAlignment="1">
      <alignment horizontal="left" vertical="top" readingOrder="1"/>
    </xf>
    <xf numFmtId="0" fontId="10" fillId="15" borderId="6" xfId="0" applyFont="1" applyFill="1" applyBorder="1" applyAlignment="1">
      <alignment horizontal="left" vertical="center" wrapText="1" readingOrder="1"/>
    </xf>
    <xf numFmtId="0" fontId="9" fillId="15" borderId="6" xfId="0" applyFont="1" applyFill="1" applyBorder="1" applyAlignment="1">
      <alignment horizontal="center" vertical="center" readingOrder="1"/>
    </xf>
    <xf numFmtId="0" fontId="12" fillId="15" borderId="6" xfId="0" applyFont="1" applyFill="1" applyBorder="1" applyAlignment="1">
      <alignment horizontal="center" vertical="center" readingOrder="1"/>
    </xf>
    <xf numFmtId="0" fontId="2" fillId="15" borderId="6" xfId="0" applyFont="1" applyFill="1" applyBorder="1" applyAlignment="1">
      <alignment horizontal="center" vertical="center" wrapText="1" readingOrder="1"/>
    </xf>
    <xf numFmtId="0" fontId="2" fillId="15" borderId="6" xfId="0" applyFont="1" applyFill="1" applyBorder="1" applyAlignment="1">
      <alignment horizontal="center" vertical="center" readingOrder="1"/>
    </xf>
    <xf numFmtId="11" fontId="0" fillId="0" borderId="0" xfId="0" applyNumberFormat="1"/>
    <xf numFmtId="0" fontId="20" fillId="20" borderId="6" xfId="0" applyFont="1" applyFill="1" applyBorder="1" applyAlignment="1">
      <alignment horizontal="left" vertical="top" readingOrder="1"/>
    </xf>
    <xf numFmtId="0" fontId="9" fillId="4" borderId="7" xfId="0" applyFont="1" applyFill="1" applyBorder="1" applyAlignment="1">
      <alignment horizontal="center" vertical="center" readingOrder="1"/>
    </xf>
    <xf numFmtId="0" fontId="9" fillId="4" borderId="2" xfId="0" applyFont="1" applyFill="1" applyBorder="1" applyAlignment="1">
      <alignment horizontal="center" vertical="center" readingOrder="1"/>
    </xf>
    <xf numFmtId="0" fontId="9" fillId="4" borderId="5" xfId="0" applyFont="1" applyFill="1" applyBorder="1" applyAlignment="1">
      <alignment horizontal="center" vertical="center" readingOrder="1"/>
    </xf>
    <xf numFmtId="0" fontId="12" fillId="4" borderId="7" xfId="0" applyFont="1" applyFill="1" applyBorder="1" applyAlignment="1">
      <alignment horizontal="center" vertical="center" readingOrder="1"/>
    </xf>
    <xf numFmtId="0" fontId="12" fillId="4" borderId="2" xfId="0" applyFont="1" applyFill="1" applyBorder="1" applyAlignment="1">
      <alignment horizontal="center" vertical="center" readingOrder="1"/>
    </xf>
    <xf numFmtId="0" fontId="12" fillId="4" borderId="5" xfId="0" applyFont="1" applyFill="1" applyBorder="1" applyAlignment="1">
      <alignment horizontal="center" vertical="center" readingOrder="1"/>
    </xf>
    <xf numFmtId="0" fontId="2" fillId="4" borderId="7" xfId="0" applyFont="1" applyFill="1" applyBorder="1" applyAlignment="1">
      <alignment horizontal="center" vertical="center" readingOrder="1"/>
    </xf>
    <xf numFmtId="0" fontId="2" fillId="4" borderId="2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23" borderId="13" xfId="0" applyFont="1" applyFill="1" applyBorder="1" applyAlignment="1">
      <alignment horizontal="center" vertical="center" wrapText="1" readingOrder="1"/>
    </xf>
    <xf numFmtId="0" fontId="9" fillId="23" borderId="20" xfId="0" applyFont="1" applyFill="1" applyBorder="1" applyAlignment="1">
      <alignment horizontal="center" vertical="top" readingOrder="1"/>
    </xf>
    <xf numFmtId="0" fontId="9" fillId="23" borderId="21" xfId="0" applyFont="1" applyFill="1" applyBorder="1" applyAlignment="1">
      <alignment horizontal="center" vertical="top" readingOrder="1"/>
    </xf>
    <xf numFmtId="0" fontId="9" fillId="23" borderId="23" xfId="0" applyFont="1" applyFill="1" applyBorder="1" applyAlignment="1">
      <alignment horizontal="center" vertical="top" readingOrder="1"/>
    </xf>
    <xf numFmtId="0" fontId="2" fillId="23" borderId="11" xfId="0" applyFont="1" applyFill="1" applyBorder="1" applyAlignment="1">
      <alignment horizontal="center" vertical="top" readingOrder="1"/>
    </xf>
    <xf numFmtId="0" fontId="2" fillId="23" borderId="12" xfId="0" applyFont="1" applyFill="1" applyBorder="1" applyAlignment="1">
      <alignment horizontal="center" vertical="top" readingOrder="1"/>
    </xf>
    <xf numFmtId="0" fontId="9" fillId="4" borderId="7" xfId="0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47</xdr:row>
      <xdr:rowOff>33131</xdr:rowOff>
    </xdr:from>
    <xdr:to>
      <xdr:col>2</xdr:col>
      <xdr:colOff>567673</xdr:colOff>
      <xdr:row>51</xdr:row>
      <xdr:rowOff>165653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55" y="9061174"/>
          <a:ext cx="545261" cy="894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142875</xdr:rowOff>
    </xdr:from>
    <xdr:to>
      <xdr:col>11</xdr:col>
      <xdr:colOff>277146</xdr:colOff>
      <xdr:row>15</xdr:row>
      <xdr:rowOff>86116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42875"/>
          <a:ext cx="6601746" cy="2800741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4</xdr:row>
      <xdr:rowOff>104775</xdr:rowOff>
    </xdr:from>
    <xdr:to>
      <xdr:col>10</xdr:col>
      <xdr:colOff>361950</xdr:colOff>
      <xdr:row>10</xdr:row>
      <xdr:rowOff>161925</xdr:rowOff>
    </xdr:to>
    <xdr:sp macro="" textlink="">
      <xdr:nvSpPr>
        <xdr:cNvPr id="3" name="TextBox 2"/>
        <xdr:cNvSpPr txBox="1"/>
      </xdr:nvSpPr>
      <xdr:spPr>
        <a:xfrm>
          <a:off x="3438525" y="866775"/>
          <a:ext cx="30194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 i="0">
              <a:solidFill>
                <a:srgbClr val="FF0000"/>
              </a:solidFill>
            </a:rPr>
            <a:t>Original core we cant</a:t>
          </a:r>
          <a:r>
            <a:rPr lang="en-GB" sz="2000" b="1" i="0" baseline="0">
              <a:solidFill>
                <a:srgbClr val="FF0000"/>
              </a:solidFill>
            </a:rPr>
            <a:t> get</a:t>
          </a:r>
          <a:endParaRPr lang="en-GB" sz="2000" b="1" i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17</xdr:row>
      <xdr:rowOff>171450</xdr:rowOff>
    </xdr:from>
    <xdr:to>
      <xdr:col>14</xdr:col>
      <xdr:colOff>277453</xdr:colOff>
      <xdr:row>36</xdr:row>
      <xdr:rowOff>48113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409950"/>
          <a:ext cx="8802328" cy="3496163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29</xdr:row>
      <xdr:rowOff>47625</xdr:rowOff>
    </xdr:from>
    <xdr:to>
      <xdr:col>11</xdr:col>
      <xdr:colOff>9525</xdr:colOff>
      <xdr:row>34</xdr:row>
      <xdr:rowOff>142875</xdr:rowOff>
    </xdr:to>
    <xdr:sp macro="" textlink="">
      <xdr:nvSpPr>
        <xdr:cNvPr id="5" name="TextBox 4"/>
        <xdr:cNvSpPr txBox="1"/>
      </xdr:nvSpPr>
      <xdr:spPr>
        <a:xfrm>
          <a:off x="4657725" y="5572125"/>
          <a:ext cx="20574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626.79 mm^2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82</xdr:row>
      <xdr:rowOff>49696</xdr:rowOff>
    </xdr:from>
    <xdr:to>
      <xdr:col>2</xdr:col>
      <xdr:colOff>115957</xdr:colOff>
      <xdr:row>105</xdr:row>
      <xdr:rowOff>24848</xdr:rowOff>
    </xdr:to>
    <xdr:sp macro="" textlink="">
      <xdr:nvSpPr>
        <xdr:cNvPr id="3" name="TextBox 2"/>
        <xdr:cNvSpPr txBox="1"/>
      </xdr:nvSpPr>
      <xdr:spPr>
        <a:xfrm>
          <a:off x="41414" y="13310153"/>
          <a:ext cx="2451652" cy="3785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V_F</a:t>
          </a:r>
          <a:r>
            <a:rPr lang="en-GB" sz="1100" baseline="0"/>
            <a:t> = V_H + V_L</a:t>
          </a:r>
        </a:p>
        <a:p>
          <a:r>
            <a:rPr lang="en-GB" sz="1100" baseline="0"/>
            <a:t>V_H/R_H = (V_L/R_L)+(C_L*dV_L/dt)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dV_L/dt = ((V_H/R_H) -  (V_L/R_L))/ C_L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V_H = V_F - V_L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dV_L/dt = (((V_F - V_L)/R_H)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(V_L/R_L))/ C_L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V_F is a constant during discharge.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Need to find V_L_t from V_L_0, C_L (constant), R_H (constant)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 editAs="oneCell">
    <xdr:from>
      <xdr:col>0</xdr:col>
      <xdr:colOff>0</xdr:colOff>
      <xdr:row>57</xdr:row>
      <xdr:rowOff>107674</xdr:rowOff>
    </xdr:from>
    <xdr:to>
      <xdr:col>1</xdr:col>
      <xdr:colOff>259118</xdr:colOff>
      <xdr:row>78</xdr:row>
      <xdr:rowOff>92859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10261"/>
          <a:ext cx="2048161" cy="3991532"/>
        </a:xfrm>
        <a:prstGeom prst="rect">
          <a:avLst/>
        </a:prstGeom>
      </xdr:spPr>
    </xdr:pic>
    <xdr:clientData/>
  </xdr:twoCellAnchor>
  <xdr:twoCellAnchor editAs="oneCell">
    <xdr:from>
      <xdr:col>2</xdr:col>
      <xdr:colOff>122777</xdr:colOff>
      <xdr:row>94</xdr:row>
      <xdr:rowOff>91596</xdr:rowOff>
    </xdr:from>
    <xdr:to>
      <xdr:col>5</xdr:col>
      <xdr:colOff>952998</xdr:colOff>
      <xdr:row>99</xdr:row>
      <xdr:rowOff>120707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630" y="15947920"/>
          <a:ext cx="2174927" cy="8135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24850</xdr:rowOff>
    </xdr:from>
    <xdr:to>
      <xdr:col>5</xdr:col>
      <xdr:colOff>1345975</xdr:colOff>
      <xdr:row>96</xdr:row>
      <xdr:rowOff>14846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35732"/>
          <a:ext cx="5077534" cy="1715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582127</xdr:colOff>
      <xdr:row>24</xdr:row>
      <xdr:rowOff>86375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7327" cy="46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baba.com/product-detail/CT81-20KV-1000PF-N4700-D19-5xT8_60495534513.html?spm=a2756.trade-list-buyer.0.0.45af76e9MlB5mq" TargetMode="External"/><Relationship Id="rId18" Type="http://schemas.openxmlformats.org/officeDocument/2006/relationships/hyperlink" Target="https://www.mouser.co.uk/ProductDetail/Vishay-Dale/CMF555R0000FKEA?qs=2tJBorIoXcvFADtNDQGMUg%3D%3D" TargetMode="External"/><Relationship Id="rId26" Type="http://schemas.openxmlformats.org/officeDocument/2006/relationships/hyperlink" Target="https://www.mouser.co.uk/ProductDetail/Amphenol-Anytek/AWHSH112DM00G?qs=rSMjJ%252B1ewcRkINR7MLX27w%3D%3D" TargetMode="External"/><Relationship Id="rId39" Type="http://schemas.openxmlformats.org/officeDocument/2006/relationships/hyperlink" Target="https://www.mouser.co.uk/ProductDetail/onsemi-Fairchild/1N4148?qs=i4Fj9T%2FoRm8RMUhj5DeFQg%3D%3D" TargetMode="External"/><Relationship Id="rId21" Type="http://schemas.openxmlformats.org/officeDocument/2006/relationships/hyperlink" Target="https://www.mouser.co.uk/ProductDetail/KEMET/C320C105K5R5TA?qs=J6JJqAtew8ZzkfLDcKcSxg%3D%3D" TargetMode="External"/><Relationship Id="rId34" Type="http://schemas.openxmlformats.org/officeDocument/2006/relationships/hyperlink" Target="https://www.mouser.co.uk/ProductDetail/YAGEO/MFR-25FTF52-500K?qs=sGAEpiMZZMsPqMdJzcrNwl6kmOwLxsHbSaOlxzLAn7hSChCiC%2FeQcw%3D%3D" TargetMode="External"/><Relationship Id="rId42" Type="http://schemas.openxmlformats.org/officeDocument/2006/relationships/hyperlink" Target="https://www.mouser.co.uk/ProductDetail/YAGEO/MFR-25FRE52-1K?qs=sGAEpiMZZMsPqMdJzcrNwrSrS5p3UYvSlBJNFv%2F3GbtPT0MmdWbEKA%3D%3D" TargetMode="External"/><Relationship Id="rId47" Type="http://schemas.openxmlformats.org/officeDocument/2006/relationships/hyperlink" Target="https://www.mouser.co.uk/ProductDetail/Molex/70553-0003?qs=tYx%252BZc2nXqor1JDF8v%2FPGQ%3D%3D" TargetMode="External"/><Relationship Id="rId50" Type="http://schemas.openxmlformats.org/officeDocument/2006/relationships/hyperlink" Target="https://www.mouser.co.uk/ProductDetail/Texas-Instruments/LM4040C25ILPR?qs=xRTSnXjzBs7toHVdgzq9EQ%3D%3D&amp;srsltid=AfmBOorulDQJInWMpaTyBVp6CUrRi4XKRocWnjsF8qJo_eTCVoGlTvHH" TargetMode="External"/><Relationship Id="rId55" Type="http://schemas.openxmlformats.org/officeDocument/2006/relationships/hyperlink" Target="https://www.mouser.co.uk/ProductDetail/YAGEO/MFP-25BRD52-56K?qs=sGAEpiMZZMsPqMdJzcrNwoCBRj4QZwnj4HpF0pWKCkX5KzEJtVvyfA%3D%3D" TargetMode="External"/><Relationship Id="rId7" Type="http://schemas.openxmlformats.org/officeDocument/2006/relationships/hyperlink" Target="https://www.alldatasheet.com/datasheet-pdf/pdf/876496/GETEDZ/2CL2FP_16.html" TargetMode="External"/><Relationship Id="rId12" Type="http://schemas.openxmlformats.org/officeDocument/2006/relationships/hyperlink" Target="https://www.mouser.co.uk/ProductDetail/Vishay-Roederstein/HVCC203Y6P102MEAX?qs=sGAEpiMZZMsh%252B1woXyUXj%2FgcXCpI1SPdufugygDSI7k%3D" TargetMode="External"/><Relationship Id="rId17" Type="http://schemas.openxmlformats.org/officeDocument/2006/relationships/hyperlink" Target="https://www.mouser.co.uk/ProductDetail/KEMET/C320C105K5R5TA?qs=J6JJqAtew8ZzkfLDcKcSxg%3D%3D" TargetMode="External"/><Relationship Id="rId25" Type="http://schemas.openxmlformats.org/officeDocument/2006/relationships/hyperlink" Target="https://www.mouser.co.uk/ProductDetail/onsemi-Fairchild/2N7000?qs=FOlmdCx%252BAA2o%2FKZOTk%2F3hg%3D%3D" TargetMode="External"/><Relationship Id="rId33" Type="http://schemas.openxmlformats.org/officeDocument/2006/relationships/hyperlink" Target="https://www.mouser.co.uk/ProductDetail/YAGEO/MFR-25FRE52-1K?qs=sGAEpiMZZMsPqMdJzcrNwrSrS5p3UYvSlBJNFv%2F3GbtPT0MmdWbEKA%3D%3D" TargetMode="External"/><Relationship Id="rId38" Type="http://schemas.openxmlformats.org/officeDocument/2006/relationships/hyperlink" Target="https://www.mouser.co.uk/ProductDetail/Littelfuse/0232008.MX125P?qs=sGAEpiMZZMsIz3CjQ1xegdbeLroawJnwOMAZ7PVp66s%3D" TargetMode="External"/><Relationship Id="rId46" Type="http://schemas.openxmlformats.org/officeDocument/2006/relationships/hyperlink" Target="https://www.mouser.co.uk/ProductDetail/Molex/50-57-9404?qs=u6Gr9%2FNt%252B%2F%2FUw3Dr7T8xxg%3D%3D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.uk/ProductDetail/Vishay-BC-Components/VR68000002496FAC00?qs=wEmTtUuRSe6YkQzEm4CWKw%3D%3D" TargetMode="External"/><Relationship Id="rId16" Type="http://schemas.openxmlformats.org/officeDocument/2006/relationships/hyperlink" Target="https://www.mouser.co.uk/ProductDetail/KEMET/C320C104K5R5TA?qs=sGAEpiMZZMuMW9TJLBQkXmHrQgO8erv0WZDFm%252BJsHk8%3D" TargetMode="External"/><Relationship Id="rId20" Type="http://schemas.openxmlformats.org/officeDocument/2006/relationships/hyperlink" Target="https://www.mouser.co.uk/ProductDetail/KEMET/C320C104K5R5TA?qs=sGAEpiMZZMuMW9TJLBQkXmHrQgO8erv0WZDFm%252BJsHk8%3D" TargetMode="External"/><Relationship Id="rId29" Type="http://schemas.openxmlformats.org/officeDocument/2006/relationships/hyperlink" Target="https://www.mouser.co.uk/ProductDetail/onsemi/MBR40250G?qs=3JMERSakebrJFUp9PnjkTw%3D%3D&amp;srsltid=AfmBOoqUeoW-xjhcl8KA3Z3TPyWqk2CF47jVjuUuQUkpLLXa29i5fdEv" TargetMode="External"/><Relationship Id="rId41" Type="http://schemas.openxmlformats.org/officeDocument/2006/relationships/hyperlink" Target="https://www.mouser.co.uk/ProductDetail/YAGEO/MFR-25FTE52-10K?qs=oAGoVhmvjhyxqkhLibETTw%3D%3D" TargetMode="External"/><Relationship Id="rId54" Type="http://schemas.openxmlformats.org/officeDocument/2006/relationships/hyperlink" Target="https://www.mouser.co.uk/ProductDetail/YAGEO/MFR-25FTF52-270K?qs=sGAEpiMZZMsPqMdJzcrNwgOGnOXkAglZBhDJAK4kv60%3D" TargetMode="External"/><Relationship Id="rId1" Type="http://schemas.openxmlformats.org/officeDocument/2006/relationships/hyperlink" Target="https://www.hv-caps.com/HV-Ceramic-Disc-Capacitor/hv-ceramic-disc-capacitor163.html" TargetMode="External"/><Relationship Id="rId6" Type="http://schemas.openxmlformats.org/officeDocument/2006/relationships/hyperlink" Target="https://www.mouser.co.uk/ProductDetail/KEMET/C317C300J5G5TA?qs=b8KOIaRqXtdsFXPxXiN2GA%3D%3D" TargetMode="External"/><Relationship Id="rId11" Type="http://schemas.openxmlformats.org/officeDocument/2006/relationships/hyperlink" Target="https://www.mouser.co.uk/ProductDetail/Vishay-Roederstein/HVCC203Y6P102MEAX?qs=sGAEpiMZZMsh%252B1woXyUXj%2FgcXCpI1SPdufugygDSI7k%3D" TargetMode="External"/><Relationship Id="rId24" Type="http://schemas.openxmlformats.org/officeDocument/2006/relationships/hyperlink" Target="https://www.mouser.co.uk/ProductDetail/Essentra/FH-320-NV?qs=PzGy0jfpSMtU9GQhdYJRvA%3D%3D" TargetMode="External"/><Relationship Id="rId32" Type="http://schemas.openxmlformats.org/officeDocument/2006/relationships/hyperlink" Target="https://www.mouser.co.uk/ProductDetail/YAGEO/MFR-25FRE52-1K?qs=sGAEpiMZZMsPqMdJzcrNwrSrS5p3UYvSlBJNFv%2F3GbtPT0MmdWbEKA%3D%3D" TargetMode="External"/><Relationship Id="rId37" Type="http://schemas.openxmlformats.org/officeDocument/2006/relationships/hyperlink" Target="https://www.mouser.co.uk/ProductDetail/Chemi-Con/EKYB101ELL102MM40S?qs=IYueExuAvkrcoErCvSFiXg%3D%3D" TargetMode="External"/><Relationship Id="rId40" Type="http://schemas.openxmlformats.org/officeDocument/2006/relationships/hyperlink" Target="https://www.mouser.co.uk/ProductDetail/YAGEO/MFR-25FRE52-1K?qs=sGAEpiMZZMsPqMdJzcrNwrSrS5p3UYvSlBJNFv%2F3GbtPT0MmdWbEKA%3D%3D" TargetMode="External"/><Relationship Id="rId45" Type="http://schemas.openxmlformats.org/officeDocument/2006/relationships/hyperlink" Target="https://www.mouser.co.uk/ProductDetail/Ohmite/PCS2512FR0010ET?qs=sGAEpiMZZMtlleCFQhR%2FzRH%2FPnzm6Qg0pMQ9daoG75oWum56UMmJrA%3D%3D" TargetMode="External"/><Relationship Id="rId53" Type="http://schemas.openxmlformats.org/officeDocument/2006/relationships/hyperlink" Target="https://www.mouser.co.uk/ProductDetail/KEMET/R75RR322050L4J?qs=zW32dvEIR3sfSLCevL5nlQ%3D%3D" TargetMode="External"/><Relationship Id="rId58" Type="http://schemas.openxmlformats.org/officeDocument/2006/relationships/hyperlink" Target="https://www.mouser.co.uk/ProductDetail/Nichicon/UPW1E102MHD?qs=ecywdsU7aIK%252BPPnr1yjSKg%3D%3D&amp;srsltid=AfmBOooCHuez-3lzjqXYTJ0y0ujLDhBHEyoDVIbPHozXV5bJWNBgv1ZR" TargetMode="External"/><Relationship Id="rId5" Type="http://schemas.openxmlformats.org/officeDocument/2006/relationships/hyperlink" Target="https://www.mouser.co.uk/ProductDetail/YAGEO/MFR-25FBF52-45K3?qs=sGAEpiMZZMsPqMdJzcrNwvki5I7GwxKeE3xxvbKgyM0%3D" TargetMode="External"/><Relationship Id="rId15" Type="http://schemas.openxmlformats.org/officeDocument/2006/relationships/hyperlink" Target="https://www.mouser.co.uk/ProductDetail/Microchip-Technology/TC1413NEPA?qs=Ux5rHyN1IXTGNXxjM5rIZA%3D%3D" TargetMode="External"/><Relationship Id="rId23" Type="http://schemas.openxmlformats.org/officeDocument/2006/relationships/hyperlink" Target="https://www.mouser.co.uk/ProductDetail/Coilcraft/SER2918H-223KL?qs=sGAEpiMZZMv126LJFLh8y87RAMOD9eCRO2Rd2U%252Bmya8%3D" TargetMode="External"/><Relationship Id="rId28" Type="http://schemas.openxmlformats.org/officeDocument/2006/relationships/hyperlink" Target="https://www.we-online.com/components/products/datasheet/74436411500.pdf" TargetMode="External"/><Relationship Id="rId36" Type="http://schemas.openxmlformats.org/officeDocument/2006/relationships/hyperlink" Target="https://www.mouser.co.uk/ProductDetail/YAGEO/MFR-25FTF52-500K?qs=xZ%2FP%252Ba9zWqaL8mzaXpXK8g%3D%3D" TargetMode="External"/><Relationship Id="rId49" Type="http://schemas.openxmlformats.org/officeDocument/2006/relationships/hyperlink" Target="https://www.mouser.co.uk/ProductDetail/?qs=b8KOIaRqXtdsFXPxXiN2GA%3D%3D&amp;srsltid=AfmBOorgIfwWrXtxGPcv7W7mJrzwKdrDn7FLdSy2BuTUbWHSz4U4saFH" TargetMode="External"/><Relationship Id="rId57" Type="http://schemas.openxmlformats.org/officeDocument/2006/relationships/hyperlink" Target="https://www.mouser.co.uk/ProductDetail/KEMET/C322C104J5R5TA?qs=fv%2FgaNrLmF3mCSYhUi18YA%3D%3D&amp;srsltid=AfmBOoog_8tujTmWNkJb14BfbsvR13gzVXTH2wfyWdqMqEeVaejEXDE6" TargetMode="External"/><Relationship Id="rId10" Type="http://schemas.openxmlformats.org/officeDocument/2006/relationships/hyperlink" Target="https://www.mouser.co.uk/ProductDetail/Murata-Power-Solutions/MHR0422SA108F70?qs=T3oQrply3y%252BIxqV4afI14A%3D%3D" TargetMode="External"/><Relationship Id="rId19" Type="http://schemas.openxmlformats.org/officeDocument/2006/relationships/hyperlink" Target="https://www.mouser.co.uk/ProductDetail/Microchip-Technology/MCP6021-E-P?qs=W2ndVjZwIIKVhoK39SuWRw%3D%3D" TargetMode="External"/><Relationship Id="rId31" Type="http://schemas.openxmlformats.org/officeDocument/2006/relationships/hyperlink" Target="https://www.mouser.co.uk/ProductDetail/Wakefield-Thermal/647-25ABPE?qs=1%252ByrAFyf4wEF4vm1j%252Byz0w%3D%3D" TargetMode="External"/><Relationship Id="rId44" Type="http://schemas.openxmlformats.org/officeDocument/2006/relationships/hyperlink" Target="https://www.mouser.co.uk/ProductDetail/Central-Semiconductor/1N4619-BK-PBFREE?qs=l7cgNqFNU1hI2SGXFdSwFQ%3D%3D" TargetMode="External"/><Relationship Id="rId52" Type="http://schemas.openxmlformats.org/officeDocument/2006/relationships/hyperlink" Target="https://www.mouser.co.uk/ProductDetail/IXYS/IXFP60N25X3?qs=5aG0NVq1C4yTnBULxG9HTw%3D%3D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www.mouser.co.uk/ProductDetail/Ohmite/SM108033006FE?qs=sGAEpiMZZMsPqMdJzcrNwsJljJEG6Yukcxhr%252BDB3b%252B8%3D" TargetMode="External"/><Relationship Id="rId9" Type="http://schemas.openxmlformats.org/officeDocument/2006/relationships/hyperlink" Target="https://www.mouser.co.uk/ProductDetail/Vishay-BC-Components/VR68000002496FAC00?qs=wEmTtUuRSe6YkQzEm4CWKw%3D%3D" TargetMode="External"/><Relationship Id="rId14" Type="http://schemas.openxmlformats.org/officeDocument/2006/relationships/hyperlink" Target="https://www.mouser.co.uk/ProductDetail/Vishay-Dale/CCF073K00JKE36?qs=sGAEpiMZZMsPqMdJzcrNwnm4HgxDBxQ2t3rjIbEQs6M%3D" TargetMode="External"/><Relationship Id="rId22" Type="http://schemas.openxmlformats.org/officeDocument/2006/relationships/hyperlink" Target="https://www.aliexpress.com/item/1005003907866404.html?spm=a2g0o.cart.0.0.d74738daena4wR&amp;mp=1&amp;pdp_npi=5%40dis%21GBP%21GBP%201.73%21GBP%201.73%21%21%21%21%21%402103890917435078886122087e9b77%2112000032183463804%21ct%21UK%214911257576%21%211%210" TargetMode="External"/><Relationship Id="rId27" Type="http://schemas.openxmlformats.org/officeDocument/2006/relationships/hyperlink" Target="https://www.mouser.co.uk/ProductDetail/YAGEO/MFR50SFTE52-1K33?qs=UFD7vfw3J8osCEB2xFvg0Q%3D%3D" TargetMode="External"/><Relationship Id="rId30" Type="http://schemas.openxmlformats.org/officeDocument/2006/relationships/hyperlink" Target="https://www.mouser.co.uk/ProductDetail/Wakefield-Thermal/647-25ABPE?qs=1%252ByrAFyf4wEF4vm1j%252Byz0w%3D%3D" TargetMode="External"/><Relationship Id="rId35" Type="http://schemas.openxmlformats.org/officeDocument/2006/relationships/hyperlink" Target="https://www.mouser.co.uk/ProductDetail/Central-Semiconductor/1N4619-BK-PBFREE?qs=l7cgNqFNU1hI2SGXFdSwFQ%3D%3D" TargetMode="External"/><Relationship Id="rId43" Type="http://schemas.openxmlformats.org/officeDocument/2006/relationships/hyperlink" Target="https://www.mouser.co.uk/ProductDetail/YAGEO/MFR-25FTE52-10K?qs=oAGoVhmvjhyxqkhLibETTw%3D%3D" TargetMode="External"/><Relationship Id="rId48" Type="http://schemas.openxmlformats.org/officeDocument/2006/relationships/hyperlink" Target="https://www.mouser.co.uk/ProductDetail/KEMET/C322C104J5R5TA?qs=fv%2FgaNrLmF3mCSYhUi18YA%3D%3D&amp;srsltid=AfmBOoog_8tujTmWNkJb14BfbsvR13gzVXTH2wfyWdqMqEeVaejEXDE6" TargetMode="External"/><Relationship Id="rId56" Type="http://schemas.openxmlformats.org/officeDocument/2006/relationships/hyperlink" Target="https://www.mouser.co.uk/ProductDetail/YAGEO/MFP-25BRD52-1K?qs=sGAEpiMZZMsPqMdJzcrNwoCBRj4QZwnjRFUbHbo2ThFQSK%252BEGqBO%252Bw%3D%3D" TargetMode="External"/><Relationship Id="rId8" Type="http://schemas.openxmlformats.org/officeDocument/2006/relationships/hyperlink" Target="https://www.alldatasheet.com/datasheet-pdf/pdf/876496/GETEDZ/2CL2FP_16.html" TargetMode="External"/><Relationship Id="rId51" Type="http://schemas.openxmlformats.org/officeDocument/2006/relationships/hyperlink" Target="https://www.mouser.co.uk/ProductDetail/Murata-Electronics/RDE5C1H104J2K1H03B?qs=sGAEpiMZZMvsSlwiRhF8qqaXG%2FqyeHNlsYzqnOuJEXPRN2Vw37PZSg%3D%3D" TargetMode="External"/><Relationship Id="rId3" Type="http://schemas.openxmlformats.org/officeDocument/2006/relationships/hyperlink" Target="https://www.mouser.co.uk/ProductDetail/KEMET/C320C104K5R5TA?qs=sGAEpiMZZMuMW9TJLBQkXmHrQgO8erv0WZDFm%252BJsHk8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Ohmite/SM108033006FE?qs=sGAEpiMZZMsPqMdJzcrNwsJljJEG6Yukcxhr%252BDB3b%252B8%3D" TargetMode="External"/><Relationship Id="rId3" Type="http://schemas.openxmlformats.org/officeDocument/2006/relationships/hyperlink" Target="https://www.mouser.co.uk/ProductDetail/YAGEO/MFR-25FBF52-45K3?qs=sGAEpiMZZMsPqMdJzcrNwvki5I7GwxKeE3xxvbKgyM0%3D" TargetMode="External"/><Relationship Id="rId7" Type="http://schemas.openxmlformats.org/officeDocument/2006/relationships/hyperlink" Target="https://www.aliexpress.com/item/1005004279932436.html?pdp_npi=4%40dis%21GBP%21%EF%BF%A11.33%21%EF%BF%A11.33%21%21%2111.82%2111.82%21%40211b619a17401876960841815eaddb%2112000035453859120%21sh%21UK%214911257576%21X&amp;spm=a2g0o.store_pc_allItems" TargetMode="External"/><Relationship Id="rId2" Type="http://schemas.openxmlformats.org/officeDocument/2006/relationships/hyperlink" Target="https://www.mouser.co.uk/ProductDetail/Ohmite/SM108033006FE?qs=sGAEpiMZZMsPqMdJzcrNwsJljJEG6Yukcxhr%252BDB3b%252B8%3D" TargetMode="External"/><Relationship Id="rId1" Type="http://schemas.openxmlformats.org/officeDocument/2006/relationships/hyperlink" Target="https://www.mouser.co.uk/ProductDetail/KEMET/C317C300J5G5TA?qs=b8KOIaRqXtdsFXPxXiN2GA%3D%3D" TargetMode="External"/><Relationship Id="rId6" Type="http://schemas.openxmlformats.org/officeDocument/2006/relationships/hyperlink" Target="https://www.mouser.co.uk/ProductDetail/Murata-Power-Solutions/MHR0844SA107F70?qs=T3oQrply3y%252Bo2f2KmFIg%2Fg%3D%3D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mouser.co.uk/ProductDetail/Ohmite/SM108033006FE?qs=sGAEpiMZZMsPqMdJzcrNwsJljJEG6Yukcxhr%252BDB3b%252B8%3D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o.uk/ProductDetail/YAGEO/MFR-25FRF52-27K?qs=sGAEpiMZZMsPqMdJzcrNwiweiCzxKzWLhyrsT9Ty9ww%3D" TargetMode="External"/><Relationship Id="rId9" Type="http://schemas.openxmlformats.org/officeDocument/2006/relationships/hyperlink" Target="https://www.aliexpress.com/item/1005004279932436.html?pdp_npi=4%40dis%21GBP%21%EF%BF%A11.33%21%EF%BF%A11.33%21%21%2111.82%2111.82%21%40211b619a17401876960841815eaddb%2112000035453859120%21sh%21UK%214911257576%21X&amp;spm=a2g0o.store_pc_allItem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trentplastics.co.uk/product/clear-acrylic-tub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6754784195.html?spm=a2g0o.cart.0.0.322938daTrlqB9&amp;mp=1&amp;pdp_npi=5%40dis%21GBP%21GBP%204.14%21GBP%204.14%21%21%21%21%21%4021038df617417047619325936ee264%2112000038195597222%21ct%21UK%214911257576%21%211%21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tabSelected="1" zoomScale="70" zoomScaleNormal="70" workbookViewId="0">
      <pane ySplit="1" topLeftCell="A32" activePane="bottomLeft" state="frozen"/>
      <selection activeCell="I1" sqref="I1"/>
      <selection pane="bottomLeft" activeCell="I51" sqref="I51"/>
    </sheetView>
  </sheetViews>
  <sheetFormatPr defaultRowHeight="15" x14ac:dyDescent="0.25"/>
  <cols>
    <col min="1" max="1" width="26.85546875" style="50" customWidth="1"/>
    <col min="2" max="2" width="11.7109375" style="165" customWidth="1"/>
    <col min="3" max="3" width="8.85546875" style="7" customWidth="1"/>
    <col min="4" max="4" width="8.85546875" style="3" customWidth="1"/>
    <col min="5" max="5" width="10.85546875" style="9" customWidth="1"/>
    <col min="6" max="6" width="40.42578125" style="10" customWidth="1"/>
    <col min="7" max="7" width="21.42578125" style="8" customWidth="1"/>
    <col min="8" max="8" width="10.5703125" style="11" customWidth="1"/>
    <col min="9" max="9" width="18.7109375" style="13" customWidth="1"/>
    <col min="10" max="10" width="13.140625" style="14" customWidth="1"/>
    <col min="11" max="11" width="39.42578125" style="4" customWidth="1"/>
    <col min="12" max="12" width="14.85546875" style="2" customWidth="1"/>
    <col min="13" max="13" width="13.140625" style="5" customWidth="1"/>
    <col min="14" max="14" width="12.42578125" style="6" customWidth="1"/>
    <col min="15" max="15" width="8.85546875" style="10" customWidth="1"/>
    <col min="16" max="16" width="9.140625" style="15" customWidth="1"/>
    <col min="17" max="17" width="9.42578125" style="17" customWidth="1"/>
    <col min="18" max="18" width="13.5703125" style="16" customWidth="1"/>
    <col min="19" max="19" width="10" style="21" customWidth="1"/>
    <col min="20" max="20" width="10.28515625" style="20" customWidth="1"/>
    <col min="21" max="21" width="9.140625" style="18"/>
    <col min="22" max="22" width="9.140625" style="19"/>
    <col min="23" max="16384" width="9.140625" style="1"/>
  </cols>
  <sheetData>
    <row r="1" spans="1:22" s="12" customFormat="1" ht="36.75" customHeight="1" x14ac:dyDescent="0.25">
      <c r="A1" s="58" t="s">
        <v>35</v>
      </c>
      <c r="B1" s="173"/>
      <c r="C1" s="59" t="s">
        <v>0</v>
      </c>
      <c r="D1" s="60" t="s">
        <v>38</v>
      </c>
      <c r="E1" s="155" t="s">
        <v>285</v>
      </c>
      <c r="F1" s="61" t="s">
        <v>2</v>
      </c>
      <c r="G1" s="62" t="s">
        <v>4</v>
      </c>
      <c r="H1" s="63" t="s">
        <v>6</v>
      </c>
      <c r="I1" s="64" t="s">
        <v>8</v>
      </c>
      <c r="J1" s="65" t="s">
        <v>9</v>
      </c>
      <c r="K1" s="66" t="s">
        <v>11</v>
      </c>
      <c r="L1" s="67" t="s">
        <v>13</v>
      </c>
      <c r="M1" s="68" t="s">
        <v>15</v>
      </c>
      <c r="N1" s="69" t="s">
        <v>17</v>
      </c>
      <c r="O1" s="61" t="s">
        <v>19</v>
      </c>
      <c r="P1" s="70" t="s">
        <v>21</v>
      </c>
      <c r="Q1" s="71" t="s">
        <v>23</v>
      </c>
      <c r="R1" s="72" t="s">
        <v>25</v>
      </c>
      <c r="S1" s="73" t="s">
        <v>27</v>
      </c>
      <c r="T1" s="74" t="s">
        <v>29</v>
      </c>
      <c r="U1" s="75" t="s">
        <v>31</v>
      </c>
      <c r="V1" s="76" t="s">
        <v>33</v>
      </c>
    </row>
    <row r="2" spans="1:22" ht="12.75" x14ac:dyDescent="0.25">
      <c r="A2" s="77"/>
      <c r="B2" s="164"/>
      <c r="C2" s="167" t="s">
        <v>1</v>
      </c>
      <c r="D2" s="43" t="s">
        <v>92</v>
      </c>
      <c r="E2" s="47" t="s">
        <v>93</v>
      </c>
      <c r="F2" s="24" t="s">
        <v>3</v>
      </c>
      <c r="G2" s="25" t="s">
        <v>5</v>
      </c>
      <c r="H2" s="26" t="s">
        <v>93</v>
      </c>
      <c r="I2" s="27" t="s">
        <v>7</v>
      </c>
      <c r="J2" s="28" t="s">
        <v>10</v>
      </c>
      <c r="K2" s="29" t="s">
        <v>12</v>
      </c>
      <c r="L2" s="30" t="s">
        <v>14</v>
      </c>
      <c r="M2" s="31" t="s">
        <v>16</v>
      </c>
      <c r="N2" s="32" t="s">
        <v>18</v>
      </c>
      <c r="O2" s="24" t="s">
        <v>20</v>
      </c>
      <c r="P2" s="33" t="s">
        <v>22</v>
      </c>
      <c r="Q2" s="34" t="s">
        <v>24</v>
      </c>
      <c r="R2" s="35" t="s">
        <v>26</v>
      </c>
      <c r="S2" s="36" t="s">
        <v>28</v>
      </c>
      <c r="T2" s="37" t="s">
        <v>30</v>
      </c>
      <c r="U2" s="38" t="s">
        <v>32</v>
      </c>
      <c r="V2" s="22" t="s">
        <v>34</v>
      </c>
    </row>
    <row r="3" spans="1:22" ht="15" customHeight="1" x14ac:dyDescent="0.25">
      <c r="A3" s="180" t="s">
        <v>134</v>
      </c>
      <c r="B3" s="174"/>
      <c r="C3" s="167"/>
      <c r="D3" s="43"/>
      <c r="E3" s="47" t="s">
        <v>93</v>
      </c>
      <c r="F3" s="24"/>
      <c r="G3" s="25"/>
      <c r="H3" s="26"/>
      <c r="I3" s="27"/>
      <c r="J3" s="28"/>
      <c r="K3" s="29"/>
      <c r="L3" s="30"/>
      <c r="M3" s="31"/>
      <c r="N3" s="32"/>
      <c r="O3" s="24"/>
      <c r="P3" s="33"/>
      <c r="Q3" s="34"/>
      <c r="R3" s="35"/>
      <c r="S3" s="36"/>
      <c r="T3" s="37"/>
      <c r="U3" s="38"/>
      <c r="V3" s="22"/>
    </row>
    <row r="4" spans="1:22" ht="15" customHeight="1" x14ac:dyDescent="0.25">
      <c r="A4" s="181"/>
      <c r="B4" s="174"/>
      <c r="C4" s="167"/>
      <c r="D4" s="57"/>
      <c r="E4" s="47" t="s">
        <v>93</v>
      </c>
      <c r="F4" s="24"/>
      <c r="G4" s="25"/>
      <c r="H4" s="26"/>
      <c r="I4" s="27"/>
      <c r="J4" s="28"/>
      <c r="K4" s="29"/>
      <c r="L4" s="30"/>
      <c r="M4" s="31"/>
      <c r="N4" s="32"/>
      <c r="O4" s="24"/>
      <c r="P4" s="33"/>
      <c r="Q4" s="34"/>
      <c r="R4" s="35"/>
      <c r="S4" s="36"/>
      <c r="T4" s="37"/>
      <c r="U4" s="38"/>
      <c r="V4" s="22"/>
    </row>
    <row r="5" spans="1:22" ht="15" customHeight="1" x14ac:dyDescent="0.2">
      <c r="A5" s="181"/>
      <c r="B5" s="174"/>
      <c r="C5" s="167"/>
      <c r="D5" s="57" t="s">
        <v>115</v>
      </c>
      <c r="E5" s="47" t="s">
        <v>93</v>
      </c>
      <c r="F5" s="82" t="s">
        <v>114</v>
      </c>
      <c r="G5" s="25" t="s">
        <v>93</v>
      </c>
      <c r="H5" s="26"/>
      <c r="I5" s="27"/>
      <c r="J5" s="28"/>
      <c r="K5" s="29"/>
      <c r="L5" s="30"/>
      <c r="M5" s="31"/>
      <c r="N5" s="32"/>
      <c r="O5" s="24"/>
      <c r="P5" s="33"/>
      <c r="Q5" s="34"/>
      <c r="R5" s="35"/>
      <c r="S5" s="36"/>
      <c r="T5" s="37"/>
      <c r="U5" s="38"/>
      <c r="V5" s="22"/>
    </row>
    <row r="6" spans="1:22" ht="12.75" x14ac:dyDescent="0.2">
      <c r="A6" s="181"/>
      <c r="B6" s="174"/>
      <c r="C6" s="167"/>
      <c r="D6" s="57" t="s">
        <v>116</v>
      </c>
      <c r="E6" s="53" t="s">
        <v>93</v>
      </c>
      <c r="F6" s="82" t="s">
        <v>117</v>
      </c>
      <c r="G6" s="25" t="s">
        <v>93</v>
      </c>
      <c r="H6" s="26"/>
      <c r="I6" s="27"/>
      <c r="J6" s="28"/>
      <c r="K6" s="29"/>
      <c r="L6" s="30"/>
      <c r="M6" s="31"/>
      <c r="N6" s="32"/>
      <c r="O6" s="24"/>
      <c r="P6" s="33"/>
      <c r="Q6" s="34"/>
      <c r="R6" s="35"/>
      <c r="S6" s="36"/>
      <c r="T6" s="37"/>
      <c r="U6" s="38"/>
      <c r="V6" s="22"/>
    </row>
    <row r="7" spans="1:22" ht="15" customHeight="1" x14ac:dyDescent="0.25">
      <c r="A7" s="181"/>
      <c r="B7" s="174"/>
      <c r="C7" s="167"/>
      <c r="D7" s="57" t="s">
        <v>118</v>
      </c>
      <c r="E7" s="53" t="s">
        <v>93</v>
      </c>
      <c r="F7" s="24" t="s">
        <v>119</v>
      </c>
      <c r="G7" s="25"/>
      <c r="H7" s="26"/>
      <c r="I7" s="27"/>
      <c r="J7" s="28"/>
      <c r="K7" s="29"/>
      <c r="L7" s="30"/>
      <c r="M7" s="31"/>
      <c r="N7" s="32"/>
      <c r="O7" s="24"/>
      <c r="P7" s="33"/>
      <c r="Q7" s="34"/>
      <c r="R7" s="35"/>
      <c r="S7" s="36"/>
      <c r="T7" s="37"/>
      <c r="U7" s="38"/>
      <c r="V7" s="22"/>
    </row>
    <row r="8" spans="1:22" ht="15" customHeight="1" x14ac:dyDescent="0.25">
      <c r="A8" s="181"/>
      <c r="B8" s="174"/>
      <c r="C8" s="167"/>
      <c r="D8" s="57" t="s">
        <v>120</v>
      </c>
      <c r="E8" s="47" t="s">
        <v>93</v>
      </c>
      <c r="F8" s="24"/>
      <c r="G8" s="25"/>
      <c r="H8" s="26"/>
      <c r="I8" s="27"/>
      <c r="J8" s="28"/>
      <c r="K8" s="29"/>
      <c r="L8" s="30"/>
      <c r="M8" s="31"/>
      <c r="N8" s="32"/>
      <c r="O8" s="24"/>
      <c r="P8" s="33"/>
      <c r="Q8" s="34"/>
      <c r="R8" s="35"/>
      <c r="S8" s="36"/>
      <c r="T8" s="37"/>
      <c r="U8" s="38"/>
      <c r="V8" s="22"/>
    </row>
    <row r="9" spans="1:22" ht="12.75" x14ac:dyDescent="0.2">
      <c r="A9" s="182"/>
      <c r="B9" s="174"/>
      <c r="C9" s="167"/>
      <c r="D9" s="57" t="s">
        <v>122</v>
      </c>
      <c r="E9" s="49" t="s">
        <v>93</v>
      </c>
      <c r="F9" s="82" t="s">
        <v>121</v>
      </c>
      <c r="G9" s="25" t="s">
        <v>93</v>
      </c>
      <c r="H9" s="26"/>
      <c r="I9" s="27">
        <v>1</v>
      </c>
      <c r="J9" s="28">
        <v>0</v>
      </c>
      <c r="K9" s="83" t="s">
        <v>121</v>
      </c>
      <c r="L9" s="30" t="s">
        <v>93</v>
      </c>
      <c r="M9" s="31"/>
      <c r="N9" s="32"/>
      <c r="O9" s="24" t="s">
        <v>135</v>
      </c>
      <c r="P9" s="33"/>
      <c r="Q9" s="34" t="s">
        <v>136</v>
      </c>
      <c r="R9" s="35" t="s">
        <v>93</v>
      </c>
      <c r="S9" s="56">
        <v>33.79</v>
      </c>
      <c r="T9" s="122">
        <f>S9*I9</f>
        <v>33.79</v>
      </c>
      <c r="U9" s="38"/>
      <c r="V9" s="22"/>
    </row>
    <row r="10" spans="1:22" ht="12.75" x14ac:dyDescent="0.25">
      <c r="A10" s="77"/>
      <c r="B10" s="164"/>
      <c r="C10" s="167"/>
      <c r="D10" s="43"/>
      <c r="E10" s="47" t="s">
        <v>93</v>
      </c>
      <c r="F10" s="24"/>
      <c r="G10" s="25"/>
      <c r="H10" s="26"/>
      <c r="I10" s="27"/>
      <c r="J10" s="28"/>
      <c r="K10" s="29"/>
      <c r="L10" s="30"/>
      <c r="M10" s="31"/>
      <c r="N10" s="32"/>
      <c r="O10" s="24"/>
      <c r="P10" s="33"/>
      <c r="Q10" s="34"/>
      <c r="R10" s="35"/>
      <c r="S10" s="36"/>
      <c r="T10" s="122">
        <f t="shared" ref="T10:T77" si="0">S10*I10</f>
        <v>0</v>
      </c>
      <c r="U10" s="38"/>
      <c r="V10" s="22"/>
    </row>
    <row r="11" spans="1:22" ht="15" customHeight="1" x14ac:dyDescent="0.25">
      <c r="A11" s="180" t="s">
        <v>95</v>
      </c>
      <c r="B11" s="174"/>
      <c r="C11" s="168"/>
      <c r="D11" s="44" t="s">
        <v>37</v>
      </c>
      <c r="E11" s="47" t="s">
        <v>93</v>
      </c>
      <c r="F11" s="24"/>
      <c r="G11" s="25" t="s">
        <v>36</v>
      </c>
      <c r="H11" s="26"/>
      <c r="I11" s="27"/>
      <c r="J11" s="28"/>
      <c r="K11" s="29"/>
      <c r="L11" s="30"/>
      <c r="M11" s="31"/>
      <c r="N11" s="32"/>
      <c r="O11" s="24"/>
      <c r="P11" s="33"/>
      <c r="Q11" s="34"/>
      <c r="R11" s="35"/>
      <c r="S11" s="36"/>
      <c r="T11" s="122">
        <f t="shared" si="0"/>
        <v>0</v>
      </c>
      <c r="U11" s="38"/>
      <c r="V11" s="22"/>
    </row>
    <row r="12" spans="1:22" ht="15" customHeight="1" x14ac:dyDescent="0.25">
      <c r="A12" s="181"/>
      <c r="B12" s="174"/>
      <c r="C12" s="167"/>
      <c r="D12" s="43" t="s">
        <v>93</v>
      </c>
      <c r="E12" s="47" t="s">
        <v>93</v>
      </c>
      <c r="F12" s="24"/>
      <c r="G12" s="25"/>
      <c r="H12" s="26"/>
      <c r="I12" s="27"/>
      <c r="J12" s="28"/>
      <c r="K12" s="29"/>
      <c r="L12" s="30"/>
      <c r="M12" s="31"/>
      <c r="N12" s="32"/>
      <c r="O12" s="24"/>
      <c r="P12" s="33"/>
      <c r="Q12" s="34"/>
      <c r="R12" s="35"/>
      <c r="S12" s="36"/>
      <c r="T12" s="122">
        <f t="shared" si="0"/>
        <v>0</v>
      </c>
      <c r="U12" s="38"/>
      <c r="V12" s="22"/>
    </row>
    <row r="13" spans="1:22" ht="15" customHeight="1" x14ac:dyDescent="0.25">
      <c r="A13" s="182"/>
      <c r="B13" s="174"/>
      <c r="C13" s="167"/>
      <c r="D13" s="43" t="s">
        <v>93</v>
      </c>
      <c r="E13" s="47" t="s">
        <v>93</v>
      </c>
      <c r="F13" s="24"/>
      <c r="G13" s="25"/>
      <c r="H13" s="26"/>
      <c r="I13" s="27"/>
      <c r="J13" s="28"/>
      <c r="K13" s="29"/>
      <c r="L13" s="30"/>
      <c r="M13" s="31"/>
      <c r="N13" s="32"/>
      <c r="O13" s="24"/>
      <c r="P13" s="33"/>
      <c r="Q13" s="34"/>
      <c r="R13" s="35"/>
      <c r="S13" s="36"/>
      <c r="T13" s="122">
        <f t="shared" si="0"/>
        <v>0</v>
      </c>
      <c r="U13" s="38"/>
      <c r="V13" s="22"/>
    </row>
    <row r="14" spans="1:22" ht="12.75" x14ac:dyDescent="0.25">
      <c r="A14" s="77"/>
      <c r="B14" s="164"/>
      <c r="C14" s="167"/>
      <c r="D14" s="43" t="s">
        <v>93</v>
      </c>
      <c r="E14" s="47" t="s">
        <v>93</v>
      </c>
      <c r="F14" s="24"/>
      <c r="G14" s="25"/>
      <c r="H14" s="26"/>
      <c r="I14" s="27"/>
      <c r="J14" s="28"/>
      <c r="K14" s="29"/>
      <c r="L14" s="30"/>
      <c r="M14" s="31"/>
      <c r="N14" s="32"/>
      <c r="O14" s="24"/>
      <c r="P14" s="33"/>
      <c r="Q14" s="34"/>
      <c r="R14" s="35"/>
      <c r="S14" s="36"/>
      <c r="T14" s="122">
        <f t="shared" si="0"/>
        <v>0</v>
      </c>
      <c r="U14" s="38"/>
      <c r="V14" s="22"/>
    </row>
    <row r="15" spans="1:22" ht="12.75" x14ac:dyDescent="0.25">
      <c r="A15" s="77"/>
      <c r="B15" s="164"/>
      <c r="C15" s="167"/>
      <c r="D15" s="43" t="s">
        <v>93</v>
      </c>
      <c r="E15" s="47" t="s">
        <v>93</v>
      </c>
      <c r="F15" s="24"/>
      <c r="G15" s="25"/>
      <c r="H15" s="26"/>
      <c r="I15" s="27"/>
      <c r="J15" s="28"/>
      <c r="K15" s="29"/>
      <c r="L15" s="30"/>
      <c r="M15" s="31"/>
      <c r="N15" s="32"/>
      <c r="O15" s="24"/>
      <c r="P15" s="33"/>
      <c r="Q15" s="34"/>
      <c r="R15" s="35"/>
      <c r="S15" s="36"/>
      <c r="T15" s="122">
        <f t="shared" si="0"/>
        <v>0</v>
      </c>
      <c r="U15" s="38"/>
      <c r="V15" s="22"/>
    </row>
    <row r="16" spans="1:22" ht="12.75" x14ac:dyDescent="0.25">
      <c r="A16" s="77"/>
      <c r="B16" s="164"/>
      <c r="C16" s="167"/>
      <c r="D16" s="43" t="s">
        <v>93</v>
      </c>
      <c r="E16" s="47" t="s">
        <v>93</v>
      </c>
      <c r="F16" s="24"/>
      <c r="G16" s="25"/>
      <c r="H16" s="26"/>
      <c r="I16" s="27"/>
      <c r="J16" s="28"/>
      <c r="K16" s="29"/>
      <c r="L16" s="30"/>
      <c r="M16" s="31"/>
      <c r="N16" s="32"/>
      <c r="O16" s="24"/>
      <c r="P16" s="33"/>
      <c r="Q16" s="34"/>
      <c r="R16" s="35"/>
      <c r="S16" s="36"/>
      <c r="T16" s="122">
        <f t="shared" si="0"/>
        <v>0</v>
      </c>
      <c r="U16" s="38"/>
      <c r="V16" s="22"/>
    </row>
    <row r="17" spans="1:25" ht="12.75" x14ac:dyDescent="0.25">
      <c r="A17" s="180" t="s">
        <v>94</v>
      </c>
      <c r="B17" s="174"/>
      <c r="C17" s="167"/>
      <c r="D17" s="43" t="s">
        <v>93</v>
      </c>
      <c r="E17" s="47" t="s">
        <v>93</v>
      </c>
      <c r="F17" s="24" t="s">
        <v>40</v>
      </c>
      <c r="G17" s="25" t="s">
        <v>39</v>
      </c>
      <c r="H17" s="26"/>
      <c r="I17" s="27">
        <v>1</v>
      </c>
      <c r="J17" s="28">
        <v>0</v>
      </c>
      <c r="K17" s="29" t="s">
        <v>41</v>
      </c>
      <c r="L17" s="30" t="s">
        <v>93</v>
      </c>
      <c r="M17" s="31"/>
      <c r="N17" s="32"/>
      <c r="O17" s="24"/>
      <c r="P17" s="33"/>
      <c r="Q17" s="34"/>
      <c r="R17" s="35"/>
      <c r="S17" s="36"/>
      <c r="T17" s="122">
        <f t="shared" si="0"/>
        <v>0</v>
      </c>
      <c r="U17" s="38"/>
      <c r="V17" s="22"/>
    </row>
    <row r="18" spans="1:25" ht="12.75" x14ac:dyDescent="0.25">
      <c r="A18" s="181"/>
      <c r="B18" s="174"/>
      <c r="C18" s="167"/>
      <c r="D18" s="43" t="s">
        <v>93</v>
      </c>
      <c r="E18" s="47" t="s">
        <v>93</v>
      </c>
      <c r="F18" s="24" t="s">
        <v>42</v>
      </c>
      <c r="G18" s="25" t="s">
        <v>43</v>
      </c>
      <c r="H18" s="26"/>
      <c r="I18" s="27">
        <v>1</v>
      </c>
      <c r="J18" s="28">
        <v>0</v>
      </c>
      <c r="K18" s="29" t="s">
        <v>44</v>
      </c>
      <c r="L18" s="30" t="s">
        <v>93</v>
      </c>
      <c r="M18" s="31"/>
      <c r="N18" s="32"/>
      <c r="O18" s="24"/>
      <c r="P18" s="33"/>
      <c r="Q18" s="34"/>
      <c r="R18" s="35"/>
      <c r="S18" s="36"/>
      <c r="T18" s="122">
        <f t="shared" si="0"/>
        <v>0</v>
      </c>
      <c r="U18" s="38"/>
      <c r="V18" s="22"/>
    </row>
    <row r="19" spans="1:25" ht="12.75" x14ac:dyDescent="0.25">
      <c r="A19" s="181"/>
      <c r="B19" s="174"/>
      <c r="C19" s="169"/>
      <c r="D19" s="43" t="s">
        <v>93</v>
      </c>
      <c r="E19" s="47" t="s">
        <v>93</v>
      </c>
      <c r="F19" s="24" t="s">
        <v>46</v>
      </c>
      <c r="G19" s="42" t="s">
        <v>45</v>
      </c>
      <c r="H19" s="26"/>
      <c r="I19" s="27">
        <v>1</v>
      </c>
      <c r="J19" s="28">
        <v>0</v>
      </c>
      <c r="K19" s="29" t="s">
        <v>47</v>
      </c>
      <c r="L19" s="30" t="s">
        <v>48</v>
      </c>
      <c r="M19" s="40">
        <v>0.1</v>
      </c>
      <c r="N19" s="32"/>
      <c r="O19" s="24"/>
      <c r="P19" s="33"/>
      <c r="Q19" s="34"/>
      <c r="R19" s="35"/>
      <c r="S19" s="36"/>
      <c r="T19" s="122">
        <f t="shared" si="0"/>
        <v>0</v>
      </c>
      <c r="U19" s="38"/>
      <c r="V19" s="22"/>
    </row>
    <row r="20" spans="1:25" ht="12.75" x14ac:dyDescent="0.25">
      <c r="A20" s="182"/>
      <c r="B20" s="174"/>
      <c r="C20" s="167"/>
      <c r="D20" s="43" t="s">
        <v>93</v>
      </c>
      <c r="E20" s="47" t="s">
        <v>93</v>
      </c>
      <c r="F20" s="24"/>
      <c r="G20" s="25"/>
      <c r="H20" s="26"/>
      <c r="I20" s="27"/>
      <c r="J20" s="28"/>
      <c r="K20" s="29"/>
      <c r="L20" s="30"/>
      <c r="M20" s="31"/>
      <c r="N20" s="32"/>
      <c r="O20" s="24"/>
      <c r="P20" s="33"/>
      <c r="Q20" s="34"/>
      <c r="R20" s="35"/>
      <c r="S20" s="36"/>
      <c r="T20" s="122">
        <f t="shared" si="0"/>
        <v>0</v>
      </c>
      <c r="U20" s="38"/>
      <c r="V20" s="22"/>
    </row>
    <row r="21" spans="1:25" ht="12.75" x14ac:dyDescent="0.25">
      <c r="A21" s="77"/>
      <c r="B21" s="164"/>
      <c r="C21" s="167"/>
      <c r="D21" s="43" t="s">
        <v>93</v>
      </c>
      <c r="E21" s="47" t="s">
        <v>93</v>
      </c>
      <c r="F21" s="24"/>
      <c r="G21" s="25"/>
      <c r="H21" s="26"/>
      <c r="I21" s="27"/>
      <c r="J21" s="28"/>
      <c r="K21" s="29"/>
      <c r="L21" s="30"/>
      <c r="M21" s="31"/>
      <c r="N21" s="32"/>
      <c r="O21" s="24"/>
      <c r="P21" s="33"/>
      <c r="Q21" s="34"/>
      <c r="R21" s="35"/>
      <c r="S21" s="36"/>
      <c r="T21" s="122">
        <f t="shared" si="0"/>
        <v>0</v>
      </c>
      <c r="U21" s="38"/>
      <c r="V21" s="22"/>
    </row>
    <row r="22" spans="1:25" ht="12.75" x14ac:dyDescent="0.25">
      <c r="A22" s="77"/>
      <c r="B22" s="164"/>
      <c r="C22" s="167"/>
      <c r="D22" s="43" t="s">
        <v>93</v>
      </c>
      <c r="E22" s="47" t="s">
        <v>93</v>
      </c>
      <c r="F22" s="24"/>
      <c r="G22" s="25"/>
      <c r="H22" s="26"/>
      <c r="I22" s="27"/>
      <c r="J22" s="28"/>
      <c r="K22" s="29"/>
      <c r="L22" s="30"/>
      <c r="M22" s="31"/>
      <c r="N22" s="32"/>
      <c r="O22" s="24"/>
      <c r="P22" s="33"/>
      <c r="Q22" s="34"/>
      <c r="R22" s="35"/>
      <c r="S22" s="36"/>
      <c r="T22" s="122">
        <f t="shared" si="0"/>
        <v>0</v>
      </c>
      <c r="U22" s="38"/>
      <c r="V22" s="22"/>
    </row>
    <row r="23" spans="1:25" ht="12.75" x14ac:dyDescent="0.25">
      <c r="A23" s="180" t="s">
        <v>99</v>
      </c>
      <c r="B23" s="174"/>
      <c r="C23" s="168"/>
      <c r="D23" s="43" t="s">
        <v>93</v>
      </c>
      <c r="E23" s="49" t="s">
        <v>93</v>
      </c>
      <c r="F23" s="85" t="s">
        <v>50</v>
      </c>
      <c r="G23" s="25" t="s">
        <v>50</v>
      </c>
      <c r="H23" s="26"/>
      <c r="I23" s="27"/>
      <c r="J23" s="28"/>
      <c r="K23" s="29" t="s">
        <v>49</v>
      </c>
      <c r="L23" s="30" t="s">
        <v>93</v>
      </c>
      <c r="M23" s="40">
        <v>0.05</v>
      </c>
      <c r="N23" s="32">
        <v>3</v>
      </c>
      <c r="O23" s="24" t="s">
        <v>52</v>
      </c>
      <c r="P23" s="86" t="s">
        <v>51</v>
      </c>
      <c r="Q23" s="34"/>
      <c r="R23" s="35"/>
      <c r="S23" s="36"/>
      <c r="T23" s="122">
        <f t="shared" si="0"/>
        <v>0</v>
      </c>
      <c r="U23" s="38"/>
      <c r="V23" s="22"/>
    </row>
    <row r="24" spans="1:25" ht="27" customHeight="1" x14ac:dyDescent="0.25">
      <c r="A24" s="181"/>
      <c r="B24" s="174"/>
      <c r="C24" s="169"/>
      <c r="D24" s="43" t="s">
        <v>93</v>
      </c>
      <c r="E24" s="47" t="s">
        <v>93</v>
      </c>
      <c r="F24" s="24"/>
      <c r="G24" s="42" t="s">
        <v>53</v>
      </c>
      <c r="H24" s="26"/>
      <c r="I24" s="27"/>
      <c r="J24" s="28"/>
      <c r="K24" s="87" t="s">
        <v>54</v>
      </c>
      <c r="L24" s="30" t="s">
        <v>55</v>
      </c>
      <c r="M24" s="40">
        <v>0.01</v>
      </c>
      <c r="N24" s="32" t="s">
        <v>58</v>
      </c>
      <c r="O24" s="24" t="s">
        <v>56</v>
      </c>
      <c r="P24" s="33"/>
      <c r="Q24" s="34"/>
      <c r="R24" s="35"/>
      <c r="S24" s="36"/>
      <c r="T24" s="122">
        <f t="shared" si="0"/>
        <v>0</v>
      </c>
      <c r="U24" s="38"/>
      <c r="V24" s="22"/>
    </row>
    <row r="25" spans="1:25" ht="12.75" x14ac:dyDescent="0.25">
      <c r="A25" s="181"/>
      <c r="B25" s="174"/>
      <c r="C25" s="169"/>
      <c r="D25" s="43" t="s">
        <v>93</v>
      </c>
      <c r="E25" s="49" t="s">
        <v>93</v>
      </c>
      <c r="F25" s="24"/>
      <c r="G25" s="42" t="s">
        <v>64</v>
      </c>
      <c r="H25" s="26"/>
      <c r="I25" s="27"/>
      <c r="J25" s="28"/>
      <c r="K25" s="87" t="s">
        <v>66</v>
      </c>
      <c r="L25" s="30" t="s">
        <v>65</v>
      </c>
      <c r="M25" s="40" t="s">
        <v>67</v>
      </c>
      <c r="N25" s="32" t="s">
        <v>57</v>
      </c>
      <c r="O25" s="24" t="s">
        <v>52</v>
      </c>
      <c r="P25" s="33"/>
      <c r="Q25" s="34"/>
      <c r="R25" s="35"/>
      <c r="S25" s="36"/>
      <c r="T25" s="122">
        <f t="shared" si="0"/>
        <v>0</v>
      </c>
      <c r="U25" s="38"/>
      <c r="V25" s="22"/>
      <c r="Y25" s="55"/>
    </row>
    <row r="26" spans="1:25" ht="12.75" x14ac:dyDescent="0.25">
      <c r="A26" s="181"/>
      <c r="B26" s="174"/>
      <c r="C26" s="167"/>
      <c r="D26" s="43" t="s">
        <v>93</v>
      </c>
      <c r="E26" s="49" t="s">
        <v>93</v>
      </c>
      <c r="F26" s="24"/>
      <c r="G26" s="25" t="s">
        <v>59</v>
      </c>
      <c r="H26" s="26"/>
      <c r="I26" s="27"/>
      <c r="J26" s="28"/>
      <c r="K26" s="87" t="s">
        <v>60</v>
      </c>
      <c r="L26" s="30" t="s">
        <v>61</v>
      </c>
      <c r="M26" s="40">
        <v>0.01</v>
      </c>
      <c r="N26" s="32" t="s">
        <v>62</v>
      </c>
      <c r="O26" s="24" t="s">
        <v>63</v>
      </c>
      <c r="P26" s="33"/>
      <c r="Q26" s="34"/>
      <c r="R26" s="35"/>
      <c r="S26" s="36"/>
      <c r="T26" s="122">
        <f t="shared" si="0"/>
        <v>0</v>
      </c>
      <c r="U26" s="38"/>
      <c r="V26" s="22"/>
    </row>
    <row r="27" spans="1:25" ht="37.5" customHeight="1" x14ac:dyDescent="0.25">
      <c r="A27" s="181"/>
      <c r="B27" s="174"/>
      <c r="C27" s="170"/>
      <c r="D27" s="43" t="s">
        <v>93</v>
      </c>
      <c r="E27" s="49" t="s">
        <v>93</v>
      </c>
      <c r="F27" s="24"/>
      <c r="G27" s="25" t="s">
        <v>68</v>
      </c>
      <c r="H27" s="26"/>
      <c r="I27" s="27"/>
      <c r="J27" s="28"/>
      <c r="K27" s="89" t="s">
        <v>70</v>
      </c>
      <c r="L27" s="30" t="s">
        <v>93</v>
      </c>
      <c r="M27" s="31"/>
      <c r="N27" s="32"/>
      <c r="O27" s="24"/>
      <c r="P27" s="33"/>
      <c r="Q27" s="34"/>
      <c r="R27" s="35"/>
      <c r="S27" s="36"/>
      <c r="T27" s="122">
        <f t="shared" si="0"/>
        <v>0</v>
      </c>
      <c r="U27" s="38"/>
      <c r="V27" s="22"/>
    </row>
    <row r="28" spans="1:25" ht="31.5" customHeight="1" x14ac:dyDescent="0.25">
      <c r="A28" s="181"/>
      <c r="B28" s="174"/>
      <c r="C28" s="170"/>
      <c r="D28" s="43" t="s">
        <v>93</v>
      </c>
      <c r="E28" s="49" t="s">
        <v>93</v>
      </c>
      <c r="F28" s="24"/>
      <c r="G28" s="25" t="s">
        <v>69</v>
      </c>
      <c r="H28" s="26"/>
      <c r="I28" s="27"/>
      <c r="J28" s="28"/>
      <c r="K28" s="89" t="s">
        <v>71</v>
      </c>
      <c r="L28" s="30" t="s">
        <v>93</v>
      </c>
      <c r="M28" s="31"/>
      <c r="N28" s="32"/>
      <c r="O28" s="24"/>
      <c r="P28" s="33"/>
      <c r="Q28" s="34"/>
      <c r="R28" s="35"/>
      <c r="S28" s="36"/>
      <c r="T28" s="122">
        <f t="shared" si="0"/>
        <v>0</v>
      </c>
      <c r="U28" s="38"/>
      <c r="V28" s="22"/>
    </row>
    <row r="29" spans="1:25" ht="12.75" x14ac:dyDescent="0.25">
      <c r="A29" s="181"/>
      <c r="B29" s="174"/>
      <c r="C29" s="169"/>
      <c r="D29" s="43" t="s">
        <v>93</v>
      </c>
      <c r="E29" s="49" t="s">
        <v>93</v>
      </c>
      <c r="F29" s="24"/>
      <c r="G29" s="42" t="s">
        <v>72</v>
      </c>
      <c r="H29" s="26"/>
      <c r="I29" s="27"/>
      <c r="J29" s="28"/>
      <c r="K29" s="87" t="s">
        <v>73</v>
      </c>
      <c r="L29" s="30" t="s">
        <v>74</v>
      </c>
      <c r="M29" s="40">
        <v>0.05</v>
      </c>
      <c r="N29" s="32" t="s">
        <v>62</v>
      </c>
      <c r="O29" s="24"/>
      <c r="P29" s="33"/>
      <c r="Q29" s="34"/>
      <c r="R29" s="35"/>
      <c r="S29" s="36"/>
      <c r="T29" s="122">
        <f t="shared" si="0"/>
        <v>0</v>
      </c>
      <c r="U29" s="38"/>
      <c r="V29" s="22"/>
    </row>
    <row r="30" spans="1:25" ht="12.75" x14ac:dyDescent="0.25">
      <c r="A30" s="181"/>
      <c r="B30" s="174"/>
      <c r="C30" s="167"/>
      <c r="D30" s="43" t="s">
        <v>93</v>
      </c>
      <c r="E30" s="49" t="s">
        <v>93</v>
      </c>
      <c r="F30" s="24"/>
      <c r="G30" s="25" t="s">
        <v>75</v>
      </c>
      <c r="H30" s="26"/>
      <c r="I30" s="27"/>
      <c r="J30" s="28"/>
      <c r="K30" s="87" t="s">
        <v>76</v>
      </c>
      <c r="L30" s="30" t="s">
        <v>77</v>
      </c>
      <c r="M30" s="40">
        <v>0.05</v>
      </c>
      <c r="N30" s="32" t="s">
        <v>62</v>
      </c>
      <c r="O30" s="24"/>
      <c r="P30" s="33"/>
      <c r="Q30" s="34"/>
      <c r="R30" s="35"/>
      <c r="S30" s="36"/>
      <c r="T30" s="122">
        <f t="shared" si="0"/>
        <v>0</v>
      </c>
      <c r="U30" s="38"/>
      <c r="V30" s="22"/>
    </row>
    <row r="31" spans="1:25" ht="12.75" x14ac:dyDescent="0.25">
      <c r="A31" s="182"/>
      <c r="B31" s="174"/>
      <c r="C31" s="167"/>
      <c r="D31" s="43" t="s">
        <v>93</v>
      </c>
      <c r="E31" s="47" t="s">
        <v>93</v>
      </c>
      <c r="F31" s="24"/>
      <c r="G31" s="25" t="s">
        <v>78</v>
      </c>
      <c r="H31" s="26" t="s">
        <v>93</v>
      </c>
      <c r="I31" s="27"/>
      <c r="J31" s="28"/>
      <c r="K31" s="29" t="s">
        <v>79</v>
      </c>
      <c r="L31" s="30" t="s">
        <v>93</v>
      </c>
      <c r="M31" s="31"/>
      <c r="N31" s="32"/>
      <c r="O31" s="24"/>
      <c r="P31" s="33"/>
      <c r="Q31" s="34"/>
      <c r="R31" s="35"/>
      <c r="S31" s="36"/>
      <c r="T31" s="122">
        <f t="shared" si="0"/>
        <v>0</v>
      </c>
      <c r="U31" s="38"/>
      <c r="V31" s="22"/>
    </row>
    <row r="32" spans="1:25" ht="15" customHeight="1" x14ac:dyDescent="0.25">
      <c r="A32" s="183" t="s">
        <v>98</v>
      </c>
      <c r="B32" s="175"/>
      <c r="C32" s="167"/>
      <c r="D32" s="51" t="s">
        <v>130</v>
      </c>
      <c r="E32" s="49" t="s">
        <v>93</v>
      </c>
      <c r="F32" s="24" t="s">
        <v>131</v>
      </c>
      <c r="G32" s="25" t="s">
        <v>128</v>
      </c>
      <c r="H32" s="26"/>
      <c r="I32" s="27">
        <v>190</v>
      </c>
      <c r="J32" s="28">
        <v>0</v>
      </c>
      <c r="K32" s="29" t="s">
        <v>124</v>
      </c>
      <c r="L32" s="30" t="s">
        <v>129</v>
      </c>
      <c r="M32" s="40">
        <v>0.1</v>
      </c>
      <c r="N32" s="32">
        <v>20000</v>
      </c>
      <c r="O32" s="24" t="s">
        <v>132</v>
      </c>
      <c r="P32" s="33"/>
      <c r="Q32" s="34" t="s">
        <v>127</v>
      </c>
      <c r="S32" s="36" t="s">
        <v>126</v>
      </c>
      <c r="T32" s="122">
        <v>180</v>
      </c>
      <c r="U32" s="38" t="s">
        <v>125</v>
      </c>
      <c r="V32" s="22" t="s">
        <v>133</v>
      </c>
    </row>
    <row r="33" spans="1:22" ht="12.75" x14ac:dyDescent="0.25">
      <c r="A33" s="184"/>
      <c r="B33" s="175"/>
      <c r="C33" s="167"/>
      <c r="D33" s="43" t="s">
        <v>93</v>
      </c>
      <c r="E33" s="47" t="s">
        <v>93</v>
      </c>
      <c r="F33" s="24"/>
      <c r="G33" s="25"/>
      <c r="H33" s="26"/>
      <c r="I33" s="27"/>
      <c r="J33" s="28"/>
      <c r="K33" s="29"/>
      <c r="L33" s="30"/>
      <c r="M33" s="31"/>
      <c r="N33" s="32"/>
      <c r="O33" s="24"/>
      <c r="P33" s="33"/>
      <c r="Q33" s="34"/>
      <c r="R33" s="35"/>
      <c r="S33" s="36"/>
      <c r="T33" s="122">
        <f t="shared" si="0"/>
        <v>0</v>
      </c>
      <c r="U33" s="38"/>
      <c r="V33" s="22"/>
    </row>
    <row r="34" spans="1:22" ht="12.75" x14ac:dyDescent="0.25">
      <c r="A34" s="184"/>
      <c r="B34" s="175"/>
      <c r="C34" s="167"/>
      <c r="D34" s="43" t="s">
        <v>93</v>
      </c>
      <c r="E34" s="47" t="s">
        <v>93</v>
      </c>
      <c r="F34" s="24"/>
      <c r="G34" s="25"/>
      <c r="H34" s="26"/>
      <c r="I34" s="27"/>
      <c r="J34" s="28"/>
      <c r="K34" s="29"/>
      <c r="L34" s="30"/>
      <c r="M34" s="31"/>
      <c r="N34" s="32"/>
      <c r="O34" s="24"/>
      <c r="P34" s="33"/>
      <c r="Q34" s="34"/>
      <c r="R34" s="35"/>
      <c r="S34" s="36"/>
      <c r="T34" s="122">
        <f t="shared" si="0"/>
        <v>0</v>
      </c>
      <c r="U34" s="38"/>
      <c r="V34" s="22"/>
    </row>
    <row r="35" spans="1:22" ht="12.75" x14ac:dyDescent="0.25">
      <c r="A35" s="184"/>
      <c r="B35" s="175"/>
      <c r="C35" s="167"/>
      <c r="D35" s="43" t="s">
        <v>93</v>
      </c>
      <c r="E35" s="47" t="s">
        <v>93</v>
      </c>
      <c r="F35" s="24"/>
      <c r="G35" s="25"/>
      <c r="H35" s="26"/>
      <c r="I35" s="27"/>
      <c r="J35" s="28"/>
      <c r="K35" s="29"/>
      <c r="L35" s="30" t="s">
        <v>93</v>
      </c>
      <c r="M35" s="31"/>
      <c r="N35" s="32"/>
      <c r="O35" s="24"/>
      <c r="P35" s="33"/>
      <c r="Q35" s="34"/>
      <c r="R35" s="35"/>
      <c r="S35" s="36"/>
      <c r="T35" s="122">
        <f t="shared" si="0"/>
        <v>0</v>
      </c>
      <c r="U35" s="38"/>
      <c r="V35" s="22"/>
    </row>
    <row r="36" spans="1:22" ht="12.75" x14ac:dyDescent="0.25">
      <c r="A36" s="184"/>
      <c r="B36" s="175"/>
      <c r="C36" s="171"/>
      <c r="D36" s="43" t="s">
        <v>93</v>
      </c>
      <c r="E36" s="47" t="s">
        <v>93</v>
      </c>
      <c r="F36" s="24"/>
      <c r="G36" s="25" t="s">
        <v>83</v>
      </c>
      <c r="H36" s="26" t="s">
        <v>93</v>
      </c>
      <c r="I36" s="27"/>
      <c r="J36" s="28"/>
      <c r="K36" s="41" t="s">
        <v>82</v>
      </c>
      <c r="L36" s="30" t="s">
        <v>93</v>
      </c>
      <c r="M36" s="31"/>
      <c r="N36" s="32"/>
      <c r="O36" s="24"/>
      <c r="P36" s="33"/>
      <c r="Q36" s="34"/>
      <c r="R36" s="35"/>
      <c r="S36" s="36"/>
      <c r="T36" s="122">
        <f t="shared" si="0"/>
        <v>0</v>
      </c>
      <c r="U36" s="38"/>
      <c r="V36" s="22"/>
    </row>
    <row r="37" spans="1:22" ht="12.75" x14ac:dyDescent="0.2">
      <c r="A37" s="184"/>
      <c r="B37" s="175"/>
      <c r="C37" s="167"/>
      <c r="D37" s="43" t="s">
        <v>93</v>
      </c>
      <c r="E37" s="47" t="s">
        <v>93</v>
      </c>
      <c r="F37" s="24"/>
      <c r="G37" s="78" t="s">
        <v>109</v>
      </c>
      <c r="H37" s="26" t="s">
        <v>93</v>
      </c>
      <c r="I37" s="27"/>
      <c r="J37" s="28"/>
      <c r="K37" s="29"/>
      <c r="L37" s="30"/>
      <c r="M37" s="31"/>
      <c r="N37" s="32"/>
      <c r="O37" s="24"/>
      <c r="P37" s="33"/>
      <c r="Q37" s="34"/>
      <c r="R37" s="35"/>
      <c r="S37" s="36"/>
      <c r="T37" s="122">
        <f t="shared" si="0"/>
        <v>0</v>
      </c>
      <c r="U37" s="38"/>
      <c r="V37" s="22"/>
    </row>
    <row r="38" spans="1:22" ht="12.75" x14ac:dyDescent="0.2">
      <c r="A38" s="184"/>
      <c r="B38" s="175"/>
      <c r="C38" s="167"/>
      <c r="D38" s="80" t="s">
        <v>113</v>
      </c>
      <c r="E38" s="47" t="s">
        <v>93</v>
      </c>
      <c r="G38" s="79" t="s">
        <v>112</v>
      </c>
      <c r="H38" s="26"/>
      <c r="I38" s="27"/>
      <c r="J38" s="28"/>
      <c r="K38" s="29"/>
      <c r="L38" s="30"/>
      <c r="M38" s="31"/>
      <c r="N38" s="32"/>
      <c r="O38" s="24"/>
      <c r="P38" s="33"/>
      <c r="Q38" s="34"/>
      <c r="R38" s="35"/>
      <c r="S38" s="36"/>
      <c r="T38" s="122">
        <f t="shared" si="0"/>
        <v>0</v>
      </c>
      <c r="U38" s="38"/>
      <c r="V38" s="22"/>
    </row>
    <row r="39" spans="1:22" ht="12.75" x14ac:dyDescent="0.25">
      <c r="A39" s="185"/>
      <c r="B39" s="175"/>
      <c r="C39" s="167"/>
      <c r="D39" s="43"/>
      <c r="E39" s="47" t="s">
        <v>93</v>
      </c>
      <c r="F39" s="24"/>
      <c r="G39" s="25"/>
      <c r="H39" s="26"/>
      <c r="I39" s="27"/>
      <c r="J39" s="28"/>
      <c r="K39" s="29"/>
      <c r="L39" s="30"/>
      <c r="M39" s="31"/>
      <c r="N39" s="32"/>
      <c r="O39" s="24"/>
      <c r="P39" s="33"/>
      <c r="Q39" s="34"/>
      <c r="R39" s="35"/>
      <c r="S39" s="36"/>
      <c r="T39" s="122">
        <f t="shared" si="0"/>
        <v>0</v>
      </c>
      <c r="U39" s="38"/>
      <c r="V39" s="22"/>
    </row>
    <row r="40" spans="1:22" ht="12.75" x14ac:dyDescent="0.25">
      <c r="A40" s="180" t="s">
        <v>97</v>
      </c>
      <c r="B40" s="174"/>
      <c r="C40" s="167"/>
      <c r="D40" s="43" t="s">
        <v>84</v>
      </c>
      <c r="E40" s="47" t="s">
        <v>93</v>
      </c>
      <c r="F40" s="24"/>
      <c r="G40" s="25" t="s">
        <v>85</v>
      </c>
      <c r="H40" s="26"/>
      <c r="I40" s="27"/>
      <c r="J40" s="28"/>
      <c r="K40" s="29"/>
      <c r="L40" s="30"/>
      <c r="M40" s="31"/>
      <c r="N40" s="32"/>
      <c r="O40" s="24"/>
      <c r="P40" s="33"/>
      <c r="Q40" s="34"/>
      <c r="R40" s="35"/>
      <c r="S40" s="36"/>
      <c r="T40" s="122">
        <f t="shared" si="0"/>
        <v>0</v>
      </c>
      <c r="U40" s="38"/>
      <c r="V40" s="22"/>
    </row>
    <row r="41" spans="1:22" ht="12.75" x14ac:dyDescent="0.25">
      <c r="A41" s="181"/>
      <c r="B41" s="174"/>
      <c r="C41" s="172"/>
      <c r="D41" s="43" t="s">
        <v>90</v>
      </c>
      <c r="E41" s="47" t="s">
        <v>93</v>
      </c>
      <c r="F41" s="24" t="s">
        <v>87</v>
      </c>
      <c r="G41" s="42" t="s">
        <v>91</v>
      </c>
      <c r="H41" s="26"/>
      <c r="I41" s="27"/>
      <c r="J41" s="28"/>
      <c r="K41" s="29" t="s">
        <v>85</v>
      </c>
      <c r="L41" s="30" t="s">
        <v>89</v>
      </c>
      <c r="M41" s="31"/>
      <c r="N41" s="32"/>
      <c r="O41" s="24"/>
      <c r="P41" s="33"/>
      <c r="Q41" s="34"/>
      <c r="R41" s="35"/>
      <c r="S41" s="36"/>
      <c r="T41" s="122">
        <f t="shared" si="0"/>
        <v>0</v>
      </c>
      <c r="U41" s="38"/>
      <c r="V41" s="22"/>
    </row>
    <row r="42" spans="1:22" ht="12.75" x14ac:dyDescent="0.25">
      <c r="A42" s="181"/>
      <c r="B42" s="174"/>
      <c r="C42" s="167"/>
      <c r="D42" s="43" t="s">
        <v>88</v>
      </c>
      <c r="E42" s="54" t="s">
        <v>93</v>
      </c>
      <c r="F42" s="24"/>
      <c r="G42" s="25" t="s">
        <v>86</v>
      </c>
      <c r="H42" s="26"/>
      <c r="I42" s="27"/>
      <c r="J42" s="28"/>
      <c r="K42" s="29" t="s">
        <v>85</v>
      </c>
      <c r="L42" s="30" t="s">
        <v>93</v>
      </c>
      <c r="M42" s="31"/>
      <c r="N42" s="32"/>
      <c r="O42" s="24"/>
      <c r="P42" s="33"/>
      <c r="Q42" s="34"/>
      <c r="R42" s="35"/>
      <c r="S42" s="36"/>
      <c r="T42" s="122">
        <f t="shared" si="0"/>
        <v>0</v>
      </c>
      <c r="U42" s="38"/>
      <c r="V42" s="22"/>
    </row>
    <row r="43" spans="1:22" ht="12.75" x14ac:dyDescent="0.25">
      <c r="A43" s="181"/>
      <c r="B43" s="174"/>
      <c r="C43" s="172"/>
      <c r="D43" s="43" t="s">
        <v>88</v>
      </c>
      <c r="E43" s="47" t="s">
        <v>93</v>
      </c>
      <c r="F43" s="24"/>
      <c r="G43" s="42" t="s">
        <v>91</v>
      </c>
      <c r="H43" s="26"/>
      <c r="I43" s="27"/>
      <c r="J43" s="28"/>
      <c r="K43" s="29" t="s">
        <v>85</v>
      </c>
      <c r="L43" s="30" t="s">
        <v>93</v>
      </c>
      <c r="M43" s="31"/>
      <c r="N43" s="32"/>
      <c r="O43" s="24"/>
      <c r="P43" s="33"/>
      <c r="Q43" s="34"/>
      <c r="R43" s="35"/>
      <c r="S43" s="36"/>
      <c r="T43" s="122">
        <f t="shared" si="0"/>
        <v>0</v>
      </c>
      <c r="U43" s="38"/>
      <c r="V43" s="22"/>
    </row>
    <row r="44" spans="1:22" ht="12.75" x14ac:dyDescent="0.25">
      <c r="A44" s="181"/>
      <c r="B44" s="174"/>
      <c r="C44" s="167"/>
      <c r="D44" s="43"/>
      <c r="E44" s="47" t="s">
        <v>93</v>
      </c>
      <c r="F44" s="24"/>
      <c r="G44" s="25" t="s">
        <v>80</v>
      </c>
      <c r="H44" s="26"/>
      <c r="I44" s="27"/>
      <c r="J44" s="28"/>
      <c r="K44" s="29" t="s">
        <v>81</v>
      </c>
      <c r="L44" s="30" t="s">
        <v>93</v>
      </c>
      <c r="M44" s="31"/>
      <c r="N44" s="32"/>
      <c r="O44" s="24"/>
      <c r="P44" s="33"/>
      <c r="Q44" s="34"/>
      <c r="R44" s="35"/>
      <c r="S44" s="36"/>
      <c r="T44" s="122">
        <f t="shared" si="0"/>
        <v>0</v>
      </c>
      <c r="U44" s="38"/>
      <c r="V44" s="22"/>
    </row>
    <row r="45" spans="1:22" ht="12.75" x14ac:dyDescent="0.25">
      <c r="A45" s="181"/>
      <c r="B45" s="174"/>
      <c r="C45" s="167"/>
      <c r="D45" s="43" t="s">
        <v>263</v>
      </c>
      <c r="E45" s="47" t="s">
        <v>93</v>
      </c>
      <c r="F45" s="24"/>
      <c r="G45" s="25" t="s">
        <v>265</v>
      </c>
      <c r="H45" s="26"/>
      <c r="I45" s="27"/>
      <c r="J45" s="28"/>
      <c r="K45" s="29" t="s">
        <v>264</v>
      </c>
      <c r="L45" s="30"/>
      <c r="M45" s="31"/>
      <c r="N45" s="32"/>
      <c r="O45" s="24"/>
      <c r="P45" s="33"/>
      <c r="Q45" s="34"/>
      <c r="R45" s="35"/>
      <c r="S45" s="36"/>
      <c r="T45" s="122">
        <f t="shared" si="0"/>
        <v>0</v>
      </c>
      <c r="U45" s="38"/>
      <c r="V45" s="22"/>
    </row>
    <row r="46" spans="1:22" ht="12.75" x14ac:dyDescent="0.25">
      <c r="A46" s="181"/>
      <c r="B46" s="174"/>
      <c r="C46" s="167"/>
      <c r="D46" s="154" t="s">
        <v>489</v>
      </c>
      <c r="E46" s="49"/>
      <c r="F46" s="24"/>
      <c r="G46" s="25" t="s">
        <v>490</v>
      </c>
      <c r="H46" s="26"/>
      <c r="I46" s="27">
        <v>12</v>
      </c>
      <c r="J46" s="28">
        <v>0</v>
      </c>
      <c r="K46" s="29" t="s">
        <v>491</v>
      </c>
      <c r="L46" s="30" t="s">
        <v>492</v>
      </c>
      <c r="M46" s="31"/>
      <c r="N46" s="32" t="s">
        <v>493</v>
      </c>
      <c r="O46" s="24"/>
      <c r="P46" s="33"/>
      <c r="Q46" s="34"/>
      <c r="R46" s="35"/>
      <c r="S46" s="36">
        <v>2.1</v>
      </c>
      <c r="T46" s="122">
        <f t="shared" si="0"/>
        <v>25.200000000000003</v>
      </c>
      <c r="U46" s="38"/>
      <c r="V46" s="22"/>
    </row>
    <row r="47" spans="1:22" ht="12.75" x14ac:dyDescent="0.25">
      <c r="A47" s="182"/>
      <c r="B47" s="174"/>
      <c r="C47" s="167"/>
      <c r="D47" s="43"/>
      <c r="E47" s="47" t="s">
        <v>93</v>
      </c>
      <c r="F47" s="24"/>
      <c r="G47" s="25"/>
      <c r="H47" s="26"/>
      <c r="I47" s="27"/>
      <c r="J47" s="28"/>
      <c r="K47" s="29"/>
      <c r="L47" s="30"/>
      <c r="M47" s="31"/>
      <c r="N47" s="32"/>
      <c r="O47" s="24"/>
      <c r="P47" s="33"/>
      <c r="Q47" s="34"/>
      <c r="R47" s="35"/>
      <c r="S47" s="36"/>
      <c r="T47" s="122">
        <f t="shared" si="0"/>
        <v>0</v>
      </c>
      <c r="U47" s="38"/>
      <c r="V47" s="22"/>
    </row>
    <row r="48" spans="1:22" ht="15" customHeight="1" x14ac:dyDescent="0.25">
      <c r="A48" s="180" t="s">
        <v>96</v>
      </c>
      <c r="B48" s="174"/>
      <c r="C48" s="168"/>
      <c r="D48" s="80" t="s">
        <v>37</v>
      </c>
      <c r="E48" s="47" t="s">
        <v>93</v>
      </c>
      <c r="F48" s="24"/>
      <c r="G48" s="25" t="s">
        <v>36</v>
      </c>
      <c r="H48" s="26"/>
      <c r="I48" s="27"/>
      <c r="J48" s="28"/>
      <c r="K48" s="29"/>
      <c r="L48" s="30"/>
      <c r="M48" s="31"/>
      <c r="N48" s="32"/>
      <c r="O48" s="24"/>
      <c r="P48" s="33"/>
      <c r="Q48" s="34"/>
      <c r="R48" s="35"/>
      <c r="S48" s="36"/>
      <c r="T48" s="122">
        <f t="shared" si="0"/>
        <v>0</v>
      </c>
      <c r="U48" s="38"/>
      <c r="V48" s="22"/>
    </row>
    <row r="49" spans="1:22" ht="15" customHeight="1" x14ac:dyDescent="0.25">
      <c r="A49" s="181"/>
      <c r="B49" s="174"/>
      <c r="C49" s="167"/>
      <c r="D49" s="51" t="s">
        <v>101</v>
      </c>
      <c r="E49" s="49" t="s">
        <v>93</v>
      </c>
      <c r="F49" s="24"/>
      <c r="G49" s="25" t="s">
        <v>100</v>
      </c>
      <c r="H49" s="26"/>
      <c r="I49" s="27"/>
      <c r="J49" s="28"/>
      <c r="K49" s="29"/>
      <c r="L49" s="30"/>
      <c r="M49" s="31"/>
      <c r="N49" s="32"/>
      <c r="O49" s="24"/>
      <c r="P49" s="33"/>
      <c r="Q49" s="34"/>
      <c r="R49" s="35"/>
      <c r="S49" s="36"/>
      <c r="T49" s="122">
        <f t="shared" si="0"/>
        <v>0</v>
      </c>
      <c r="U49" s="38"/>
      <c r="V49" s="22"/>
    </row>
    <row r="50" spans="1:22" ht="15" customHeight="1" x14ac:dyDescent="0.2">
      <c r="A50" s="181"/>
      <c r="B50" s="174"/>
      <c r="C50" s="167"/>
      <c r="D50" s="80" t="s">
        <v>104</v>
      </c>
      <c r="E50" s="47" t="s">
        <v>93</v>
      </c>
      <c r="F50" s="24"/>
      <c r="G50" s="90" t="s">
        <v>102</v>
      </c>
      <c r="H50" s="26" t="s">
        <v>93</v>
      </c>
      <c r="I50" s="27"/>
      <c r="J50" s="28"/>
      <c r="K50" s="29" t="s">
        <v>103</v>
      </c>
      <c r="L50" s="30"/>
      <c r="M50" s="31"/>
      <c r="N50" s="32"/>
      <c r="O50" s="24"/>
      <c r="P50" s="33"/>
      <c r="Q50" s="34"/>
      <c r="R50" s="35"/>
      <c r="S50" s="36"/>
      <c r="T50" s="122">
        <f t="shared" si="0"/>
        <v>0</v>
      </c>
      <c r="U50" s="38"/>
      <c r="V50" s="22"/>
    </row>
    <row r="51" spans="1:22" ht="15" customHeight="1" x14ac:dyDescent="0.25">
      <c r="A51" s="181"/>
      <c r="B51" s="174"/>
      <c r="C51" s="167"/>
      <c r="D51" s="80" t="s">
        <v>106</v>
      </c>
      <c r="E51" s="47" t="s">
        <v>93</v>
      </c>
      <c r="F51" s="24"/>
      <c r="G51" s="25" t="s">
        <v>105</v>
      </c>
      <c r="H51" s="26" t="s">
        <v>93</v>
      </c>
      <c r="I51" s="27"/>
      <c r="J51" s="28"/>
      <c r="K51" s="29"/>
      <c r="L51" s="30"/>
      <c r="M51" s="31"/>
      <c r="N51" s="32"/>
      <c r="O51" s="24"/>
      <c r="P51" s="33"/>
      <c r="Q51" s="34"/>
      <c r="R51" s="35"/>
      <c r="S51" s="36"/>
      <c r="T51" s="122">
        <f t="shared" si="0"/>
        <v>0</v>
      </c>
      <c r="U51" s="38"/>
      <c r="V51" s="22"/>
    </row>
    <row r="52" spans="1:22" ht="15" customHeight="1" x14ac:dyDescent="0.2">
      <c r="A52" s="182"/>
      <c r="B52" s="174"/>
      <c r="C52" s="167"/>
      <c r="D52" s="51" t="s">
        <v>108</v>
      </c>
      <c r="E52" s="47" t="s">
        <v>93</v>
      </c>
      <c r="F52" s="24"/>
      <c r="G52" s="156" t="s">
        <v>107</v>
      </c>
      <c r="H52" s="26" t="s">
        <v>93</v>
      </c>
      <c r="I52" s="27"/>
      <c r="J52" s="28"/>
      <c r="K52" s="29"/>
      <c r="L52" s="30"/>
      <c r="M52" s="31"/>
      <c r="N52" s="32"/>
      <c r="O52" s="24"/>
      <c r="P52" s="33"/>
      <c r="Q52" s="34"/>
      <c r="R52" s="35"/>
      <c r="S52" s="36"/>
      <c r="T52" s="122">
        <f t="shared" si="0"/>
        <v>0</v>
      </c>
      <c r="U52" s="38"/>
      <c r="V52" s="22"/>
    </row>
    <row r="53" spans="1:22" ht="12.75" x14ac:dyDescent="0.2">
      <c r="A53" s="77"/>
      <c r="B53" s="164"/>
      <c r="C53" s="167"/>
      <c r="D53" s="43" t="s">
        <v>123</v>
      </c>
      <c r="E53" s="47" t="s">
        <v>93</v>
      </c>
      <c r="F53" s="24"/>
      <c r="G53" s="156" t="s">
        <v>107</v>
      </c>
      <c r="H53" s="26" t="s">
        <v>93</v>
      </c>
      <c r="I53" s="27"/>
      <c r="J53" s="28"/>
      <c r="K53" s="29"/>
      <c r="L53" s="30"/>
      <c r="M53" s="31"/>
      <c r="N53" s="32"/>
      <c r="O53" s="24"/>
      <c r="P53" s="33"/>
      <c r="Q53" s="34"/>
      <c r="R53" s="35"/>
      <c r="S53" s="36"/>
      <c r="T53" s="122">
        <f t="shared" si="0"/>
        <v>0</v>
      </c>
      <c r="U53" s="38"/>
      <c r="V53" s="22"/>
    </row>
    <row r="54" spans="1:22" ht="12.75" x14ac:dyDescent="0.25">
      <c r="A54" s="77"/>
      <c r="B54" s="164"/>
      <c r="C54" s="167"/>
      <c r="D54" s="43"/>
      <c r="E54" s="47" t="s">
        <v>93</v>
      </c>
      <c r="F54" s="24"/>
      <c r="G54" s="25"/>
      <c r="H54" s="26"/>
      <c r="I54" s="27"/>
      <c r="J54" s="28"/>
      <c r="K54" s="29"/>
      <c r="L54" s="30"/>
      <c r="M54" s="31"/>
      <c r="N54" s="32"/>
      <c r="O54" s="24"/>
      <c r="P54" s="33"/>
      <c r="Q54" s="34"/>
      <c r="R54" s="35"/>
      <c r="S54" s="36"/>
      <c r="T54" s="122">
        <f t="shared" si="0"/>
        <v>0</v>
      </c>
      <c r="U54" s="38"/>
      <c r="V54" s="22"/>
    </row>
    <row r="55" spans="1:22" ht="12.75" x14ac:dyDescent="0.25">
      <c r="A55" s="77" t="s">
        <v>110</v>
      </c>
      <c r="B55" s="164"/>
      <c r="C55" s="167"/>
      <c r="D55" s="43" t="s">
        <v>111</v>
      </c>
      <c r="E55" s="47" t="s">
        <v>93</v>
      </c>
      <c r="F55" s="24"/>
      <c r="G55" s="25"/>
      <c r="H55" s="26"/>
      <c r="I55" s="27"/>
      <c r="J55" s="28"/>
      <c r="K55" s="29"/>
      <c r="L55" s="30"/>
      <c r="M55" s="31"/>
      <c r="N55" s="32"/>
      <c r="O55" s="24"/>
      <c r="P55" s="33"/>
      <c r="Q55" s="34"/>
      <c r="R55" s="35"/>
      <c r="S55" s="36"/>
      <c r="T55" s="122">
        <f t="shared" si="0"/>
        <v>0</v>
      </c>
      <c r="U55" s="38"/>
      <c r="V55" s="22"/>
    </row>
    <row r="56" spans="1:22" ht="12.75" x14ac:dyDescent="0.25">
      <c r="A56" s="77"/>
      <c r="B56" s="164"/>
      <c r="C56" s="167"/>
      <c r="D56" s="43"/>
      <c r="E56" s="47" t="s">
        <v>93</v>
      </c>
      <c r="F56" s="24"/>
      <c r="G56" s="25"/>
      <c r="H56" s="26"/>
      <c r="I56" s="27"/>
      <c r="J56" s="28"/>
      <c r="K56" s="29"/>
      <c r="L56" s="30"/>
      <c r="M56" s="31"/>
      <c r="N56" s="32"/>
      <c r="O56" s="24"/>
      <c r="P56" s="33"/>
      <c r="Q56" s="34"/>
      <c r="R56" s="35"/>
      <c r="S56" s="36"/>
      <c r="T56" s="122">
        <f t="shared" si="0"/>
        <v>0</v>
      </c>
      <c r="U56" s="38"/>
      <c r="V56" s="22"/>
    </row>
    <row r="57" spans="1:22" ht="14.25" customHeight="1" x14ac:dyDescent="0.25">
      <c r="A57" s="189" t="s">
        <v>272</v>
      </c>
      <c r="B57" s="176"/>
      <c r="C57" s="167"/>
      <c r="D57" s="43" t="s">
        <v>271</v>
      </c>
      <c r="E57" s="47" t="s">
        <v>93</v>
      </c>
      <c r="F57" s="24"/>
      <c r="G57" s="25"/>
      <c r="H57" s="26"/>
      <c r="I57" s="27"/>
      <c r="J57" s="28"/>
      <c r="K57" s="29"/>
      <c r="L57" s="30"/>
      <c r="M57" s="31"/>
      <c r="N57" s="32"/>
      <c r="O57" s="24"/>
      <c r="P57" s="33"/>
      <c r="Q57" s="34"/>
      <c r="R57" s="35"/>
      <c r="S57" s="36"/>
      <c r="T57" s="122">
        <f t="shared" si="0"/>
        <v>0</v>
      </c>
      <c r="U57" s="38"/>
      <c r="V57" s="22"/>
    </row>
    <row r="58" spans="1:22" ht="12.75" x14ac:dyDescent="0.25">
      <c r="A58" s="190"/>
      <c r="B58" s="176"/>
      <c r="C58" s="167"/>
      <c r="D58" s="43" t="s">
        <v>270</v>
      </c>
      <c r="E58" s="47" t="s">
        <v>93</v>
      </c>
      <c r="F58" s="24"/>
      <c r="G58" s="25"/>
      <c r="H58" s="26"/>
      <c r="I58" s="27"/>
      <c r="J58" s="28"/>
      <c r="K58" s="29"/>
      <c r="L58" s="30"/>
      <c r="M58" s="31"/>
      <c r="N58" s="32"/>
      <c r="O58" s="24"/>
      <c r="P58" s="33"/>
      <c r="Q58" s="34"/>
      <c r="R58" s="35"/>
      <c r="S58" s="36"/>
      <c r="T58" s="122">
        <f t="shared" si="0"/>
        <v>0</v>
      </c>
      <c r="U58" s="38"/>
      <c r="V58" s="22"/>
    </row>
    <row r="59" spans="1:22" ht="12.75" x14ac:dyDescent="0.25">
      <c r="A59" s="191"/>
      <c r="B59" s="176"/>
      <c r="C59" s="167"/>
      <c r="D59" s="43" t="s">
        <v>273</v>
      </c>
      <c r="E59" s="47" t="s">
        <v>93</v>
      </c>
      <c r="F59" s="24"/>
      <c r="G59" s="25"/>
      <c r="H59" s="26"/>
      <c r="I59" s="27"/>
      <c r="J59" s="28"/>
      <c r="K59" s="29"/>
      <c r="L59" s="30"/>
      <c r="M59" s="31"/>
      <c r="N59" s="32"/>
      <c r="O59" s="24"/>
      <c r="P59" s="33"/>
      <c r="Q59" s="34"/>
      <c r="R59" s="35"/>
      <c r="S59" s="36"/>
      <c r="T59" s="122">
        <f t="shared" si="0"/>
        <v>0</v>
      </c>
      <c r="U59" s="38"/>
      <c r="V59" s="22"/>
    </row>
    <row r="60" spans="1:22" ht="12.75" x14ac:dyDescent="0.25">
      <c r="A60" s="77"/>
      <c r="B60" s="164"/>
      <c r="C60" s="167"/>
      <c r="D60" s="43"/>
      <c r="E60" s="47" t="s">
        <v>93</v>
      </c>
      <c r="F60" s="24"/>
      <c r="G60" s="25"/>
      <c r="H60" s="26"/>
      <c r="I60" s="27"/>
      <c r="J60" s="28"/>
      <c r="K60" s="29"/>
      <c r="L60" s="30"/>
      <c r="M60" s="31"/>
      <c r="N60" s="32"/>
      <c r="O60" s="24"/>
      <c r="P60" s="33"/>
      <c r="Q60" s="34"/>
      <c r="R60" s="35"/>
      <c r="S60" s="36"/>
      <c r="T60" s="122">
        <f t="shared" si="0"/>
        <v>0</v>
      </c>
      <c r="U60" s="38"/>
      <c r="V60" s="22"/>
    </row>
    <row r="61" spans="1:22" ht="12.75" x14ac:dyDescent="0.25">
      <c r="A61" s="186" t="s">
        <v>274</v>
      </c>
      <c r="B61" s="177" t="s">
        <v>454</v>
      </c>
      <c r="C61" s="170"/>
      <c r="D61" s="43" t="s">
        <v>291</v>
      </c>
      <c r="E61" s="49" t="s">
        <v>93</v>
      </c>
      <c r="F61" s="24" t="s">
        <v>294</v>
      </c>
      <c r="G61" s="25" t="s">
        <v>68</v>
      </c>
      <c r="H61" s="26"/>
      <c r="I61" s="27">
        <v>1</v>
      </c>
      <c r="J61" s="28"/>
      <c r="K61" s="89" t="s">
        <v>70</v>
      </c>
      <c r="L61" s="30" t="s">
        <v>93</v>
      </c>
      <c r="M61" s="31"/>
      <c r="N61" s="32"/>
      <c r="O61" s="24"/>
      <c r="P61" s="33"/>
      <c r="Q61" s="34" t="s">
        <v>296</v>
      </c>
      <c r="R61" s="35" t="s">
        <v>300</v>
      </c>
      <c r="S61" s="36"/>
      <c r="T61" s="122">
        <f t="shared" si="0"/>
        <v>0</v>
      </c>
      <c r="U61" s="166"/>
      <c r="V61" s="22"/>
    </row>
    <row r="62" spans="1:22" ht="12.75" x14ac:dyDescent="0.25">
      <c r="A62" s="187"/>
      <c r="B62" s="177" t="s">
        <v>454</v>
      </c>
      <c r="C62" s="170"/>
      <c r="D62" s="43" t="s">
        <v>292</v>
      </c>
      <c r="E62" s="49" t="s">
        <v>93</v>
      </c>
      <c r="F62" s="24" t="s">
        <v>293</v>
      </c>
      <c r="G62" s="25" t="s">
        <v>69</v>
      </c>
      <c r="H62" s="26"/>
      <c r="I62" s="27">
        <v>2</v>
      </c>
      <c r="J62" s="28"/>
      <c r="K62" s="89" t="s">
        <v>71</v>
      </c>
      <c r="L62" s="30" t="s">
        <v>93</v>
      </c>
      <c r="M62" s="31"/>
      <c r="N62" s="32"/>
      <c r="O62" s="24"/>
      <c r="P62" s="33"/>
      <c r="Q62" s="34" t="s">
        <v>296</v>
      </c>
      <c r="R62" s="35" t="s">
        <v>299</v>
      </c>
      <c r="S62" s="36"/>
      <c r="T62" s="122">
        <f t="shared" si="0"/>
        <v>0</v>
      </c>
      <c r="U62" s="38"/>
      <c r="V62" s="22"/>
    </row>
    <row r="63" spans="1:22" ht="12.75" x14ac:dyDescent="0.2">
      <c r="A63" s="187"/>
      <c r="B63" s="177" t="s">
        <v>454</v>
      </c>
      <c r="C63" s="170"/>
      <c r="D63" s="43" t="s">
        <v>287</v>
      </c>
      <c r="E63" s="49" t="s">
        <v>93</v>
      </c>
      <c r="F63" s="157" t="s">
        <v>76</v>
      </c>
      <c r="G63" s="25" t="s">
        <v>75</v>
      </c>
      <c r="H63" s="26"/>
      <c r="I63" s="27">
        <v>3</v>
      </c>
      <c r="J63" s="28"/>
      <c r="K63" s="89" t="s">
        <v>76</v>
      </c>
      <c r="L63" s="30" t="s">
        <v>93</v>
      </c>
      <c r="M63" s="40">
        <v>0.05</v>
      </c>
      <c r="N63" s="32" t="s">
        <v>288</v>
      </c>
      <c r="O63" s="24"/>
      <c r="P63" s="33"/>
      <c r="Q63" s="34" t="s">
        <v>297</v>
      </c>
      <c r="R63" s="35" t="s">
        <v>286</v>
      </c>
      <c r="S63" s="56">
        <v>0.28000000000000003</v>
      </c>
      <c r="T63" s="122">
        <f t="shared" si="0"/>
        <v>0.84000000000000008</v>
      </c>
      <c r="U63" s="38"/>
      <c r="V63" s="22"/>
    </row>
    <row r="64" spans="1:22" x14ac:dyDescent="0.2">
      <c r="A64" s="187"/>
      <c r="B64" s="177" t="s">
        <v>454</v>
      </c>
      <c r="C64" s="170"/>
      <c r="D64" s="51" t="s">
        <v>289</v>
      </c>
      <c r="E64" s="49" t="s">
        <v>93</v>
      </c>
      <c r="F64" s="157" t="s">
        <v>73</v>
      </c>
      <c r="G64" s="25" t="s">
        <v>72</v>
      </c>
      <c r="H64" s="26"/>
      <c r="I64" s="27">
        <v>2</v>
      </c>
      <c r="J64" s="28"/>
      <c r="K64" s="89" t="s">
        <v>73</v>
      </c>
      <c r="L64" s="30" t="s">
        <v>93</v>
      </c>
      <c r="M64" s="40">
        <v>0.05</v>
      </c>
      <c r="N64" s="32" t="s">
        <v>288</v>
      </c>
      <c r="O64" s="24"/>
      <c r="P64" s="33"/>
      <c r="Q64" s="34" t="s">
        <v>297</v>
      </c>
      <c r="R64" s="35" t="s">
        <v>290</v>
      </c>
      <c r="S64" s="56">
        <v>0.48</v>
      </c>
      <c r="T64" s="122">
        <f t="shared" si="0"/>
        <v>0.96</v>
      </c>
      <c r="U64" s="38"/>
      <c r="V64" s="22"/>
    </row>
    <row r="65" spans="1:22" ht="12.75" x14ac:dyDescent="0.25">
      <c r="A65" s="186" t="s">
        <v>275</v>
      </c>
      <c r="B65" s="177" t="s">
        <v>454</v>
      </c>
      <c r="C65" s="170"/>
      <c r="D65" s="43" t="s">
        <v>291</v>
      </c>
      <c r="E65" s="49" t="s">
        <v>93</v>
      </c>
      <c r="F65" s="24" t="s">
        <v>294</v>
      </c>
      <c r="G65" s="25" t="s">
        <v>68</v>
      </c>
      <c r="H65" s="26"/>
      <c r="I65" s="27">
        <v>1</v>
      </c>
      <c r="J65" s="28"/>
      <c r="K65" s="89" t="s">
        <v>70</v>
      </c>
      <c r="L65" s="30" t="s">
        <v>93</v>
      </c>
      <c r="M65" s="31"/>
      <c r="N65" s="32"/>
      <c r="O65" s="24"/>
      <c r="P65" s="33"/>
      <c r="Q65" s="34" t="s">
        <v>296</v>
      </c>
      <c r="R65" s="35" t="s">
        <v>300</v>
      </c>
      <c r="S65" s="36"/>
      <c r="T65" s="122">
        <f t="shared" si="0"/>
        <v>0</v>
      </c>
      <c r="U65" s="38"/>
      <c r="V65" s="22"/>
    </row>
    <row r="66" spans="1:22" ht="12.75" x14ac:dyDescent="0.25">
      <c r="A66" s="187"/>
      <c r="B66" s="177" t="s">
        <v>454</v>
      </c>
      <c r="C66" s="170"/>
      <c r="D66" s="43" t="s">
        <v>292</v>
      </c>
      <c r="E66" s="49" t="s">
        <v>93</v>
      </c>
      <c r="F66" s="24" t="s">
        <v>293</v>
      </c>
      <c r="G66" s="25" t="s">
        <v>69</v>
      </c>
      <c r="H66" s="26"/>
      <c r="I66" s="27">
        <v>2</v>
      </c>
      <c r="J66" s="28"/>
      <c r="K66" s="89" t="s">
        <v>71</v>
      </c>
      <c r="L66" s="30" t="s">
        <v>93</v>
      </c>
      <c r="M66" s="31"/>
      <c r="N66" s="32"/>
      <c r="O66" s="24"/>
      <c r="P66" s="33"/>
      <c r="Q66" s="34" t="s">
        <v>296</v>
      </c>
      <c r="R66" s="35" t="s">
        <v>299</v>
      </c>
      <c r="S66" s="36"/>
      <c r="T66" s="122">
        <f t="shared" si="0"/>
        <v>0</v>
      </c>
      <c r="U66" s="38"/>
      <c r="V66" s="22"/>
    </row>
    <row r="67" spans="1:22" ht="12.75" x14ac:dyDescent="0.2">
      <c r="A67" s="187"/>
      <c r="B67" s="177" t="s">
        <v>454</v>
      </c>
      <c r="C67" s="170"/>
      <c r="D67" s="43" t="s">
        <v>287</v>
      </c>
      <c r="E67" s="49" t="s">
        <v>93</v>
      </c>
      <c r="F67" s="157" t="s">
        <v>76</v>
      </c>
      <c r="G67" s="25" t="s">
        <v>75</v>
      </c>
      <c r="H67" s="26"/>
      <c r="I67" s="27">
        <v>3</v>
      </c>
      <c r="J67" s="28"/>
      <c r="K67" s="89" t="s">
        <v>76</v>
      </c>
      <c r="L67" s="30" t="s">
        <v>93</v>
      </c>
      <c r="M67" s="40">
        <v>0.05</v>
      </c>
      <c r="N67" s="32" t="s">
        <v>288</v>
      </c>
      <c r="O67" s="24"/>
      <c r="P67" s="33"/>
      <c r="Q67" s="34" t="s">
        <v>297</v>
      </c>
      <c r="R67" s="35" t="s">
        <v>286</v>
      </c>
      <c r="S67" s="56">
        <v>0.28000000000000003</v>
      </c>
      <c r="T67" s="122">
        <f t="shared" si="0"/>
        <v>0.84000000000000008</v>
      </c>
      <c r="U67" s="38"/>
      <c r="V67" s="22"/>
    </row>
    <row r="68" spans="1:22" ht="12.75" x14ac:dyDescent="0.2">
      <c r="A68" s="187"/>
      <c r="B68" s="177" t="s">
        <v>454</v>
      </c>
      <c r="C68" s="170"/>
      <c r="D68" s="43" t="s">
        <v>289</v>
      </c>
      <c r="E68" s="49" t="s">
        <v>93</v>
      </c>
      <c r="F68" s="157" t="s">
        <v>73</v>
      </c>
      <c r="G68" s="25" t="s">
        <v>72</v>
      </c>
      <c r="H68" s="26"/>
      <c r="I68" s="27">
        <v>2</v>
      </c>
      <c r="J68" s="28"/>
      <c r="K68" s="89" t="s">
        <v>73</v>
      </c>
      <c r="L68" s="30" t="s">
        <v>93</v>
      </c>
      <c r="M68" s="40">
        <v>0.05</v>
      </c>
      <c r="N68" s="32" t="s">
        <v>288</v>
      </c>
      <c r="O68" s="24"/>
      <c r="P68" s="33"/>
      <c r="Q68" s="34" t="s">
        <v>297</v>
      </c>
      <c r="R68" s="35" t="s">
        <v>290</v>
      </c>
      <c r="S68" s="56">
        <v>0.48</v>
      </c>
      <c r="T68" s="122">
        <f t="shared" si="0"/>
        <v>0.96</v>
      </c>
      <c r="U68" s="38"/>
      <c r="V68" s="22"/>
    </row>
    <row r="69" spans="1:22" ht="12.75" x14ac:dyDescent="0.25">
      <c r="A69" s="186" t="s">
        <v>276</v>
      </c>
      <c r="B69" s="177" t="s">
        <v>454</v>
      </c>
      <c r="C69" s="170"/>
      <c r="D69" s="43" t="s">
        <v>291</v>
      </c>
      <c r="E69" s="49" t="s">
        <v>93</v>
      </c>
      <c r="F69" s="24" t="s">
        <v>294</v>
      </c>
      <c r="G69" s="25" t="s">
        <v>68</v>
      </c>
      <c r="H69" s="26"/>
      <c r="I69" s="27">
        <v>1</v>
      </c>
      <c r="J69" s="28"/>
      <c r="K69" s="89" t="s">
        <v>70</v>
      </c>
      <c r="L69" s="30" t="s">
        <v>93</v>
      </c>
      <c r="M69" s="31"/>
      <c r="N69" s="32"/>
      <c r="O69" s="24"/>
      <c r="P69" s="33"/>
      <c r="Q69" s="34" t="s">
        <v>296</v>
      </c>
      <c r="R69" s="35" t="s">
        <v>300</v>
      </c>
      <c r="S69" s="36"/>
      <c r="T69" s="122">
        <f t="shared" si="0"/>
        <v>0</v>
      </c>
      <c r="U69" s="38"/>
      <c r="V69" s="22"/>
    </row>
    <row r="70" spans="1:22" ht="12.75" x14ac:dyDescent="0.25">
      <c r="A70" s="187"/>
      <c r="B70" s="177" t="s">
        <v>454</v>
      </c>
      <c r="C70" s="170"/>
      <c r="D70" s="43" t="s">
        <v>292</v>
      </c>
      <c r="E70" s="49" t="s">
        <v>93</v>
      </c>
      <c r="F70" s="24" t="s">
        <v>293</v>
      </c>
      <c r="G70" s="25" t="s">
        <v>69</v>
      </c>
      <c r="H70" s="26"/>
      <c r="I70" s="27">
        <v>2</v>
      </c>
      <c r="J70" s="28"/>
      <c r="K70" s="89" t="s">
        <v>71</v>
      </c>
      <c r="L70" s="30" t="s">
        <v>93</v>
      </c>
      <c r="M70" s="31"/>
      <c r="N70" s="32"/>
      <c r="O70" s="24"/>
      <c r="P70" s="33"/>
      <c r="Q70" s="34" t="s">
        <v>296</v>
      </c>
      <c r="R70" s="35" t="s">
        <v>299</v>
      </c>
      <c r="S70" s="36"/>
      <c r="T70" s="122">
        <f t="shared" si="0"/>
        <v>0</v>
      </c>
      <c r="U70" s="38"/>
      <c r="V70" s="22"/>
    </row>
    <row r="71" spans="1:22" x14ac:dyDescent="0.2">
      <c r="A71" s="187"/>
      <c r="B71" s="177" t="s">
        <v>454</v>
      </c>
      <c r="C71" s="170"/>
      <c r="D71" s="51" t="s">
        <v>287</v>
      </c>
      <c r="E71" s="49" t="s">
        <v>93</v>
      </c>
      <c r="F71" s="157" t="s">
        <v>76</v>
      </c>
      <c r="G71" s="25" t="s">
        <v>75</v>
      </c>
      <c r="H71" s="26"/>
      <c r="I71" s="27">
        <v>3</v>
      </c>
      <c r="J71" s="28"/>
      <c r="K71" s="89" t="s">
        <v>76</v>
      </c>
      <c r="L71" s="30" t="s">
        <v>93</v>
      </c>
      <c r="M71" s="40">
        <v>0.05</v>
      </c>
      <c r="N71" s="32" t="s">
        <v>288</v>
      </c>
      <c r="O71" s="24"/>
      <c r="P71" s="33"/>
      <c r="Q71" s="34" t="s">
        <v>297</v>
      </c>
      <c r="R71" s="35" t="s">
        <v>286</v>
      </c>
      <c r="S71" s="56">
        <v>0.28000000000000003</v>
      </c>
      <c r="T71" s="122">
        <f t="shared" si="0"/>
        <v>0.84000000000000008</v>
      </c>
      <c r="U71" s="38"/>
      <c r="V71" s="22"/>
    </row>
    <row r="72" spans="1:22" ht="12.75" x14ac:dyDescent="0.2">
      <c r="A72" s="187"/>
      <c r="B72" s="177" t="s">
        <v>454</v>
      </c>
      <c r="C72" s="170"/>
      <c r="D72" s="43" t="s">
        <v>289</v>
      </c>
      <c r="E72" s="49" t="s">
        <v>93</v>
      </c>
      <c r="F72" s="157" t="s">
        <v>73</v>
      </c>
      <c r="G72" s="25" t="s">
        <v>72</v>
      </c>
      <c r="H72" s="26"/>
      <c r="I72" s="27">
        <v>2</v>
      </c>
      <c r="J72" s="28"/>
      <c r="K72" s="89" t="s">
        <v>73</v>
      </c>
      <c r="L72" s="30" t="s">
        <v>93</v>
      </c>
      <c r="M72" s="40">
        <v>0.05</v>
      </c>
      <c r="N72" s="32" t="s">
        <v>288</v>
      </c>
      <c r="O72" s="24"/>
      <c r="P72" s="33"/>
      <c r="Q72" s="34" t="s">
        <v>297</v>
      </c>
      <c r="R72" s="35" t="s">
        <v>290</v>
      </c>
      <c r="S72" s="56">
        <v>0.48</v>
      </c>
      <c r="T72" s="122">
        <f t="shared" si="0"/>
        <v>0.96</v>
      </c>
      <c r="U72" s="38"/>
      <c r="V72" s="22"/>
    </row>
    <row r="73" spans="1:22" ht="12.75" x14ac:dyDescent="0.25">
      <c r="A73" s="186" t="s">
        <v>403</v>
      </c>
      <c r="B73" s="177" t="s">
        <v>454</v>
      </c>
      <c r="C73" s="170"/>
      <c r="D73" s="43" t="s">
        <v>291</v>
      </c>
      <c r="E73" s="49" t="s">
        <v>93</v>
      </c>
      <c r="F73" s="24" t="s">
        <v>294</v>
      </c>
      <c r="G73" s="25" t="s">
        <v>68</v>
      </c>
      <c r="H73" s="26"/>
      <c r="I73" s="27">
        <v>1</v>
      </c>
      <c r="J73" s="28"/>
      <c r="K73" s="89" t="s">
        <v>70</v>
      </c>
      <c r="L73" s="30" t="s">
        <v>93</v>
      </c>
      <c r="M73" s="31"/>
      <c r="N73" s="32"/>
      <c r="O73" s="24"/>
      <c r="P73" s="33"/>
      <c r="Q73" s="34" t="s">
        <v>296</v>
      </c>
      <c r="R73" s="35" t="s">
        <v>300</v>
      </c>
      <c r="S73" s="36"/>
      <c r="T73" s="122">
        <f t="shared" ref="T73:T76" si="1">S73*I73</f>
        <v>0</v>
      </c>
      <c r="U73" s="38"/>
      <c r="V73" s="22"/>
    </row>
    <row r="74" spans="1:22" ht="12.75" x14ac:dyDescent="0.25">
      <c r="A74" s="187"/>
      <c r="B74" s="177" t="s">
        <v>454</v>
      </c>
      <c r="C74" s="170"/>
      <c r="D74" s="43" t="s">
        <v>292</v>
      </c>
      <c r="E74" s="49" t="s">
        <v>93</v>
      </c>
      <c r="F74" s="24" t="s">
        <v>293</v>
      </c>
      <c r="G74" s="25" t="s">
        <v>69</v>
      </c>
      <c r="H74" s="26"/>
      <c r="I74" s="27">
        <v>1</v>
      </c>
      <c r="J74" s="28"/>
      <c r="K74" s="89" t="s">
        <v>71</v>
      </c>
      <c r="L74" s="30" t="s">
        <v>93</v>
      </c>
      <c r="M74" s="31"/>
      <c r="N74" s="32"/>
      <c r="O74" s="24"/>
      <c r="P74" s="33"/>
      <c r="Q74" s="34" t="s">
        <v>296</v>
      </c>
      <c r="R74" s="35" t="s">
        <v>299</v>
      </c>
      <c r="S74" s="36"/>
      <c r="T74" s="122">
        <f t="shared" si="1"/>
        <v>0</v>
      </c>
      <c r="U74" s="38"/>
      <c r="V74" s="22"/>
    </row>
    <row r="75" spans="1:22" ht="12.75" x14ac:dyDescent="0.2">
      <c r="A75" s="187"/>
      <c r="B75" s="177" t="s">
        <v>454</v>
      </c>
      <c r="C75" s="170"/>
      <c r="D75" s="43" t="s">
        <v>287</v>
      </c>
      <c r="E75" s="49" t="s">
        <v>93</v>
      </c>
      <c r="F75" s="157" t="s">
        <v>76</v>
      </c>
      <c r="G75" s="25" t="s">
        <v>75</v>
      </c>
      <c r="H75" s="26"/>
      <c r="I75" s="27">
        <v>2</v>
      </c>
      <c r="J75" s="28"/>
      <c r="K75" s="89" t="s">
        <v>76</v>
      </c>
      <c r="L75" s="30" t="s">
        <v>93</v>
      </c>
      <c r="M75" s="40">
        <v>0.05</v>
      </c>
      <c r="N75" s="32" t="s">
        <v>288</v>
      </c>
      <c r="O75" s="24"/>
      <c r="P75" s="33"/>
      <c r="Q75" s="34" t="s">
        <v>297</v>
      </c>
      <c r="R75" s="35" t="s">
        <v>286</v>
      </c>
      <c r="S75" s="56">
        <v>0.28000000000000003</v>
      </c>
      <c r="T75" s="122">
        <f t="shared" si="1"/>
        <v>0.56000000000000005</v>
      </c>
      <c r="U75" s="38"/>
      <c r="V75" s="22"/>
    </row>
    <row r="76" spans="1:22" ht="12.75" x14ac:dyDescent="0.2">
      <c r="A76" s="188"/>
      <c r="B76" s="177" t="s">
        <v>454</v>
      </c>
      <c r="C76" s="170"/>
      <c r="D76" s="43" t="s">
        <v>289</v>
      </c>
      <c r="E76" s="49" t="s">
        <v>93</v>
      </c>
      <c r="F76" s="157" t="s">
        <v>73</v>
      </c>
      <c r="G76" s="25" t="s">
        <v>72</v>
      </c>
      <c r="H76" s="26"/>
      <c r="I76" s="27">
        <v>1</v>
      </c>
      <c r="J76" s="28"/>
      <c r="K76" s="89" t="s">
        <v>73</v>
      </c>
      <c r="L76" s="30" t="s">
        <v>93</v>
      </c>
      <c r="M76" s="40">
        <v>0.05</v>
      </c>
      <c r="N76" s="32" t="s">
        <v>288</v>
      </c>
      <c r="O76" s="24"/>
      <c r="P76" s="33"/>
      <c r="Q76" s="34" t="s">
        <v>297</v>
      </c>
      <c r="R76" s="35" t="s">
        <v>290</v>
      </c>
      <c r="S76" s="56">
        <v>0.48</v>
      </c>
      <c r="T76" s="122">
        <f t="shared" si="1"/>
        <v>0.48</v>
      </c>
      <c r="U76" s="38"/>
      <c r="V76" s="22"/>
    </row>
    <row r="77" spans="1:22" x14ac:dyDescent="0.25">
      <c r="A77" s="186" t="s">
        <v>277</v>
      </c>
      <c r="B77" s="177" t="s">
        <v>454</v>
      </c>
      <c r="C77" s="167"/>
      <c r="D77" s="51" t="s">
        <v>305</v>
      </c>
      <c r="E77" s="49" t="s">
        <v>93</v>
      </c>
      <c r="F77" s="24" t="s">
        <v>295</v>
      </c>
      <c r="G77" s="25" t="s">
        <v>295</v>
      </c>
      <c r="H77" s="26"/>
      <c r="I77" s="27">
        <v>1</v>
      </c>
      <c r="J77" s="28"/>
      <c r="K77" s="29" t="s">
        <v>304</v>
      </c>
      <c r="L77" s="30"/>
      <c r="M77" s="158">
        <v>5.0000000000000001E-3</v>
      </c>
      <c r="N77" s="32" t="s">
        <v>301</v>
      </c>
      <c r="O77" s="24" t="s">
        <v>302</v>
      </c>
      <c r="P77" s="33" t="s">
        <v>303</v>
      </c>
      <c r="Q77" s="34" t="s">
        <v>297</v>
      </c>
      <c r="R77" s="35" t="s">
        <v>298</v>
      </c>
      <c r="S77" s="56">
        <v>0.72</v>
      </c>
      <c r="T77" s="122">
        <f t="shared" si="0"/>
        <v>0.72</v>
      </c>
      <c r="U77" s="38"/>
      <c r="V77" s="22"/>
    </row>
    <row r="78" spans="1:22" x14ac:dyDescent="0.2">
      <c r="A78" s="187"/>
      <c r="B78" s="177" t="s">
        <v>454</v>
      </c>
      <c r="C78" s="167"/>
      <c r="D78" s="51" t="s">
        <v>313</v>
      </c>
      <c r="E78" s="49" t="s">
        <v>93</v>
      </c>
      <c r="F78" s="157" t="s">
        <v>312</v>
      </c>
      <c r="G78" s="25" t="s">
        <v>307</v>
      </c>
      <c r="H78" s="26"/>
      <c r="I78" s="27">
        <v>1</v>
      </c>
      <c r="J78" s="28"/>
      <c r="K78" s="29" t="s">
        <v>306</v>
      </c>
      <c r="L78" s="30" t="s">
        <v>311</v>
      </c>
      <c r="M78" s="40">
        <v>0.05</v>
      </c>
      <c r="N78" s="32" t="s">
        <v>310</v>
      </c>
      <c r="O78" s="24"/>
      <c r="P78" s="33" t="s">
        <v>309</v>
      </c>
      <c r="Q78" s="34" t="s">
        <v>297</v>
      </c>
      <c r="R78" s="35" t="s">
        <v>308</v>
      </c>
      <c r="S78" s="56">
        <v>0.24</v>
      </c>
      <c r="T78" s="122">
        <f t="shared" ref="T78:T152" si="2">S78*I78</f>
        <v>0.24</v>
      </c>
      <c r="U78" s="38"/>
      <c r="V78" s="22"/>
    </row>
    <row r="79" spans="1:22" x14ac:dyDescent="0.2">
      <c r="A79" s="188"/>
      <c r="B79" s="177" t="s">
        <v>454</v>
      </c>
      <c r="C79" s="167"/>
      <c r="D79" s="51" t="s">
        <v>320</v>
      </c>
      <c r="E79" s="49" t="s">
        <v>93</v>
      </c>
      <c r="F79" s="159" t="s">
        <v>314</v>
      </c>
      <c r="G79" s="25" t="s">
        <v>319</v>
      </c>
      <c r="H79" s="26"/>
      <c r="I79" s="27">
        <v>1</v>
      </c>
      <c r="J79" s="28"/>
      <c r="K79" s="29" t="s">
        <v>314</v>
      </c>
      <c r="L79" s="30" t="s">
        <v>318</v>
      </c>
      <c r="M79" s="40">
        <v>0.05</v>
      </c>
      <c r="N79" s="32" t="s">
        <v>317</v>
      </c>
      <c r="O79" s="24"/>
      <c r="P79" s="33" t="s">
        <v>316</v>
      </c>
      <c r="Q79" s="34" t="s">
        <v>297</v>
      </c>
      <c r="R79" s="35" t="s">
        <v>315</v>
      </c>
      <c r="S79" s="36">
        <v>0.58299999999999996</v>
      </c>
      <c r="T79" s="122">
        <f t="shared" si="2"/>
        <v>0.58299999999999996</v>
      </c>
      <c r="U79" s="38"/>
      <c r="V79" s="22"/>
    </row>
    <row r="80" spans="1:22" ht="12.75" x14ac:dyDescent="0.25">
      <c r="A80" s="186" t="s">
        <v>278</v>
      </c>
      <c r="B80" s="177" t="s">
        <v>454</v>
      </c>
      <c r="C80" s="167"/>
      <c r="D80" s="43"/>
      <c r="E80" s="49" t="s">
        <v>93</v>
      </c>
      <c r="F80" s="24" t="s">
        <v>386</v>
      </c>
      <c r="G80" s="25" t="s">
        <v>387</v>
      </c>
      <c r="H80" s="26"/>
      <c r="I80" s="27">
        <v>2</v>
      </c>
      <c r="J80" s="28"/>
      <c r="K80" s="29" t="s">
        <v>386</v>
      </c>
      <c r="L80" s="30"/>
      <c r="M80" s="31"/>
      <c r="N80" s="32"/>
      <c r="O80" s="24"/>
      <c r="P80" s="33"/>
      <c r="Q80" s="34" t="s">
        <v>296</v>
      </c>
      <c r="R80" s="35" t="s">
        <v>388</v>
      </c>
      <c r="S80" s="56">
        <v>3.17</v>
      </c>
      <c r="T80" s="122">
        <f t="shared" si="2"/>
        <v>6.34</v>
      </c>
      <c r="U80" s="38"/>
      <c r="V80" s="22"/>
    </row>
    <row r="81" spans="1:22" ht="12.75" x14ac:dyDescent="0.25">
      <c r="A81" s="188"/>
      <c r="B81" s="177"/>
      <c r="C81" s="167"/>
      <c r="D81" s="43"/>
      <c r="E81" s="47"/>
      <c r="F81" s="24"/>
      <c r="G81" s="25"/>
      <c r="H81" s="26"/>
      <c r="I81" s="27"/>
      <c r="J81" s="28"/>
      <c r="K81" s="29"/>
      <c r="L81" s="30"/>
      <c r="M81" s="31"/>
      <c r="N81" s="32"/>
      <c r="O81" s="24"/>
      <c r="P81" s="33"/>
      <c r="Q81" s="34"/>
      <c r="R81" s="35"/>
      <c r="S81" s="36"/>
      <c r="T81" s="122">
        <f t="shared" si="2"/>
        <v>0</v>
      </c>
      <c r="U81" s="38"/>
      <c r="V81" s="22"/>
    </row>
    <row r="82" spans="1:22" s="152" customFormat="1" x14ac:dyDescent="0.25">
      <c r="A82" s="186" t="s">
        <v>279</v>
      </c>
      <c r="B82" s="177" t="s">
        <v>454</v>
      </c>
      <c r="C82" s="167"/>
      <c r="D82" s="51" t="s">
        <v>324</v>
      </c>
      <c r="E82" s="49" t="s">
        <v>93</v>
      </c>
      <c r="F82" s="24" t="s">
        <v>323</v>
      </c>
      <c r="G82" s="25" t="s">
        <v>321</v>
      </c>
      <c r="H82" s="26"/>
      <c r="I82" s="27">
        <v>1</v>
      </c>
      <c r="J82" s="28"/>
      <c r="K82" s="29"/>
      <c r="L82" s="30"/>
      <c r="M82" s="31"/>
      <c r="N82" s="32"/>
      <c r="O82" s="24"/>
      <c r="P82" s="33"/>
      <c r="Q82" s="34" t="s">
        <v>297</v>
      </c>
      <c r="R82" s="35" t="s">
        <v>322</v>
      </c>
      <c r="S82" s="56">
        <v>1.78</v>
      </c>
      <c r="T82" s="122">
        <f t="shared" si="2"/>
        <v>1.78</v>
      </c>
      <c r="U82" s="38"/>
      <c r="V82" s="22"/>
    </row>
    <row r="83" spans="1:22" s="152" customFormat="1" x14ac:dyDescent="0.2">
      <c r="A83" s="187"/>
      <c r="B83" s="177" t="s">
        <v>454</v>
      </c>
      <c r="C83" s="167"/>
      <c r="D83" s="51" t="s">
        <v>342</v>
      </c>
      <c r="E83" s="49" t="s">
        <v>93</v>
      </c>
      <c r="F83" s="157" t="s">
        <v>340</v>
      </c>
      <c r="G83" s="25" t="s">
        <v>339</v>
      </c>
      <c r="H83" s="26"/>
      <c r="I83" s="27">
        <v>1</v>
      </c>
      <c r="J83" s="28"/>
      <c r="K83" s="29" t="s">
        <v>340</v>
      </c>
      <c r="L83" s="30"/>
      <c r="M83" s="31"/>
      <c r="N83" s="32"/>
      <c r="O83" s="24"/>
      <c r="P83" s="33"/>
      <c r="Q83" s="34" t="s">
        <v>297</v>
      </c>
      <c r="R83" s="35" t="s">
        <v>341</v>
      </c>
      <c r="S83" s="56">
        <v>6.86</v>
      </c>
      <c r="T83" s="122">
        <f t="shared" si="2"/>
        <v>6.86</v>
      </c>
      <c r="U83" s="38"/>
      <c r="V83" s="22"/>
    </row>
    <row r="84" spans="1:22" s="152" customFormat="1" x14ac:dyDescent="0.2">
      <c r="A84" s="187"/>
      <c r="B84" s="177" t="s">
        <v>454</v>
      </c>
      <c r="C84" s="167"/>
      <c r="D84" s="51" t="s">
        <v>405</v>
      </c>
      <c r="E84" s="49" t="s">
        <v>93</v>
      </c>
      <c r="F84" s="157" t="s">
        <v>400</v>
      </c>
      <c r="G84" s="25" t="s">
        <v>404</v>
      </c>
      <c r="H84" s="26"/>
      <c r="I84" s="27">
        <v>1</v>
      </c>
      <c r="J84" s="28">
        <v>0</v>
      </c>
      <c r="K84" s="29" t="s">
        <v>406</v>
      </c>
      <c r="L84" s="30"/>
      <c r="M84" s="31"/>
      <c r="N84" s="32"/>
      <c r="O84" s="24"/>
      <c r="P84" s="33"/>
      <c r="Q84" s="34" t="s">
        <v>297</v>
      </c>
      <c r="R84" s="35" t="s">
        <v>401</v>
      </c>
      <c r="S84" s="56">
        <v>2.1800000000000002</v>
      </c>
      <c r="T84" s="122">
        <f>I84*S84</f>
        <v>2.1800000000000002</v>
      </c>
      <c r="U84" s="38"/>
      <c r="V84" s="22"/>
    </row>
    <row r="85" spans="1:22" s="152" customFormat="1" ht="15" customHeight="1" x14ac:dyDescent="0.25">
      <c r="A85" s="187"/>
      <c r="B85" s="177" t="s">
        <v>454</v>
      </c>
      <c r="C85" s="167"/>
      <c r="D85" s="51" t="s">
        <v>336</v>
      </c>
      <c r="E85" s="49" t="s">
        <v>93</v>
      </c>
      <c r="F85" s="24" t="s">
        <v>334</v>
      </c>
      <c r="G85" s="25" t="s">
        <v>335</v>
      </c>
      <c r="H85" s="26"/>
      <c r="I85" s="27">
        <v>1</v>
      </c>
      <c r="J85" s="28"/>
      <c r="K85" s="160" t="s">
        <v>334</v>
      </c>
      <c r="L85" s="30"/>
      <c r="M85" s="40">
        <v>0.01</v>
      </c>
      <c r="N85" s="32" t="s">
        <v>325</v>
      </c>
      <c r="O85" s="24" t="s">
        <v>337</v>
      </c>
      <c r="P85" s="33" t="s">
        <v>326</v>
      </c>
      <c r="Q85" s="34" t="s">
        <v>297</v>
      </c>
      <c r="R85" s="35" t="s">
        <v>338</v>
      </c>
      <c r="S85" s="56">
        <v>0.08</v>
      </c>
      <c r="T85" s="122">
        <f t="shared" si="2"/>
        <v>0.08</v>
      </c>
      <c r="U85" s="38"/>
      <c r="V85" s="22"/>
    </row>
    <row r="86" spans="1:22" s="152" customFormat="1" x14ac:dyDescent="0.2">
      <c r="A86" s="187"/>
      <c r="B86" s="177"/>
      <c r="C86" s="167"/>
      <c r="D86" s="51"/>
      <c r="E86" s="49"/>
      <c r="F86" s="159"/>
      <c r="G86" s="25"/>
      <c r="H86" s="26"/>
      <c r="I86" s="27"/>
      <c r="J86" s="28"/>
      <c r="K86" s="29"/>
      <c r="L86" s="30"/>
      <c r="M86" s="40"/>
      <c r="N86" s="32"/>
      <c r="O86" s="24"/>
      <c r="P86" s="33"/>
      <c r="Q86" s="34"/>
      <c r="R86" s="35"/>
      <c r="S86" s="56"/>
      <c r="T86" s="122"/>
      <c r="U86" s="38"/>
      <c r="V86" s="22"/>
    </row>
    <row r="87" spans="1:22" s="152" customFormat="1" x14ac:dyDescent="0.2">
      <c r="A87" s="187"/>
      <c r="B87" s="177" t="s">
        <v>454</v>
      </c>
      <c r="C87" s="167"/>
      <c r="D87" s="51" t="s">
        <v>411</v>
      </c>
      <c r="E87" s="49"/>
      <c r="F87" s="159" t="s">
        <v>407</v>
      </c>
      <c r="G87" s="25" t="s">
        <v>408</v>
      </c>
      <c r="H87" s="26"/>
      <c r="I87" s="27">
        <v>1</v>
      </c>
      <c r="J87" s="28"/>
      <c r="K87" s="29" t="s">
        <v>409</v>
      </c>
      <c r="L87" s="30"/>
      <c r="M87" s="40">
        <v>0.01</v>
      </c>
      <c r="N87" s="32" t="s">
        <v>327</v>
      </c>
      <c r="O87" s="24" t="s">
        <v>52</v>
      </c>
      <c r="P87" s="33"/>
      <c r="Q87" s="34" t="s">
        <v>297</v>
      </c>
      <c r="R87" s="35" t="s">
        <v>410</v>
      </c>
      <c r="S87" s="56">
        <v>0.08</v>
      </c>
      <c r="T87" s="122">
        <f t="shared" si="2"/>
        <v>0.08</v>
      </c>
      <c r="U87" s="38"/>
      <c r="V87" s="22"/>
    </row>
    <row r="88" spans="1:22" s="152" customFormat="1" x14ac:dyDescent="0.25">
      <c r="A88" s="188"/>
      <c r="B88" s="177" t="s">
        <v>454</v>
      </c>
      <c r="C88" s="167"/>
      <c r="D88" s="51" t="s">
        <v>333</v>
      </c>
      <c r="E88" s="49" t="s">
        <v>93</v>
      </c>
      <c r="F88" s="24" t="s">
        <v>328</v>
      </c>
      <c r="G88" s="42" t="s">
        <v>329</v>
      </c>
      <c r="H88" s="26"/>
      <c r="I88" s="27">
        <v>1</v>
      </c>
      <c r="J88" s="28">
        <v>0</v>
      </c>
      <c r="K88" s="29" t="s">
        <v>330</v>
      </c>
      <c r="L88" s="30" t="s">
        <v>48</v>
      </c>
      <c r="M88" s="40">
        <v>0.1</v>
      </c>
      <c r="N88" s="32" t="s">
        <v>317</v>
      </c>
      <c r="O88" s="24"/>
      <c r="P88" s="33" t="s">
        <v>331</v>
      </c>
      <c r="Q88" s="34" t="s">
        <v>297</v>
      </c>
      <c r="R88" s="35" t="s">
        <v>332</v>
      </c>
      <c r="S88" s="56">
        <v>0.81</v>
      </c>
      <c r="T88" s="122">
        <f t="shared" si="2"/>
        <v>0.81</v>
      </c>
      <c r="U88" s="38"/>
      <c r="V88" s="22"/>
    </row>
    <row r="89" spans="1:22" s="152" customFormat="1" ht="12.75" x14ac:dyDescent="0.25">
      <c r="A89" s="186" t="s">
        <v>280</v>
      </c>
      <c r="B89" s="177"/>
      <c r="C89" s="167"/>
      <c r="D89" s="43"/>
      <c r="E89" s="49" t="s">
        <v>93</v>
      </c>
      <c r="F89" s="24"/>
      <c r="G89" s="25"/>
      <c r="H89" s="26"/>
      <c r="I89" s="27"/>
      <c r="J89" s="28"/>
      <c r="K89" s="29"/>
      <c r="L89" s="30"/>
      <c r="M89" s="31"/>
      <c r="N89" s="32"/>
      <c r="O89" s="24"/>
      <c r="P89" s="33"/>
      <c r="Q89" s="34"/>
      <c r="R89" s="35"/>
      <c r="S89" s="36"/>
      <c r="T89" s="122">
        <f t="shared" si="2"/>
        <v>0</v>
      </c>
      <c r="U89" s="38"/>
      <c r="V89" s="22"/>
    </row>
    <row r="90" spans="1:22" s="152" customFormat="1" ht="12.75" x14ac:dyDescent="0.25">
      <c r="A90" s="188"/>
      <c r="B90" s="177"/>
      <c r="C90" s="167"/>
      <c r="D90" s="43"/>
      <c r="E90" s="49" t="s">
        <v>93</v>
      </c>
      <c r="F90" s="24"/>
      <c r="G90" s="25"/>
      <c r="H90" s="26"/>
      <c r="I90" s="27"/>
      <c r="J90" s="28"/>
      <c r="K90" s="29"/>
      <c r="L90" s="30"/>
      <c r="M90" s="31"/>
      <c r="N90" s="32"/>
      <c r="O90" s="24"/>
      <c r="P90" s="33"/>
      <c r="Q90" s="34"/>
      <c r="R90" s="35"/>
      <c r="S90" s="36"/>
      <c r="T90" s="122">
        <f t="shared" si="2"/>
        <v>0</v>
      </c>
      <c r="U90" s="38"/>
      <c r="V90" s="22"/>
    </row>
    <row r="91" spans="1:22" s="152" customFormat="1" ht="12.75" x14ac:dyDescent="0.25">
      <c r="A91" s="186" t="s">
        <v>281</v>
      </c>
      <c r="B91" s="177"/>
      <c r="C91" s="167"/>
      <c r="D91" s="43"/>
      <c r="E91" s="49" t="s">
        <v>93</v>
      </c>
      <c r="F91" s="24"/>
      <c r="G91" s="25"/>
      <c r="H91" s="26"/>
      <c r="I91" s="27"/>
      <c r="J91" s="28"/>
      <c r="K91" s="29"/>
      <c r="L91" s="30"/>
      <c r="M91" s="31"/>
      <c r="N91" s="32"/>
      <c r="O91" s="24"/>
      <c r="P91" s="33"/>
      <c r="Q91" s="34"/>
      <c r="R91" s="35"/>
      <c r="S91" s="36"/>
      <c r="T91" s="122">
        <f t="shared" si="2"/>
        <v>0</v>
      </c>
      <c r="U91" s="38"/>
      <c r="V91" s="22"/>
    </row>
    <row r="92" spans="1:22" s="152" customFormat="1" ht="12.75" x14ac:dyDescent="0.25">
      <c r="A92" s="188"/>
      <c r="B92" s="177"/>
      <c r="C92" s="167"/>
      <c r="D92" s="43"/>
      <c r="E92" s="49" t="s">
        <v>93</v>
      </c>
      <c r="F92" s="24"/>
      <c r="G92" s="25"/>
      <c r="H92" s="26"/>
      <c r="I92" s="27"/>
      <c r="J92" s="28"/>
      <c r="K92" s="29"/>
      <c r="L92" s="30"/>
      <c r="M92" s="31"/>
      <c r="N92" s="32"/>
      <c r="O92" s="24"/>
      <c r="P92" s="33"/>
      <c r="Q92" s="34"/>
      <c r="R92" s="35"/>
      <c r="S92" s="36"/>
      <c r="T92" s="122">
        <f t="shared" si="2"/>
        <v>0</v>
      </c>
      <c r="U92" s="38"/>
      <c r="V92" s="22"/>
    </row>
    <row r="93" spans="1:22" s="152" customFormat="1" x14ac:dyDescent="0.25">
      <c r="A93" s="186" t="s">
        <v>282</v>
      </c>
      <c r="B93" s="177" t="s">
        <v>454</v>
      </c>
      <c r="C93" s="167"/>
      <c r="D93" s="51" t="s">
        <v>396</v>
      </c>
      <c r="E93" s="49" t="s">
        <v>93</v>
      </c>
      <c r="F93" s="24" t="s">
        <v>395</v>
      </c>
      <c r="G93" s="163" t="s">
        <v>397</v>
      </c>
      <c r="H93" s="26"/>
      <c r="I93" s="27">
        <v>6</v>
      </c>
      <c r="J93" s="28">
        <v>0</v>
      </c>
      <c r="K93" s="29" t="s">
        <v>395</v>
      </c>
      <c r="L93" s="30"/>
      <c r="M93" s="31"/>
      <c r="N93" s="32"/>
      <c r="O93" s="24"/>
      <c r="P93" s="33"/>
      <c r="Q93" s="34" t="s">
        <v>297</v>
      </c>
      <c r="R93" s="35" t="s">
        <v>398</v>
      </c>
      <c r="S93" s="56">
        <v>2.54</v>
      </c>
      <c r="T93" s="122">
        <f t="shared" si="2"/>
        <v>15.24</v>
      </c>
      <c r="U93" s="38"/>
      <c r="V93" s="22"/>
    </row>
    <row r="94" spans="1:22" s="152" customFormat="1" x14ac:dyDescent="0.2">
      <c r="A94" s="187"/>
      <c r="B94" s="177" t="s">
        <v>454</v>
      </c>
      <c r="C94" s="167"/>
      <c r="D94" s="51" t="s">
        <v>399</v>
      </c>
      <c r="E94" s="49" t="s">
        <v>93</v>
      </c>
      <c r="F94" s="157" t="s">
        <v>394</v>
      </c>
      <c r="G94" s="25" t="s">
        <v>392</v>
      </c>
      <c r="H94" s="26"/>
      <c r="I94" s="27">
        <v>2</v>
      </c>
      <c r="J94" s="28">
        <v>0</v>
      </c>
      <c r="K94" s="29" t="s">
        <v>394</v>
      </c>
      <c r="L94" s="30"/>
      <c r="M94" s="31"/>
      <c r="N94" s="32" t="s">
        <v>57</v>
      </c>
      <c r="O94" s="24"/>
      <c r="P94" s="33"/>
      <c r="Q94" s="34" t="s">
        <v>297</v>
      </c>
      <c r="R94" s="35" t="s">
        <v>393</v>
      </c>
      <c r="S94" s="56">
        <v>1.65</v>
      </c>
      <c r="T94" s="122">
        <f t="shared" si="2"/>
        <v>3.3</v>
      </c>
      <c r="U94" s="38"/>
      <c r="V94" s="22"/>
    </row>
    <row r="95" spans="1:22" s="152" customFormat="1" x14ac:dyDescent="0.2">
      <c r="A95" s="187"/>
      <c r="B95" s="177" t="s">
        <v>454</v>
      </c>
      <c r="C95" s="167"/>
      <c r="D95" s="51" t="s">
        <v>405</v>
      </c>
      <c r="E95" s="49" t="s">
        <v>93</v>
      </c>
      <c r="F95" s="157" t="s">
        <v>400</v>
      </c>
      <c r="G95" s="25" t="s">
        <v>404</v>
      </c>
      <c r="H95" s="26"/>
      <c r="I95" s="27">
        <v>2</v>
      </c>
      <c r="J95" s="28">
        <v>0</v>
      </c>
      <c r="K95" s="29" t="s">
        <v>406</v>
      </c>
      <c r="L95" s="30"/>
      <c r="M95" s="31"/>
      <c r="N95" s="32"/>
      <c r="O95" s="24"/>
      <c r="P95" s="33"/>
      <c r="Q95" s="34" t="s">
        <v>297</v>
      </c>
      <c r="R95" s="35" t="s">
        <v>401</v>
      </c>
      <c r="S95" s="56">
        <v>2.1800000000000002</v>
      </c>
      <c r="T95" s="122">
        <f>I95*S95</f>
        <v>4.3600000000000003</v>
      </c>
      <c r="U95" s="38"/>
      <c r="V95" s="22"/>
    </row>
    <row r="96" spans="1:22" s="152" customFormat="1" x14ac:dyDescent="0.25">
      <c r="A96" s="188"/>
      <c r="B96" s="177" t="s">
        <v>454</v>
      </c>
      <c r="C96" s="167"/>
      <c r="D96" s="51" t="s">
        <v>389</v>
      </c>
      <c r="E96" s="49" t="s">
        <v>93</v>
      </c>
      <c r="F96" s="24" t="s">
        <v>391</v>
      </c>
      <c r="G96" s="25">
        <v>74436411500</v>
      </c>
      <c r="H96" s="26"/>
      <c r="I96" s="27">
        <v>1</v>
      </c>
      <c r="J96" s="28">
        <v>0</v>
      </c>
      <c r="K96" s="29" t="s">
        <v>391</v>
      </c>
      <c r="L96" s="30"/>
      <c r="M96" s="31"/>
      <c r="N96" s="32"/>
      <c r="O96" s="24"/>
      <c r="P96" s="33"/>
      <c r="Q96" s="34" t="s">
        <v>297</v>
      </c>
      <c r="R96" s="35" t="s">
        <v>390</v>
      </c>
      <c r="S96" s="56">
        <v>6.14</v>
      </c>
      <c r="T96" s="122">
        <f t="shared" si="2"/>
        <v>6.14</v>
      </c>
      <c r="U96" s="38"/>
      <c r="V96" s="22"/>
    </row>
    <row r="97" spans="1:23" s="152" customFormat="1" x14ac:dyDescent="0.2">
      <c r="A97" s="186" t="s">
        <v>283</v>
      </c>
      <c r="B97" s="177" t="s">
        <v>454</v>
      </c>
      <c r="C97" s="167"/>
      <c r="D97" s="51" t="s">
        <v>411</v>
      </c>
      <c r="E97" s="49" t="s">
        <v>93</v>
      </c>
      <c r="F97" s="159" t="s">
        <v>407</v>
      </c>
      <c r="G97" s="25" t="s">
        <v>408</v>
      </c>
      <c r="H97" s="26"/>
      <c r="I97" s="27">
        <v>1</v>
      </c>
      <c r="J97" s="28">
        <v>0</v>
      </c>
      <c r="K97" s="29" t="s">
        <v>409</v>
      </c>
      <c r="L97" s="30"/>
      <c r="M97" s="40">
        <v>0.01</v>
      </c>
      <c r="N97" s="32" t="s">
        <v>327</v>
      </c>
      <c r="O97" s="24" t="s">
        <v>52</v>
      </c>
      <c r="P97" s="33"/>
      <c r="Q97" s="34" t="s">
        <v>297</v>
      </c>
      <c r="R97" s="35" t="s">
        <v>410</v>
      </c>
      <c r="S97" s="56">
        <v>0.08</v>
      </c>
      <c r="T97" s="122">
        <f t="shared" ref="T97:T99" si="3">S97*I97</f>
        <v>0.08</v>
      </c>
      <c r="U97" s="38"/>
      <c r="V97" s="22"/>
    </row>
    <row r="98" spans="1:23" s="152" customFormat="1" x14ac:dyDescent="0.25">
      <c r="A98" s="187"/>
      <c r="B98" s="177" t="s">
        <v>454</v>
      </c>
      <c r="C98" s="167"/>
      <c r="D98" s="51" t="s">
        <v>424</v>
      </c>
      <c r="E98" s="49" t="s">
        <v>93</v>
      </c>
      <c r="F98" s="24" t="s">
        <v>412</v>
      </c>
      <c r="G98" s="25" t="s">
        <v>413</v>
      </c>
      <c r="H98" s="26"/>
      <c r="I98" s="27">
        <v>1</v>
      </c>
      <c r="J98" s="28">
        <v>0</v>
      </c>
      <c r="K98" s="29" t="s">
        <v>414</v>
      </c>
      <c r="L98" s="30"/>
      <c r="M98" s="40">
        <v>0.01</v>
      </c>
      <c r="N98" s="32" t="s">
        <v>327</v>
      </c>
      <c r="O98" s="24" t="s">
        <v>52</v>
      </c>
      <c r="P98" s="33"/>
      <c r="Q98" s="34" t="s">
        <v>297</v>
      </c>
      <c r="R98" s="35" t="s">
        <v>415</v>
      </c>
      <c r="S98" s="56">
        <v>0.08</v>
      </c>
      <c r="T98" s="122">
        <f t="shared" si="3"/>
        <v>0.08</v>
      </c>
      <c r="U98" s="38"/>
      <c r="V98" s="22"/>
    </row>
    <row r="99" spans="1:23" s="152" customFormat="1" x14ac:dyDescent="0.25">
      <c r="A99" s="187"/>
      <c r="B99" s="177" t="s">
        <v>454</v>
      </c>
      <c r="C99" s="167"/>
      <c r="D99" s="51" t="s">
        <v>418</v>
      </c>
      <c r="E99" s="49" t="s">
        <v>93</v>
      </c>
      <c r="F99" s="24" t="s">
        <v>417</v>
      </c>
      <c r="G99" s="25" t="s">
        <v>416</v>
      </c>
      <c r="H99" s="26"/>
      <c r="I99" s="27">
        <v>1</v>
      </c>
      <c r="J99" s="28">
        <v>0</v>
      </c>
      <c r="K99" s="29" t="s">
        <v>417</v>
      </c>
      <c r="L99" s="30"/>
      <c r="M99" s="40">
        <v>0.01</v>
      </c>
      <c r="N99" s="32" t="s">
        <v>327</v>
      </c>
      <c r="O99" s="24" t="s">
        <v>52</v>
      </c>
      <c r="P99" s="33"/>
      <c r="Q99" s="34" t="s">
        <v>297</v>
      </c>
      <c r="R99" s="35" t="s">
        <v>419</v>
      </c>
      <c r="S99" s="56">
        <v>0.08</v>
      </c>
      <c r="T99" s="122">
        <f t="shared" si="3"/>
        <v>0.08</v>
      </c>
      <c r="U99" s="38"/>
      <c r="V99" s="22"/>
    </row>
    <row r="100" spans="1:23" s="152" customFormat="1" x14ac:dyDescent="0.25">
      <c r="A100" s="188"/>
      <c r="B100" s="177" t="s">
        <v>454</v>
      </c>
      <c r="C100" s="167"/>
      <c r="D100" s="51" t="s">
        <v>421</v>
      </c>
      <c r="E100" s="49" t="s">
        <v>93</v>
      </c>
      <c r="F100" s="24" t="s">
        <v>420</v>
      </c>
      <c r="G100" s="25" t="s">
        <v>50</v>
      </c>
      <c r="H100" s="26"/>
      <c r="I100" s="27">
        <v>1</v>
      </c>
      <c r="J100" s="28">
        <v>0</v>
      </c>
      <c r="K100" s="29" t="s">
        <v>420</v>
      </c>
      <c r="L100" s="30"/>
      <c r="M100" s="40">
        <v>0.05</v>
      </c>
      <c r="N100" s="32" t="s">
        <v>422</v>
      </c>
      <c r="O100" s="24" t="s">
        <v>52</v>
      </c>
      <c r="P100" s="33"/>
      <c r="Q100" s="34" t="s">
        <v>297</v>
      </c>
      <c r="R100" s="35" t="s">
        <v>423</v>
      </c>
      <c r="S100" s="56">
        <v>0.59</v>
      </c>
      <c r="T100" s="122">
        <f t="shared" si="2"/>
        <v>0.59</v>
      </c>
      <c r="U100" s="38"/>
      <c r="V100" s="22"/>
    </row>
    <row r="101" spans="1:23" s="152" customFormat="1" ht="12.75" x14ac:dyDescent="0.25">
      <c r="A101" s="186" t="s">
        <v>358</v>
      </c>
      <c r="B101" s="177" t="s">
        <v>454</v>
      </c>
      <c r="C101" s="167"/>
      <c r="D101" s="43"/>
      <c r="E101" s="49" t="s">
        <v>93</v>
      </c>
      <c r="F101" s="24" t="s">
        <v>386</v>
      </c>
      <c r="G101" s="25" t="s">
        <v>387</v>
      </c>
      <c r="H101" s="26"/>
      <c r="I101" s="27">
        <v>2</v>
      </c>
      <c r="J101" s="28"/>
      <c r="K101" s="29" t="s">
        <v>386</v>
      </c>
      <c r="L101" s="30"/>
      <c r="M101" s="31"/>
      <c r="N101" s="32"/>
      <c r="O101" s="24"/>
      <c r="P101" s="33"/>
      <c r="Q101" s="34" t="s">
        <v>296</v>
      </c>
      <c r="R101" s="35" t="s">
        <v>388</v>
      </c>
      <c r="S101" s="56">
        <v>3.17</v>
      </c>
      <c r="T101" s="122">
        <f t="shared" ref="T101" si="4">S101*I101</f>
        <v>6.34</v>
      </c>
      <c r="U101" s="38"/>
      <c r="V101" s="22"/>
      <c r="W101" s="1"/>
    </row>
    <row r="102" spans="1:23" s="152" customFormat="1" x14ac:dyDescent="0.2">
      <c r="A102" s="187"/>
      <c r="B102" s="177" t="s">
        <v>454</v>
      </c>
      <c r="C102" s="167"/>
      <c r="D102" s="51" t="s">
        <v>366</v>
      </c>
      <c r="E102" s="49" t="s">
        <v>93</v>
      </c>
      <c r="F102" s="152" t="s">
        <v>367</v>
      </c>
      <c r="G102" s="162" t="s">
        <v>365</v>
      </c>
      <c r="H102" s="26"/>
      <c r="I102" s="27">
        <v>1</v>
      </c>
      <c r="J102" s="28">
        <v>0</v>
      </c>
      <c r="K102" s="29" t="s">
        <v>364</v>
      </c>
      <c r="L102" s="30"/>
      <c r="M102" s="40"/>
      <c r="N102" s="32"/>
      <c r="O102" s="24"/>
      <c r="P102" s="33"/>
      <c r="Q102" s="34"/>
      <c r="R102" s="35"/>
      <c r="S102" s="56"/>
      <c r="T102" s="122">
        <f t="shared" si="2"/>
        <v>0</v>
      </c>
      <c r="U102" s="38"/>
      <c r="V102" s="22"/>
    </row>
    <row r="103" spans="1:23" s="152" customFormat="1" ht="16.5" customHeight="1" x14ac:dyDescent="0.25">
      <c r="A103" s="187"/>
      <c r="B103" s="177" t="s">
        <v>454</v>
      </c>
      <c r="C103" s="167"/>
      <c r="D103" s="51" t="s">
        <v>360</v>
      </c>
      <c r="E103" s="49" t="s">
        <v>93</v>
      </c>
      <c r="F103" s="161" t="s">
        <v>361</v>
      </c>
      <c r="G103" s="25" t="s">
        <v>362</v>
      </c>
      <c r="H103" s="26"/>
      <c r="I103" s="27">
        <v>1</v>
      </c>
      <c r="J103" s="28">
        <v>0</v>
      </c>
      <c r="K103" s="160" t="s">
        <v>361</v>
      </c>
      <c r="L103" s="30"/>
      <c r="M103" s="40">
        <v>0.1</v>
      </c>
      <c r="N103" s="32"/>
      <c r="O103" s="24"/>
      <c r="P103" s="33"/>
      <c r="Q103" s="34" t="s">
        <v>297</v>
      </c>
      <c r="R103" s="35" t="s">
        <v>363</v>
      </c>
      <c r="S103" s="56">
        <v>4.67</v>
      </c>
      <c r="T103" s="122">
        <f t="shared" si="2"/>
        <v>4.67</v>
      </c>
      <c r="U103" s="38"/>
      <c r="V103" s="22"/>
    </row>
    <row r="104" spans="1:23" s="152" customFormat="1" ht="16.5" customHeight="1" x14ac:dyDescent="0.25">
      <c r="A104" s="187"/>
      <c r="B104" s="177" t="s">
        <v>454</v>
      </c>
      <c r="C104" s="167"/>
      <c r="D104" s="51" t="s">
        <v>377</v>
      </c>
      <c r="E104" s="49" t="s">
        <v>93</v>
      </c>
      <c r="F104" s="161" t="s">
        <v>376</v>
      </c>
      <c r="G104" s="25" t="s">
        <v>429</v>
      </c>
      <c r="H104" s="26"/>
      <c r="I104" s="27">
        <v>1</v>
      </c>
      <c r="J104" s="28">
        <v>0</v>
      </c>
      <c r="K104" s="160" t="s">
        <v>376</v>
      </c>
      <c r="L104" s="30"/>
      <c r="M104" s="40"/>
      <c r="N104" s="32"/>
      <c r="O104" s="24"/>
      <c r="P104" s="33"/>
      <c r="Q104" s="34" t="s">
        <v>297</v>
      </c>
      <c r="R104" s="35" t="s">
        <v>375</v>
      </c>
      <c r="S104" s="56">
        <v>0.38</v>
      </c>
      <c r="T104" s="122">
        <f t="shared" si="2"/>
        <v>0.38</v>
      </c>
      <c r="U104" s="38"/>
      <c r="V104" s="22"/>
    </row>
    <row r="105" spans="1:23" s="152" customFormat="1" ht="16.5" customHeight="1" x14ac:dyDescent="0.25">
      <c r="A105" s="187"/>
      <c r="B105" s="177" t="s">
        <v>454</v>
      </c>
      <c r="C105" s="167"/>
      <c r="D105" s="51" t="s">
        <v>434</v>
      </c>
      <c r="E105" s="49"/>
      <c r="F105" s="161" t="s">
        <v>431</v>
      </c>
      <c r="G105" s="25" t="s">
        <v>431</v>
      </c>
      <c r="H105" s="26"/>
      <c r="I105" s="27">
        <v>3</v>
      </c>
      <c r="J105" s="28">
        <v>0</v>
      </c>
      <c r="K105" s="160" t="s">
        <v>432</v>
      </c>
      <c r="L105" s="30"/>
      <c r="M105" s="40"/>
      <c r="N105" s="32"/>
      <c r="O105" s="24"/>
      <c r="P105" s="33"/>
      <c r="Q105" s="34" t="s">
        <v>297</v>
      </c>
      <c r="R105" s="35" t="s">
        <v>433</v>
      </c>
      <c r="S105" s="56">
        <v>0.08</v>
      </c>
      <c r="T105" s="122">
        <f t="shared" si="2"/>
        <v>0.24</v>
      </c>
      <c r="U105" s="38"/>
      <c r="V105" s="22"/>
    </row>
    <row r="106" spans="1:23" s="152" customFormat="1" ht="16.5" customHeight="1" x14ac:dyDescent="0.2">
      <c r="A106" s="187"/>
      <c r="B106" s="177" t="s">
        <v>454</v>
      </c>
      <c r="C106" s="167"/>
      <c r="D106" s="51" t="s">
        <v>411</v>
      </c>
      <c r="E106" s="49" t="s">
        <v>93</v>
      </c>
      <c r="F106" s="159" t="s">
        <v>407</v>
      </c>
      <c r="G106" s="25" t="s">
        <v>408</v>
      </c>
      <c r="H106" s="26"/>
      <c r="I106" s="27">
        <v>1</v>
      </c>
      <c r="J106" s="28">
        <v>0</v>
      </c>
      <c r="K106" s="29" t="s">
        <v>409</v>
      </c>
      <c r="L106" s="30"/>
      <c r="M106" s="40">
        <v>0.01</v>
      </c>
      <c r="N106" s="32" t="s">
        <v>327</v>
      </c>
      <c r="O106" s="24" t="s">
        <v>52</v>
      </c>
      <c r="P106" s="33"/>
      <c r="Q106" s="34" t="s">
        <v>297</v>
      </c>
      <c r="R106" s="35" t="s">
        <v>410</v>
      </c>
      <c r="S106" s="56">
        <v>0.08</v>
      </c>
      <c r="T106" s="122">
        <f t="shared" si="2"/>
        <v>0.08</v>
      </c>
      <c r="U106" s="38"/>
      <c r="V106" s="22"/>
    </row>
    <row r="107" spans="1:23" s="152" customFormat="1" ht="16.5" customHeight="1" x14ac:dyDescent="0.2">
      <c r="A107" s="187"/>
      <c r="B107" s="177"/>
      <c r="C107" s="167"/>
      <c r="D107" s="51" t="s">
        <v>437</v>
      </c>
      <c r="E107" s="49" t="s">
        <v>93</v>
      </c>
      <c r="F107" s="159" t="s">
        <v>435</v>
      </c>
      <c r="G107" s="25" t="s">
        <v>436</v>
      </c>
      <c r="H107" s="26"/>
      <c r="I107" s="27">
        <v>1</v>
      </c>
      <c r="J107" s="28">
        <v>0</v>
      </c>
      <c r="K107" s="160" t="s">
        <v>435</v>
      </c>
      <c r="L107" s="30"/>
      <c r="M107" s="40">
        <v>0.01</v>
      </c>
      <c r="N107" s="32" t="s">
        <v>327</v>
      </c>
      <c r="O107" s="24" t="s">
        <v>52</v>
      </c>
      <c r="P107" s="33"/>
      <c r="Q107" s="34" t="s">
        <v>297</v>
      </c>
      <c r="R107" s="35" t="s">
        <v>438</v>
      </c>
      <c r="S107" s="56">
        <v>0.08</v>
      </c>
      <c r="T107" s="122">
        <f t="shared" si="2"/>
        <v>0.08</v>
      </c>
      <c r="U107" s="38"/>
      <c r="V107" s="22"/>
    </row>
    <row r="108" spans="1:23" s="152" customFormat="1" ht="16.5" customHeight="1" x14ac:dyDescent="0.25">
      <c r="A108" s="187"/>
      <c r="B108" s="177" t="s">
        <v>454</v>
      </c>
      <c r="C108" s="167"/>
      <c r="D108" s="51" t="s">
        <v>378</v>
      </c>
      <c r="E108" s="49" t="s">
        <v>93</v>
      </c>
      <c r="F108" s="161" t="s">
        <v>381</v>
      </c>
      <c r="G108" s="25" t="s">
        <v>379</v>
      </c>
      <c r="H108" s="26"/>
      <c r="I108" s="27">
        <v>2</v>
      </c>
      <c r="J108" s="28">
        <v>0</v>
      </c>
      <c r="K108" s="160" t="s">
        <v>381</v>
      </c>
      <c r="L108" s="30"/>
      <c r="M108" s="40"/>
      <c r="N108" s="32"/>
      <c r="O108" s="24"/>
      <c r="P108" s="33"/>
      <c r="Q108" s="34" t="s">
        <v>297</v>
      </c>
      <c r="R108" s="35" t="s">
        <v>380</v>
      </c>
      <c r="S108" s="56">
        <v>0.8</v>
      </c>
      <c r="T108" s="122">
        <f t="shared" si="2"/>
        <v>1.6</v>
      </c>
      <c r="U108" s="38"/>
      <c r="V108" s="22"/>
    </row>
    <row r="109" spans="1:23" s="152" customFormat="1" ht="16.5" customHeight="1" x14ac:dyDescent="0.25">
      <c r="A109" s="187"/>
      <c r="B109" s="177"/>
      <c r="C109" s="167"/>
      <c r="D109" s="51" t="s">
        <v>384</v>
      </c>
      <c r="E109" s="49" t="s">
        <v>93</v>
      </c>
      <c r="F109" s="161" t="s">
        <v>382</v>
      </c>
      <c r="G109" s="25" t="s">
        <v>383</v>
      </c>
      <c r="H109" s="26"/>
      <c r="I109" s="27">
        <v>2</v>
      </c>
      <c r="J109" s="28">
        <v>0</v>
      </c>
      <c r="K109" s="160" t="s">
        <v>382</v>
      </c>
      <c r="L109" s="30"/>
      <c r="M109" s="40"/>
      <c r="N109" s="32"/>
      <c r="O109" s="24"/>
      <c r="P109" s="33"/>
      <c r="Q109" s="34" t="s">
        <v>297</v>
      </c>
      <c r="R109" s="35" t="s">
        <v>385</v>
      </c>
      <c r="S109" s="56">
        <v>0.09</v>
      </c>
      <c r="T109" s="122">
        <f t="shared" si="2"/>
        <v>0.18</v>
      </c>
      <c r="U109" s="38"/>
      <c r="V109" s="22"/>
    </row>
    <row r="110" spans="1:23" s="152" customFormat="1" x14ac:dyDescent="0.25">
      <c r="A110" s="187"/>
      <c r="B110" s="177"/>
      <c r="C110" s="167"/>
      <c r="D110" s="51" t="s">
        <v>370</v>
      </c>
      <c r="E110" s="49" t="s">
        <v>93</v>
      </c>
      <c r="F110" s="24" t="s">
        <v>369</v>
      </c>
      <c r="G110" s="25" t="s">
        <v>368</v>
      </c>
      <c r="H110" s="26"/>
      <c r="I110" s="27">
        <v>1</v>
      </c>
      <c r="J110" s="28">
        <v>0</v>
      </c>
      <c r="K110" s="29" t="s">
        <v>430</v>
      </c>
      <c r="L110" s="30"/>
      <c r="M110" s="31"/>
      <c r="N110" s="32"/>
      <c r="O110" s="24"/>
      <c r="P110" s="33"/>
      <c r="Q110" s="34" t="s">
        <v>297</v>
      </c>
      <c r="R110" s="35" t="s">
        <v>368</v>
      </c>
      <c r="S110" s="56">
        <v>0.87</v>
      </c>
      <c r="T110" s="122">
        <f t="shared" si="2"/>
        <v>0.87</v>
      </c>
      <c r="U110" s="38"/>
      <c r="V110" s="22"/>
    </row>
    <row r="111" spans="1:23" s="152" customFormat="1" x14ac:dyDescent="0.2">
      <c r="A111" s="187"/>
      <c r="B111" s="177" t="s">
        <v>454</v>
      </c>
      <c r="C111" s="167"/>
      <c r="D111" s="51" t="s">
        <v>427</v>
      </c>
      <c r="E111" s="49" t="s">
        <v>93</v>
      </c>
      <c r="F111" s="159" t="s">
        <v>426</v>
      </c>
      <c r="G111" s="25" t="s">
        <v>425</v>
      </c>
      <c r="H111" s="26"/>
      <c r="I111" s="27">
        <v>20</v>
      </c>
      <c r="J111" s="28">
        <v>0</v>
      </c>
      <c r="K111" s="29" t="s">
        <v>426</v>
      </c>
      <c r="L111" s="30"/>
      <c r="M111" s="40">
        <v>0.2</v>
      </c>
      <c r="N111" s="32" t="s">
        <v>359</v>
      </c>
      <c r="O111" s="24"/>
      <c r="P111" s="33"/>
      <c r="Q111" s="34" t="s">
        <v>297</v>
      </c>
      <c r="R111" s="35" t="s">
        <v>428</v>
      </c>
      <c r="S111" s="56">
        <v>1.49</v>
      </c>
      <c r="T111" s="122">
        <f>S111*I111</f>
        <v>29.8</v>
      </c>
      <c r="U111" s="38"/>
      <c r="V111" s="22"/>
    </row>
    <row r="112" spans="1:23" s="152" customFormat="1" ht="15.75" customHeight="1" x14ac:dyDescent="0.25">
      <c r="A112" s="188"/>
      <c r="B112" s="177" t="s">
        <v>454</v>
      </c>
      <c r="C112" s="167"/>
      <c r="D112" s="51" t="s">
        <v>373</v>
      </c>
      <c r="E112" s="49" t="s">
        <v>93</v>
      </c>
      <c r="F112" s="161" t="s">
        <v>372</v>
      </c>
      <c r="G112" s="25" t="s">
        <v>371</v>
      </c>
      <c r="H112" s="26"/>
      <c r="I112" s="27">
        <v>1</v>
      </c>
      <c r="J112" s="28">
        <v>0</v>
      </c>
      <c r="K112" s="160" t="s">
        <v>372</v>
      </c>
      <c r="L112" s="30"/>
      <c r="M112" s="40"/>
      <c r="N112" s="32"/>
      <c r="O112" s="24"/>
      <c r="P112" s="33"/>
      <c r="Q112" s="34" t="s">
        <v>297</v>
      </c>
      <c r="R112" s="35" t="s">
        <v>374</v>
      </c>
      <c r="S112" s="56">
        <v>0.72</v>
      </c>
      <c r="T112" s="122">
        <f t="shared" si="2"/>
        <v>0.72</v>
      </c>
      <c r="U112" s="38"/>
      <c r="V112" s="22"/>
    </row>
    <row r="113" spans="1:22" s="152" customFormat="1" ht="15.75" customHeight="1" x14ac:dyDescent="0.2">
      <c r="A113" s="186" t="s">
        <v>439</v>
      </c>
      <c r="B113" s="177" t="s">
        <v>454</v>
      </c>
      <c r="C113" s="167"/>
      <c r="D113" s="51" t="s">
        <v>411</v>
      </c>
      <c r="E113" s="49" t="s">
        <v>93</v>
      </c>
      <c r="F113" s="159" t="s">
        <v>407</v>
      </c>
      <c r="G113" s="25" t="s">
        <v>408</v>
      </c>
      <c r="H113" s="26"/>
      <c r="I113" s="27">
        <v>1</v>
      </c>
      <c r="J113" s="28">
        <v>0</v>
      </c>
      <c r="K113" s="29" t="s">
        <v>409</v>
      </c>
      <c r="L113" s="30"/>
      <c r="M113" s="40">
        <v>0.01</v>
      </c>
      <c r="N113" s="32" t="s">
        <v>327</v>
      </c>
      <c r="O113" s="24" t="s">
        <v>52</v>
      </c>
      <c r="P113" s="33"/>
      <c r="Q113" s="34" t="s">
        <v>297</v>
      </c>
      <c r="R113" s="35" t="s">
        <v>410</v>
      </c>
      <c r="S113" s="56">
        <v>0.08</v>
      </c>
      <c r="T113" s="122">
        <f t="shared" ref="T113:T116" si="5">S113*I113</f>
        <v>0.08</v>
      </c>
      <c r="U113" s="38"/>
      <c r="V113" s="22"/>
    </row>
    <row r="114" spans="1:22" s="152" customFormat="1" ht="15.75" customHeight="1" x14ac:dyDescent="0.2">
      <c r="A114" s="187"/>
      <c r="B114" s="177"/>
      <c r="C114" s="167"/>
      <c r="D114" s="51" t="s">
        <v>437</v>
      </c>
      <c r="E114" s="49" t="s">
        <v>93</v>
      </c>
      <c r="F114" s="159" t="s">
        <v>435</v>
      </c>
      <c r="G114" s="25" t="s">
        <v>436</v>
      </c>
      <c r="H114" s="26"/>
      <c r="I114" s="27">
        <v>1</v>
      </c>
      <c r="J114" s="28">
        <v>0</v>
      </c>
      <c r="K114" s="160" t="s">
        <v>435</v>
      </c>
      <c r="L114" s="30"/>
      <c r="M114" s="40">
        <v>0.01</v>
      </c>
      <c r="N114" s="32" t="s">
        <v>327</v>
      </c>
      <c r="O114" s="24" t="s">
        <v>52</v>
      </c>
      <c r="P114" s="33"/>
      <c r="Q114" s="34" t="s">
        <v>297</v>
      </c>
      <c r="R114" s="35" t="s">
        <v>438</v>
      </c>
      <c r="S114" s="56">
        <v>0.08</v>
      </c>
      <c r="T114" s="122">
        <f t="shared" si="5"/>
        <v>0.08</v>
      </c>
      <c r="U114" s="38"/>
      <c r="V114" s="22"/>
    </row>
    <row r="115" spans="1:22" s="152" customFormat="1" ht="14.25" customHeight="1" x14ac:dyDescent="0.25">
      <c r="A115" s="187"/>
      <c r="B115" s="177" t="s">
        <v>454</v>
      </c>
      <c r="C115" s="167"/>
      <c r="D115" s="51" t="s">
        <v>421</v>
      </c>
      <c r="E115" s="49" t="s">
        <v>93</v>
      </c>
      <c r="F115" s="24" t="s">
        <v>420</v>
      </c>
      <c r="G115" s="25" t="s">
        <v>50</v>
      </c>
      <c r="H115" s="26"/>
      <c r="I115" s="27">
        <v>1</v>
      </c>
      <c r="J115" s="28">
        <v>0</v>
      </c>
      <c r="K115" s="29" t="s">
        <v>420</v>
      </c>
      <c r="L115" s="30"/>
      <c r="M115" s="40">
        <v>0.05</v>
      </c>
      <c r="N115" s="32" t="s">
        <v>422</v>
      </c>
      <c r="O115" s="24" t="s">
        <v>52</v>
      </c>
      <c r="P115" s="33"/>
      <c r="Q115" s="34" t="s">
        <v>297</v>
      </c>
      <c r="R115" s="35" t="s">
        <v>423</v>
      </c>
      <c r="S115" s="56">
        <v>0.59</v>
      </c>
      <c r="T115" s="122">
        <f t="shared" si="5"/>
        <v>0.59</v>
      </c>
      <c r="U115" s="38"/>
      <c r="V115" s="22"/>
    </row>
    <row r="116" spans="1:22" s="152" customFormat="1" x14ac:dyDescent="0.25">
      <c r="A116" s="188"/>
      <c r="B116" s="177" t="s">
        <v>454</v>
      </c>
      <c r="C116" s="167"/>
      <c r="D116" s="51" t="s">
        <v>441</v>
      </c>
      <c r="E116" s="49" t="s">
        <v>93</v>
      </c>
      <c r="F116" s="24" t="s">
        <v>440</v>
      </c>
      <c r="G116" s="25" t="s">
        <v>440</v>
      </c>
      <c r="H116" s="26"/>
      <c r="I116" s="27">
        <v>1</v>
      </c>
      <c r="J116" s="28">
        <v>0</v>
      </c>
      <c r="K116" s="29" t="s">
        <v>417</v>
      </c>
      <c r="L116" s="30"/>
      <c r="M116" s="40">
        <v>0.01</v>
      </c>
      <c r="N116" s="32" t="s">
        <v>327</v>
      </c>
      <c r="O116" s="24" t="s">
        <v>52</v>
      </c>
      <c r="P116" s="33"/>
      <c r="Q116" s="34" t="s">
        <v>297</v>
      </c>
      <c r="R116" s="35" t="s">
        <v>442</v>
      </c>
      <c r="S116" s="56">
        <v>0.08</v>
      </c>
      <c r="T116" s="122">
        <f t="shared" si="5"/>
        <v>0.08</v>
      </c>
      <c r="U116" s="38"/>
      <c r="V116" s="22"/>
    </row>
    <row r="117" spans="1:22" s="152" customFormat="1" x14ac:dyDescent="0.25">
      <c r="A117" s="186" t="s">
        <v>284</v>
      </c>
      <c r="B117" s="177" t="s">
        <v>454</v>
      </c>
      <c r="C117" s="167"/>
      <c r="D117" s="51" t="s">
        <v>402</v>
      </c>
      <c r="E117" s="49" t="s">
        <v>93</v>
      </c>
      <c r="F117" s="24" t="s">
        <v>343</v>
      </c>
      <c r="G117" s="25" t="s">
        <v>345</v>
      </c>
      <c r="H117" s="26"/>
      <c r="I117" s="27">
        <v>1</v>
      </c>
      <c r="J117" s="28"/>
      <c r="K117" s="29" t="s">
        <v>343</v>
      </c>
      <c r="L117" s="30"/>
      <c r="M117" s="31"/>
      <c r="N117" s="32"/>
      <c r="O117" s="24"/>
      <c r="P117" s="33"/>
      <c r="Q117" s="34" t="s">
        <v>297</v>
      </c>
      <c r="R117" s="35" t="s">
        <v>344</v>
      </c>
      <c r="S117" s="56">
        <v>0.88</v>
      </c>
      <c r="T117" s="122">
        <f t="shared" si="2"/>
        <v>0.88</v>
      </c>
      <c r="U117" s="38"/>
      <c r="V117" s="22"/>
    </row>
    <row r="118" spans="1:22" s="152" customFormat="1" x14ac:dyDescent="0.25">
      <c r="A118" s="187"/>
      <c r="B118" s="177" t="s">
        <v>454</v>
      </c>
      <c r="C118" s="167"/>
      <c r="D118" s="51" t="s">
        <v>349</v>
      </c>
      <c r="E118" s="49" t="s">
        <v>93</v>
      </c>
      <c r="F118" s="24" t="s">
        <v>348</v>
      </c>
      <c r="G118" s="25" t="s">
        <v>346</v>
      </c>
      <c r="H118" s="26"/>
      <c r="I118" s="27">
        <v>1</v>
      </c>
      <c r="J118" s="28"/>
      <c r="K118" s="29" t="s">
        <v>348</v>
      </c>
      <c r="L118" s="30"/>
      <c r="M118" s="31"/>
      <c r="N118" s="32"/>
      <c r="O118" s="24"/>
      <c r="P118" s="33"/>
      <c r="Q118" s="34" t="s">
        <v>297</v>
      </c>
      <c r="R118" s="35" t="s">
        <v>347</v>
      </c>
      <c r="S118" s="56">
        <v>0.47</v>
      </c>
      <c r="T118" s="122">
        <f t="shared" si="2"/>
        <v>0.47</v>
      </c>
      <c r="U118" s="38"/>
      <c r="V118" s="22"/>
    </row>
    <row r="119" spans="1:22" s="152" customFormat="1" x14ac:dyDescent="0.2">
      <c r="A119" s="187"/>
      <c r="B119" s="177" t="s">
        <v>454</v>
      </c>
      <c r="C119" s="167"/>
      <c r="D119" s="51" t="s">
        <v>353</v>
      </c>
      <c r="E119" s="49" t="s">
        <v>93</v>
      </c>
      <c r="F119" s="159" t="s">
        <v>350</v>
      </c>
      <c r="G119" s="25" t="s">
        <v>351</v>
      </c>
      <c r="H119" s="26"/>
      <c r="I119" s="27">
        <v>1</v>
      </c>
      <c r="J119" s="28"/>
      <c r="K119" s="29" t="s">
        <v>350</v>
      </c>
      <c r="L119" s="30"/>
      <c r="M119" s="31"/>
      <c r="N119" s="32"/>
      <c r="O119" s="24"/>
      <c r="P119" s="33"/>
      <c r="Q119" s="34" t="s">
        <v>297</v>
      </c>
      <c r="R119" s="35" t="s">
        <v>352</v>
      </c>
      <c r="S119" s="56">
        <v>0.43</v>
      </c>
      <c r="T119" s="122">
        <f t="shared" si="2"/>
        <v>0.43</v>
      </c>
      <c r="U119" s="38"/>
      <c r="V119" s="22"/>
    </row>
    <row r="120" spans="1:22" s="152" customFormat="1" ht="15" customHeight="1" x14ac:dyDescent="0.25">
      <c r="A120" s="187"/>
      <c r="B120" s="177"/>
      <c r="C120" s="167"/>
      <c r="D120" s="51" t="s">
        <v>357</v>
      </c>
      <c r="E120" s="49" t="s">
        <v>93</v>
      </c>
      <c r="F120" s="24" t="s">
        <v>354</v>
      </c>
      <c r="G120" s="25" t="s">
        <v>355</v>
      </c>
      <c r="H120" s="26"/>
      <c r="I120" s="27">
        <v>1</v>
      </c>
      <c r="J120" s="28"/>
      <c r="K120" s="29" t="s">
        <v>354</v>
      </c>
      <c r="L120" s="30"/>
      <c r="M120" s="31"/>
      <c r="N120" s="32"/>
      <c r="O120" s="24"/>
      <c r="P120" s="33"/>
      <c r="Q120" s="34" t="s">
        <v>297</v>
      </c>
      <c r="R120" s="35" t="s">
        <v>356</v>
      </c>
      <c r="S120" s="56">
        <v>0.44</v>
      </c>
      <c r="T120" s="122">
        <f t="shared" si="2"/>
        <v>0.44</v>
      </c>
      <c r="U120" s="38"/>
      <c r="V120" s="22"/>
    </row>
    <row r="121" spans="1:22" s="152" customFormat="1" ht="15" customHeight="1" x14ac:dyDescent="0.2">
      <c r="A121" s="187"/>
      <c r="B121" s="177" t="s">
        <v>454</v>
      </c>
      <c r="C121" s="170"/>
      <c r="D121" s="51" t="s">
        <v>287</v>
      </c>
      <c r="E121" s="49" t="s">
        <v>93</v>
      </c>
      <c r="F121" s="157" t="s">
        <v>76</v>
      </c>
      <c r="G121" s="25" t="s">
        <v>75</v>
      </c>
      <c r="H121" s="26"/>
      <c r="I121" s="27">
        <v>1</v>
      </c>
      <c r="J121" s="28"/>
      <c r="K121" s="89" t="s">
        <v>76</v>
      </c>
      <c r="L121" s="30" t="s">
        <v>93</v>
      </c>
      <c r="M121" s="40">
        <v>0.05</v>
      </c>
      <c r="N121" s="32" t="s">
        <v>288</v>
      </c>
      <c r="O121" s="24"/>
      <c r="P121" s="33"/>
      <c r="Q121" s="34" t="s">
        <v>297</v>
      </c>
      <c r="R121" s="35" t="s">
        <v>286</v>
      </c>
      <c r="S121" s="56">
        <v>0.28000000000000003</v>
      </c>
      <c r="T121" s="122">
        <f t="shared" si="2"/>
        <v>0.28000000000000003</v>
      </c>
      <c r="U121" s="38"/>
      <c r="V121" s="22"/>
    </row>
    <row r="122" spans="1:22" s="152" customFormat="1" ht="15" customHeight="1" x14ac:dyDescent="0.25">
      <c r="A122" s="188"/>
      <c r="B122" s="177" t="s">
        <v>454</v>
      </c>
      <c r="C122" s="167"/>
      <c r="D122" s="51" t="s">
        <v>333</v>
      </c>
      <c r="E122" s="49" t="s">
        <v>93</v>
      </c>
      <c r="F122" s="24" t="s">
        <v>328</v>
      </c>
      <c r="G122" s="42" t="s">
        <v>329</v>
      </c>
      <c r="H122" s="26"/>
      <c r="I122" s="27">
        <v>1</v>
      </c>
      <c r="J122" s="28">
        <v>0</v>
      </c>
      <c r="K122" s="29" t="s">
        <v>330</v>
      </c>
      <c r="L122" s="30" t="s">
        <v>48</v>
      </c>
      <c r="M122" s="40">
        <v>0.1</v>
      </c>
      <c r="N122" s="32" t="s">
        <v>317</v>
      </c>
      <c r="O122" s="24"/>
      <c r="P122" s="33" t="s">
        <v>331</v>
      </c>
      <c r="Q122" s="34" t="s">
        <v>297</v>
      </c>
      <c r="R122" s="35" t="s">
        <v>332</v>
      </c>
      <c r="S122" s="56">
        <v>0.81</v>
      </c>
      <c r="T122" s="122">
        <f t="shared" si="2"/>
        <v>0.81</v>
      </c>
      <c r="U122" s="38"/>
      <c r="V122" s="22"/>
    </row>
    <row r="123" spans="1:22" s="152" customFormat="1" x14ac:dyDescent="0.25">
      <c r="A123" s="153"/>
      <c r="B123" s="165"/>
      <c r="C123" s="167"/>
      <c r="D123" s="51" t="s">
        <v>443</v>
      </c>
      <c r="E123" s="47"/>
      <c r="F123" s="24" t="s">
        <v>444</v>
      </c>
      <c r="G123" s="25" t="s">
        <v>445</v>
      </c>
      <c r="H123" s="26"/>
      <c r="I123" s="27">
        <v>1</v>
      </c>
      <c r="J123" s="28">
        <v>0</v>
      </c>
      <c r="K123" s="29" t="s">
        <v>444</v>
      </c>
      <c r="L123" s="30"/>
      <c r="M123" s="31"/>
      <c r="N123" s="32"/>
      <c r="O123" s="24"/>
      <c r="P123" s="33"/>
      <c r="Q123" s="34" t="s">
        <v>297</v>
      </c>
      <c r="R123" s="35" t="s">
        <v>446</v>
      </c>
      <c r="S123" s="56">
        <v>0.22</v>
      </c>
      <c r="T123" s="122">
        <f t="shared" si="2"/>
        <v>0.22</v>
      </c>
      <c r="U123" s="38"/>
      <c r="V123" s="22"/>
    </row>
    <row r="124" spans="1:22" s="152" customFormat="1" x14ac:dyDescent="0.25">
      <c r="A124" s="153"/>
      <c r="B124" s="165"/>
      <c r="C124" s="167"/>
      <c r="D124" s="51" t="s">
        <v>447</v>
      </c>
      <c r="E124" s="47"/>
      <c r="F124" s="24" t="s">
        <v>449</v>
      </c>
      <c r="G124" s="25" t="s">
        <v>448</v>
      </c>
      <c r="H124" s="26"/>
      <c r="I124" s="27">
        <v>1</v>
      </c>
      <c r="J124" s="28">
        <v>0</v>
      </c>
      <c r="K124" s="29" t="s">
        <v>450</v>
      </c>
      <c r="L124" s="30"/>
      <c r="M124" s="31"/>
      <c r="N124" s="32"/>
      <c r="O124" s="24"/>
      <c r="P124" s="33"/>
      <c r="Q124" s="34" t="s">
        <v>297</v>
      </c>
      <c r="R124" s="35" t="s">
        <v>451</v>
      </c>
      <c r="S124" s="56">
        <v>0.96</v>
      </c>
      <c r="T124" s="122">
        <f t="shared" si="2"/>
        <v>0.96</v>
      </c>
      <c r="U124" s="38"/>
      <c r="V124" s="22"/>
    </row>
    <row r="125" spans="1:22" s="152" customFormat="1" x14ac:dyDescent="0.25">
      <c r="A125" s="153"/>
      <c r="B125" s="165"/>
      <c r="C125" s="167"/>
      <c r="D125" s="154" t="s">
        <v>452</v>
      </c>
      <c r="E125" s="47"/>
      <c r="F125" s="24" t="s">
        <v>453</v>
      </c>
      <c r="G125" s="25" t="s">
        <v>453</v>
      </c>
      <c r="H125" s="26"/>
      <c r="I125" s="27">
        <v>1</v>
      </c>
      <c r="J125" s="28">
        <v>0</v>
      </c>
      <c r="K125" s="29"/>
      <c r="L125" s="30"/>
      <c r="M125" s="31"/>
      <c r="N125" s="32"/>
      <c r="O125" s="24"/>
      <c r="P125" s="33"/>
      <c r="Q125" s="34"/>
      <c r="R125" s="35"/>
      <c r="S125" s="36"/>
      <c r="T125" s="122">
        <f t="shared" si="2"/>
        <v>0</v>
      </c>
      <c r="U125" s="38"/>
      <c r="V125" s="22"/>
    </row>
    <row r="126" spans="1:22" s="152" customFormat="1" x14ac:dyDescent="0.25">
      <c r="A126" s="153"/>
      <c r="B126" s="177" t="s">
        <v>454</v>
      </c>
      <c r="C126" s="167"/>
      <c r="D126" s="154" t="s">
        <v>455</v>
      </c>
      <c r="E126" s="49" t="s">
        <v>93</v>
      </c>
      <c r="F126" s="24"/>
      <c r="G126" s="25" t="s">
        <v>456</v>
      </c>
      <c r="H126" s="26"/>
      <c r="I126" s="27">
        <v>1</v>
      </c>
      <c r="J126" s="28">
        <v>0</v>
      </c>
      <c r="K126" s="29" t="s">
        <v>457</v>
      </c>
      <c r="L126" s="30"/>
      <c r="M126" s="31"/>
      <c r="N126" s="32"/>
      <c r="O126" s="24"/>
      <c r="P126" s="33"/>
      <c r="Q126" s="34" t="s">
        <v>297</v>
      </c>
      <c r="R126" s="35" t="s">
        <v>458</v>
      </c>
      <c r="S126" s="36"/>
      <c r="T126" s="122">
        <f t="shared" si="2"/>
        <v>0</v>
      </c>
      <c r="U126" s="38"/>
      <c r="V126" s="22"/>
    </row>
    <row r="127" spans="1:22" s="152" customFormat="1" x14ac:dyDescent="0.25">
      <c r="A127" s="153"/>
      <c r="B127" s="165"/>
      <c r="C127" s="167"/>
      <c r="D127" s="51" t="s">
        <v>459</v>
      </c>
      <c r="E127" s="49" t="s">
        <v>93</v>
      </c>
      <c r="F127" s="24"/>
      <c r="G127" s="25" t="s">
        <v>460</v>
      </c>
      <c r="H127" s="26"/>
      <c r="I127" s="27">
        <v>1</v>
      </c>
      <c r="J127" s="28">
        <v>0</v>
      </c>
      <c r="K127" s="29" t="s">
        <v>461</v>
      </c>
      <c r="L127" s="30"/>
      <c r="M127" s="31"/>
      <c r="N127" s="32"/>
      <c r="O127" s="24"/>
      <c r="P127" s="33"/>
      <c r="Q127" s="34" t="s">
        <v>297</v>
      </c>
      <c r="R127" s="35" t="s">
        <v>462</v>
      </c>
      <c r="S127" s="36"/>
      <c r="T127" s="122">
        <f t="shared" si="2"/>
        <v>0</v>
      </c>
      <c r="U127" s="38"/>
      <c r="V127" s="22"/>
    </row>
    <row r="128" spans="1:22" s="152" customFormat="1" x14ac:dyDescent="0.25">
      <c r="A128" s="153" t="s">
        <v>481</v>
      </c>
      <c r="B128" s="165"/>
      <c r="C128" s="167"/>
      <c r="D128" s="154"/>
      <c r="E128" s="179"/>
      <c r="F128" s="24"/>
      <c r="G128" s="25"/>
      <c r="H128" s="26"/>
      <c r="I128" s="27"/>
      <c r="J128" s="28"/>
      <c r="K128" s="29"/>
      <c r="L128" s="30"/>
      <c r="M128" s="31"/>
      <c r="N128" s="32"/>
      <c r="O128" s="24"/>
      <c r="P128" s="33"/>
      <c r="Q128" s="34"/>
      <c r="R128" s="35"/>
      <c r="S128" s="36"/>
      <c r="T128" s="122">
        <f t="shared" si="2"/>
        <v>0</v>
      </c>
      <c r="U128" s="38"/>
      <c r="V128" s="22"/>
    </row>
    <row r="129" spans="1:22" s="152" customFormat="1" x14ac:dyDescent="0.25">
      <c r="A129" s="153" t="s">
        <v>483</v>
      </c>
      <c r="B129" s="165"/>
      <c r="C129" s="167"/>
      <c r="D129" s="154" t="s">
        <v>482</v>
      </c>
      <c r="E129" s="47"/>
      <c r="F129" s="24"/>
      <c r="G129" s="25"/>
      <c r="H129" s="26"/>
      <c r="I129" s="27"/>
      <c r="J129" s="28"/>
      <c r="K129" s="29" t="s">
        <v>484</v>
      </c>
      <c r="L129" s="30"/>
      <c r="M129" s="31"/>
      <c r="N129" s="32"/>
      <c r="O129" s="24"/>
      <c r="P129" s="33"/>
      <c r="Q129" s="34"/>
      <c r="R129" s="35"/>
      <c r="S129" s="36"/>
      <c r="T129" s="122">
        <f t="shared" si="2"/>
        <v>0</v>
      </c>
      <c r="U129" s="38"/>
      <c r="V129" s="22"/>
    </row>
    <row r="130" spans="1:22" s="152" customFormat="1" x14ac:dyDescent="0.25">
      <c r="A130" s="153"/>
      <c r="B130" s="165"/>
      <c r="C130" s="167"/>
      <c r="D130" s="154" t="s">
        <v>485</v>
      </c>
      <c r="E130" s="47"/>
      <c r="F130" s="24"/>
      <c r="G130" s="25"/>
      <c r="H130" s="26"/>
      <c r="I130" s="27"/>
      <c r="J130" s="28"/>
      <c r="K130" s="29" t="s">
        <v>486</v>
      </c>
      <c r="L130" s="30"/>
      <c r="M130" s="31"/>
      <c r="N130" s="32"/>
      <c r="O130" s="24"/>
      <c r="P130" s="33"/>
      <c r="Q130" s="34"/>
      <c r="R130" s="35"/>
      <c r="S130" s="36"/>
      <c r="T130" s="122">
        <f t="shared" si="2"/>
        <v>0</v>
      </c>
      <c r="U130" s="38"/>
      <c r="V130" s="22"/>
    </row>
    <row r="131" spans="1:22" s="152" customFormat="1" x14ac:dyDescent="0.25">
      <c r="A131" s="153" t="s">
        <v>497</v>
      </c>
      <c r="B131" s="165"/>
      <c r="C131" s="167"/>
      <c r="D131" s="154" t="s">
        <v>487</v>
      </c>
      <c r="E131" s="49"/>
      <c r="F131" s="24"/>
      <c r="G131" s="25"/>
      <c r="H131" s="26"/>
      <c r="I131" s="27">
        <v>1</v>
      </c>
      <c r="J131" s="28"/>
      <c r="K131" s="29" t="s">
        <v>488</v>
      </c>
      <c r="L131" s="30"/>
      <c r="M131" s="31"/>
      <c r="N131" s="32"/>
      <c r="O131" s="24"/>
      <c r="P131" s="33"/>
      <c r="Q131" s="34"/>
      <c r="R131" s="35"/>
      <c r="S131" s="36"/>
      <c r="T131" s="122">
        <f t="shared" si="2"/>
        <v>0</v>
      </c>
      <c r="U131" s="38"/>
      <c r="V131" s="22"/>
    </row>
    <row r="132" spans="1:22" s="152" customFormat="1" x14ac:dyDescent="0.25">
      <c r="A132" s="153" t="s">
        <v>496</v>
      </c>
      <c r="B132" s="165"/>
      <c r="C132" s="167"/>
      <c r="D132" s="154" t="s">
        <v>494</v>
      </c>
      <c r="E132" s="49"/>
      <c r="F132" s="24"/>
      <c r="G132" s="25"/>
      <c r="H132" s="26"/>
      <c r="I132" s="27">
        <v>6</v>
      </c>
      <c r="J132" s="28">
        <v>0</v>
      </c>
      <c r="K132" s="29" t="s">
        <v>495</v>
      </c>
      <c r="L132" s="30"/>
      <c r="M132" s="31"/>
      <c r="N132" s="32"/>
      <c r="O132" s="24"/>
      <c r="P132" s="33"/>
      <c r="Q132" s="34"/>
      <c r="R132" s="35"/>
      <c r="S132" s="36">
        <v>0.59</v>
      </c>
      <c r="T132" s="122">
        <f t="shared" si="2"/>
        <v>3.54</v>
      </c>
      <c r="U132" s="38"/>
      <c r="V132" s="22"/>
    </row>
    <row r="133" spans="1:22" s="152" customFormat="1" x14ac:dyDescent="0.25">
      <c r="A133" s="153"/>
      <c r="B133" s="165"/>
      <c r="C133" s="167"/>
      <c r="D133" s="154"/>
      <c r="E133" s="47"/>
      <c r="F133" s="24"/>
      <c r="G133" s="25"/>
      <c r="H133" s="26"/>
      <c r="I133" s="27"/>
      <c r="J133" s="28"/>
      <c r="K133" s="29"/>
      <c r="L133" s="30"/>
      <c r="M133" s="31"/>
      <c r="N133" s="32"/>
      <c r="O133" s="24"/>
      <c r="P133" s="33"/>
      <c r="Q133" s="34"/>
      <c r="R133" s="35"/>
      <c r="S133" s="36"/>
      <c r="T133" s="122">
        <f t="shared" si="2"/>
        <v>0</v>
      </c>
      <c r="U133" s="38"/>
      <c r="V133" s="22"/>
    </row>
    <row r="134" spans="1:22" s="152" customFormat="1" x14ac:dyDescent="0.25">
      <c r="A134" s="153"/>
      <c r="B134" s="165"/>
      <c r="C134" s="167"/>
      <c r="D134" s="154"/>
      <c r="E134" s="47"/>
      <c r="F134" s="24"/>
      <c r="G134" s="25"/>
      <c r="H134" s="26"/>
      <c r="I134" s="27"/>
      <c r="J134" s="28"/>
      <c r="K134" s="29"/>
      <c r="L134" s="30"/>
      <c r="M134" s="31"/>
      <c r="N134" s="32"/>
      <c r="O134" s="24"/>
      <c r="P134" s="33"/>
      <c r="Q134" s="34"/>
      <c r="R134" s="35"/>
      <c r="S134" s="36"/>
      <c r="T134" s="122">
        <f t="shared" si="2"/>
        <v>0</v>
      </c>
      <c r="U134" s="38"/>
      <c r="V134" s="22"/>
    </row>
    <row r="135" spans="1:22" s="152" customFormat="1" x14ac:dyDescent="0.25">
      <c r="A135" s="153"/>
      <c r="B135" s="165"/>
      <c r="C135" s="167"/>
      <c r="D135" s="154"/>
      <c r="E135" s="47"/>
      <c r="F135" s="24"/>
      <c r="G135" s="25"/>
      <c r="H135" s="26"/>
      <c r="I135" s="27"/>
      <c r="J135" s="28"/>
      <c r="K135" s="29"/>
      <c r="L135" s="30"/>
      <c r="M135" s="31"/>
      <c r="N135" s="32"/>
      <c r="O135" s="24"/>
      <c r="P135" s="33"/>
      <c r="Q135" s="34"/>
      <c r="R135" s="35"/>
      <c r="S135" s="36"/>
      <c r="T135" s="122">
        <f t="shared" si="2"/>
        <v>0</v>
      </c>
      <c r="U135" s="38"/>
      <c r="V135" s="22"/>
    </row>
    <row r="136" spans="1:22" s="152" customFormat="1" x14ac:dyDescent="0.25">
      <c r="A136" s="153"/>
      <c r="B136" s="165"/>
      <c r="C136" s="167"/>
      <c r="D136" s="154"/>
      <c r="E136" s="47"/>
      <c r="F136" s="24"/>
      <c r="G136" s="25"/>
      <c r="H136" s="26"/>
      <c r="I136" s="27"/>
      <c r="J136" s="28"/>
      <c r="K136" s="29"/>
      <c r="L136" s="30"/>
      <c r="M136" s="31"/>
      <c r="N136" s="32"/>
      <c r="O136" s="24"/>
      <c r="P136" s="33"/>
      <c r="Q136" s="34"/>
      <c r="R136" s="35"/>
      <c r="S136" s="36"/>
      <c r="T136" s="122">
        <f t="shared" si="2"/>
        <v>0</v>
      </c>
      <c r="U136" s="38"/>
      <c r="V136" s="22"/>
    </row>
    <row r="137" spans="1:22" s="152" customFormat="1" x14ac:dyDescent="0.25">
      <c r="A137" s="153"/>
      <c r="B137" s="165"/>
      <c r="C137" s="167"/>
      <c r="D137" s="154"/>
      <c r="E137" s="47"/>
      <c r="F137" s="24"/>
      <c r="G137" s="25"/>
      <c r="H137" s="26"/>
      <c r="I137" s="27"/>
      <c r="J137" s="28"/>
      <c r="K137" s="29"/>
      <c r="L137" s="30"/>
      <c r="M137" s="31"/>
      <c r="N137" s="32"/>
      <c r="O137" s="24"/>
      <c r="P137" s="33"/>
      <c r="Q137" s="34"/>
      <c r="R137" s="35"/>
      <c r="S137" s="36"/>
      <c r="T137" s="122">
        <f t="shared" si="2"/>
        <v>0</v>
      </c>
      <c r="U137" s="38"/>
      <c r="V137" s="22"/>
    </row>
    <row r="138" spans="1:22" s="152" customFormat="1" x14ac:dyDescent="0.25">
      <c r="A138" s="153"/>
      <c r="B138" s="165"/>
      <c r="C138" s="167"/>
      <c r="D138" s="154"/>
      <c r="E138" s="47"/>
      <c r="F138" s="24"/>
      <c r="G138" s="25"/>
      <c r="H138" s="26"/>
      <c r="I138" s="27"/>
      <c r="J138" s="28"/>
      <c r="K138" s="29"/>
      <c r="L138" s="30"/>
      <c r="M138" s="31"/>
      <c r="N138" s="32"/>
      <c r="O138" s="24"/>
      <c r="P138" s="33"/>
      <c r="Q138" s="34"/>
      <c r="R138" s="35"/>
      <c r="S138" s="36"/>
      <c r="T138" s="122">
        <f t="shared" si="2"/>
        <v>0</v>
      </c>
      <c r="U138" s="38"/>
      <c r="V138" s="22"/>
    </row>
    <row r="139" spans="1:22" s="152" customFormat="1" x14ac:dyDescent="0.25">
      <c r="A139" s="153"/>
      <c r="B139" s="165"/>
      <c r="C139" s="167"/>
      <c r="D139" s="154"/>
      <c r="E139" s="47"/>
      <c r="F139" s="24"/>
      <c r="G139" s="25"/>
      <c r="H139" s="26"/>
      <c r="I139" s="27"/>
      <c r="J139" s="28"/>
      <c r="K139" s="29"/>
      <c r="L139" s="30"/>
      <c r="M139" s="31"/>
      <c r="N139" s="32"/>
      <c r="O139" s="24"/>
      <c r="P139" s="33"/>
      <c r="Q139" s="34"/>
      <c r="R139" s="35"/>
      <c r="S139" s="36"/>
      <c r="T139" s="122">
        <f t="shared" si="2"/>
        <v>0</v>
      </c>
      <c r="U139" s="38"/>
      <c r="V139" s="22"/>
    </row>
    <row r="140" spans="1:22" s="152" customFormat="1" x14ac:dyDescent="0.25">
      <c r="A140" s="153"/>
      <c r="B140" s="165"/>
      <c r="C140" s="167"/>
      <c r="D140" s="154"/>
      <c r="E140" s="47"/>
      <c r="F140" s="24"/>
      <c r="G140" s="25"/>
      <c r="H140" s="26"/>
      <c r="I140" s="27"/>
      <c r="J140" s="28"/>
      <c r="K140" s="29"/>
      <c r="L140" s="30"/>
      <c r="M140" s="31"/>
      <c r="N140" s="32"/>
      <c r="O140" s="24"/>
      <c r="P140" s="33"/>
      <c r="Q140" s="34"/>
      <c r="R140" s="35"/>
      <c r="S140" s="36"/>
      <c r="T140" s="122">
        <f t="shared" si="2"/>
        <v>0</v>
      </c>
      <c r="U140" s="38"/>
      <c r="V140" s="22"/>
    </row>
    <row r="141" spans="1:22" s="152" customFormat="1" x14ac:dyDescent="0.25">
      <c r="A141" s="153"/>
      <c r="B141" s="165"/>
      <c r="C141" s="167"/>
      <c r="D141" s="154"/>
      <c r="E141" s="47"/>
      <c r="F141" s="24"/>
      <c r="G141" s="25"/>
      <c r="H141" s="26"/>
      <c r="I141" s="27"/>
      <c r="J141" s="28"/>
      <c r="K141" s="29"/>
      <c r="L141" s="30"/>
      <c r="M141" s="31"/>
      <c r="N141" s="32"/>
      <c r="O141" s="24"/>
      <c r="P141" s="33"/>
      <c r="Q141" s="34"/>
      <c r="R141" s="35"/>
      <c r="S141" s="36"/>
      <c r="T141" s="122">
        <f t="shared" si="2"/>
        <v>0</v>
      </c>
      <c r="U141" s="38"/>
      <c r="V141" s="22"/>
    </row>
    <row r="142" spans="1:22" s="152" customFormat="1" x14ac:dyDescent="0.25">
      <c r="A142" s="153"/>
      <c r="B142" s="165"/>
      <c r="C142" s="167"/>
      <c r="D142" s="154"/>
      <c r="E142" s="47"/>
      <c r="F142" s="24"/>
      <c r="G142" s="25"/>
      <c r="H142" s="26"/>
      <c r="I142" s="27"/>
      <c r="J142" s="28"/>
      <c r="K142" s="29"/>
      <c r="L142" s="30"/>
      <c r="M142" s="31"/>
      <c r="N142" s="32"/>
      <c r="O142" s="24"/>
      <c r="P142" s="33"/>
      <c r="Q142" s="34"/>
      <c r="R142" s="35"/>
      <c r="S142" s="36"/>
      <c r="T142" s="122">
        <f t="shared" si="2"/>
        <v>0</v>
      </c>
      <c r="U142" s="38"/>
      <c r="V142" s="22"/>
    </row>
    <row r="143" spans="1:22" s="152" customFormat="1" x14ac:dyDescent="0.25">
      <c r="A143" s="153"/>
      <c r="B143" s="165"/>
      <c r="C143" s="167"/>
      <c r="D143" s="154"/>
      <c r="E143" s="47"/>
      <c r="F143" s="24"/>
      <c r="G143" s="25"/>
      <c r="H143" s="26"/>
      <c r="I143" s="27"/>
      <c r="J143" s="28"/>
      <c r="K143" s="29"/>
      <c r="L143" s="30"/>
      <c r="M143" s="31"/>
      <c r="N143" s="32"/>
      <c r="O143" s="24"/>
      <c r="P143" s="33"/>
      <c r="Q143" s="34"/>
      <c r="R143" s="35"/>
      <c r="S143" s="36"/>
      <c r="T143" s="122">
        <f t="shared" si="2"/>
        <v>0</v>
      </c>
      <c r="U143" s="38"/>
      <c r="V143" s="22"/>
    </row>
    <row r="144" spans="1:22" s="152" customFormat="1" x14ac:dyDescent="0.25">
      <c r="A144" s="153"/>
      <c r="B144" s="165"/>
      <c r="C144" s="167"/>
      <c r="D144" s="154"/>
      <c r="E144" s="47"/>
      <c r="F144" s="24"/>
      <c r="G144" s="25"/>
      <c r="H144" s="26"/>
      <c r="I144" s="27"/>
      <c r="J144" s="28"/>
      <c r="K144" s="29"/>
      <c r="L144" s="30"/>
      <c r="M144" s="31"/>
      <c r="N144" s="32"/>
      <c r="O144" s="24"/>
      <c r="P144" s="33"/>
      <c r="Q144" s="34"/>
      <c r="R144" s="35"/>
      <c r="S144" s="36"/>
      <c r="T144" s="122">
        <f t="shared" si="2"/>
        <v>0</v>
      </c>
      <c r="U144" s="38"/>
      <c r="V144" s="22"/>
    </row>
    <row r="145" spans="1:22" s="152" customFormat="1" x14ac:dyDescent="0.25">
      <c r="A145" s="153"/>
      <c r="B145" s="165"/>
      <c r="C145" s="167"/>
      <c r="D145" s="154"/>
      <c r="E145" s="47"/>
      <c r="F145" s="24"/>
      <c r="G145" s="25"/>
      <c r="H145" s="26"/>
      <c r="I145" s="27"/>
      <c r="J145" s="28"/>
      <c r="K145" s="29"/>
      <c r="L145" s="30"/>
      <c r="M145" s="31"/>
      <c r="N145" s="32"/>
      <c r="O145" s="24"/>
      <c r="P145" s="33"/>
      <c r="Q145" s="34"/>
      <c r="R145" s="35"/>
      <c r="S145" s="36"/>
      <c r="T145" s="122">
        <f t="shared" si="2"/>
        <v>0</v>
      </c>
      <c r="U145" s="38"/>
      <c r="V145" s="22"/>
    </row>
    <row r="146" spans="1:22" s="152" customFormat="1" x14ac:dyDescent="0.25">
      <c r="A146" s="153"/>
      <c r="B146" s="165"/>
      <c r="C146" s="167"/>
      <c r="D146" s="154"/>
      <c r="E146" s="47"/>
      <c r="F146" s="24"/>
      <c r="G146" s="25"/>
      <c r="H146" s="26"/>
      <c r="I146" s="27"/>
      <c r="J146" s="28"/>
      <c r="K146" s="29"/>
      <c r="L146" s="30"/>
      <c r="M146" s="31"/>
      <c r="N146" s="32"/>
      <c r="O146" s="24"/>
      <c r="P146" s="33"/>
      <c r="Q146" s="34"/>
      <c r="R146" s="35"/>
      <c r="S146" s="36"/>
      <c r="T146" s="122">
        <f t="shared" si="2"/>
        <v>0</v>
      </c>
      <c r="U146" s="38"/>
      <c r="V146" s="22"/>
    </row>
    <row r="147" spans="1:22" s="152" customFormat="1" x14ac:dyDescent="0.25">
      <c r="A147" s="153"/>
      <c r="B147" s="165"/>
      <c r="C147" s="167"/>
      <c r="D147" s="154"/>
      <c r="E147" s="47"/>
      <c r="F147" s="24"/>
      <c r="G147" s="25"/>
      <c r="H147" s="26"/>
      <c r="I147" s="27"/>
      <c r="J147" s="28"/>
      <c r="K147" s="29"/>
      <c r="L147" s="30"/>
      <c r="M147" s="31"/>
      <c r="N147" s="32"/>
      <c r="O147" s="24"/>
      <c r="P147" s="33"/>
      <c r="Q147" s="34"/>
      <c r="R147" s="35"/>
      <c r="S147" s="36"/>
      <c r="T147" s="122">
        <f t="shared" si="2"/>
        <v>0</v>
      </c>
      <c r="U147" s="38"/>
      <c r="V147" s="22"/>
    </row>
    <row r="148" spans="1:22" s="152" customFormat="1" x14ac:dyDescent="0.25">
      <c r="A148" s="153"/>
      <c r="B148" s="165"/>
      <c r="C148" s="167"/>
      <c r="D148" s="154"/>
      <c r="E148" s="47"/>
      <c r="F148" s="24"/>
      <c r="G148" s="25"/>
      <c r="H148" s="26"/>
      <c r="I148" s="27"/>
      <c r="J148" s="28"/>
      <c r="K148" s="29"/>
      <c r="L148" s="30"/>
      <c r="M148" s="31"/>
      <c r="N148" s="32"/>
      <c r="O148" s="24"/>
      <c r="P148" s="33"/>
      <c r="Q148" s="34"/>
      <c r="R148" s="35"/>
      <c r="S148" s="36"/>
      <c r="T148" s="122">
        <f t="shared" si="2"/>
        <v>0</v>
      </c>
      <c r="U148" s="38"/>
      <c r="V148" s="22"/>
    </row>
    <row r="149" spans="1:22" s="152" customFormat="1" x14ac:dyDescent="0.25">
      <c r="A149" s="153"/>
      <c r="B149" s="165"/>
      <c r="C149" s="167"/>
      <c r="D149" s="154"/>
      <c r="E149" s="47"/>
      <c r="F149" s="24"/>
      <c r="G149" s="25"/>
      <c r="H149" s="26"/>
      <c r="I149" s="27"/>
      <c r="J149" s="28"/>
      <c r="K149" s="29"/>
      <c r="L149" s="30"/>
      <c r="M149" s="31"/>
      <c r="N149" s="32"/>
      <c r="O149" s="24"/>
      <c r="P149" s="33"/>
      <c r="Q149" s="34"/>
      <c r="R149" s="35"/>
      <c r="S149" s="36"/>
      <c r="T149" s="122">
        <f t="shared" si="2"/>
        <v>0</v>
      </c>
      <c r="U149" s="38"/>
      <c r="V149" s="22"/>
    </row>
    <row r="150" spans="1:22" s="152" customFormat="1" x14ac:dyDescent="0.25">
      <c r="A150" s="153"/>
      <c r="B150" s="165"/>
      <c r="C150" s="167"/>
      <c r="D150" s="154"/>
      <c r="E150" s="47"/>
      <c r="F150" s="24"/>
      <c r="G150" s="25"/>
      <c r="H150" s="26"/>
      <c r="I150" s="27"/>
      <c r="J150" s="28"/>
      <c r="K150" s="29"/>
      <c r="L150" s="30"/>
      <c r="M150" s="31"/>
      <c r="N150" s="32"/>
      <c r="O150" s="24"/>
      <c r="P150" s="33"/>
      <c r="Q150" s="34"/>
      <c r="R150" s="35"/>
      <c r="S150" s="36"/>
      <c r="T150" s="122">
        <f t="shared" si="2"/>
        <v>0</v>
      </c>
      <c r="U150" s="38"/>
      <c r="V150" s="22"/>
    </row>
    <row r="151" spans="1:22" s="152" customFormat="1" x14ac:dyDescent="0.25">
      <c r="A151" s="153"/>
      <c r="B151" s="165"/>
      <c r="C151" s="167"/>
      <c r="D151" s="154"/>
      <c r="E151" s="47"/>
      <c r="F151" s="24"/>
      <c r="G151" s="25"/>
      <c r="H151" s="26"/>
      <c r="I151" s="27"/>
      <c r="J151" s="28"/>
      <c r="K151" s="29"/>
      <c r="L151" s="30"/>
      <c r="M151" s="31"/>
      <c r="N151" s="32"/>
      <c r="O151" s="24"/>
      <c r="P151" s="33"/>
      <c r="Q151" s="34"/>
      <c r="R151" s="35"/>
      <c r="S151" s="36"/>
      <c r="T151" s="122">
        <f t="shared" si="2"/>
        <v>0</v>
      </c>
      <c r="U151" s="38"/>
      <c r="V151" s="22"/>
    </row>
    <row r="152" spans="1:22" s="152" customFormat="1" x14ac:dyDescent="0.25">
      <c r="A152" s="153"/>
      <c r="B152" s="165"/>
      <c r="C152" s="167"/>
      <c r="D152" s="154"/>
      <c r="E152" s="47"/>
      <c r="F152" s="24"/>
      <c r="G152" s="25"/>
      <c r="H152" s="26"/>
      <c r="I152" s="27"/>
      <c r="J152" s="28"/>
      <c r="K152" s="29"/>
      <c r="L152" s="30"/>
      <c r="M152" s="31"/>
      <c r="N152" s="32"/>
      <c r="O152" s="24"/>
      <c r="P152" s="33"/>
      <c r="Q152" s="34"/>
      <c r="R152" s="35"/>
      <c r="S152" s="36"/>
      <c r="T152" s="122">
        <f t="shared" si="2"/>
        <v>0</v>
      </c>
      <c r="U152" s="38"/>
      <c r="V152" s="22"/>
    </row>
    <row r="153" spans="1:22" s="152" customFormat="1" x14ac:dyDescent="0.25">
      <c r="A153" s="153"/>
      <c r="B153" s="165"/>
      <c r="C153" s="167"/>
      <c r="D153" s="154"/>
      <c r="E153" s="47"/>
      <c r="F153" s="24"/>
      <c r="G153" s="25"/>
      <c r="H153" s="26"/>
      <c r="I153" s="27"/>
      <c r="J153" s="28"/>
      <c r="K153" s="29"/>
      <c r="L153" s="30"/>
      <c r="M153" s="31"/>
      <c r="N153" s="32"/>
      <c r="O153" s="24"/>
      <c r="P153" s="33"/>
      <c r="Q153" s="34"/>
      <c r="R153" s="35"/>
      <c r="S153" s="36"/>
      <c r="T153" s="122">
        <f t="shared" ref="T153:T158" si="6">S153*I153</f>
        <v>0</v>
      </c>
      <c r="U153" s="38"/>
      <c r="V153" s="22"/>
    </row>
    <row r="154" spans="1:22" s="152" customFormat="1" x14ac:dyDescent="0.25">
      <c r="A154" s="153"/>
      <c r="B154" s="165"/>
      <c r="C154" s="167"/>
      <c r="D154" s="154"/>
      <c r="E154" s="47"/>
      <c r="F154" s="24"/>
      <c r="G154" s="25"/>
      <c r="H154" s="26"/>
      <c r="I154" s="27"/>
      <c r="J154" s="28"/>
      <c r="K154" s="29"/>
      <c r="L154" s="30"/>
      <c r="M154" s="31"/>
      <c r="N154" s="32"/>
      <c r="O154" s="24"/>
      <c r="P154" s="33"/>
      <c r="Q154" s="34"/>
      <c r="R154" s="35"/>
      <c r="S154" s="36"/>
      <c r="T154" s="122">
        <f t="shared" si="6"/>
        <v>0</v>
      </c>
      <c r="U154" s="38"/>
      <c r="V154" s="22"/>
    </row>
    <row r="155" spans="1:22" s="152" customFormat="1" x14ac:dyDescent="0.25">
      <c r="A155" s="153"/>
      <c r="B155" s="165"/>
      <c r="C155" s="167"/>
      <c r="D155" s="154"/>
      <c r="E155" s="47"/>
      <c r="F155" s="24"/>
      <c r="G155" s="25"/>
      <c r="H155" s="26"/>
      <c r="I155" s="27"/>
      <c r="J155" s="28"/>
      <c r="K155" s="29"/>
      <c r="L155" s="30"/>
      <c r="M155" s="31"/>
      <c r="N155" s="32"/>
      <c r="O155" s="24"/>
      <c r="P155" s="33"/>
      <c r="Q155" s="34"/>
      <c r="R155" s="35"/>
      <c r="S155" s="36"/>
      <c r="T155" s="122">
        <f t="shared" si="6"/>
        <v>0</v>
      </c>
      <c r="U155" s="38"/>
      <c r="V155" s="22"/>
    </row>
    <row r="156" spans="1:22" s="152" customFormat="1" x14ac:dyDescent="0.25">
      <c r="A156" s="153"/>
      <c r="B156" s="165"/>
      <c r="C156" s="167"/>
      <c r="D156" s="154"/>
      <c r="E156" s="47"/>
      <c r="F156" s="24"/>
      <c r="G156" s="25"/>
      <c r="H156" s="26"/>
      <c r="I156" s="27"/>
      <c r="J156" s="28"/>
      <c r="K156" s="29"/>
      <c r="L156" s="30"/>
      <c r="M156" s="31"/>
      <c r="N156" s="32"/>
      <c r="O156" s="24"/>
      <c r="P156" s="33"/>
      <c r="Q156" s="34"/>
      <c r="R156" s="35"/>
      <c r="S156" s="36"/>
      <c r="T156" s="122">
        <f t="shared" si="6"/>
        <v>0</v>
      </c>
      <c r="U156" s="38"/>
      <c r="V156" s="22"/>
    </row>
    <row r="157" spans="1:22" s="152" customFormat="1" x14ac:dyDescent="0.25">
      <c r="A157" s="153"/>
      <c r="B157" s="165"/>
      <c r="C157" s="167"/>
      <c r="D157" s="154"/>
      <c r="E157" s="47"/>
      <c r="F157" s="24"/>
      <c r="G157" s="25"/>
      <c r="H157" s="26"/>
      <c r="I157" s="27"/>
      <c r="J157" s="28"/>
      <c r="K157" s="29"/>
      <c r="L157" s="30"/>
      <c r="M157" s="31"/>
      <c r="N157" s="32"/>
      <c r="O157" s="24"/>
      <c r="P157" s="33"/>
      <c r="Q157" s="34"/>
      <c r="R157" s="35"/>
      <c r="S157" s="36"/>
      <c r="T157" s="122">
        <f t="shared" si="6"/>
        <v>0</v>
      </c>
      <c r="U157" s="38"/>
      <c r="V157" s="22"/>
    </row>
    <row r="158" spans="1:22" s="152" customFormat="1" x14ac:dyDescent="0.25">
      <c r="A158" s="153"/>
      <c r="B158" s="165"/>
      <c r="C158" s="167"/>
      <c r="D158" s="154"/>
      <c r="E158" s="47"/>
      <c r="F158" s="24"/>
      <c r="G158" s="25"/>
      <c r="H158" s="26"/>
      <c r="I158" s="27"/>
      <c r="J158" s="28"/>
      <c r="K158" s="29"/>
      <c r="L158" s="30"/>
      <c r="M158" s="31"/>
      <c r="N158" s="32"/>
      <c r="O158" s="24"/>
      <c r="P158" s="33"/>
      <c r="Q158" s="34"/>
      <c r="R158" s="35"/>
      <c r="S158" s="36"/>
      <c r="T158" s="122">
        <f t="shared" si="6"/>
        <v>0</v>
      </c>
      <c r="U158" s="38"/>
      <c r="V158" s="22"/>
    </row>
    <row r="159" spans="1:22" s="152" customFormat="1" x14ac:dyDescent="0.25">
      <c r="A159" s="153"/>
      <c r="B159" s="165"/>
      <c r="C159" s="167"/>
      <c r="D159" s="154"/>
      <c r="E159" s="47"/>
      <c r="F159" s="24"/>
      <c r="G159" s="25"/>
      <c r="H159" s="26"/>
      <c r="I159" s="27"/>
      <c r="J159" s="28"/>
      <c r="K159" s="29"/>
      <c r="L159" s="30"/>
      <c r="M159" s="31"/>
      <c r="N159" s="32"/>
      <c r="O159" s="24"/>
      <c r="P159" s="33"/>
      <c r="Q159" s="34"/>
      <c r="R159" s="35"/>
      <c r="S159" s="36"/>
      <c r="T159" s="37"/>
      <c r="U159" s="38"/>
      <c r="V159" s="22"/>
    </row>
    <row r="160" spans="1:22" s="152" customFormat="1" x14ac:dyDescent="0.25">
      <c r="A160" s="153"/>
      <c r="B160" s="165"/>
      <c r="C160" s="167"/>
      <c r="D160" s="154"/>
      <c r="E160" s="47"/>
      <c r="F160" s="24"/>
      <c r="G160" s="25"/>
      <c r="H160" s="26"/>
      <c r="I160" s="27"/>
      <c r="J160" s="28"/>
      <c r="K160" s="29"/>
      <c r="L160" s="30"/>
      <c r="M160" s="31"/>
      <c r="N160" s="32"/>
      <c r="O160" s="24"/>
      <c r="P160" s="33"/>
      <c r="Q160" s="34"/>
      <c r="R160" s="35"/>
      <c r="S160" s="36"/>
      <c r="T160" s="37"/>
      <c r="U160" s="38"/>
      <c r="V160" s="22"/>
    </row>
    <row r="161" spans="1:22" s="152" customFormat="1" x14ac:dyDescent="0.25">
      <c r="A161" s="153"/>
      <c r="B161" s="165"/>
      <c r="C161" s="167"/>
      <c r="D161" s="154"/>
      <c r="E161" s="47"/>
      <c r="F161" s="24"/>
      <c r="G161" s="25"/>
      <c r="H161" s="26"/>
      <c r="I161" s="27"/>
      <c r="J161" s="28"/>
      <c r="K161" s="29"/>
      <c r="L161" s="30"/>
      <c r="M161" s="31"/>
      <c r="N161" s="32"/>
      <c r="O161" s="24"/>
      <c r="P161" s="33"/>
      <c r="Q161" s="34"/>
      <c r="R161" s="35"/>
      <c r="S161" s="36"/>
      <c r="T161" s="37"/>
      <c r="U161" s="38"/>
      <c r="V161" s="22"/>
    </row>
    <row r="162" spans="1:22" s="152" customFormat="1" x14ac:dyDescent="0.25">
      <c r="A162" s="153"/>
      <c r="B162" s="165"/>
      <c r="C162" s="167"/>
      <c r="D162" s="154"/>
      <c r="E162" s="47"/>
      <c r="F162" s="24"/>
      <c r="G162" s="25"/>
      <c r="H162" s="26"/>
      <c r="I162" s="27"/>
      <c r="J162" s="28"/>
      <c r="K162" s="29"/>
      <c r="L162" s="30"/>
      <c r="M162" s="31"/>
      <c r="N162" s="32"/>
      <c r="O162" s="24"/>
      <c r="P162" s="33"/>
      <c r="Q162" s="34"/>
      <c r="R162" s="35"/>
      <c r="S162" s="36"/>
      <c r="T162" s="37"/>
      <c r="U162" s="38"/>
      <c r="V162" s="22"/>
    </row>
    <row r="163" spans="1:22" s="152" customFormat="1" x14ac:dyDescent="0.25">
      <c r="A163" s="153"/>
      <c r="B163" s="165"/>
      <c r="C163" s="167"/>
      <c r="D163" s="154"/>
      <c r="E163" s="47"/>
      <c r="F163" s="24"/>
      <c r="G163" s="25"/>
      <c r="H163" s="26"/>
      <c r="I163" s="27"/>
      <c r="J163" s="28"/>
      <c r="K163" s="29"/>
      <c r="L163" s="30"/>
      <c r="M163" s="31"/>
      <c r="N163" s="32"/>
      <c r="O163" s="24"/>
      <c r="P163" s="33"/>
      <c r="Q163" s="34"/>
      <c r="R163" s="35"/>
      <c r="S163" s="36"/>
      <c r="T163" s="37"/>
      <c r="U163" s="38"/>
      <c r="V163" s="22"/>
    </row>
    <row r="164" spans="1:22" s="152" customFormat="1" x14ac:dyDescent="0.25">
      <c r="A164" s="153"/>
      <c r="B164" s="165"/>
      <c r="C164" s="167"/>
      <c r="D164" s="154"/>
      <c r="E164" s="47"/>
      <c r="F164" s="24"/>
      <c r="G164" s="25"/>
      <c r="H164" s="26"/>
      <c r="I164" s="27"/>
      <c r="J164" s="28"/>
      <c r="K164" s="29"/>
      <c r="L164" s="30"/>
      <c r="M164" s="31"/>
      <c r="N164" s="32"/>
      <c r="O164" s="24"/>
      <c r="P164" s="33"/>
      <c r="Q164" s="34"/>
      <c r="R164" s="35"/>
      <c r="S164" s="36"/>
      <c r="T164" s="37"/>
      <c r="U164" s="38"/>
      <c r="V164" s="22"/>
    </row>
    <row r="165" spans="1:22" s="152" customFormat="1" x14ac:dyDescent="0.25">
      <c r="A165" s="153"/>
      <c r="B165" s="165"/>
      <c r="C165" s="167"/>
      <c r="D165" s="154"/>
      <c r="E165" s="47"/>
      <c r="F165" s="24"/>
      <c r="G165" s="25"/>
      <c r="H165" s="26"/>
      <c r="I165" s="27"/>
      <c r="J165" s="28"/>
      <c r="K165" s="29"/>
      <c r="L165" s="30"/>
      <c r="M165" s="31"/>
      <c r="N165" s="32"/>
      <c r="O165" s="24"/>
      <c r="P165" s="33"/>
      <c r="Q165" s="34"/>
      <c r="R165" s="35"/>
      <c r="S165" s="36"/>
      <c r="T165" s="37"/>
      <c r="U165" s="38"/>
      <c r="V165" s="22"/>
    </row>
    <row r="166" spans="1:22" s="152" customFormat="1" x14ac:dyDescent="0.25">
      <c r="A166" s="153"/>
      <c r="B166" s="165"/>
      <c r="C166" s="167"/>
      <c r="D166" s="154"/>
      <c r="E166" s="47"/>
      <c r="F166" s="24"/>
      <c r="G166" s="25"/>
      <c r="H166" s="26"/>
      <c r="I166" s="27"/>
      <c r="J166" s="28"/>
      <c r="K166" s="29"/>
      <c r="L166" s="30"/>
      <c r="M166" s="31"/>
      <c r="N166" s="32"/>
      <c r="O166" s="24"/>
      <c r="P166" s="33"/>
      <c r="Q166" s="34"/>
      <c r="R166" s="35"/>
      <c r="S166" s="36"/>
      <c r="T166" s="37"/>
      <c r="U166" s="38"/>
      <c r="V166" s="22"/>
    </row>
    <row r="167" spans="1:22" s="152" customFormat="1" x14ac:dyDescent="0.25">
      <c r="A167" s="153"/>
      <c r="B167" s="165"/>
      <c r="C167" s="167"/>
      <c r="D167" s="154"/>
      <c r="E167" s="47"/>
      <c r="F167" s="24"/>
      <c r="G167" s="25"/>
      <c r="H167" s="26"/>
      <c r="I167" s="27"/>
      <c r="J167" s="28"/>
      <c r="K167" s="29"/>
      <c r="L167" s="30"/>
      <c r="M167" s="31"/>
      <c r="N167" s="32"/>
      <c r="O167" s="24"/>
      <c r="P167" s="33"/>
      <c r="Q167" s="34"/>
      <c r="R167" s="35"/>
      <c r="S167" s="36"/>
      <c r="T167" s="37"/>
      <c r="U167" s="38"/>
      <c r="V167" s="22"/>
    </row>
    <row r="168" spans="1:22" s="152" customFormat="1" x14ac:dyDescent="0.25">
      <c r="A168" s="153"/>
      <c r="B168" s="165"/>
      <c r="C168" s="167"/>
      <c r="D168" s="154"/>
      <c r="E168" s="47"/>
      <c r="F168" s="24"/>
      <c r="G168" s="25"/>
      <c r="H168" s="26"/>
      <c r="I168" s="27"/>
      <c r="J168" s="28"/>
      <c r="K168" s="29"/>
      <c r="L168" s="30"/>
      <c r="M168" s="31"/>
      <c r="N168" s="32"/>
      <c r="O168" s="24"/>
      <c r="P168" s="33"/>
      <c r="Q168" s="34"/>
      <c r="R168" s="35"/>
      <c r="S168" s="36"/>
      <c r="T168" s="37"/>
      <c r="U168" s="38"/>
      <c r="V168" s="22"/>
    </row>
    <row r="169" spans="1:22" s="152" customFormat="1" x14ac:dyDescent="0.25">
      <c r="A169" s="153"/>
      <c r="B169" s="165"/>
      <c r="C169" s="167"/>
      <c r="D169" s="154"/>
      <c r="E169" s="47"/>
      <c r="F169" s="24"/>
      <c r="G169" s="25"/>
      <c r="H169" s="26"/>
      <c r="I169" s="27"/>
      <c r="J169" s="28"/>
      <c r="K169" s="29"/>
      <c r="L169" s="30"/>
      <c r="M169" s="31"/>
      <c r="N169" s="32"/>
      <c r="O169" s="24"/>
      <c r="P169" s="33"/>
      <c r="Q169" s="34"/>
      <c r="R169" s="35"/>
      <c r="S169" s="36"/>
      <c r="T169" s="37"/>
      <c r="U169" s="38"/>
      <c r="V169" s="22"/>
    </row>
    <row r="170" spans="1:22" s="152" customFormat="1" x14ac:dyDescent="0.25">
      <c r="A170" s="153"/>
      <c r="B170" s="165"/>
      <c r="C170" s="167"/>
      <c r="D170" s="154"/>
      <c r="E170" s="47"/>
      <c r="F170" s="24"/>
      <c r="G170" s="25"/>
      <c r="H170" s="26"/>
      <c r="I170" s="27"/>
      <c r="J170" s="28"/>
      <c r="K170" s="29"/>
      <c r="L170" s="30"/>
      <c r="M170" s="31"/>
      <c r="N170" s="32"/>
      <c r="O170" s="24"/>
      <c r="P170" s="33"/>
      <c r="Q170" s="34"/>
      <c r="R170" s="35"/>
      <c r="S170" s="36"/>
      <c r="T170" s="37"/>
      <c r="U170" s="38"/>
      <c r="V170" s="22"/>
    </row>
  </sheetData>
  <mergeCells count="22">
    <mergeCell ref="A101:A112"/>
    <mergeCell ref="A57:A59"/>
    <mergeCell ref="A117:A122"/>
    <mergeCell ref="A82:A88"/>
    <mergeCell ref="A89:A90"/>
    <mergeCell ref="A97:A100"/>
    <mergeCell ref="A91:A92"/>
    <mergeCell ref="A61:A64"/>
    <mergeCell ref="A65:A68"/>
    <mergeCell ref="A69:A72"/>
    <mergeCell ref="A77:A79"/>
    <mergeCell ref="A80:A81"/>
    <mergeCell ref="A73:A76"/>
    <mergeCell ref="A113:A116"/>
    <mergeCell ref="A93:A96"/>
    <mergeCell ref="A48:A52"/>
    <mergeCell ref="A3:A9"/>
    <mergeCell ref="A11:A13"/>
    <mergeCell ref="A23:A31"/>
    <mergeCell ref="A17:A20"/>
    <mergeCell ref="A40:A47"/>
    <mergeCell ref="A32:A39"/>
  </mergeCells>
  <hyperlinks>
    <hyperlink ref="K36" r:id="rId1"/>
    <hyperlink ref="D11" r:id="rId2"/>
    <hyperlink ref="G19" r:id="rId3" display="https://www.mouser.co.uk/ProductDetail/KEMET/C320C104K5R5TA?qs=sGAEpiMZZMuMW9TJLBQkXmHrQgO8erv0WZDFm%252BJsHk8%3D"/>
    <hyperlink ref="G24" r:id="rId4" display="https://www.mouser.co.uk/ProductDetail/Ohmite/SM108033006FE?qs=sGAEpiMZZMsPqMdJzcrNwsJljJEG6Yukcxhr%252BDB3b%252B8%3D"/>
    <hyperlink ref="G25" r:id="rId5" display="https://www.mouser.co.uk/ProductDetail/YAGEO/MFR-25FBF52-45K3?qs=sGAEpiMZZMsPqMdJzcrNwvki5I7GwxKeE3xxvbKgyM0%3D"/>
    <hyperlink ref="G29" r:id="rId6" display="https://www.mouser.co.uk/ProductDetail/KEMET/C317C300J5G5TA?qs=b8KOIaRqXtdsFXPxXiN2GA%3D%3D"/>
    <hyperlink ref="G41" r:id="rId7" display="https://www.alldatasheet.com/datasheet-pdf/pdf/876496/GETEDZ/2CL2FP_16.html"/>
    <hyperlink ref="G43" r:id="rId8" display="https://www.alldatasheet.com/datasheet-pdf/pdf/876496/GETEDZ/2CL2FP_16.html"/>
    <hyperlink ref="D48" r:id="rId9"/>
    <hyperlink ref="D49" r:id="rId10"/>
    <hyperlink ref="D50" display="https://www.aliexpress.com/item/1005005496744751.html?pdp_npi=4%40dis%21GBP%21%EF%BF%A11.85%21%EF%BF%A11.85%21%21%2116.38%2116.38%21%40211b80f717393762297004843e18dc%2112000033309969743%21sh%21UK%214911257576%21X&amp;spm=a2g0o.store_pc_allItems_or_groupList.n"/>
    <hyperlink ref="D51" display="https://www.aliexpress.com/item/1005005756305538.html?pdp_npi=4%40dis%21GBP%21%EF%BF%A12.19%21%EF%BF%A12.19%21%21%2119.36%2119.36%21%402103894417393769459258619e1dcc%2112000044390347544%21sh%21UK%214911257576%21X&amp;spm=a2g0o.store_pc_allItems_or_groupList.n"/>
    <hyperlink ref="G38" r:id="rId11" display="https://www.mouser.co.uk/ProductDetail/Vishay-Roederstein/HVCC203Y6P102MEAX?qs=sGAEpiMZZMsh%252B1woXyUXj%2FgcXCpI1SPdufugygDSI7k%3D"/>
    <hyperlink ref="D52" display="https://www.aliexpress.com/item/1005007223750578.html?pdp_npi=4%40dis%21GBP%21%EF%BF%A12.06%21%EF%BF%A12.06%21%21%212.49%212.49%21%40211b613917393798486998837e7ffe%2112000039869987414%21sh%21UK%214911257576%21X&amp;spm=a2g0o.store_pc_allItems_or_groupList.new"/>
    <hyperlink ref="D38" r:id="rId12"/>
    <hyperlink ref="D32" r:id="rId13"/>
    <hyperlink ref="D78" r:id="rId14"/>
    <hyperlink ref="D82" r:id="rId15"/>
    <hyperlink ref="G88" r:id="rId16" display="https://www.mouser.co.uk/ProductDetail/KEMET/C320C104K5R5TA?qs=sGAEpiMZZMuMW9TJLBQkXmHrQgO8erv0WZDFm%252BJsHk8%3D"/>
    <hyperlink ref="D88" r:id="rId17"/>
    <hyperlink ref="D85" r:id="rId18"/>
    <hyperlink ref="D117" r:id="rId19"/>
    <hyperlink ref="G122" r:id="rId20" display="https://www.mouser.co.uk/ProductDetail/KEMET/C320C104K5R5TA?qs=sGAEpiMZZMuMW9TJLBQkXmHrQgO8erv0WZDFm%252BJsHk8%3D"/>
    <hyperlink ref="D122" r:id="rId21"/>
    <hyperlink ref="D102" r:id="rId22"/>
    <hyperlink ref="D103" r:id="rId23"/>
    <hyperlink ref="D112" r:id="rId24"/>
    <hyperlink ref="D104" r:id="rId25"/>
    <hyperlink ref="D108" r:id="rId26"/>
    <hyperlink ref="D109" r:id="rId27"/>
    <hyperlink ref="D96" r:id="rId28"/>
    <hyperlink ref="D94" r:id="rId29"/>
    <hyperlink ref="D84" r:id="rId30"/>
    <hyperlink ref="D95" r:id="rId31"/>
    <hyperlink ref="D87" r:id="rId32"/>
    <hyperlink ref="D97" r:id="rId33"/>
    <hyperlink ref="D99" r:id="rId34"/>
    <hyperlink ref="D100" r:id="rId35"/>
    <hyperlink ref="D98" r:id="rId36"/>
    <hyperlink ref="D111" r:id="rId37"/>
    <hyperlink ref="D110" r:id="rId38"/>
    <hyperlink ref="D105" r:id="rId39"/>
    <hyperlink ref="D106" r:id="rId40"/>
    <hyperlink ref="D107" r:id="rId41"/>
    <hyperlink ref="D113" r:id="rId42"/>
    <hyperlink ref="D114" r:id="rId43"/>
    <hyperlink ref="D115" r:id="rId44"/>
    <hyperlink ref="D118" r:id="rId45"/>
    <hyperlink ref="D123" r:id="rId46"/>
    <hyperlink ref="D124" r:id="rId47"/>
    <hyperlink ref="D71" r:id="rId48"/>
    <hyperlink ref="D64" r:id="rId49"/>
    <hyperlink ref="D77" r:id="rId50"/>
    <hyperlink ref="D79" r:id="rId51"/>
    <hyperlink ref="D83" r:id="rId52"/>
    <hyperlink ref="D93" r:id="rId53"/>
    <hyperlink ref="D116" r:id="rId54"/>
    <hyperlink ref="D119" r:id="rId55"/>
    <hyperlink ref="D120" r:id="rId56"/>
    <hyperlink ref="D121" r:id="rId57"/>
    <hyperlink ref="D127" r:id="rId58"/>
  </hyperlinks>
  <pageMargins left="0.7" right="0.7" top="0.75" bottom="0.75" header="0.3" footer="0.3"/>
  <pageSetup paperSize="9" orientation="portrait" r:id="rId59"/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9"/>
  <sheetViews>
    <sheetView topLeftCell="A16" workbookViewId="0">
      <selection activeCell="C39" sqref="C39"/>
    </sheetView>
  </sheetViews>
  <sheetFormatPr defaultRowHeight="15" x14ac:dyDescent="0.25"/>
  <cols>
    <col min="13" max="13" width="9.140625" customWidth="1"/>
  </cols>
  <sheetData>
    <row r="39" spans="3:3" ht="29.25" x14ac:dyDescent="0.4">
      <c r="C39" s="5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opLeftCell="F29" zoomScale="55" zoomScaleNormal="55" workbookViewId="0">
      <selection activeCell="L42" sqref="L42"/>
    </sheetView>
  </sheetViews>
  <sheetFormatPr defaultRowHeight="15" x14ac:dyDescent="0.25"/>
  <cols>
    <col min="1" max="1" width="26.85546875" style="50" customWidth="1"/>
    <col min="2" max="2" width="8.85546875" style="7" customWidth="1"/>
    <col min="3" max="3" width="5.85546875" style="3" customWidth="1"/>
    <col min="4" max="4" width="3.5703125" style="9" customWidth="1"/>
    <col min="5" max="5" width="10.7109375" style="10" customWidth="1"/>
    <col min="6" max="6" width="59.85546875" style="8" customWidth="1"/>
    <col min="7" max="7" width="16.85546875" style="11" customWidth="1"/>
    <col min="8" max="8" width="30.140625" style="13" customWidth="1"/>
    <col min="9" max="9" width="13.140625" style="14" customWidth="1"/>
    <col min="10" max="10" width="23.28515625" style="4" customWidth="1"/>
    <col min="11" max="11" width="14.85546875" style="2" customWidth="1"/>
    <col min="12" max="12" width="13.140625" style="5" customWidth="1"/>
    <col min="13" max="13" width="12.42578125" style="6" customWidth="1"/>
    <col min="14" max="14" width="8.85546875" style="10" customWidth="1"/>
    <col min="15" max="15" width="9.140625" style="15" customWidth="1"/>
    <col min="16" max="16" width="9.42578125" style="17" customWidth="1"/>
    <col min="17" max="17" width="13.5703125" style="16" customWidth="1"/>
    <col min="18" max="18" width="10" style="21" customWidth="1"/>
    <col min="19" max="19" width="10.28515625" style="20" customWidth="1"/>
    <col min="20" max="20" width="9.140625" style="18"/>
    <col min="21" max="21" width="9.140625" style="19"/>
    <col min="22" max="16384" width="9.140625" style="1"/>
  </cols>
  <sheetData>
    <row r="1" spans="1:21" s="12" customFormat="1" ht="25.5" x14ac:dyDescent="0.25">
      <c r="A1" s="58" t="s">
        <v>35</v>
      </c>
      <c r="B1" s="59" t="s">
        <v>0</v>
      </c>
      <c r="C1" s="60" t="s">
        <v>38</v>
      </c>
      <c r="D1" s="46" t="s">
        <v>93</v>
      </c>
      <c r="E1" s="61" t="s">
        <v>2</v>
      </c>
      <c r="F1" s="62" t="s">
        <v>4</v>
      </c>
      <c r="G1" s="63" t="s">
        <v>6</v>
      </c>
      <c r="H1" s="64" t="s">
        <v>8</v>
      </c>
      <c r="I1" s="65" t="s">
        <v>9</v>
      </c>
      <c r="J1" s="66" t="s">
        <v>11</v>
      </c>
      <c r="K1" s="67" t="s">
        <v>13</v>
      </c>
      <c r="L1" s="68" t="s">
        <v>15</v>
      </c>
      <c r="M1" s="69" t="s">
        <v>17</v>
      </c>
      <c r="N1" s="61" t="s">
        <v>19</v>
      </c>
      <c r="O1" s="70" t="s">
        <v>21</v>
      </c>
      <c r="P1" s="71" t="s">
        <v>23</v>
      </c>
      <c r="Q1" s="72" t="s">
        <v>25</v>
      </c>
      <c r="R1" s="73" t="s">
        <v>27</v>
      </c>
      <c r="S1" s="74" t="s">
        <v>29</v>
      </c>
      <c r="T1" s="75" t="s">
        <v>31</v>
      </c>
      <c r="U1" s="76" t="s">
        <v>33</v>
      </c>
    </row>
    <row r="2" spans="1:21" ht="12.75" x14ac:dyDescent="0.25">
      <c r="A2" s="180" t="s">
        <v>250</v>
      </c>
      <c r="B2" s="84"/>
      <c r="C2" s="43" t="s">
        <v>93</v>
      </c>
      <c r="D2" s="49" t="s">
        <v>93</v>
      </c>
      <c r="E2" s="85" t="s">
        <v>200</v>
      </c>
      <c r="F2" s="25" t="s">
        <v>50</v>
      </c>
      <c r="G2" s="26"/>
      <c r="H2" s="27">
        <v>1</v>
      </c>
      <c r="I2" s="28">
        <v>0</v>
      </c>
      <c r="J2" s="29" t="s">
        <v>49</v>
      </c>
      <c r="K2" s="30" t="s">
        <v>93</v>
      </c>
      <c r="L2" s="40">
        <v>0.05</v>
      </c>
      <c r="M2" s="32">
        <v>3</v>
      </c>
      <c r="N2" s="24" t="s">
        <v>52</v>
      </c>
      <c r="O2" s="86" t="s">
        <v>51</v>
      </c>
      <c r="P2" s="34"/>
      <c r="Q2" s="35"/>
      <c r="R2" s="36"/>
      <c r="S2" s="37"/>
      <c r="T2" s="38"/>
      <c r="U2" s="22"/>
    </row>
    <row r="3" spans="1:21" ht="12.75" x14ac:dyDescent="0.25">
      <c r="A3" s="181"/>
      <c r="B3" s="39"/>
      <c r="C3" s="43" t="s">
        <v>189</v>
      </c>
      <c r="D3" s="49" t="s">
        <v>93</v>
      </c>
      <c r="E3" s="24" t="s">
        <v>199</v>
      </c>
      <c r="F3" s="42" t="s">
        <v>188</v>
      </c>
      <c r="G3" s="26"/>
      <c r="H3" s="27">
        <v>2</v>
      </c>
      <c r="I3" s="28">
        <v>0</v>
      </c>
      <c r="J3" s="87" t="s">
        <v>54</v>
      </c>
      <c r="K3" s="30" t="s">
        <v>187</v>
      </c>
      <c r="L3" s="40">
        <v>0.01</v>
      </c>
      <c r="M3" s="32" t="s">
        <v>190</v>
      </c>
      <c r="N3" s="24" t="s">
        <v>56</v>
      </c>
      <c r="O3" s="33"/>
      <c r="P3" s="34"/>
      <c r="Q3" s="35"/>
      <c r="R3" s="56">
        <v>2.56</v>
      </c>
      <c r="S3" s="122">
        <f>H3*R3</f>
        <v>5.12</v>
      </c>
      <c r="T3" s="38"/>
      <c r="U3" s="22"/>
    </row>
    <row r="4" spans="1:21" x14ac:dyDescent="0.25">
      <c r="A4" s="181"/>
      <c r="B4" s="39"/>
      <c r="C4" s="51" t="s">
        <v>223</v>
      </c>
      <c r="D4" s="49" t="s">
        <v>93</v>
      </c>
      <c r="E4" s="24" t="s">
        <v>198</v>
      </c>
      <c r="F4" s="42" t="s">
        <v>222</v>
      </c>
      <c r="G4" s="26"/>
      <c r="H4" s="27">
        <v>1</v>
      </c>
      <c r="I4" s="28">
        <v>0</v>
      </c>
      <c r="J4" s="87" t="s">
        <v>221</v>
      </c>
      <c r="K4" s="30">
        <v>27000</v>
      </c>
      <c r="L4" s="40">
        <v>0.01</v>
      </c>
      <c r="M4" s="32" t="s">
        <v>186</v>
      </c>
      <c r="N4" s="24" t="s">
        <v>52</v>
      </c>
      <c r="O4" s="33"/>
      <c r="P4" s="34"/>
      <c r="Q4" s="35"/>
      <c r="R4" s="36"/>
      <c r="S4" s="37"/>
      <c r="T4" s="38"/>
      <c r="U4" s="22"/>
    </row>
    <row r="5" spans="1:21" ht="12.75" x14ac:dyDescent="0.25">
      <c r="A5" s="181"/>
      <c r="B5" s="23"/>
      <c r="C5" s="43" t="s">
        <v>93</v>
      </c>
      <c r="D5" s="49" t="s">
        <v>93</v>
      </c>
      <c r="E5" s="24" t="s">
        <v>197</v>
      </c>
      <c r="F5" s="25" t="s">
        <v>218</v>
      </c>
      <c r="G5" s="26"/>
      <c r="H5" s="27">
        <v>1</v>
      </c>
      <c r="I5" s="28">
        <v>0</v>
      </c>
      <c r="J5" s="87" t="s">
        <v>60</v>
      </c>
      <c r="K5" s="30" t="s">
        <v>219</v>
      </c>
      <c r="L5" s="40">
        <v>0.01</v>
      </c>
      <c r="M5" s="32" t="s">
        <v>57</v>
      </c>
      <c r="N5" s="24" t="s">
        <v>63</v>
      </c>
      <c r="O5" s="33"/>
      <c r="P5" s="34"/>
      <c r="Q5" s="35"/>
      <c r="R5" s="36"/>
      <c r="S5" s="37"/>
      <c r="T5" s="38"/>
      <c r="U5" s="22"/>
    </row>
    <row r="6" spans="1:21" ht="12.75" x14ac:dyDescent="0.25">
      <c r="A6" s="181"/>
      <c r="B6" s="88"/>
      <c r="C6" s="43" t="s">
        <v>93</v>
      </c>
      <c r="D6" s="49" t="s">
        <v>93</v>
      </c>
      <c r="E6" s="24" t="s">
        <v>195</v>
      </c>
      <c r="F6" s="25" t="s">
        <v>68</v>
      </c>
      <c r="G6" s="26"/>
      <c r="H6" s="27">
        <v>2</v>
      </c>
      <c r="I6" s="28">
        <v>0</v>
      </c>
      <c r="J6" s="89" t="s">
        <v>70</v>
      </c>
      <c r="K6" s="30" t="s">
        <v>93</v>
      </c>
      <c r="L6" s="31"/>
      <c r="M6" s="32"/>
      <c r="N6" s="24"/>
      <c r="O6" s="33"/>
      <c r="P6" s="34"/>
      <c r="Q6" s="35"/>
      <c r="R6" s="36"/>
      <c r="S6" s="37"/>
      <c r="T6" s="38"/>
      <c r="U6" s="22"/>
    </row>
    <row r="7" spans="1:21" ht="12.75" x14ac:dyDescent="0.25">
      <c r="A7" s="181"/>
      <c r="B7" s="88"/>
      <c r="C7" s="43" t="s">
        <v>93</v>
      </c>
      <c r="D7" s="49" t="s">
        <v>93</v>
      </c>
      <c r="E7" s="24" t="s">
        <v>196</v>
      </c>
      <c r="F7" s="25" t="s">
        <v>69</v>
      </c>
      <c r="G7" s="26"/>
      <c r="H7" s="27">
        <v>1</v>
      </c>
      <c r="I7" s="28">
        <v>0</v>
      </c>
      <c r="J7" s="89" t="s">
        <v>71</v>
      </c>
      <c r="K7" s="30" t="s">
        <v>93</v>
      </c>
      <c r="L7" s="31"/>
      <c r="M7" s="32"/>
      <c r="N7" s="24"/>
      <c r="O7" s="33"/>
      <c r="P7" s="34"/>
      <c r="Q7" s="35"/>
      <c r="R7" s="36"/>
      <c r="S7" s="37"/>
      <c r="T7" s="38"/>
      <c r="U7" s="22"/>
    </row>
    <row r="8" spans="1:21" ht="12.75" x14ac:dyDescent="0.25">
      <c r="A8" s="181"/>
      <c r="B8" s="39"/>
      <c r="C8" s="43" t="s">
        <v>93</v>
      </c>
      <c r="D8" s="49" t="s">
        <v>93</v>
      </c>
      <c r="E8" s="24"/>
      <c r="F8" s="42" t="s">
        <v>72</v>
      </c>
      <c r="G8" s="26"/>
      <c r="H8" s="27">
        <v>1</v>
      </c>
      <c r="I8" s="28">
        <v>0</v>
      </c>
      <c r="J8" s="87" t="s">
        <v>73</v>
      </c>
      <c r="K8" s="30" t="s">
        <v>74</v>
      </c>
      <c r="L8" s="40">
        <v>0.05</v>
      </c>
      <c r="M8" s="32" t="s">
        <v>62</v>
      </c>
      <c r="N8" s="24"/>
      <c r="O8" s="33"/>
      <c r="P8" s="34"/>
      <c r="Q8" s="35"/>
      <c r="R8" s="36"/>
      <c r="S8" s="37"/>
      <c r="T8" s="38"/>
      <c r="U8" s="22"/>
    </row>
    <row r="9" spans="1:21" ht="12.75" x14ac:dyDescent="0.25">
      <c r="A9" s="181"/>
      <c r="B9" s="23"/>
      <c r="C9" s="43" t="s">
        <v>93</v>
      </c>
      <c r="D9" s="49" t="s">
        <v>93</v>
      </c>
      <c r="E9" s="24"/>
      <c r="F9" s="25" t="s">
        <v>75</v>
      </c>
      <c r="G9" s="26"/>
      <c r="H9" s="27">
        <v>3</v>
      </c>
      <c r="I9" s="28">
        <v>0</v>
      </c>
      <c r="J9" s="87" t="s">
        <v>76</v>
      </c>
      <c r="K9" s="30" t="s">
        <v>77</v>
      </c>
      <c r="L9" s="40">
        <v>0.05</v>
      </c>
      <c r="M9" s="32" t="s">
        <v>62</v>
      </c>
      <c r="N9" s="24"/>
      <c r="O9" s="33"/>
      <c r="P9" s="34"/>
      <c r="Q9" s="35"/>
      <c r="R9" s="36"/>
      <c r="S9" s="37"/>
      <c r="T9" s="38"/>
      <c r="U9" s="22"/>
    </row>
    <row r="10" spans="1:21" ht="12.75" x14ac:dyDescent="0.25">
      <c r="A10" s="182"/>
      <c r="B10" s="23"/>
      <c r="C10" s="43" t="s">
        <v>93</v>
      </c>
      <c r="D10" s="49" t="s">
        <v>93</v>
      </c>
      <c r="E10" s="24" t="s">
        <v>194</v>
      </c>
      <c r="F10" s="25"/>
      <c r="G10" s="26" t="s">
        <v>93</v>
      </c>
      <c r="H10" s="27"/>
      <c r="I10" s="28"/>
      <c r="J10" s="29"/>
      <c r="K10" s="30" t="s">
        <v>93</v>
      </c>
      <c r="L10" s="31"/>
      <c r="M10" s="32"/>
      <c r="N10" s="24"/>
      <c r="O10" s="33"/>
      <c r="P10" s="34"/>
      <c r="Q10" s="35"/>
      <c r="R10" s="36"/>
      <c r="S10" s="37"/>
      <c r="T10" s="38"/>
      <c r="U10" s="22"/>
    </row>
    <row r="11" spans="1:21" x14ac:dyDescent="0.25">
      <c r="A11" s="198" t="s">
        <v>251</v>
      </c>
      <c r="B11" s="39"/>
      <c r="C11" s="51" t="s">
        <v>189</v>
      </c>
      <c r="D11" s="47" t="s">
        <v>93</v>
      </c>
      <c r="E11" s="24" t="s">
        <v>199</v>
      </c>
      <c r="F11" s="42" t="s">
        <v>188</v>
      </c>
      <c r="G11" s="26"/>
      <c r="H11" s="27">
        <v>2</v>
      </c>
      <c r="I11" s="28">
        <v>0</v>
      </c>
      <c r="J11" s="87" t="s">
        <v>54</v>
      </c>
      <c r="K11" s="30" t="s">
        <v>187</v>
      </c>
      <c r="L11" s="40">
        <v>0.01</v>
      </c>
      <c r="M11" s="32" t="s">
        <v>190</v>
      </c>
      <c r="N11" s="24" t="s">
        <v>56</v>
      </c>
      <c r="O11" s="33"/>
      <c r="P11" s="34"/>
      <c r="Q11" s="35"/>
      <c r="R11" s="56">
        <v>2.56</v>
      </c>
      <c r="S11" s="122">
        <f>H11*R11</f>
        <v>5.12</v>
      </c>
      <c r="T11" s="38"/>
      <c r="U11" s="22"/>
    </row>
    <row r="12" spans="1:21" x14ac:dyDescent="0.25">
      <c r="A12" s="199"/>
      <c r="B12" s="23"/>
      <c r="C12" s="51" t="s">
        <v>253</v>
      </c>
      <c r="D12" s="49" t="s">
        <v>93</v>
      </c>
      <c r="E12" s="24" t="s">
        <v>199</v>
      </c>
      <c r="F12" s="42" t="s">
        <v>258</v>
      </c>
      <c r="G12" s="26"/>
      <c r="H12" s="27">
        <v>2</v>
      </c>
      <c r="I12" s="28">
        <v>0</v>
      </c>
      <c r="J12" s="87" t="s">
        <v>260</v>
      </c>
      <c r="K12" s="30" t="s">
        <v>187</v>
      </c>
      <c r="L12" s="40">
        <v>0.01</v>
      </c>
      <c r="M12" s="32" t="s">
        <v>190</v>
      </c>
      <c r="N12" s="24" t="s">
        <v>256</v>
      </c>
      <c r="O12" s="33"/>
      <c r="P12" s="34" t="s">
        <v>257</v>
      </c>
      <c r="Q12" s="35"/>
      <c r="R12" s="56">
        <f>1.59/2</f>
        <v>0.79500000000000004</v>
      </c>
      <c r="S12" s="122">
        <f>H12*R12</f>
        <v>1.59</v>
      </c>
      <c r="T12" s="38"/>
      <c r="U12" s="22"/>
    </row>
    <row r="13" spans="1:21" x14ac:dyDescent="0.25">
      <c r="A13" s="198" t="s">
        <v>252</v>
      </c>
      <c r="B13" s="23"/>
      <c r="C13" s="51" t="s">
        <v>253</v>
      </c>
      <c r="D13" s="49" t="s">
        <v>93</v>
      </c>
      <c r="E13" s="144" t="s">
        <v>199</v>
      </c>
      <c r="F13" s="145" t="s">
        <v>259</v>
      </c>
      <c r="G13" s="146"/>
      <c r="H13" s="27">
        <v>14</v>
      </c>
      <c r="I13" s="28">
        <v>0</v>
      </c>
      <c r="J13" s="29" t="s">
        <v>247</v>
      </c>
      <c r="K13" s="30" t="s">
        <v>254</v>
      </c>
      <c r="L13" s="40">
        <v>0.01</v>
      </c>
      <c r="M13" s="32" t="s">
        <v>255</v>
      </c>
      <c r="N13" s="24" t="s">
        <v>256</v>
      </c>
      <c r="O13" s="33"/>
      <c r="P13" s="34" t="s">
        <v>257</v>
      </c>
      <c r="Q13" s="35"/>
      <c r="R13" s="56">
        <v>0.97</v>
      </c>
      <c r="S13" s="122">
        <f>R13*H13</f>
        <v>13.58</v>
      </c>
      <c r="T13" s="38"/>
      <c r="U13" s="22"/>
    </row>
    <row r="14" spans="1:21" ht="13.5" thickBot="1" x14ac:dyDescent="0.3">
      <c r="A14" s="199"/>
      <c r="B14" s="23"/>
      <c r="C14" s="43"/>
      <c r="D14" s="143"/>
      <c r="E14" s="144"/>
      <c r="F14" s="145"/>
      <c r="G14" s="146"/>
      <c r="H14" s="27"/>
      <c r="I14" s="28"/>
      <c r="J14" s="29"/>
      <c r="K14" s="30"/>
      <c r="L14" s="31"/>
      <c r="M14" s="32"/>
      <c r="N14" s="24"/>
      <c r="O14" s="33"/>
      <c r="P14" s="34"/>
      <c r="Q14" s="35"/>
      <c r="R14" s="36"/>
      <c r="S14" s="37"/>
      <c r="T14" s="38"/>
      <c r="U14" s="22"/>
    </row>
    <row r="15" spans="1:21" ht="12.75" x14ac:dyDescent="0.25">
      <c r="A15" s="107"/>
      <c r="B15" s="92"/>
      <c r="C15" s="93" t="s">
        <v>261</v>
      </c>
      <c r="D15" s="108"/>
      <c r="E15" s="193" t="s">
        <v>191</v>
      </c>
      <c r="F15" s="194"/>
      <c r="G15" s="194"/>
      <c r="H15" s="195"/>
      <c r="I15" s="149"/>
      <c r="J15" s="92" t="s">
        <v>262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 spans="1:21" ht="12.75" x14ac:dyDescent="0.25">
      <c r="A16" s="107"/>
      <c r="B16" s="92"/>
      <c r="C16" s="93"/>
      <c r="D16" s="108"/>
      <c r="E16" s="125"/>
      <c r="F16" s="123" t="s">
        <v>192</v>
      </c>
      <c r="G16" s="123" t="s">
        <v>193</v>
      </c>
      <c r="H16" s="126" t="s">
        <v>224</v>
      </c>
      <c r="I16" s="109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 spans="1:22" ht="12.75" x14ac:dyDescent="0.25">
      <c r="A17" s="107"/>
      <c r="B17" s="92"/>
      <c r="C17" s="93"/>
      <c r="D17" s="108"/>
      <c r="E17" s="112"/>
      <c r="F17" s="92" t="s">
        <v>154</v>
      </c>
      <c r="G17" s="92">
        <v>1.2</v>
      </c>
      <c r="H17" s="113">
        <v>1.2</v>
      </c>
      <c r="I17" s="109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 spans="1:22" ht="12.75" x14ac:dyDescent="0.25">
      <c r="A18" s="107"/>
      <c r="B18" s="92"/>
      <c r="C18" s="93"/>
      <c r="D18" s="108"/>
      <c r="E18" s="112"/>
      <c r="F18" s="92" t="s">
        <v>139</v>
      </c>
      <c r="G18" s="102">
        <v>7.9999999999999996E-7</v>
      </c>
      <c r="H18" s="114">
        <v>7.9999999999999996E-7</v>
      </c>
      <c r="I18" s="109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spans="1:22" ht="12.75" x14ac:dyDescent="0.25">
      <c r="A19" s="107"/>
      <c r="B19" s="92"/>
      <c r="C19" s="93"/>
      <c r="D19" s="108"/>
      <c r="E19" s="112"/>
      <c r="F19" s="92" t="s">
        <v>137</v>
      </c>
      <c r="G19" s="92">
        <v>20000</v>
      </c>
      <c r="H19" s="113">
        <v>250000</v>
      </c>
      <c r="I19" s="109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</row>
    <row r="20" spans="1:22" ht="12.75" x14ac:dyDescent="0.25">
      <c r="A20" s="107"/>
      <c r="B20" s="92"/>
      <c r="C20" s="93"/>
      <c r="D20" s="108"/>
      <c r="E20" s="112"/>
      <c r="F20" s="92" t="s">
        <v>138</v>
      </c>
      <c r="G20" s="92">
        <v>1000</v>
      </c>
      <c r="H20" s="113">
        <v>50000</v>
      </c>
      <c r="I20" s="109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</row>
    <row r="21" spans="1:22" ht="12.75" x14ac:dyDescent="0.25">
      <c r="A21" s="107"/>
      <c r="B21" s="92"/>
      <c r="C21" s="93"/>
      <c r="D21" s="108"/>
      <c r="E21" s="112"/>
      <c r="F21" s="92" t="s">
        <v>140</v>
      </c>
      <c r="G21" s="92">
        <v>2.7</v>
      </c>
      <c r="H21" s="113">
        <v>2.7</v>
      </c>
      <c r="I21" s="109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 spans="1:22" ht="12.75" x14ac:dyDescent="0.25">
      <c r="A22" s="107"/>
      <c r="B22" s="95"/>
      <c r="C22" s="93"/>
      <c r="D22" s="108"/>
      <c r="E22" s="112"/>
      <c r="F22" s="92" t="s">
        <v>141</v>
      </c>
      <c r="G22" s="92"/>
      <c r="H22" s="113"/>
      <c r="I22" s="109"/>
      <c r="J22" s="92"/>
      <c r="K22" s="92"/>
      <c r="L22" s="97"/>
      <c r="M22" s="92"/>
      <c r="N22" s="92"/>
      <c r="O22" s="92"/>
      <c r="P22" s="92"/>
      <c r="Q22" s="92"/>
      <c r="R22" s="92"/>
      <c r="S22" s="92"/>
      <c r="T22" s="92"/>
      <c r="U22" s="92"/>
    </row>
    <row r="23" spans="1:22" ht="12.75" x14ac:dyDescent="0.25">
      <c r="A23" s="107"/>
      <c r="B23" s="92"/>
      <c r="C23" s="93"/>
      <c r="D23" s="108"/>
      <c r="E23" s="112"/>
      <c r="F23" s="92" t="s">
        <v>142</v>
      </c>
      <c r="G23" s="27">
        <f>G19/G21</f>
        <v>7407.4074074074069</v>
      </c>
      <c r="H23" s="115">
        <f>H19/H21</f>
        <v>92592.592592592584</v>
      </c>
      <c r="I23" s="109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</row>
    <row r="24" spans="1:22" ht="12.75" x14ac:dyDescent="0.25">
      <c r="A24" s="107"/>
      <c r="B24" s="92"/>
      <c r="C24" s="93"/>
      <c r="D24" s="108"/>
      <c r="E24" s="112"/>
      <c r="F24" s="96" t="s">
        <v>143</v>
      </c>
      <c r="G24" s="92">
        <v>6</v>
      </c>
      <c r="H24" s="113">
        <v>4</v>
      </c>
      <c r="I24" s="109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 spans="1:22" ht="12.75" customHeight="1" thickBot="1" x14ac:dyDescent="0.3">
      <c r="A25" s="107"/>
      <c r="B25" s="92"/>
      <c r="C25" s="93"/>
      <c r="D25" s="108"/>
      <c r="E25" s="112"/>
      <c r="F25" s="92" t="s">
        <v>144</v>
      </c>
      <c r="G25" s="103">
        <f>G24*G18</f>
        <v>4.7999999999999998E-6</v>
      </c>
      <c r="H25" s="103">
        <f>H24*H18</f>
        <v>3.1999999999999999E-6</v>
      </c>
      <c r="I25" s="109"/>
      <c r="J25" s="110"/>
      <c r="K25" s="110"/>
      <c r="L25" s="92"/>
      <c r="M25" s="92"/>
      <c r="N25" s="92"/>
      <c r="O25" s="92"/>
      <c r="P25" s="92"/>
      <c r="Q25" s="92"/>
      <c r="R25" s="92"/>
      <c r="S25" s="92"/>
      <c r="T25" s="92"/>
      <c r="U25" s="92"/>
    </row>
    <row r="26" spans="1:22" ht="12.75" x14ac:dyDescent="0.25">
      <c r="A26" s="107"/>
      <c r="B26" s="91"/>
      <c r="C26" s="93"/>
      <c r="D26" s="108"/>
      <c r="E26" s="112"/>
      <c r="F26" s="92" t="s">
        <v>226</v>
      </c>
      <c r="G26" s="103">
        <f>G19/G25</f>
        <v>4166666666.666667</v>
      </c>
      <c r="H26" s="103">
        <f>H19/H25</f>
        <v>78125000000</v>
      </c>
      <c r="I26" s="129"/>
      <c r="J26" s="196" t="s">
        <v>236</v>
      </c>
      <c r="K26" s="197"/>
      <c r="L26" s="130"/>
      <c r="M26" s="92"/>
      <c r="N26" s="92"/>
      <c r="O26" s="91"/>
      <c r="P26" s="92"/>
      <c r="Q26" s="92"/>
      <c r="R26" s="92"/>
      <c r="S26" s="92"/>
      <c r="T26" s="92"/>
      <c r="U26" s="92"/>
    </row>
    <row r="27" spans="1:22" ht="12.75" x14ac:dyDescent="0.25">
      <c r="A27" s="107"/>
      <c r="B27" s="91"/>
      <c r="C27" s="93"/>
      <c r="D27" s="108"/>
      <c r="E27" s="112"/>
      <c r="F27" s="92" t="s">
        <v>225</v>
      </c>
      <c r="G27" s="103">
        <f>POWER(G19, 2)/G26</f>
        <v>9.5999999999999988E-2</v>
      </c>
      <c r="H27" s="103">
        <f>POWER(H19, 2)/H26</f>
        <v>0.8</v>
      </c>
      <c r="I27" s="129"/>
      <c r="J27" s="112" t="s">
        <v>233</v>
      </c>
      <c r="K27" s="113">
        <v>200000</v>
      </c>
      <c r="L27" s="113">
        <v>250000</v>
      </c>
      <c r="M27" s="92"/>
      <c r="N27" s="92"/>
      <c r="O27" s="92"/>
      <c r="P27" s="91"/>
      <c r="Q27" s="92"/>
      <c r="R27" s="92"/>
      <c r="S27" s="92"/>
      <c r="T27" s="92"/>
      <c r="U27" s="92"/>
      <c r="V27" s="92"/>
    </row>
    <row r="28" spans="1:22" ht="12.75" customHeight="1" x14ac:dyDescent="0.25">
      <c r="A28" s="107"/>
      <c r="B28" s="95"/>
      <c r="C28" s="93"/>
      <c r="D28" s="108"/>
      <c r="E28" s="192" t="s">
        <v>150</v>
      </c>
      <c r="F28" s="92" t="s">
        <v>227</v>
      </c>
      <c r="G28" s="92">
        <f>G19*G17/G42</f>
        <v>12000</v>
      </c>
      <c r="H28" s="92">
        <f>H19*H17/H42</f>
        <v>23076.923076923078</v>
      </c>
      <c r="I28" s="129"/>
      <c r="J28" s="131" t="s">
        <v>232</v>
      </c>
      <c r="K28" s="113">
        <v>1.2</v>
      </c>
      <c r="L28" s="113">
        <v>1.2</v>
      </c>
      <c r="M28" s="92"/>
      <c r="N28" s="92"/>
      <c r="O28" s="92"/>
      <c r="P28" s="92"/>
      <c r="Q28" s="97"/>
      <c r="R28" s="92"/>
      <c r="S28" s="133"/>
      <c r="T28" s="133"/>
      <c r="U28" s="92"/>
      <c r="V28" s="92"/>
    </row>
    <row r="29" spans="1:22" ht="14.25" customHeight="1" x14ac:dyDescent="0.25">
      <c r="A29" s="107"/>
      <c r="B29" s="95"/>
      <c r="C29" s="93"/>
      <c r="D29" s="108"/>
      <c r="E29" s="192"/>
      <c r="F29" s="92" t="s">
        <v>148</v>
      </c>
      <c r="G29" s="102">
        <v>100000000</v>
      </c>
      <c r="H29" s="114">
        <v>1000000000</v>
      </c>
      <c r="I29" s="129"/>
      <c r="J29" s="131" t="s">
        <v>229</v>
      </c>
      <c r="K29" s="113">
        <v>13500000000</v>
      </c>
      <c r="L29" s="113">
        <v>300000</v>
      </c>
      <c r="M29" s="92"/>
      <c r="N29" s="92"/>
      <c r="O29" s="92"/>
      <c r="P29" s="92"/>
      <c r="Q29" s="92"/>
      <c r="R29" s="92"/>
      <c r="S29" s="92"/>
      <c r="T29" s="92"/>
      <c r="U29" s="92"/>
    </row>
    <row r="30" spans="1:22" ht="14.25" customHeight="1" x14ac:dyDescent="0.25">
      <c r="A30" s="107"/>
      <c r="B30" s="95"/>
      <c r="C30" s="93"/>
      <c r="D30" s="108"/>
      <c r="E30" s="192"/>
      <c r="F30" s="92" t="s">
        <v>228</v>
      </c>
      <c r="G30" s="102">
        <v>15800</v>
      </c>
      <c r="H30" s="114">
        <v>25000</v>
      </c>
      <c r="I30" s="129"/>
      <c r="J30" s="131" t="s">
        <v>230</v>
      </c>
      <c r="K30" s="113">
        <v>25000</v>
      </c>
      <c r="L30" s="113">
        <v>25000</v>
      </c>
      <c r="M30" s="92"/>
      <c r="N30" s="92"/>
      <c r="O30" s="92"/>
      <c r="P30" s="92"/>
      <c r="Q30" s="92"/>
      <c r="R30" s="92"/>
      <c r="S30" s="92"/>
      <c r="T30" s="92"/>
      <c r="U30" s="92"/>
    </row>
    <row r="31" spans="1:22" ht="14.25" customHeight="1" x14ac:dyDescent="0.25">
      <c r="A31" s="107"/>
      <c r="B31" s="95"/>
      <c r="C31" s="93"/>
      <c r="D31" s="108"/>
      <c r="E31" s="192"/>
      <c r="F31" s="92" t="s">
        <v>149</v>
      </c>
      <c r="G31" s="92">
        <v>1</v>
      </c>
      <c r="H31" s="113">
        <v>1</v>
      </c>
      <c r="I31" s="129"/>
      <c r="J31" s="131" t="s">
        <v>231</v>
      </c>
      <c r="K31" s="142">
        <f>ROUNDUP(K27/(K30/K28),0)</f>
        <v>10</v>
      </c>
      <c r="L31" s="142">
        <f>ROUNDUP(L27/(L30/L28),0)</f>
        <v>12</v>
      </c>
      <c r="M31" s="92"/>
      <c r="N31" s="92"/>
      <c r="O31" s="92"/>
      <c r="P31" s="92"/>
      <c r="Q31" s="92"/>
      <c r="R31" s="92"/>
      <c r="S31" s="92"/>
      <c r="T31" s="92"/>
      <c r="U31" s="92"/>
    </row>
    <row r="32" spans="1:22" ht="15" customHeight="1" x14ac:dyDescent="0.25">
      <c r="A32" s="107"/>
      <c r="B32" s="95"/>
      <c r="C32" s="93"/>
      <c r="D32" s="108"/>
      <c r="E32" s="192"/>
      <c r="F32" s="92" t="s">
        <v>173</v>
      </c>
      <c r="G32" s="92">
        <v>2.5</v>
      </c>
      <c r="H32" s="113">
        <v>3.5</v>
      </c>
      <c r="I32" s="129"/>
      <c r="J32" s="148" t="s">
        <v>248</v>
      </c>
      <c r="K32" s="113">
        <v>13</v>
      </c>
      <c r="L32" s="113">
        <v>15</v>
      </c>
      <c r="M32" s="92"/>
      <c r="N32" s="92"/>
      <c r="O32" s="92"/>
      <c r="P32" s="92"/>
      <c r="Q32" s="92"/>
      <c r="R32" s="92"/>
      <c r="S32" s="92"/>
      <c r="T32" s="92"/>
      <c r="U32" s="92"/>
    </row>
    <row r="33" spans="1:24" ht="12.75" customHeight="1" x14ac:dyDescent="0.25">
      <c r="A33" s="107"/>
      <c r="B33" s="95"/>
      <c r="C33" s="93"/>
      <c r="D33" s="108"/>
      <c r="E33" s="192"/>
      <c r="F33" s="92" t="s">
        <v>183</v>
      </c>
      <c r="G33" s="92" t="s">
        <v>188</v>
      </c>
      <c r="H33" s="113" t="s">
        <v>249</v>
      </c>
      <c r="I33" s="129"/>
      <c r="J33" s="131" t="s">
        <v>234</v>
      </c>
      <c r="K33" s="113">
        <f>K29/K32</f>
        <v>1038461538.4615384</v>
      </c>
      <c r="L33" s="113">
        <f>L29/L32</f>
        <v>20000</v>
      </c>
      <c r="M33" s="92"/>
      <c r="N33" s="92"/>
      <c r="O33" s="92"/>
      <c r="P33" s="92"/>
      <c r="Q33" s="92"/>
      <c r="R33" s="92"/>
      <c r="S33" s="92"/>
      <c r="T33" s="92"/>
      <c r="U33" s="92"/>
      <c r="X33" s="55"/>
    </row>
    <row r="34" spans="1:24" ht="16.5" customHeight="1" thickBot="1" x14ac:dyDescent="0.3">
      <c r="A34" s="107"/>
      <c r="B34" s="92"/>
      <c r="C34" s="93"/>
      <c r="D34" s="108"/>
      <c r="E34" s="192" t="s">
        <v>157</v>
      </c>
      <c r="F34" s="92" t="s">
        <v>166</v>
      </c>
      <c r="G34" s="102">
        <f>G44/G23</f>
        <v>27000</v>
      </c>
      <c r="H34" s="114">
        <f>H29/H23</f>
        <v>10800.000000000002</v>
      </c>
      <c r="I34" s="129"/>
      <c r="J34" s="132" t="s">
        <v>235</v>
      </c>
      <c r="K34" s="121">
        <f>K33/1000000</f>
        <v>1038.4615384615383</v>
      </c>
      <c r="L34" s="121">
        <f>L33/1000000</f>
        <v>0.02</v>
      </c>
      <c r="M34" s="92"/>
      <c r="N34" s="92"/>
      <c r="O34" s="92"/>
      <c r="P34" s="92"/>
      <c r="Q34" s="92"/>
      <c r="R34" s="92"/>
      <c r="S34" s="92"/>
      <c r="T34" s="92"/>
      <c r="U34" s="92"/>
    </row>
    <row r="35" spans="1:24" ht="14.25" customHeight="1" x14ac:dyDescent="0.25">
      <c r="A35" s="107"/>
      <c r="B35" s="98"/>
      <c r="C35" s="93"/>
      <c r="D35" s="108"/>
      <c r="E35" s="192"/>
      <c r="F35" s="92" t="s">
        <v>160</v>
      </c>
      <c r="G35" s="92">
        <v>300</v>
      </c>
      <c r="H35" s="113"/>
      <c r="I35" s="129"/>
      <c r="J35" s="135" t="s">
        <v>237</v>
      </c>
      <c r="K35" s="136">
        <f>K27/K32</f>
        <v>15384.615384615385</v>
      </c>
      <c r="L35" s="136">
        <f>L27/L32</f>
        <v>16666.666666666668</v>
      </c>
      <c r="M35" s="92"/>
      <c r="N35" s="92"/>
      <c r="O35" s="92"/>
      <c r="P35" s="92"/>
      <c r="Q35" s="92"/>
      <c r="R35" s="92"/>
      <c r="S35" s="92"/>
      <c r="T35" s="92"/>
      <c r="U35" s="92"/>
    </row>
    <row r="36" spans="1:24" ht="14.25" customHeight="1" x14ac:dyDescent="0.25">
      <c r="A36" s="107"/>
      <c r="B36" s="98"/>
      <c r="C36" s="93"/>
      <c r="D36" s="108"/>
      <c r="E36" s="192"/>
      <c r="F36" s="92" t="s">
        <v>161</v>
      </c>
      <c r="G36" s="102">
        <f>G34</f>
        <v>27000</v>
      </c>
      <c r="H36" s="114">
        <v>18200</v>
      </c>
      <c r="I36" s="129"/>
      <c r="J36" s="137" t="s">
        <v>238</v>
      </c>
      <c r="K36" s="113">
        <f>POWER(K35, 2)/K33</f>
        <v>0.22792022792022792</v>
      </c>
      <c r="L36" s="113">
        <f>POWER(L35, 2)/L33</f>
        <v>13888.888888888889</v>
      </c>
      <c r="M36" s="92"/>
      <c r="N36" s="92"/>
      <c r="O36" s="92"/>
      <c r="P36" s="92"/>
      <c r="Q36" s="92"/>
      <c r="R36" s="92"/>
      <c r="S36" s="92"/>
      <c r="T36" s="92"/>
      <c r="U36" s="92"/>
    </row>
    <row r="37" spans="1:24" x14ac:dyDescent="0.25">
      <c r="A37" s="107"/>
      <c r="B37" s="95"/>
      <c r="C37" s="93"/>
      <c r="D37" s="108"/>
      <c r="E37" s="192"/>
      <c r="F37" s="92" t="s">
        <v>162</v>
      </c>
      <c r="G37" s="92">
        <v>1</v>
      </c>
      <c r="H37" s="113">
        <v>1</v>
      </c>
      <c r="I37" s="129"/>
      <c r="J37" s="112" t="s">
        <v>38</v>
      </c>
      <c r="K37" s="147" t="s">
        <v>239</v>
      </c>
      <c r="L37" s="147" t="s">
        <v>239</v>
      </c>
      <c r="M37" s="92"/>
      <c r="N37" s="92"/>
      <c r="O37" s="92"/>
      <c r="P37" s="92"/>
      <c r="Q37" s="92"/>
      <c r="R37" s="92"/>
      <c r="S37" s="92"/>
      <c r="T37" s="92"/>
      <c r="U37" s="92"/>
    </row>
    <row r="38" spans="1:24" ht="12.75" x14ac:dyDescent="0.2">
      <c r="A38" s="107"/>
      <c r="B38" s="92"/>
      <c r="C38" s="93"/>
      <c r="D38" s="108"/>
      <c r="E38" s="192"/>
      <c r="F38" s="92" t="s">
        <v>172</v>
      </c>
      <c r="G38" s="92">
        <v>0.25</v>
      </c>
      <c r="H38" s="113">
        <v>0.25</v>
      </c>
      <c r="I38" s="129"/>
      <c r="J38" s="138" t="s">
        <v>246</v>
      </c>
      <c r="K38" s="139" t="s">
        <v>247</v>
      </c>
      <c r="L38" s="139" t="s">
        <v>247</v>
      </c>
      <c r="M38" s="134"/>
      <c r="N38" s="134"/>
      <c r="O38" s="92"/>
      <c r="P38" s="92"/>
      <c r="Q38" s="92"/>
      <c r="R38" s="92"/>
      <c r="S38" s="92"/>
      <c r="T38" s="92"/>
      <c r="U38" s="92"/>
    </row>
    <row r="39" spans="1:24" ht="12.75" x14ac:dyDescent="0.25">
      <c r="A39" s="107"/>
      <c r="B39" s="92"/>
      <c r="C39" s="93"/>
      <c r="D39" s="108"/>
      <c r="E39" s="192"/>
      <c r="F39" s="92" t="s">
        <v>183</v>
      </c>
      <c r="G39" s="92" t="s">
        <v>185</v>
      </c>
      <c r="H39" s="113"/>
      <c r="I39" s="129"/>
      <c r="J39" s="131" t="s">
        <v>146</v>
      </c>
      <c r="K39" s="113">
        <v>25000</v>
      </c>
      <c r="L39" s="113">
        <v>25000</v>
      </c>
      <c r="M39" s="92"/>
      <c r="N39" s="92"/>
      <c r="O39" s="92"/>
      <c r="P39" s="92"/>
      <c r="Q39" s="92"/>
      <c r="R39" s="92"/>
      <c r="S39" s="92"/>
      <c r="T39" s="92"/>
      <c r="U39" s="92"/>
    </row>
    <row r="40" spans="1:24" ht="15" customHeight="1" x14ac:dyDescent="0.25">
      <c r="A40" s="107"/>
      <c r="B40" s="92"/>
      <c r="C40" s="93"/>
      <c r="D40" s="108"/>
      <c r="E40" s="112"/>
      <c r="F40" s="92" t="s">
        <v>177</v>
      </c>
      <c r="G40" s="92">
        <f>G29*(1+G43)</f>
        <v>101000000</v>
      </c>
      <c r="H40" s="113">
        <f>H29*(1+H43)</f>
        <v>1010000000</v>
      </c>
      <c r="I40" s="129"/>
      <c r="J40" s="112" t="s">
        <v>145</v>
      </c>
      <c r="K40" s="140">
        <v>0.01</v>
      </c>
      <c r="L40" s="140">
        <v>0.01</v>
      </c>
      <c r="M40" s="97"/>
      <c r="N40" s="97"/>
      <c r="O40" s="92"/>
      <c r="P40" s="92"/>
      <c r="Q40" s="92"/>
      <c r="R40" s="92"/>
      <c r="S40" s="92"/>
      <c r="T40" s="92"/>
      <c r="U40" s="92"/>
    </row>
    <row r="41" spans="1:24" ht="12.75" x14ac:dyDescent="0.25">
      <c r="A41" s="107"/>
      <c r="B41" s="92"/>
      <c r="C41" s="93"/>
      <c r="D41" s="108"/>
      <c r="E41" s="112"/>
      <c r="F41" s="92" t="s">
        <v>176</v>
      </c>
      <c r="G41" s="92">
        <f>G29*(1-G43)</f>
        <v>99000000</v>
      </c>
      <c r="H41" s="113">
        <f>H29*(1-H43)</f>
        <v>990000000</v>
      </c>
      <c r="I41" s="129"/>
      <c r="J41" s="112" t="s">
        <v>147</v>
      </c>
      <c r="K41" s="113" t="s">
        <v>240</v>
      </c>
      <c r="L41" s="113" t="s">
        <v>269</v>
      </c>
      <c r="M41" s="92"/>
      <c r="N41" s="92"/>
      <c r="O41" s="92"/>
      <c r="P41" s="92"/>
      <c r="Q41" s="92"/>
      <c r="R41" s="92"/>
      <c r="S41" s="92"/>
      <c r="T41" s="92"/>
      <c r="U41" s="92"/>
    </row>
    <row r="42" spans="1:24" ht="12.75" x14ac:dyDescent="0.25">
      <c r="A42" s="107"/>
      <c r="B42" s="92"/>
      <c r="C42" s="93"/>
      <c r="D42" s="108"/>
      <c r="E42" s="112"/>
      <c r="F42" s="92" t="s">
        <v>151</v>
      </c>
      <c r="G42" s="92">
        <v>2</v>
      </c>
      <c r="H42" s="113">
        <v>13</v>
      </c>
      <c r="I42" s="129"/>
      <c r="J42" s="112" t="s">
        <v>241</v>
      </c>
      <c r="K42" s="141">
        <v>0.97</v>
      </c>
      <c r="L42" s="141"/>
      <c r="M42" s="133"/>
      <c r="N42" s="133"/>
      <c r="O42" s="92"/>
      <c r="P42" s="92"/>
      <c r="Q42" s="92"/>
      <c r="R42" s="92"/>
      <c r="S42" s="92"/>
      <c r="T42" s="92"/>
      <c r="U42" s="92"/>
    </row>
    <row r="43" spans="1:24" ht="12.75" x14ac:dyDescent="0.25">
      <c r="A43" s="107"/>
      <c r="B43" s="92"/>
      <c r="C43" s="93"/>
      <c r="D43" s="108"/>
      <c r="E43" s="112"/>
      <c r="F43" s="92" t="s">
        <v>168</v>
      </c>
      <c r="G43" s="104">
        <f>G31*0.01</f>
        <v>0.01</v>
      </c>
      <c r="H43" s="116">
        <f>H31*0.01</f>
        <v>0.01</v>
      </c>
      <c r="I43" s="129"/>
      <c r="J43" s="112" t="s">
        <v>242</v>
      </c>
      <c r="K43" s="141">
        <f>K32*K42</f>
        <v>12.61</v>
      </c>
      <c r="L43" s="141"/>
      <c r="M43" s="133"/>
      <c r="N43" s="133"/>
      <c r="O43" s="92"/>
      <c r="P43" s="92"/>
      <c r="Q43" s="92"/>
      <c r="R43" s="92"/>
      <c r="S43" s="92"/>
      <c r="T43" s="92"/>
      <c r="U43" s="92"/>
    </row>
    <row r="44" spans="1:24" ht="12.75" x14ac:dyDescent="0.25">
      <c r="A44" s="107"/>
      <c r="B44" s="100"/>
      <c r="C44" s="93"/>
      <c r="D44" s="108"/>
      <c r="E44" s="112"/>
      <c r="F44" s="92" t="s">
        <v>163</v>
      </c>
      <c r="G44" s="105">
        <f>G29*G42</f>
        <v>200000000</v>
      </c>
      <c r="H44" s="117">
        <f>H29*H42</f>
        <v>13000000000</v>
      </c>
      <c r="I44" s="129"/>
      <c r="J44" s="112" t="s">
        <v>243</v>
      </c>
      <c r="K44" s="113" t="s">
        <v>244</v>
      </c>
      <c r="L44" s="113" t="s">
        <v>244</v>
      </c>
      <c r="M44" s="92"/>
      <c r="N44" s="92"/>
      <c r="O44" s="92"/>
      <c r="P44" s="92"/>
      <c r="Q44" s="92"/>
      <c r="R44" s="92"/>
      <c r="S44" s="92"/>
      <c r="T44" s="92"/>
      <c r="U44" s="92"/>
    </row>
    <row r="45" spans="1:24" ht="13.5" thickBot="1" x14ac:dyDescent="0.3">
      <c r="A45" s="107"/>
      <c r="B45" s="92"/>
      <c r="C45" s="93"/>
      <c r="D45" s="108"/>
      <c r="E45" s="112"/>
      <c r="F45" s="92" t="s">
        <v>164</v>
      </c>
      <c r="G45" s="104">
        <f>G44*(1+G43)</f>
        <v>202000000</v>
      </c>
      <c r="H45" s="116">
        <f>H44*(1+H43)</f>
        <v>13130000000</v>
      </c>
      <c r="I45" s="129"/>
      <c r="J45" s="119" t="s">
        <v>245</v>
      </c>
      <c r="K45" s="121">
        <v>50</v>
      </c>
      <c r="L45" s="121">
        <v>51</v>
      </c>
      <c r="M45" s="92"/>
      <c r="N45" s="92"/>
      <c r="O45" s="92"/>
      <c r="P45" s="92"/>
      <c r="Q45" s="92"/>
      <c r="R45" s="92"/>
      <c r="S45" s="92"/>
      <c r="T45" s="92"/>
      <c r="U45" s="92"/>
    </row>
    <row r="46" spans="1:24" ht="12.75" x14ac:dyDescent="0.25">
      <c r="A46" s="107"/>
      <c r="B46" s="92"/>
      <c r="C46" s="95"/>
      <c r="D46" s="108"/>
      <c r="E46" s="112"/>
      <c r="F46" s="96" t="s">
        <v>165</v>
      </c>
      <c r="G46" s="104">
        <f>G44*(1-G43)</f>
        <v>198000000</v>
      </c>
      <c r="H46" s="116">
        <f>H44*(1-H43)</f>
        <v>12870000000</v>
      </c>
      <c r="I46" s="109"/>
      <c r="J46" s="111"/>
      <c r="K46" s="111"/>
      <c r="L46" s="92"/>
      <c r="M46" s="92"/>
      <c r="N46" s="92"/>
      <c r="O46" s="92"/>
      <c r="P46" s="92"/>
      <c r="Q46" s="92"/>
      <c r="R46" s="92"/>
      <c r="S46" s="92"/>
      <c r="T46" s="92"/>
      <c r="U46" s="92"/>
    </row>
    <row r="47" spans="1:24" ht="12.75" x14ac:dyDescent="0.25">
      <c r="A47" s="107"/>
      <c r="B47" s="92"/>
      <c r="C47" s="95"/>
      <c r="D47" s="108"/>
      <c r="E47" s="112"/>
      <c r="F47" s="92" t="s">
        <v>152</v>
      </c>
      <c r="G47" s="105">
        <f>G30*G42</f>
        <v>31600</v>
      </c>
      <c r="H47" s="105">
        <f>H30*H42</f>
        <v>325000</v>
      </c>
      <c r="I47" s="109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 spans="1:24" ht="12.75" x14ac:dyDescent="0.25">
      <c r="A48" s="107"/>
      <c r="B48" s="92"/>
      <c r="C48" s="95"/>
      <c r="D48" s="108"/>
      <c r="E48" s="112"/>
      <c r="F48" s="92" t="s">
        <v>153</v>
      </c>
      <c r="G48" s="104">
        <f>G47/G17</f>
        <v>26333.333333333336</v>
      </c>
      <c r="H48" s="104">
        <f>H47/H17</f>
        <v>270833.33333333337</v>
      </c>
      <c r="I48" s="109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 spans="1:21" ht="12.75" x14ac:dyDescent="0.25">
      <c r="A49" s="107"/>
      <c r="B49" s="92"/>
      <c r="C49" s="95"/>
      <c r="D49" s="108"/>
      <c r="E49" s="112"/>
      <c r="F49" s="92" t="s">
        <v>168</v>
      </c>
      <c r="G49" s="104">
        <f>G37*0.01</f>
        <v>0.01</v>
      </c>
      <c r="H49" s="116">
        <f>H37*0.01</f>
        <v>0.01</v>
      </c>
      <c r="I49" s="109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 spans="1:21" ht="12.75" x14ac:dyDescent="0.25">
      <c r="A50" s="107"/>
      <c r="B50" s="92"/>
      <c r="C50" s="95"/>
      <c r="D50" s="108"/>
      <c r="E50" s="112"/>
      <c r="F50" s="92" t="s">
        <v>167</v>
      </c>
      <c r="G50" s="104">
        <f>G36*(1+G49)</f>
        <v>27270</v>
      </c>
      <c r="H50" s="116">
        <f>H36*(1+H49)</f>
        <v>18382</v>
      </c>
      <c r="I50" s="109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</row>
    <row r="51" spans="1:21" ht="12.75" x14ac:dyDescent="0.25">
      <c r="A51" s="107"/>
      <c r="B51" s="92"/>
      <c r="C51" s="93"/>
      <c r="D51" s="108"/>
      <c r="E51" s="112"/>
      <c r="F51" s="92" t="s">
        <v>169</v>
      </c>
      <c r="G51" s="104">
        <f>G36*(1-G49)</f>
        <v>26730</v>
      </c>
      <c r="H51" s="116">
        <f>H36*(1-H49)</f>
        <v>18018</v>
      </c>
      <c r="I51" s="109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</row>
    <row r="52" spans="1:21" ht="12.75" x14ac:dyDescent="0.25">
      <c r="A52" s="107"/>
      <c r="B52" s="92"/>
      <c r="C52" s="93"/>
      <c r="D52" s="108"/>
      <c r="E52" s="112"/>
      <c r="F52" s="92" t="s">
        <v>158</v>
      </c>
      <c r="G52" s="106" t="b">
        <f>G48&gt;G19</f>
        <v>1</v>
      </c>
      <c r="H52" s="118" t="b">
        <f>H48&gt;H19</f>
        <v>1</v>
      </c>
      <c r="I52" s="109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</row>
    <row r="53" spans="1:21" ht="12.75" x14ac:dyDescent="0.25">
      <c r="A53" s="107"/>
      <c r="B53" s="96"/>
      <c r="C53" s="93"/>
      <c r="D53" s="108"/>
      <c r="E53" s="112"/>
      <c r="F53" s="92" t="s">
        <v>159</v>
      </c>
      <c r="G53" s="104"/>
      <c r="H53" s="116"/>
      <c r="I53" s="109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</row>
    <row r="54" spans="1:21" ht="12.75" x14ac:dyDescent="0.25">
      <c r="A54" s="107"/>
      <c r="B54" s="96"/>
      <c r="C54" s="93"/>
      <c r="D54" s="108"/>
      <c r="E54" s="112"/>
      <c r="F54" s="92" t="s">
        <v>171</v>
      </c>
      <c r="G54" s="104">
        <f>G20/(G45+G36)</f>
        <v>4.9498334381048076E-6</v>
      </c>
      <c r="H54" s="116">
        <f>H20/(H45+H36)</f>
        <v>3.8080678364939356E-6</v>
      </c>
      <c r="I54" s="109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</row>
    <row r="55" spans="1:21" ht="12.75" x14ac:dyDescent="0.25">
      <c r="A55" s="107"/>
      <c r="B55" s="92"/>
      <c r="C55" s="93"/>
      <c r="D55" s="108"/>
      <c r="E55" s="112"/>
      <c r="F55" s="92" t="s">
        <v>170</v>
      </c>
      <c r="G55" s="104">
        <f>G19/(G46+G51)</f>
        <v>1.0099646648712525E-4</v>
      </c>
      <c r="H55" s="116">
        <f>H19/(H46+H51)</f>
        <v>1.9424992230030302E-5</v>
      </c>
      <c r="I55" s="109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</row>
    <row r="56" spans="1:21" ht="12.75" x14ac:dyDescent="0.25">
      <c r="A56" s="107"/>
      <c r="B56" s="96"/>
      <c r="C56" s="93"/>
      <c r="D56" s="108"/>
      <c r="E56" s="112"/>
      <c r="F56" s="92" t="s">
        <v>155</v>
      </c>
      <c r="G56" s="106" t="b">
        <f>G54&gt;G25</f>
        <v>1</v>
      </c>
      <c r="H56" s="118" t="b">
        <f>H54&gt;H25</f>
        <v>1</v>
      </c>
      <c r="I56" s="109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</row>
    <row r="57" spans="1:21" ht="12.75" x14ac:dyDescent="0.25">
      <c r="A57" s="107"/>
      <c r="B57" s="92"/>
      <c r="C57" s="93"/>
      <c r="D57" s="108"/>
      <c r="E57" s="112"/>
      <c r="F57" s="92" t="s">
        <v>156</v>
      </c>
      <c r="G57" s="104" t="str">
        <f>IF(G20/G45&gt;G25, "", (G20/G45)/G25)</f>
        <v/>
      </c>
      <c r="H57" s="117">
        <f>(H20/H45)/H25</f>
        <v>1.1900228484386901</v>
      </c>
      <c r="I57" s="109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</row>
    <row r="58" spans="1:21" ht="12.75" x14ac:dyDescent="0.25">
      <c r="A58" s="107"/>
      <c r="B58" s="92"/>
      <c r="C58" s="93"/>
      <c r="D58" s="108"/>
      <c r="E58" s="112"/>
      <c r="F58" s="92" t="s">
        <v>174</v>
      </c>
      <c r="G58" s="104">
        <f>POWER(G55, 2)*G40</f>
        <v>1.0302289105313864</v>
      </c>
      <c r="H58" s="104">
        <f>POWER(H55, 2)*H40</f>
        <v>0.38110362636810496</v>
      </c>
      <c r="I58" s="109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 spans="1:21" ht="12.75" x14ac:dyDescent="0.25">
      <c r="A59" s="107"/>
      <c r="B59" s="92"/>
      <c r="C59" s="93"/>
      <c r="D59" s="108"/>
      <c r="E59" s="112"/>
      <c r="F59" s="92" t="s">
        <v>175</v>
      </c>
      <c r="G59" s="104">
        <f>POWER(G55, 2)*G50</f>
        <v>2.7816180584347433E-4</v>
      </c>
      <c r="H59" s="104">
        <f>POWER(H55, 2)*H50</f>
        <v>6.9360859998995101E-6</v>
      </c>
      <c r="I59" s="109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 spans="1:21" ht="12.75" x14ac:dyDescent="0.25">
      <c r="A60" s="107"/>
      <c r="B60" s="92"/>
      <c r="C60" s="93"/>
      <c r="D60" s="108"/>
      <c r="E60" s="112"/>
      <c r="F60" s="92" t="s">
        <v>179</v>
      </c>
      <c r="G60" s="104">
        <f>G32/G17</f>
        <v>2.0833333333333335</v>
      </c>
      <c r="H60" s="104">
        <f>H32/H17</f>
        <v>2.916666666666667</v>
      </c>
      <c r="I60" s="109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  <row r="61" spans="1:21" ht="12.75" x14ac:dyDescent="0.25">
      <c r="A61" s="107"/>
      <c r="B61" s="91"/>
      <c r="C61" s="95"/>
      <c r="D61" s="108"/>
      <c r="E61" s="112"/>
      <c r="F61" s="92" t="s">
        <v>181</v>
      </c>
      <c r="G61" s="104">
        <f>G38/G17</f>
        <v>0.20833333333333334</v>
      </c>
      <c r="H61" s="104">
        <f>H38/H17</f>
        <v>0.20833333333333334</v>
      </c>
      <c r="I61" s="109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</row>
    <row r="62" spans="1:21" ht="12.75" x14ac:dyDescent="0.25">
      <c r="A62" s="107"/>
      <c r="B62" s="92"/>
      <c r="C62" s="95"/>
      <c r="D62" s="108"/>
      <c r="E62" s="112"/>
      <c r="F62" s="92" t="s">
        <v>178</v>
      </c>
      <c r="G62" s="106" t="b">
        <f>G58&lt;=G60</f>
        <v>1</v>
      </c>
      <c r="H62" s="106" t="b">
        <f>H58&lt;=H60</f>
        <v>1</v>
      </c>
      <c r="I62" s="109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</row>
    <row r="63" spans="1:21" ht="12.75" x14ac:dyDescent="0.25">
      <c r="A63" s="107"/>
      <c r="B63" s="92"/>
      <c r="C63" s="95"/>
      <c r="D63" s="108"/>
      <c r="E63" s="112"/>
      <c r="F63" s="92" t="s">
        <v>180</v>
      </c>
      <c r="G63" s="106" t="b">
        <f>G59&lt;=G61</f>
        <v>1</v>
      </c>
      <c r="H63" s="106" t="b">
        <f>H59&lt;=H61</f>
        <v>1</v>
      </c>
      <c r="I63" s="109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</row>
    <row r="64" spans="1:21" ht="12.75" x14ac:dyDescent="0.2">
      <c r="A64" s="107"/>
      <c r="B64" s="92"/>
      <c r="C64" s="95"/>
      <c r="D64" s="108"/>
      <c r="E64" s="112"/>
      <c r="F64" s="101" t="s">
        <v>182</v>
      </c>
      <c r="G64" s="104">
        <f>G59+(G42*G58)</f>
        <v>2.0607359828686165</v>
      </c>
      <c r="H64" s="104">
        <f>H59+(H42*H58)</f>
        <v>4.954354078871364</v>
      </c>
      <c r="I64" s="109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</row>
    <row r="65" spans="1:21" ht="25.5" x14ac:dyDescent="0.25">
      <c r="A65" s="107"/>
      <c r="B65" s="92"/>
      <c r="C65" s="95"/>
      <c r="D65" s="108"/>
      <c r="E65" s="112"/>
      <c r="F65" s="124" t="s">
        <v>215</v>
      </c>
      <c r="G65" s="102">
        <v>6</v>
      </c>
      <c r="H65" s="102">
        <v>6</v>
      </c>
      <c r="I65" s="109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</row>
    <row r="66" spans="1:21" ht="25.5" x14ac:dyDescent="0.25">
      <c r="A66" s="107"/>
      <c r="B66" s="92"/>
      <c r="C66" s="93"/>
      <c r="D66" s="108"/>
      <c r="E66" s="127"/>
      <c r="F66" s="124" t="s">
        <v>216</v>
      </c>
      <c r="G66" s="92">
        <v>1</v>
      </c>
      <c r="H66" s="92">
        <v>1</v>
      </c>
      <c r="I66" s="109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</row>
    <row r="67" spans="1:21" ht="12.75" x14ac:dyDescent="0.25">
      <c r="A67" s="107"/>
      <c r="B67" s="92"/>
      <c r="C67" s="93"/>
      <c r="D67" s="108"/>
      <c r="E67" s="127"/>
      <c r="F67" s="92" t="s">
        <v>217</v>
      </c>
      <c r="G67" s="105">
        <f>MIN(G65, G66)</f>
        <v>1</v>
      </c>
      <c r="H67" s="105">
        <f>MIN(H65, H66)</f>
        <v>1</v>
      </c>
      <c r="I67" s="109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 spans="1:21" ht="12.75" x14ac:dyDescent="0.25">
      <c r="A68" s="107"/>
      <c r="B68" s="92"/>
      <c r="C68" s="93"/>
      <c r="D68" s="108"/>
      <c r="E68" s="127"/>
      <c r="F68" s="92" t="s">
        <v>208</v>
      </c>
      <c r="G68" s="102">
        <v>16000</v>
      </c>
      <c r="H68" s="102">
        <v>16001</v>
      </c>
      <c r="I68" s="109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</row>
    <row r="69" spans="1:21" ht="12.75" x14ac:dyDescent="0.25">
      <c r="A69" s="107"/>
      <c r="B69" s="92"/>
      <c r="C69" s="93"/>
      <c r="D69" s="108"/>
      <c r="E69" s="127"/>
      <c r="F69" s="92" t="s">
        <v>201</v>
      </c>
      <c r="G69" s="102">
        <f>1/G68</f>
        <v>6.2500000000000001E-5</v>
      </c>
      <c r="H69" s="102">
        <f>1/H68</f>
        <v>6.2496093994125369E-5</v>
      </c>
      <c r="I69" s="109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</row>
    <row r="70" spans="1:21" ht="12.75" x14ac:dyDescent="0.25">
      <c r="A70" s="107"/>
      <c r="B70" s="92"/>
      <c r="C70" s="93"/>
      <c r="D70" s="108"/>
      <c r="E70" s="127"/>
      <c r="F70" s="92" t="s">
        <v>209</v>
      </c>
      <c r="G70" s="105">
        <f>G69*G66/2</f>
        <v>3.1250000000000001E-5</v>
      </c>
      <c r="H70" s="105">
        <f>H69*H66/2</f>
        <v>3.1248046997062684E-5</v>
      </c>
      <c r="I70" s="109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</row>
    <row r="71" spans="1:21" ht="12.75" x14ac:dyDescent="0.25">
      <c r="A71" s="107"/>
      <c r="B71" s="92"/>
      <c r="C71" s="93"/>
      <c r="D71" s="108"/>
      <c r="E71" s="112"/>
      <c r="F71" s="92" t="s">
        <v>212</v>
      </c>
      <c r="G71" s="105">
        <f>G70/4.605</f>
        <v>6.7861020629750266E-6</v>
      </c>
      <c r="H71" s="105">
        <f>H70/4.605</f>
        <v>6.7856779581026451E-6</v>
      </c>
      <c r="I71" s="109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</row>
    <row r="72" spans="1:21" ht="12.75" x14ac:dyDescent="0.25">
      <c r="A72" s="107"/>
      <c r="B72" s="92"/>
      <c r="C72" s="93"/>
      <c r="D72" s="108"/>
      <c r="E72" s="112"/>
      <c r="F72" s="92" t="s">
        <v>214</v>
      </c>
      <c r="G72" s="105">
        <f>G71/((G44*G36)/(G44+G2))</f>
        <v>2.5133711344351953E-10</v>
      </c>
      <c r="H72" s="105">
        <f>H71/((H44*H36)/(H44+H2))</f>
        <v>3.7283944827607801E-10</v>
      </c>
      <c r="I72" s="109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</row>
    <row r="73" spans="1:21" ht="25.5" x14ac:dyDescent="0.2">
      <c r="A73" s="107"/>
      <c r="B73" s="92"/>
      <c r="C73" s="93"/>
      <c r="D73" s="108"/>
      <c r="E73" s="128" t="s">
        <v>220</v>
      </c>
      <c r="F73" s="101" t="s">
        <v>213</v>
      </c>
      <c r="G73" s="102">
        <v>2.7E-10</v>
      </c>
      <c r="H73" s="102">
        <v>3.7000000000000001E-10</v>
      </c>
      <c r="I73" s="109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 spans="1:21" ht="12.75" x14ac:dyDescent="0.25">
      <c r="A74" s="107"/>
      <c r="B74" s="92"/>
      <c r="C74" s="93"/>
      <c r="D74" s="108"/>
      <c r="E74" s="112"/>
      <c r="F74" s="92" t="s">
        <v>210</v>
      </c>
      <c r="G74" s="105">
        <f>4.605*G75</f>
        <v>3.3565963460329565E-5</v>
      </c>
      <c r="H74" s="105">
        <f>4.605*H75</f>
        <v>3.1010027015804141E-5</v>
      </c>
      <c r="I74" s="109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 spans="1:21" ht="12.75" x14ac:dyDescent="0.25">
      <c r="A75" s="107"/>
      <c r="B75" s="92"/>
      <c r="C75" s="93"/>
      <c r="D75" s="108"/>
      <c r="E75" s="112"/>
      <c r="F75" s="92" t="s">
        <v>211</v>
      </c>
      <c r="G75" s="105">
        <f>G73*(G45*G36)/(G45+G36)</f>
        <v>7.2890257242843775E-6</v>
      </c>
      <c r="H75" s="105">
        <f>H73*(H45*H36)/(H45+H36)</f>
        <v>6.7339906657555125E-6</v>
      </c>
      <c r="I75" s="109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</row>
    <row r="76" spans="1:21" ht="12.75" x14ac:dyDescent="0.25">
      <c r="A76" s="107"/>
      <c r="B76" s="92"/>
      <c r="C76" s="93"/>
      <c r="D76" s="108"/>
      <c r="E76" s="112"/>
      <c r="F76" s="92" t="s">
        <v>206</v>
      </c>
      <c r="G76" s="105">
        <f>G20*G36/(G44+G36)</f>
        <v>0.13498177746004289</v>
      </c>
      <c r="H76" s="105">
        <f>H20*H36/(H44+H36)</f>
        <v>6.9999902000137199E-2</v>
      </c>
      <c r="I76" s="109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 spans="1:21" ht="12.75" x14ac:dyDescent="0.25">
      <c r="A77" s="107"/>
      <c r="B77" s="92"/>
      <c r="C77" s="93"/>
      <c r="D77" s="108"/>
      <c r="E77" s="112"/>
      <c r="F77" s="92" t="s">
        <v>207</v>
      </c>
      <c r="G77" s="104">
        <f>G21</f>
        <v>2.7</v>
      </c>
      <c r="H77" s="104">
        <f>H21</f>
        <v>2.7</v>
      </c>
      <c r="I77" s="109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 spans="1:21" ht="12.75" x14ac:dyDescent="0.25">
      <c r="A78" s="107"/>
      <c r="B78" s="92"/>
      <c r="C78" s="93"/>
      <c r="D78" s="108"/>
      <c r="E78" s="112"/>
      <c r="F78" s="92" t="s">
        <v>202</v>
      </c>
      <c r="G78" s="105">
        <f>ABS(G75*LN(((1.01*G76)-G76)/(G21-G76)))</f>
        <v>5.5030331148433144E-5</v>
      </c>
      <c r="H78" s="105">
        <f>ABS(H75*LN(((1.01*H76)-H76)/(H21-H76)))</f>
        <v>5.5430275185863378E-5</v>
      </c>
      <c r="I78" s="109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</row>
    <row r="79" spans="1:21" ht="12.75" x14ac:dyDescent="0.25">
      <c r="A79" s="107"/>
      <c r="B79" s="92"/>
      <c r="C79" s="93"/>
      <c r="D79" s="108"/>
      <c r="E79" s="112"/>
      <c r="F79" s="92" t="s">
        <v>203</v>
      </c>
      <c r="G79" s="105">
        <f>G78/G69</f>
        <v>0.88048529837493028</v>
      </c>
      <c r="H79" s="105">
        <f>H78/H69</f>
        <v>0.88693983324899983</v>
      </c>
      <c r="I79" s="109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</row>
    <row r="80" spans="1:21" ht="12.75" x14ac:dyDescent="0.25">
      <c r="A80" s="94"/>
      <c r="B80" s="92"/>
      <c r="C80" s="93"/>
      <c r="D80" s="108"/>
      <c r="E80" s="112"/>
      <c r="F80" s="92" t="s">
        <v>204</v>
      </c>
      <c r="G80" s="104">
        <f>ABS(G75*LN((G76-G77)/((0.99*G21)-G77)))</f>
        <v>3.3193377591371709E-5</v>
      </c>
      <c r="H80" s="104">
        <f>ABS(H75*LN((H76-H77)/((0.99*H21)-H77)))</f>
        <v>3.0834285323564624E-5</v>
      </c>
      <c r="I80" s="109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</row>
    <row r="81" spans="1:21" ht="12.75" x14ac:dyDescent="0.25">
      <c r="A81" s="94"/>
      <c r="B81" s="92"/>
      <c r="C81" s="93"/>
      <c r="D81" s="108"/>
      <c r="E81" s="112"/>
      <c r="F81" s="92" t="s">
        <v>205</v>
      </c>
      <c r="G81" s="105">
        <f>G80/G69</f>
        <v>0.53109404146194727</v>
      </c>
      <c r="H81" s="105">
        <f>H80/H69</f>
        <v>0.49337939946235754</v>
      </c>
      <c r="I81" s="109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</row>
    <row r="82" spans="1:21" ht="12.75" x14ac:dyDescent="0.25">
      <c r="A82" s="94"/>
      <c r="B82" s="92"/>
      <c r="C82" s="93"/>
      <c r="D82" s="108"/>
      <c r="E82" s="112"/>
      <c r="F82" s="92" t="s">
        <v>184</v>
      </c>
      <c r="G82" s="92" t="b">
        <f>AND(G52, G56, G62, G63)</f>
        <v>1</v>
      </c>
      <c r="H82" s="92" t="b">
        <f>AND(H52, H56, H62, H63)</f>
        <v>1</v>
      </c>
      <c r="I82" s="109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</row>
    <row r="83" spans="1:21" ht="12.75" x14ac:dyDescent="0.25">
      <c r="A83" s="94"/>
      <c r="B83" s="92"/>
      <c r="C83" s="93"/>
      <c r="D83" s="108"/>
      <c r="E83" s="112"/>
      <c r="F83" s="92"/>
      <c r="G83" s="92"/>
      <c r="H83" s="113"/>
      <c r="I83" s="109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</row>
    <row r="84" spans="1:21" ht="12.75" x14ac:dyDescent="0.25">
      <c r="A84" s="94"/>
      <c r="B84" s="92"/>
      <c r="C84" s="93"/>
      <c r="D84" s="108"/>
      <c r="E84" s="112"/>
      <c r="F84" s="92"/>
      <c r="G84" s="92"/>
      <c r="H84" s="113"/>
      <c r="I84" s="109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</row>
    <row r="85" spans="1:21" ht="13.5" thickBot="1" x14ac:dyDescent="0.3">
      <c r="A85" s="94"/>
      <c r="B85" s="92"/>
      <c r="C85" s="93"/>
      <c r="D85" s="108"/>
      <c r="E85" s="119"/>
      <c r="F85" s="120"/>
      <c r="G85" s="120"/>
      <c r="H85" s="121"/>
      <c r="I85" s="109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</row>
    <row r="86" spans="1:21" ht="12.75" x14ac:dyDescent="0.25">
      <c r="A86" s="94"/>
      <c r="B86" s="92"/>
      <c r="C86" s="93"/>
      <c r="D86" s="92"/>
      <c r="E86" s="111"/>
      <c r="F86" s="99"/>
      <c r="G86" s="99"/>
      <c r="H86" s="99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</row>
    <row r="87" spans="1:21" ht="12.75" x14ac:dyDescent="0.25">
      <c r="A87" s="94"/>
      <c r="B87" s="92"/>
      <c r="C87" s="93"/>
      <c r="D87" s="92"/>
      <c r="E87" s="92"/>
      <c r="F87" s="99"/>
      <c r="G87" s="99"/>
      <c r="H87" s="99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</row>
    <row r="88" spans="1:21" ht="12.75" x14ac:dyDescent="0.25">
      <c r="A88" s="94"/>
      <c r="B88" s="92"/>
      <c r="C88" s="93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</row>
    <row r="89" spans="1:21" ht="12.75" x14ac:dyDescent="0.25">
      <c r="A89" s="94"/>
      <c r="B89" s="92"/>
      <c r="C89" s="93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</row>
    <row r="90" spans="1:21" ht="12.75" x14ac:dyDescent="0.25">
      <c r="A90" s="94"/>
      <c r="B90" s="92"/>
      <c r="C90" s="93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</row>
    <row r="91" spans="1:21" ht="12.75" x14ac:dyDescent="0.25">
      <c r="A91" s="94"/>
      <c r="B91" s="92"/>
      <c r="C91" s="93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  <row r="92" spans="1:21" ht="12.75" x14ac:dyDescent="0.25">
      <c r="A92" s="94"/>
      <c r="B92" s="92"/>
      <c r="C92" s="93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</row>
    <row r="93" spans="1:21" ht="12.75" x14ac:dyDescent="0.25">
      <c r="A93" s="94"/>
      <c r="B93" s="92"/>
      <c r="C93" s="93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</row>
    <row r="94" spans="1:21" ht="12.75" x14ac:dyDescent="0.25">
      <c r="A94" s="94"/>
      <c r="B94" s="92"/>
      <c r="C94" s="93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</row>
    <row r="95" spans="1:21" ht="12.75" x14ac:dyDescent="0.25">
      <c r="A95" s="94"/>
      <c r="B95" s="92"/>
      <c r="C95" s="93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</row>
    <row r="96" spans="1:21" ht="12.75" x14ac:dyDescent="0.25">
      <c r="A96" s="94"/>
      <c r="B96" s="92"/>
      <c r="C96" s="93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</row>
    <row r="97" spans="1:21" ht="12.75" x14ac:dyDescent="0.25">
      <c r="A97" s="94"/>
      <c r="B97" s="92"/>
      <c r="C97" s="93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</row>
    <row r="98" spans="1:21" ht="12.75" x14ac:dyDescent="0.25">
      <c r="A98" s="94"/>
      <c r="B98" s="92"/>
      <c r="C98" s="93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</row>
    <row r="99" spans="1:21" ht="12.75" x14ac:dyDescent="0.25">
      <c r="A99" s="94"/>
      <c r="B99" s="92"/>
      <c r="C99" s="93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 spans="1:21" ht="12.75" x14ac:dyDescent="0.25">
      <c r="A100" s="94"/>
      <c r="B100" s="92"/>
      <c r="C100" s="93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</row>
    <row r="101" spans="1:21" ht="12.75" x14ac:dyDescent="0.25">
      <c r="A101" s="94"/>
      <c r="B101" s="92"/>
      <c r="C101" s="93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</row>
    <row r="102" spans="1:21" ht="12.75" x14ac:dyDescent="0.25">
      <c r="A102" s="94"/>
      <c r="B102" s="92"/>
      <c r="C102" s="93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</row>
    <row r="103" spans="1:21" ht="12.75" x14ac:dyDescent="0.25">
      <c r="A103" s="94"/>
      <c r="B103" s="92"/>
      <c r="C103" s="93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</row>
    <row r="104" spans="1:21" ht="12.75" x14ac:dyDescent="0.25">
      <c r="A104" s="94"/>
      <c r="B104" s="92"/>
      <c r="C104" s="93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</row>
    <row r="105" spans="1:21" ht="12.75" x14ac:dyDescent="0.25">
      <c r="A105" s="94"/>
      <c r="B105" s="92"/>
      <c r="C105" s="93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</row>
    <row r="106" spans="1:21" ht="12.75" x14ac:dyDescent="0.25">
      <c r="A106" s="94"/>
      <c r="B106" s="92"/>
      <c r="C106" s="93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</row>
    <row r="107" spans="1:21" ht="12.75" x14ac:dyDescent="0.25">
      <c r="A107" s="94"/>
      <c r="B107" s="92"/>
      <c r="C107" s="93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</row>
    <row r="108" spans="1:21" ht="12.75" x14ac:dyDescent="0.25">
      <c r="A108" s="94"/>
      <c r="B108" s="92"/>
      <c r="C108" s="93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</row>
    <row r="109" spans="1:21" ht="12.75" x14ac:dyDescent="0.25">
      <c r="A109" s="94"/>
      <c r="B109" s="92"/>
      <c r="C109" s="93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 spans="1:21" ht="12.75" x14ac:dyDescent="0.25">
      <c r="A110" s="94"/>
      <c r="B110" s="92"/>
      <c r="C110" s="93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</row>
    <row r="111" spans="1:21" ht="12.75" x14ac:dyDescent="0.25">
      <c r="A111" s="94"/>
      <c r="B111" s="92"/>
      <c r="C111" s="93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 spans="1:21" ht="12.75" x14ac:dyDescent="0.25">
      <c r="A112" s="94"/>
      <c r="B112" s="92"/>
      <c r="C112" s="93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 spans="1:21" ht="12.75" x14ac:dyDescent="0.25">
      <c r="A113" s="94"/>
      <c r="B113" s="92"/>
      <c r="C113" s="93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</row>
    <row r="114" spans="1:21" ht="12.75" x14ac:dyDescent="0.25">
      <c r="A114" s="94"/>
      <c r="B114" s="92"/>
      <c r="C114" s="93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 spans="1:21" ht="12.75" x14ac:dyDescent="0.25">
      <c r="A115" s="94"/>
      <c r="B115" s="92"/>
      <c r="C115" s="93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 spans="1:21" ht="12.75" x14ac:dyDescent="0.25">
      <c r="A116" s="94"/>
      <c r="B116" s="92"/>
      <c r="C116" s="93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</row>
    <row r="117" spans="1:21" ht="12.75" x14ac:dyDescent="0.25">
      <c r="A117" s="94"/>
      <c r="B117" s="92"/>
      <c r="C117" s="93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</row>
    <row r="118" spans="1:21" ht="12.75" x14ac:dyDescent="0.25">
      <c r="A118" s="94"/>
      <c r="B118" s="92"/>
      <c r="C118" s="93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</row>
    <row r="119" spans="1:21" ht="12.75" x14ac:dyDescent="0.25">
      <c r="A119" s="94"/>
      <c r="B119" s="92"/>
      <c r="C119" s="93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</row>
    <row r="120" spans="1:21" ht="12.75" x14ac:dyDescent="0.25">
      <c r="A120" s="94"/>
      <c r="B120" s="92"/>
      <c r="C120" s="93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</row>
    <row r="121" spans="1:21" ht="12.75" x14ac:dyDescent="0.25">
      <c r="A121" s="94"/>
      <c r="B121" s="92"/>
      <c r="C121" s="93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</row>
    <row r="122" spans="1:21" ht="12.75" x14ac:dyDescent="0.25">
      <c r="A122" s="94"/>
      <c r="B122" s="92"/>
      <c r="C122" s="93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</row>
    <row r="123" spans="1:21" ht="12.75" x14ac:dyDescent="0.25">
      <c r="A123" s="94"/>
      <c r="B123" s="92"/>
      <c r="C123" s="93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</row>
    <row r="124" spans="1:21" ht="12.75" x14ac:dyDescent="0.25">
      <c r="A124" s="94"/>
      <c r="B124" s="92"/>
      <c r="C124" s="93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</row>
    <row r="125" spans="1:21" ht="12.75" x14ac:dyDescent="0.25">
      <c r="A125" s="94"/>
      <c r="B125" s="92"/>
      <c r="C125" s="93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</row>
    <row r="126" spans="1:21" ht="12.75" x14ac:dyDescent="0.25">
      <c r="A126" s="81"/>
      <c r="C126" s="45"/>
      <c r="D126" s="48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 x14ac:dyDescent="0.25">
      <c r="A127" s="81"/>
      <c r="C127" s="45"/>
      <c r="D127" s="48" t="s">
        <v>93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 x14ac:dyDescent="0.25">
      <c r="A128" s="81"/>
      <c r="C128" s="45"/>
      <c r="D128" s="48" t="s">
        <v>93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 x14ac:dyDescent="0.25">
      <c r="A129" s="81"/>
      <c r="C129" s="45"/>
      <c r="D129" s="48" t="s">
        <v>93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 x14ac:dyDescent="0.25">
      <c r="A130" s="81"/>
      <c r="C130" s="45"/>
      <c r="D130" s="48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 x14ac:dyDescent="0.25">
      <c r="A131" s="81"/>
      <c r="C131" s="45"/>
      <c r="D131" s="48" t="s">
        <v>93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 x14ac:dyDescent="0.25">
      <c r="A132" s="81"/>
      <c r="C132" s="45"/>
      <c r="D132" s="48" t="s">
        <v>93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 x14ac:dyDescent="0.25">
      <c r="A133" s="81"/>
      <c r="C133" s="45"/>
      <c r="D133" s="48" t="s">
        <v>93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 x14ac:dyDescent="0.25">
      <c r="A134" s="81"/>
      <c r="C134" s="45"/>
      <c r="D134" s="48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 x14ac:dyDescent="0.25">
      <c r="A135" s="81"/>
      <c r="C135" s="45"/>
      <c r="D135" s="48" t="s">
        <v>93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 x14ac:dyDescent="0.25">
      <c r="A136" s="81"/>
      <c r="C136" s="45"/>
      <c r="D136" s="48" t="s">
        <v>93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 x14ac:dyDescent="0.25">
      <c r="A137" s="81"/>
      <c r="C137" s="45"/>
      <c r="D137" s="48" t="s">
        <v>93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 x14ac:dyDescent="0.25">
      <c r="A138" s="81"/>
      <c r="C138" s="45"/>
      <c r="D138" s="48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 x14ac:dyDescent="0.25">
      <c r="A139" s="81"/>
      <c r="C139" s="45"/>
      <c r="D139" s="48" t="s">
        <v>93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 x14ac:dyDescent="0.25">
      <c r="A140" s="81"/>
      <c r="C140" s="45"/>
      <c r="D140" s="48" t="s">
        <v>93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 x14ac:dyDescent="0.25">
      <c r="A141" s="81"/>
      <c r="C141" s="45"/>
      <c r="D141" s="48" t="s">
        <v>93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 x14ac:dyDescent="0.25">
      <c r="A142" s="81"/>
      <c r="C142" s="45"/>
      <c r="D142" s="48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 x14ac:dyDescent="0.25">
      <c r="A143" s="81"/>
      <c r="D143" s="48" t="s">
        <v>93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 x14ac:dyDescent="0.25">
      <c r="A144" s="81"/>
      <c r="D144" s="48" t="s">
        <v>93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 x14ac:dyDescent="0.25">
      <c r="A145" s="81"/>
      <c r="D145" s="48" t="s">
        <v>93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 x14ac:dyDescent="0.25">
      <c r="A146" s="81"/>
      <c r="D146" s="48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 x14ac:dyDescent="0.25">
      <c r="A147" s="81"/>
      <c r="D147" s="48" t="s">
        <v>93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 x14ac:dyDescent="0.25">
      <c r="A148" s="81"/>
      <c r="D148" s="48" t="s">
        <v>93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</sheetData>
  <mergeCells count="7">
    <mergeCell ref="A2:A10"/>
    <mergeCell ref="E34:E39"/>
    <mergeCell ref="E28:E33"/>
    <mergeCell ref="E15:H15"/>
    <mergeCell ref="J26:K26"/>
    <mergeCell ref="A11:A12"/>
    <mergeCell ref="A13:A14"/>
  </mergeCells>
  <conditionalFormatting sqref="G52:H52 G56:H56 G82:H82 G62:H63">
    <cfRule type="cellIs" dxfId="2" priority="3" operator="equal">
      <formula>TRUE</formula>
    </cfRule>
  </conditionalFormatting>
  <conditionalFormatting sqref="G52:H52 G56:H56 G82:H82 G62:H63">
    <cfRule type="cellIs" dxfId="1" priority="2" operator="equal">
      <formula>FALSE</formula>
    </cfRule>
  </conditionalFormatting>
  <conditionalFormatting sqref="G57:H57">
    <cfRule type="cellIs" dxfId="0" priority="1" operator="equal">
      <formula>""</formula>
    </cfRule>
  </conditionalFormatting>
  <hyperlinks>
    <hyperlink ref="F8" r:id="rId1" display="https://www.mouser.co.uk/ProductDetail/KEMET/C317C300J5G5TA?qs=b8KOIaRqXtdsFXPxXiN2GA%3D%3D"/>
    <hyperlink ref="F3" r:id="rId2" display="https://www.mouser.co.uk/ProductDetail/Ohmite/SM108033006FE?qs=sGAEpiMZZMsPqMdJzcrNwsJljJEG6Yukcxhr%252BDB3b%252B8%3D"/>
    <hyperlink ref="F4" r:id="rId3" display="https://www.mouser.co.uk/ProductDetail/YAGEO/MFR-25FBF52-45K3?qs=sGAEpiMZZMsPqMdJzcrNwvki5I7GwxKeE3xxvbKgyM0%3D"/>
    <hyperlink ref="C4" r:id="rId4"/>
    <hyperlink ref="K37" display="https://www.aliexpress.com/item/1005004279932436.html?pdp_npi=4%40dis%21GBP%21%EF%BF%A11.33%21%EF%BF%A11.33%21%21%2111.82%2111.82%21%40211b619a17401876960841815eaddb%2112000035453859120%21sh%21UK%214911257576%21X&amp;spm=a2g0o.store_pc_allItems_or_groupList.n"/>
    <hyperlink ref="F11" r:id="rId5" display="https://www.mouser.co.uk/ProductDetail/Ohmite/SM108033006FE?qs=sGAEpiMZZMsPqMdJzcrNwsJljJEG6Yukcxhr%252BDB3b%252B8%3D"/>
    <hyperlink ref="C11" r:id="rId6"/>
    <hyperlink ref="C13" r:id="rId7"/>
    <hyperlink ref="F12" r:id="rId8" display="https://www.mouser.co.uk/ProductDetail/Ohmite/SM108033006FE?qs=sGAEpiMZZMsPqMdJzcrNwsJljJEG6Yukcxhr%252BDB3b%252B8%3D"/>
    <hyperlink ref="C12" r:id="rId9"/>
    <hyperlink ref="L37" display="https://www.aliexpress.com/item/1005004279932436.html?pdp_npi=4%40dis%21GBP%21%EF%BF%A11.33%21%EF%BF%A11.33%21%21%2111.82%2111.82%21%40211b619a17401876960841815eaddb%2112000035453859120%21sh%21UK%214911257576%21X&amp;spm=a2g0o.store_pc_allItems_or_groupList.n"/>
  </hyperlinks>
  <pageMargins left="0.7" right="0.7" top="0.75" bottom="0.75" header="0.3" footer="0.3"/>
  <pageSetup paperSize="9"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14" workbookViewId="0">
      <selection activeCell="F23" sqref="F23"/>
    </sheetView>
  </sheetViews>
  <sheetFormatPr defaultRowHeight="15" x14ac:dyDescent="0.25"/>
  <cols>
    <col min="3" max="3" width="24.7109375" customWidth="1"/>
    <col min="8" max="8" width="11.7109375" bestFit="1" customWidth="1"/>
  </cols>
  <sheetData>
    <row r="2" spans="1:8" x14ac:dyDescent="0.25">
      <c r="A2" s="151" t="s">
        <v>266</v>
      </c>
      <c r="G2" t="s">
        <v>267</v>
      </c>
      <c r="H2">
        <v>64</v>
      </c>
    </row>
    <row r="3" spans="1:8" ht="21.75" x14ac:dyDescent="0.3">
      <c r="G3" t="s">
        <v>268</v>
      </c>
      <c r="H3" s="150">
        <v>39</v>
      </c>
    </row>
    <row r="8" spans="1:8" x14ac:dyDescent="0.25">
      <c r="C8" t="s">
        <v>464</v>
      </c>
    </row>
    <row r="9" spans="1:8" x14ac:dyDescent="0.25">
      <c r="C9" t="s">
        <v>465</v>
      </c>
      <c r="D9">
        <v>0.17</v>
      </c>
      <c r="E9" t="s">
        <v>468</v>
      </c>
    </row>
    <row r="10" spans="1:8" x14ac:dyDescent="0.25">
      <c r="C10" t="s">
        <v>466</v>
      </c>
      <c r="D10">
        <v>1</v>
      </c>
      <c r="E10" t="s">
        <v>468</v>
      </c>
    </row>
    <row r="11" spans="1:8" x14ac:dyDescent="0.25">
      <c r="C11" t="s">
        <v>463</v>
      </c>
      <c r="D11">
        <f>POWER(D9/2, 2)*PI()*D10</f>
        <v>2.2698006922186261E-2</v>
      </c>
      <c r="E11" t="s">
        <v>467</v>
      </c>
    </row>
    <row r="12" spans="1:8" x14ac:dyDescent="0.25">
      <c r="C12" t="s">
        <v>469</v>
      </c>
      <c r="D12">
        <v>870</v>
      </c>
      <c r="E12" t="s">
        <v>470</v>
      </c>
    </row>
    <row r="13" spans="1:8" x14ac:dyDescent="0.25">
      <c r="C13" t="s">
        <v>472</v>
      </c>
      <c r="D13">
        <f>D12*D11</f>
        <v>19.747266022302046</v>
      </c>
    </row>
    <row r="14" spans="1:8" x14ac:dyDescent="0.25">
      <c r="C14" t="s">
        <v>154</v>
      </c>
      <c r="D14">
        <f>4</f>
        <v>4</v>
      </c>
    </row>
    <row r="15" spans="1:8" x14ac:dyDescent="0.25">
      <c r="C15" t="s">
        <v>471</v>
      </c>
      <c r="D15">
        <f>(D13*9.81)*POWER(D10, 2)/2</f>
        <v>96.860339839391543</v>
      </c>
    </row>
    <row r="16" spans="1:8" x14ac:dyDescent="0.25">
      <c r="C16" t="s">
        <v>473</v>
      </c>
      <c r="D16">
        <f>0.154</f>
        <v>0.154</v>
      </c>
    </row>
    <row r="17" spans="3:5" x14ac:dyDescent="0.25">
      <c r="C17" t="s">
        <v>474</v>
      </c>
      <c r="D17">
        <f>D15/D16</f>
        <v>628.96324571033472</v>
      </c>
    </row>
    <row r="18" spans="3:5" x14ac:dyDescent="0.25">
      <c r="C18" t="s">
        <v>475</v>
      </c>
      <c r="D18">
        <f>D17*D14</f>
        <v>2515.8529828413389</v>
      </c>
      <c r="E18" t="s">
        <v>476</v>
      </c>
    </row>
    <row r="19" spans="3:5" x14ac:dyDescent="0.25">
      <c r="C19" t="s">
        <v>477</v>
      </c>
      <c r="D19" s="178">
        <v>70000000</v>
      </c>
    </row>
    <row r="20" spans="3:5" x14ac:dyDescent="0.25">
      <c r="C20" t="s">
        <v>480</v>
      </c>
      <c r="D20" s="178">
        <f>D18/D19</f>
        <v>3.5940756897733412E-5</v>
      </c>
      <c r="E20" t="s">
        <v>478</v>
      </c>
    </row>
    <row r="21" spans="3:5" x14ac:dyDescent="0.25">
      <c r="C21" t="s">
        <v>479</v>
      </c>
      <c r="D21" s="178">
        <f>SQRT(D20/PI())*2</f>
        <v>6.7647019852989272E-3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:A4"/>
    </sheetView>
  </sheetViews>
  <sheetFormatPr defaultRowHeight="15" x14ac:dyDescent="0.25"/>
  <sheetData>
    <row r="3" spans="1:1" x14ac:dyDescent="0.25">
      <c r="A3" s="151" t="s">
        <v>270</v>
      </c>
    </row>
    <row r="4" spans="1:1" x14ac:dyDescent="0.25">
      <c r="A4" t="s">
        <v>271</v>
      </c>
    </row>
  </sheetData>
  <hyperlinks>
    <hyperlink ref="A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Core shopping</vt:lpstr>
      <vt:lpstr>High Voltage Feedback</vt:lpstr>
      <vt:lpstr>VillardVessel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2024-11-04T15:07:21Z</dcterms:created>
  <dcterms:modified xsi:type="dcterms:W3CDTF">2025-09-19T09:45:57Z</dcterms:modified>
</cp:coreProperties>
</file>