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3930" tabRatio="615"/>
  </bookViews>
  <sheets>
    <sheet name="Driver And Controller" sheetId="1" r:id="rId1"/>
    <sheet name="Villard Diode PCB Calcs" sheetId="2" r:id="rId2"/>
    <sheet name="Villard Capacitor PCB Calcs" sheetId="3" r:id="rId3"/>
    <sheet name="Villard Capacitor Bleeder Calcs" sheetId="4" r:id="rId4"/>
    <sheet name="Output Series Compsite Resistor" sheetId="5" r:id="rId5"/>
    <sheet name="Regenerative snubber design" sheetId="6" r:id="rId6"/>
    <sheet name="Active Cooling" sheetId="8" r:id="rId7"/>
    <sheet name="Sheet3" sheetId="9" r:id="rId8"/>
  </sheets>
  <calcPr calcId="144525"/>
</workbook>
</file>

<file path=xl/calcChain.xml><?xml version="1.0" encoding="utf-8"?>
<calcChain xmlns="http://schemas.openxmlformats.org/spreadsheetml/2006/main">
  <c r="E580" i="1" l="1"/>
  <c r="E588" i="1"/>
  <c r="E593" i="1" s="1"/>
  <c r="E594" i="1" s="1"/>
  <c r="E605" i="1"/>
  <c r="E606" i="1"/>
  <c r="E607" i="1"/>
  <c r="E609" i="1"/>
  <c r="E610" i="1" s="1"/>
  <c r="D514" i="1" l="1"/>
  <c r="D513" i="1"/>
  <c r="D507" i="1"/>
  <c r="D512" i="1" s="1"/>
  <c r="D517" i="1" l="1"/>
  <c r="D516" i="1"/>
  <c r="D567" i="1"/>
  <c r="D568" i="1" s="1"/>
  <c r="D569" i="1" s="1"/>
  <c r="D557" i="1"/>
  <c r="D555" i="1"/>
  <c r="D543" i="1"/>
  <c r="D544" i="1" s="1"/>
  <c r="D542" i="1"/>
  <c r="D547" i="1" s="1"/>
  <c r="D550" i="1" s="1"/>
  <c r="D355" i="1"/>
  <c r="D354" i="1"/>
  <c r="D545" i="1" l="1"/>
  <c r="D357" i="1"/>
  <c r="D558" i="1"/>
  <c r="D560" i="1"/>
  <c r="D548" i="1"/>
  <c r="D549" i="1" s="1"/>
  <c r="D561" i="1"/>
  <c r="D562" i="1" s="1"/>
  <c r="D563" i="1"/>
  <c r="F527" i="1" l="1"/>
  <c r="G527" i="1"/>
  <c r="H527" i="1"/>
  <c r="F528" i="1"/>
  <c r="G528" i="1"/>
  <c r="H528" i="1"/>
  <c r="E530" i="1"/>
  <c r="F530" i="1"/>
  <c r="F532" i="1" s="1"/>
  <c r="G530" i="1"/>
  <c r="G532" i="1" s="1"/>
  <c r="H530" i="1"/>
  <c r="H531" i="1" s="1"/>
  <c r="F531" i="1"/>
  <c r="G531" i="1"/>
  <c r="D530" i="1"/>
  <c r="E521" i="1"/>
  <c r="E524" i="1" s="1"/>
  <c r="J524" i="1"/>
  <c r="F525" i="1"/>
  <c r="G525" i="1"/>
  <c r="H525" i="1"/>
  <c r="I525" i="1"/>
  <c r="H524" i="1"/>
  <c r="I524" i="1"/>
  <c r="F524" i="1"/>
  <c r="G524" i="1"/>
  <c r="E528" i="1" l="1"/>
  <c r="E531" i="1"/>
  <c r="E525" i="1"/>
  <c r="H532" i="1"/>
  <c r="E527" i="1"/>
  <c r="E532" i="1"/>
  <c r="D252" i="1" l="1"/>
  <c r="D292" i="1" l="1"/>
  <c r="D299" i="1" l="1"/>
  <c r="E233" i="1"/>
  <c r="F233" i="1" s="1"/>
  <c r="G233" i="1" s="1"/>
  <c r="D230" i="1" l="1"/>
  <c r="E230" i="1" s="1"/>
  <c r="G230" i="1" s="1"/>
  <c r="I230" i="1" s="1"/>
  <c r="K230" i="1" s="1"/>
  <c r="J239" i="1"/>
  <c r="M239" i="1"/>
  <c r="L239" i="1"/>
  <c r="H233" i="1"/>
  <c r="I233" i="1" s="1"/>
  <c r="J233" i="1" s="1"/>
  <c r="K233" i="1" s="1"/>
  <c r="H228" i="1"/>
  <c r="I228" i="1" s="1"/>
  <c r="J228" i="1" s="1"/>
  <c r="K228" i="1" s="1"/>
  <c r="K223" i="1"/>
  <c r="J223" i="1"/>
  <c r="I223" i="1"/>
  <c r="D90" i="1"/>
  <c r="D84" i="1"/>
  <c r="D221" i="1"/>
  <c r="D336" i="1" s="1"/>
  <c r="F230" i="1" l="1"/>
  <c r="H230" i="1" s="1"/>
  <c r="J230" i="1" s="1"/>
  <c r="T11" i="6" l="1"/>
  <c r="U18" i="6" s="1"/>
  <c r="T10" i="6"/>
  <c r="T8" i="6"/>
  <c r="T16" i="6"/>
  <c r="E221" i="1"/>
  <c r="F221" i="1" s="1"/>
  <c r="G221" i="1" s="1"/>
  <c r="H221" i="1" s="1"/>
  <c r="I221" i="1" s="1"/>
  <c r="J221" i="1" s="1"/>
  <c r="K221" i="1" s="1"/>
  <c r="D222" i="1"/>
  <c r="D225" i="1"/>
  <c r="E225" i="1" s="1"/>
  <c r="F225" i="1" s="1"/>
  <c r="G225" i="1" s="1"/>
  <c r="H225" i="1" s="1"/>
  <c r="D226" i="1"/>
  <c r="E226" i="1" s="1"/>
  <c r="F226" i="1" s="1"/>
  <c r="G226" i="1" s="1"/>
  <c r="H226" i="1" s="1"/>
  <c r="I226" i="1" s="1"/>
  <c r="D157" i="1"/>
  <c r="D167" i="1"/>
  <c r="J226" i="1" l="1"/>
  <c r="H231" i="1"/>
  <c r="I225" i="1"/>
  <c r="J225" i="1" s="1"/>
  <c r="K225" i="1" s="1"/>
  <c r="T18" i="6"/>
  <c r="E222" i="1"/>
  <c r="D183" i="1"/>
  <c r="K191" i="1"/>
  <c r="N191" i="1"/>
  <c r="M188" i="1"/>
  <c r="D182" i="1"/>
  <c r="N186" i="1"/>
  <c r="N187" i="1"/>
  <c r="N188" i="1"/>
  <c r="N189" i="1"/>
  <c r="N190" i="1"/>
  <c r="N185" i="1"/>
  <c r="M187" i="1"/>
  <c r="K187" i="1"/>
  <c r="K186" i="1"/>
  <c r="M186" i="1"/>
  <c r="K188" i="1"/>
  <c r="K189" i="1"/>
  <c r="K190" i="1"/>
  <c r="M185" i="1"/>
  <c r="K185" i="1"/>
  <c r="D493" i="1"/>
  <c r="D492" i="1"/>
  <c r="D487" i="1"/>
  <c r="D486" i="1"/>
  <c r="D481" i="1"/>
  <c r="D6" i="1"/>
  <c r="D5" i="1"/>
  <c r="D521" i="1" s="1"/>
  <c r="D485" i="1"/>
  <c r="D482" i="1"/>
  <c r="D525" i="1" l="1"/>
  <c r="D532" i="1"/>
  <c r="D524" i="1"/>
  <c r="D528" i="1"/>
  <c r="D527" i="1"/>
  <c r="D531" i="1"/>
  <c r="D494" i="1"/>
  <c r="D500" i="1" s="1"/>
  <c r="D504" i="1"/>
  <c r="D503" i="1"/>
  <c r="D502" i="1" s="1"/>
  <c r="D93" i="1"/>
  <c r="D91" i="1" s="1"/>
  <c r="D92" i="1" s="1"/>
  <c r="H222" i="1"/>
  <c r="I231" i="1"/>
  <c r="K226" i="1"/>
  <c r="K231" i="1" s="1"/>
  <c r="J231" i="1"/>
  <c r="D459" i="1"/>
  <c r="D460" i="1" s="1"/>
  <c r="F222" i="1"/>
  <c r="D231" i="1"/>
  <c r="D496" i="1"/>
  <c r="D499" i="1" s="1"/>
  <c r="D495" i="1"/>
  <c r="D501" i="1" s="1"/>
  <c r="D488" i="1"/>
  <c r="D489" i="1"/>
  <c r="I222" i="1" l="1"/>
  <c r="G222" i="1"/>
  <c r="D497" i="1"/>
  <c r="D447" i="1"/>
  <c r="D449" i="1"/>
  <c r="D448" i="1"/>
  <c r="D474" i="1"/>
  <c r="D506" i="1" l="1"/>
  <c r="D510" i="1" s="1"/>
  <c r="D518" i="1" s="1"/>
  <c r="D519" i="1" s="1"/>
  <c r="D505" i="1"/>
  <c r="J222" i="1"/>
  <c r="D450" i="1"/>
  <c r="D473" i="1"/>
  <c r="D477" i="1" s="1"/>
  <c r="D475" i="1"/>
  <c r="D468" i="1"/>
  <c r="D467" i="1"/>
  <c r="D465" i="1"/>
  <c r="D443" i="1" s="1"/>
  <c r="D463" i="1"/>
  <c r="D461" i="1"/>
  <c r="D437" i="1"/>
  <c r="D435" i="1"/>
  <c r="D396" i="1"/>
  <c r="D395" i="1"/>
  <c r="D397" i="1"/>
  <c r="D394" i="1"/>
  <c r="D415" i="1"/>
  <c r="D416" i="1"/>
  <c r="D368" i="1"/>
  <c r="D405" i="1"/>
  <c r="D384" i="1"/>
  <c r="D378" i="1"/>
  <c r="D367" i="1"/>
  <c r="D348" i="1"/>
  <c r="D343" i="1"/>
  <c r="D313" i="1"/>
  <c r="D335" i="1" s="1"/>
  <c r="D333" i="1"/>
  <c r="D331" i="1"/>
  <c r="D328" i="1"/>
  <c r="D329" i="1" s="1"/>
  <c r="D325" i="1"/>
  <c r="D198" i="1"/>
  <c r="D399" i="1" l="1"/>
  <c r="K222" i="1"/>
  <c r="D398" i="1"/>
  <c r="D419" i="1"/>
  <c r="D462" i="1"/>
  <c r="D476" i="1"/>
  <c r="D478" i="1"/>
  <c r="D469" i="1"/>
  <c r="D470" i="1" s="1"/>
  <c r="D471" i="1" s="1"/>
  <c r="D472" i="1" s="1"/>
  <c r="D412" i="1"/>
  <c r="D413" i="1" s="1"/>
  <c r="D392" i="1"/>
  <c r="D330" i="1"/>
  <c r="D334" i="1"/>
  <c r="D310" i="1"/>
  <c r="D303" i="1"/>
  <c r="D281" i="1"/>
  <c r="D284" i="1"/>
  <c r="D286" i="1" s="1"/>
  <c r="D287" i="1" s="1"/>
  <c r="D279" i="1"/>
  <c r="D277" i="1"/>
  <c r="D276" i="1"/>
  <c r="D271" i="1"/>
  <c r="D210" i="1"/>
  <c r="D211" i="1" s="1"/>
  <c r="D209" i="1"/>
  <c r="D204" i="1"/>
  <c r="D205" i="1" s="1"/>
  <c r="D207" i="1" s="1"/>
  <c r="D202" i="1"/>
  <c r="D159" i="1"/>
  <c r="D112" i="1"/>
  <c r="D125" i="1" s="1"/>
  <c r="D268" i="1" l="1"/>
  <c r="D267" i="1"/>
  <c r="D280" i="1"/>
  <c r="D422" i="1"/>
  <c r="D420" i="1"/>
  <c r="D421" i="1" s="1"/>
  <c r="D400" i="1"/>
  <c r="D401" i="1" s="1"/>
  <c r="D414" i="1"/>
  <c r="D409" i="1"/>
  <c r="D408" i="1"/>
  <c r="D410" i="1" s="1"/>
  <c r="D402" i="1"/>
  <c r="D404" i="1" s="1"/>
  <c r="D305" i="1"/>
  <c r="D306" i="1" s="1"/>
  <c r="D311" i="1"/>
  <c r="D272" i="1"/>
  <c r="D273" i="1" s="1"/>
  <c r="D212" i="1"/>
  <c r="D269" i="1"/>
  <c r="D206" i="1"/>
  <c r="D208" i="1" s="1"/>
  <c r="D132" i="1"/>
  <c r="D138" i="1"/>
  <c r="D139" i="1" s="1"/>
  <c r="D136" i="1"/>
  <c r="D121" i="1"/>
  <c r="D113" i="1"/>
  <c r="D114" i="1" s="1"/>
  <c r="C36" i="5"/>
  <c r="C37" i="5" s="1"/>
  <c r="C35" i="5"/>
  <c r="C31" i="5"/>
  <c r="C30" i="5"/>
  <c r="C29" i="5"/>
  <c r="C25" i="5"/>
  <c r="C27" i="5" s="1"/>
  <c r="C23" i="5"/>
  <c r="C21" i="5"/>
  <c r="C34" i="5" s="1"/>
  <c r="C19" i="5"/>
  <c r="D270" i="1" l="1"/>
  <c r="D427" i="1"/>
  <c r="D423" i="1"/>
  <c r="D274" i="1"/>
  <c r="D141" i="1"/>
  <c r="D109" i="1"/>
  <c r="D110" i="1" s="1"/>
  <c r="D116" i="1" s="1"/>
  <c r="D140" i="1"/>
  <c r="C26" i="5"/>
  <c r="D424" i="1" l="1"/>
  <c r="D142" i="1"/>
  <c r="D147" i="1" s="1"/>
  <c r="C37" i="4"/>
  <c r="C36" i="4"/>
  <c r="C25" i="4"/>
  <c r="C19" i="4"/>
  <c r="C23" i="4"/>
  <c r="C21" i="4"/>
  <c r="C34" i="4" s="1"/>
  <c r="C35" i="4"/>
  <c r="C31" i="4"/>
  <c r="C30" i="4"/>
  <c r="C29" i="4"/>
  <c r="C27" i="4"/>
  <c r="C26" i="4"/>
  <c r="D33" i="3"/>
  <c r="D32" i="3"/>
  <c r="D20" i="3"/>
  <c r="D25" i="3"/>
  <c r="D24" i="3"/>
  <c r="D29" i="3"/>
  <c r="D28" i="3"/>
  <c r="D27" i="3"/>
  <c r="C19" i="2"/>
  <c r="C18" i="2"/>
  <c r="C17" i="2"/>
  <c r="C9" i="2"/>
  <c r="C10" i="2" s="1"/>
  <c r="C7" i="2"/>
  <c r="C14" i="2" s="1"/>
  <c r="C5" i="2"/>
  <c r="C6" i="2" s="1"/>
  <c r="C13" i="2" s="1"/>
  <c r="D11" i="1"/>
  <c r="D59" i="1"/>
  <c r="D51" i="1"/>
  <c r="D58" i="1"/>
  <c r="R49" i="1"/>
  <c r="R48" i="1"/>
  <c r="R47" i="1"/>
  <c r="D10" i="1"/>
  <c r="D61" i="1" l="1"/>
  <c r="D62" i="1" s="1"/>
  <c r="C8" i="2"/>
  <c r="C15" i="2" s="1"/>
  <c r="R50" i="1"/>
  <c r="R52" i="1" s="1"/>
  <c r="R51" i="1"/>
  <c r="R53" i="1" s="1"/>
  <c r="D63" i="1" l="1"/>
  <c r="D64" i="1" s="1"/>
  <c r="D65" i="1" s="1"/>
  <c r="D77" i="1" s="1"/>
  <c r="D74" i="1" l="1"/>
  <c r="D75" i="1"/>
  <c r="D76" i="1"/>
  <c r="D23" i="1" l="1"/>
  <c r="D13" i="1"/>
  <c r="D32" i="1" l="1"/>
  <c r="D35" i="1" s="1"/>
  <c r="D38" i="1" s="1"/>
  <c r="D39" i="1" s="1"/>
  <c r="D99" i="1"/>
  <c r="D162" i="1"/>
  <c r="D436" i="1"/>
  <c r="D160" i="1"/>
  <c r="D223" i="1" s="1"/>
  <c r="H223" i="1" s="1"/>
  <c r="D150" i="1"/>
  <c r="D37" i="1" l="1"/>
  <c r="D369" i="1"/>
  <c r="D425" i="1" s="1"/>
  <c r="D220" i="1"/>
  <c r="D237" i="1" s="1"/>
  <c r="D100" i="1"/>
  <c r="D97" i="1"/>
  <c r="D98" i="1" s="1"/>
  <c r="D192" i="1"/>
  <c r="D314" i="1"/>
  <c r="D318" i="1" s="1"/>
  <c r="D94" i="1"/>
  <c r="D135" i="1" s="1"/>
  <c r="D144" i="1" s="1"/>
  <c r="D158" i="1"/>
  <c r="D224" i="1" s="1"/>
  <c r="D438" i="1"/>
  <c r="D452" i="1" s="1"/>
  <c r="D451" i="1"/>
  <c r="D185" i="1"/>
  <c r="D187" i="1" s="1"/>
  <c r="D188" i="1" s="1"/>
  <c r="D95" i="1"/>
  <c r="D96" i="1" s="1"/>
  <c r="D429" i="1"/>
  <c r="D432" i="1" s="1"/>
  <c r="D428" i="1"/>
  <c r="D431" i="1" s="1"/>
  <c r="D454" i="1"/>
  <c r="D455" i="1" s="1"/>
  <c r="D40" i="1"/>
  <c r="D41" i="1" s="1"/>
  <c r="D43" i="1"/>
  <c r="D42" i="1"/>
  <c r="D101" i="1"/>
  <c r="D373" i="1" l="1"/>
  <c r="D102" i="1"/>
  <c r="D374" i="1"/>
  <c r="D371" i="1"/>
  <c r="D426" i="1" s="1"/>
  <c r="D430" i="1" s="1"/>
  <c r="D433" i="1" s="1"/>
  <c r="D376" i="1"/>
  <c r="D137" i="1"/>
  <c r="D103" i="1"/>
  <c r="D115" i="1" s="1"/>
  <c r="D117" i="1" s="1"/>
  <c r="D118" i="1" s="1"/>
  <c r="D119" i="1" s="1"/>
  <c r="D120" i="1" s="1"/>
  <c r="D127" i="1" s="1"/>
  <c r="D128" i="1" s="1"/>
  <c r="D145" i="1"/>
  <c r="D406" i="1"/>
  <c r="D407" i="1" s="1"/>
  <c r="D146" i="1"/>
  <c r="D148" i="1" s="1"/>
  <c r="D344" i="1"/>
  <c r="D347" i="1" s="1"/>
  <c r="D337" i="1"/>
  <c r="D338" i="1" s="1"/>
  <c r="D317" i="1"/>
  <c r="D440" i="1"/>
  <c r="D442" i="1" s="1"/>
  <c r="D457" i="1" s="1"/>
  <c r="E220" i="1"/>
  <c r="F220" i="1" s="1"/>
  <c r="G220" i="1" s="1"/>
  <c r="H220" i="1" s="1"/>
  <c r="I220" i="1" s="1"/>
  <c r="J220" i="1" s="1"/>
  <c r="K220" i="1" s="1"/>
  <c r="D164" i="1"/>
  <c r="D166" i="1" s="1"/>
  <c r="E224" i="1"/>
  <c r="F224" i="1" s="1"/>
  <c r="G224" i="1" s="1"/>
  <c r="H224" i="1" s="1"/>
  <c r="I224" i="1" s="1"/>
  <c r="J224" i="1" s="1"/>
  <c r="K224" i="1" s="1"/>
  <c r="D453" i="1"/>
  <c r="D154" i="1"/>
  <c r="D155" i="1" s="1"/>
  <c r="G10" i="1"/>
  <c r="D21" i="1"/>
  <c r="D26" i="1"/>
  <c r="D339" i="1" l="1"/>
  <c r="D350" i="1" s="1"/>
  <c r="D358" i="1" s="1"/>
  <c r="D360" i="1" s="1"/>
  <c r="D362" i="1" s="1"/>
  <c r="D105" i="1"/>
  <c r="D375" i="1"/>
  <c r="D377" i="1"/>
  <c r="D386" i="1" s="1"/>
  <c r="D403" i="1" s="1"/>
  <c r="D149" i="1"/>
  <c r="E581" i="1" s="1"/>
  <c r="D346" i="1"/>
  <c r="D163" i="1"/>
  <c r="D168" i="1" s="1"/>
  <c r="D195" i="1" s="1"/>
  <c r="D218" i="1"/>
  <c r="D219" i="1"/>
  <c r="D122" i="1"/>
  <c r="D124" i="1" s="1"/>
  <c r="D387" i="1"/>
  <c r="D152" i="1"/>
  <c r="D151" i="1"/>
  <c r="D15" i="1"/>
  <c r="D60" i="1"/>
  <c r="D44" i="1" s="1"/>
  <c r="D81" i="1"/>
  <c r="D80" i="1"/>
  <c r="D79" i="1"/>
  <c r="D78" i="1"/>
  <c r="D52" i="1"/>
  <c r="D53" i="1" s="1"/>
  <c r="E579" i="1" s="1"/>
  <c r="D27" i="1"/>
  <c r="D49" i="1"/>
  <c r="D50" i="1" s="1"/>
  <c r="E582" i="1" l="1"/>
  <c r="E589" i="1" s="1"/>
  <c r="E595" i="1" s="1"/>
  <c r="E596" i="1" s="1"/>
  <c r="E597" i="1" s="1"/>
  <c r="E598" i="1"/>
  <c r="E600" i="1"/>
  <c r="E601" i="1" s="1"/>
  <c r="E602" i="1" s="1"/>
  <c r="E603" i="1" s="1"/>
  <c r="D236" i="1"/>
  <c r="D242" i="1" s="1"/>
  <c r="D238" i="1"/>
  <c r="D239" i="1" s="1"/>
  <c r="D169" i="1"/>
  <c r="D170" i="1" s="1"/>
  <c r="E219" i="1"/>
  <c r="F219" i="1" s="1"/>
  <c r="G219" i="1" s="1"/>
  <c r="H219" i="1" s="1"/>
  <c r="D232" i="1"/>
  <c r="D234" i="1" s="1"/>
  <c r="E218" i="1"/>
  <c r="D229" i="1"/>
  <c r="D193" i="1"/>
  <c r="D171" i="1"/>
  <c r="D390" i="1"/>
  <c r="D388" i="1"/>
  <c r="D29" i="1"/>
  <c r="D54" i="1"/>
  <c r="D55" i="1" s="1"/>
  <c r="D83" i="1"/>
  <c r="D250" i="1" l="1"/>
  <c r="D319" i="1"/>
  <c r="D289" i="1" s="1"/>
  <c r="D256" i="1"/>
  <c r="D253" i="1"/>
  <c r="D254" i="1" s="1"/>
  <c r="D240" i="1"/>
  <c r="D241" i="1" s="1"/>
  <c r="D245" i="1" s="1"/>
  <c r="D244" i="1"/>
  <c r="D249" i="1" s="1"/>
  <c r="D243" i="1"/>
  <c r="D248" i="1" s="1"/>
  <c r="I219" i="1"/>
  <c r="F218" i="1"/>
  <c r="D172" i="1"/>
  <c r="D174" i="1" s="1"/>
  <c r="D176" i="1"/>
  <c r="D247" i="1" l="1"/>
  <c r="D246" i="1"/>
  <c r="D298" i="1"/>
  <c r="D300" i="1" s="1"/>
  <c r="D293" i="1"/>
  <c r="J219" i="1"/>
  <c r="E231" i="1"/>
  <c r="E232" i="1"/>
  <c r="E234" i="1" s="1"/>
  <c r="G218" i="1"/>
  <c r="H218" i="1" s="1"/>
  <c r="D321" i="1"/>
  <c r="D175" i="1"/>
  <c r="D178" i="1"/>
  <c r="D184" i="1"/>
  <c r="D295" i="1" l="1"/>
  <c r="D294" i="1"/>
  <c r="D296" i="1" s="1"/>
  <c r="I218" i="1"/>
  <c r="H232" i="1"/>
  <c r="H234" i="1" s="1"/>
  <c r="K219" i="1"/>
  <c r="F231" i="1"/>
  <c r="F232" i="1"/>
  <c r="G231" i="1"/>
  <c r="G232" i="1"/>
  <c r="D189" i="1"/>
  <c r="D190" i="1" s="1"/>
  <c r="D191" i="1" s="1"/>
  <c r="D186" i="1"/>
  <c r="T17" i="6"/>
  <c r="F234" i="1" l="1"/>
  <c r="J218" i="1"/>
  <c r="I232" i="1"/>
  <c r="I234" i="1" s="1"/>
  <c r="G234" i="1"/>
  <c r="T13" i="6"/>
  <c r="K218" i="1" l="1"/>
  <c r="K232" i="1" s="1"/>
  <c r="K234" i="1" s="1"/>
  <c r="J232" i="1"/>
  <c r="J234" i="1" s="1"/>
  <c r="T14" i="6"/>
  <c r="T15" i="6" s="1"/>
</calcChain>
</file>

<file path=xl/sharedStrings.xml><?xml version="1.0" encoding="utf-8"?>
<sst xmlns="http://schemas.openxmlformats.org/spreadsheetml/2006/main" count="1057" uniqueCount="774">
  <si>
    <t>N stages required</t>
  </si>
  <si>
    <t>Maximum steady state output current</t>
  </si>
  <si>
    <t>Maximum diode current pulse</t>
  </si>
  <si>
    <t>Maximum diode current pulse with safety factor</t>
  </si>
  <si>
    <t>Safety factor</t>
  </si>
  <si>
    <t>Capacitance per stage</t>
  </si>
  <si>
    <t>Energy stored in single fully charged capacitor</t>
  </si>
  <si>
    <t>Diode steady state forward voltage</t>
  </si>
  <si>
    <t>Approximate forward voltage drop during sudden discharge (overestimate)</t>
  </si>
  <si>
    <t>Maximum sudden short circuit current through each side</t>
  </si>
  <si>
    <t>Energy into diode during sudden discharge (gross overestimate assuming all energy from capacitors)</t>
  </si>
  <si>
    <t>Maximum total diode steady state power loss</t>
  </si>
  <si>
    <t>Maximum diode steady state power loss (assuming conducting all the time)</t>
  </si>
  <si>
    <t>Maximum discharged capacitor voltage</t>
  </si>
  <si>
    <t>Maximum resistance required for desired discharge time or less</t>
  </si>
  <si>
    <t>Total power loss through discharge resistors</t>
  </si>
  <si>
    <t>Actual distcharge resistance</t>
  </si>
  <si>
    <t>Maximum voltage per stage</t>
  </si>
  <si>
    <t>Total steady state power losses</t>
  </si>
  <si>
    <t>Units</t>
  </si>
  <si>
    <t>A</t>
  </si>
  <si>
    <t>V</t>
  </si>
  <si>
    <t>W</t>
  </si>
  <si>
    <t>F</t>
  </si>
  <si>
    <t>Ω</t>
  </si>
  <si>
    <t>J</t>
  </si>
  <si>
    <t>Maximum full mltiplier voltage after discharge</t>
  </si>
  <si>
    <t>Maximum energy into each resistor from sudden short circuit (ignoring diode voltage drop)</t>
  </si>
  <si>
    <t>Diode power losses</t>
  </si>
  <si>
    <t>Maximum allowed capacitor discharge time</t>
  </si>
  <si>
    <t>Capacitor discharge resistor</t>
  </si>
  <si>
    <t>Possible component</t>
  </si>
  <si>
    <t>Actual discharge time</t>
  </si>
  <si>
    <t>https://www.mouser.co.uk/datasheet/2/281/MHR0422SA_series_data_sheet-1594297.pdf</t>
  </si>
  <si>
    <t>This certainly seems to be the best part. Use two in series</t>
  </si>
  <si>
    <t>Peak current DCM</t>
  </si>
  <si>
    <t>Efficiency</t>
  </si>
  <si>
    <t>V_in_min</t>
  </si>
  <si>
    <t>V_in_max</t>
  </si>
  <si>
    <t>D_max</t>
  </si>
  <si>
    <t>Peak current DCM theoretical efficient</t>
  </si>
  <si>
    <t>I_p_peak</t>
  </si>
  <si>
    <t>Maximum duty cycle</t>
  </si>
  <si>
    <t>Maximum voltage to drive primary of transformer</t>
  </si>
  <si>
    <t>Minimum voltage to drive primary of transformer</t>
  </si>
  <si>
    <t>L_p</t>
  </si>
  <si>
    <t>Primary inductance required</t>
  </si>
  <si>
    <t>Switching frequency</t>
  </si>
  <si>
    <t>f_sw</t>
  </si>
  <si>
    <t>Secondary inductance required</t>
  </si>
  <si>
    <t>n</t>
  </si>
  <si>
    <t>A_l</t>
  </si>
  <si>
    <t>nano henries per turn squared</t>
  </si>
  <si>
    <t>N_p</t>
  </si>
  <si>
    <t>Number of primary turns required</t>
  </si>
  <si>
    <t>B_max</t>
  </si>
  <si>
    <t>Maximum flux density</t>
  </si>
  <si>
    <t>A_e</t>
  </si>
  <si>
    <t>B_sat</t>
  </si>
  <si>
    <t>Saturation flux density</t>
  </si>
  <si>
    <t>Will saturate</t>
  </si>
  <si>
    <t>V_out_min</t>
  </si>
  <si>
    <t>V_out_d_max</t>
  </si>
  <si>
    <t>Output voltage desired at maximum duty cycle</t>
  </si>
  <si>
    <t>I_s_peak</t>
  </si>
  <si>
    <t>Peak secondary current DCM</t>
  </si>
  <si>
    <t>Peak secondary current safe for diodes</t>
  </si>
  <si>
    <t>I_o</t>
  </si>
  <si>
    <t>L_s_required</t>
  </si>
  <si>
    <t>Secondary inductance</t>
  </si>
  <si>
    <t>Value</t>
  </si>
  <si>
    <t>Enough stages</t>
  </si>
  <si>
    <t>Diode output current with safety factor</t>
  </si>
  <si>
    <t>Hz</t>
  </si>
  <si>
    <t>Minimum desired output voltage at full power</t>
  </si>
  <si>
    <t>Maximum desired output voltage at full power</t>
  </si>
  <si>
    <t>V_out_max</t>
  </si>
  <si>
    <t>Maximum power output desired</t>
  </si>
  <si>
    <t>Iopmax</t>
  </si>
  <si>
    <t>maximum output current</t>
  </si>
  <si>
    <t>Rout</t>
  </si>
  <si>
    <t xml:space="preserve">output resistance required </t>
  </si>
  <si>
    <t>I_vomaxpmax</t>
  </si>
  <si>
    <t>continuous output current for desired output power at maximum voltage</t>
  </si>
  <si>
    <t>I_vominpmax</t>
  </si>
  <si>
    <t>continuous output current for desired output power at minimum voltage</t>
  </si>
  <si>
    <t>voltage drop at max output voltage</t>
  </si>
  <si>
    <t>voltage drop at minimum output voltage</t>
  </si>
  <si>
    <t>resistor power at max output voltage</t>
  </si>
  <si>
    <t>resistor power at minimum output voltage</t>
  </si>
  <si>
    <t>capacitor energy change per cycle</t>
  </si>
  <si>
    <t>capacitor discharge to per cycle</t>
  </si>
  <si>
    <t>lower voltage per cycle</t>
  </si>
  <si>
    <t>Voltage ripple</t>
  </si>
  <si>
    <t>Y5T tanδ best case</t>
  </si>
  <si>
    <t>Y5T tanδ worst case</t>
  </si>
  <si>
    <t>N4700 best case</t>
  </si>
  <si>
    <t>N4700 worst case</t>
  </si>
  <si>
    <t>Y6P best case</t>
  </si>
  <si>
    <t>Y6P worst case</t>
  </si>
  <si>
    <t>Y5P best case</t>
  </si>
  <si>
    <t>I_FSM</t>
  </si>
  <si>
    <t>Diode Average output current</t>
  </si>
  <si>
    <t>Villard Diode</t>
  </si>
  <si>
    <t>N Stages Actual</t>
  </si>
  <si>
    <t>N_v</t>
  </si>
  <si>
    <t>N_v_r</t>
  </si>
  <si>
    <t>Power wasted per stage while running from discharge resistor</t>
  </si>
  <si>
    <t>Discharges quickly enough</t>
  </si>
  <si>
    <t>Villard capacitor</t>
  </si>
  <si>
    <t>Y5T worst case power loss per capacitor</t>
  </si>
  <si>
    <t>N4700 worst case loss per capacitor</t>
  </si>
  <si>
    <t>Y6P worst case power loss per capacitor</t>
  </si>
  <si>
    <t>Y5P worst case</t>
  </si>
  <si>
    <t>Y5P worst case power loss per capacitor</t>
  </si>
  <si>
    <t>Y5T worst case power loss total</t>
  </si>
  <si>
    <t>N4700 worst case loss total</t>
  </si>
  <si>
    <t>Y6P worst case power loss total</t>
  </si>
  <si>
    <t>Y5P worst case power loss total</t>
  </si>
  <si>
    <t>V_c_rms</t>
  </si>
  <si>
    <t>Capacitor RMS voltage ripple</t>
  </si>
  <si>
    <t>Capacitor reactive power</t>
  </si>
  <si>
    <t xml:space="preserve">P_c_rms </t>
  </si>
  <si>
    <t>dV_c</t>
  </si>
  <si>
    <t>E_c_max</t>
  </si>
  <si>
    <t>Flyback transformer</t>
  </si>
  <si>
    <t>Minimum total series resistance required</t>
  </si>
  <si>
    <t>Actual individual series resistor value</t>
  </si>
  <si>
    <t>N series resistors</t>
  </si>
  <si>
    <t>Description</t>
  </si>
  <si>
    <t>Variable</t>
  </si>
  <si>
    <t>Subsystem/Component</t>
  </si>
  <si>
    <t>Output current limiting composite series resistor</t>
  </si>
  <si>
    <t>Actual series resistance</t>
  </si>
  <si>
    <t>Maximum power loss at lowest rated output voltage</t>
  </si>
  <si>
    <t>Maximum power loss at highest rated output voltage</t>
  </si>
  <si>
    <t>Minimum steady state output current at maximum voltage</t>
  </si>
  <si>
    <t>Total energy stored in all fully charged capacitors at maximum voltage</t>
  </si>
  <si>
    <t>Tolerance</t>
  </si>
  <si>
    <t>Inches to mm</t>
  </si>
  <si>
    <t>L</t>
  </si>
  <si>
    <t>mm</t>
  </si>
  <si>
    <t>L_max</t>
  </si>
  <si>
    <t>d</t>
  </si>
  <si>
    <t>d_max</t>
  </si>
  <si>
    <t>D</t>
  </si>
  <si>
    <t>Space between case and pcb</t>
  </si>
  <si>
    <t>Bend radius</t>
  </si>
  <si>
    <t>Pad spacing distance</t>
  </si>
  <si>
    <t>Minimum hole size</t>
  </si>
  <si>
    <t>Maximum hole size</t>
  </si>
  <si>
    <t>Pad Size Smallest Pad (Standard)</t>
  </si>
  <si>
    <t>More Reliable Pad (Recommended)</t>
  </si>
  <si>
    <t>Extra Strong (Power Applications)</t>
  </si>
  <si>
    <t>Actual hole size using</t>
  </si>
  <si>
    <t>Actual pad size using</t>
  </si>
  <si>
    <t>T_max</t>
  </si>
  <si>
    <t>AXCT81D20KV102K</t>
  </si>
  <si>
    <t>F_max</t>
  </si>
  <si>
    <t>Silkscreen clearance</t>
  </si>
  <si>
    <t>Silkscreen ractangle Width</t>
  </si>
  <si>
    <t>Siklscreen rectangle Height</t>
  </si>
  <si>
    <t>H</t>
  </si>
  <si>
    <t>H_max</t>
  </si>
  <si>
    <t>P</t>
  </si>
  <si>
    <t>P_max</t>
  </si>
  <si>
    <t>Pad spacing</t>
  </si>
  <si>
    <t>Space between pads</t>
  </si>
  <si>
    <t>HVR82MZ1005</t>
  </si>
  <si>
    <t>PCB Footprint Calculations</t>
  </si>
  <si>
    <t>%</t>
  </si>
  <si>
    <t>Maximum series resistance</t>
  </si>
  <si>
    <t>Minimum series resistance</t>
  </si>
  <si>
    <t>Power per resistor at lowest rated output voltage</t>
  </si>
  <si>
    <t>Maximum possible power loss with maximum flyback secondary current (limited to protect diodes)</t>
  </si>
  <si>
    <t>HVR82MY5010</t>
  </si>
  <si>
    <t>N_s</t>
  </si>
  <si>
    <t>Number of secondary turns required</t>
  </si>
  <si>
    <t>N bobbin segments</t>
  </si>
  <si>
    <t>Turns per bobbin segment</t>
  </si>
  <si>
    <t>Actual length for windings</t>
  </si>
  <si>
    <t>Segment length</t>
  </si>
  <si>
    <t>Wire thickness</t>
  </si>
  <si>
    <t>Winding space tolerance</t>
  </si>
  <si>
    <t>Winding thickness with tolerance</t>
  </si>
  <si>
    <t>N turns along segment length</t>
  </si>
  <si>
    <t>N 2mm dividers required not counting air gap one</t>
  </si>
  <si>
    <t>Bobin length for windings not counting air gap</t>
  </si>
  <si>
    <t>Average turn radius</t>
  </si>
  <si>
    <t>inner bobbin diameter</t>
  </si>
  <si>
    <t>Wire length meters</t>
  </si>
  <si>
    <t>Wire radius meters</t>
  </si>
  <si>
    <t>Wire volume</t>
  </si>
  <si>
    <t>Density of wire</t>
  </si>
  <si>
    <t>kg/m^3</t>
  </si>
  <si>
    <t>Mass of wire required</t>
  </si>
  <si>
    <t>Winding height</t>
  </si>
  <si>
    <t>N windings high</t>
  </si>
  <si>
    <t>132.2 longest dimension both cores</t>
  </si>
  <si>
    <t>~ 84.1 internal both sides together longest dimension for bobin lengths</t>
  </si>
  <si>
    <t>Average turn radius primary</t>
  </si>
  <si>
    <t>Wire conductive core thickness</t>
  </si>
  <si>
    <t>Resistance</t>
  </si>
  <si>
    <t>Resistivity</t>
  </si>
  <si>
    <t>Power loss</t>
  </si>
  <si>
    <t>Primary wire connections total length</t>
  </si>
  <si>
    <t>Primary winding wire length meters</t>
  </si>
  <si>
    <t>mm (included skin effect from 2mm, take this out put in proper equations)</t>
  </si>
  <si>
    <t>skin depth</t>
  </si>
  <si>
    <t>skin depth mm</t>
  </si>
  <si>
    <t>wire cross sectional area</t>
  </si>
  <si>
    <t>Wire conductive radius</t>
  </si>
  <si>
    <t>non conducting area due to skin effect</t>
  </si>
  <si>
    <t>conducting cross sectional area</t>
  </si>
  <si>
    <t>m</t>
  </si>
  <si>
    <t>m^2</t>
  </si>
  <si>
    <t>ohms</t>
  </si>
  <si>
    <t>Total length</t>
  </si>
  <si>
    <t>Total surface area windng excluding ends</t>
  </si>
  <si>
    <t>Resistance winding</t>
  </si>
  <si>
    <t>Resistance connection wire length</t>
  </si>
  <si>
    <t>Total resistance</t>
  </si>
  <si>
    <t>Power loss winding</t>
  </si>
  <si>
    <t>Power loss connecton wire</t>
  </si>
  <si>
    <t>Total Power loss</t>
  </si>
  <si>
    <t>Heat flux winding</t>
  </si>
  <si>
    <t>watts/m^2</t>
  </si>
  <si>
    <t>Wire cross sectonal area</t>
  </si>
  <si>
    <t>watts</t>
  </si>
  <si>
    <t xml:space="preserve">Turns per segment. </t>
  </si>
  <si>
    <t>Vsn</t>
  </si>
  <si>
    <t>Leakage inductance</t>
  </si>
  <si>
    <t>t_s</t>
  </si>
  <si>
    <t>t_s valid</t>
  </si>
  <si>
    <t>Leakage inductance seen from primary</t>
  </si>
  <si>
    <t>desired_dV_sn</t>
  </si>
  <si>
    <t>R_sn_actual</t>
  </si>
  <si>
    <t>C_sn_desired</t>
  </si>
  <si>
    <t>R_sn_desired</t>
  </si>
  <si>
    <t>C_sn_actual</t>
  </si>
  <si>
    <t>Clamp voltage</t>
  </si>
  <si>
    <t>V_reflected</t>
  </si>
  <si>
    <t>n_p/n_s turns ratio</t>
  </si>
  <si>
    <t>I_peak</t>
  </si>
  <si>
    <t>L_lk1</t>
  </si>
  <si>
    <t>P_sn_nominal</t>
  </si>
  <si>
    <t>P_sn_rated</t>
  </si>
  <si>
    <t>Power resistor must be rated for</t>
  </si>
  <si>
    <t>Acceptable voltage ripple across C in volts</t>
  </si>
  <si>
    <t>Actual voltage ripple</t>
  </si>
  <si>
    <r>
      <t xml:space="preserve">Times reflected voltage 2-2.5 is typical. Too low (&lt; 1.5×) - Snubber absorbs too much energy unnecessarily. | Too high (&gt; 3×) | - Voltage spike may exceed MOSFET drain rating - Core reset might be incomplete - Clamping may not happen at all. | Just right (2.0–2.5×) | - Leaves room for normal operation + leakage spike - Allows full transfer to secondary - Captures only the excess energy </t>
    </r>
    <r>
      <rPr>
        <b/>
        <sz val="11"/>
        <color theme="1"/>
        <rFont val="Calibri"/>
        <family val="2"/>
        <scheme val="minor"/>
      </rPr>
      <t>- Keeps losses manageable</t>
    </r>
  </si>
  <si>
    <t>Maximum feedback voltage</t>
  </si>
  <si>
    <t>Safe maximum voltage from MOSFET</t>
  </si>
  <si>
    <t>Snubber voltage feedback divider ratio</t>
  </si>
  <si>
    <t>Clamp zener diode leakage current</t>
  </si>
  <si>
    <t>Total power at maximum voltage</t>
  </si>
  <si>
    <t>R_snfb_H</t>
  </si>
  <si>
    <t>R_snfb_L</t>
  </si>
  <si>
    <t>R_snfb_total</t>
  </si>
  <si>
    <t>I_snfb_ max</t>
  </si>
  <si>
    <t>P_snfb_H</t>
  </si>
  <si>
    <t>P_snfb_L</t>
  </si>
  <si>
    <t>P_snfb_total</t>
  </si>
  <si>
    <t>V_snfb_min</t>
  </si>
  <si>
    <t>Esp32 adc n values</t>
  </si>
  <si>
    <t>Input voltage resolution</t>
  </si>
  <si>
    <t>Snubber feedback resolution</t>
  </si>
  <si>
    <t>Current at lowest feedback voltage</t>
  </si>
  <si>
    <t>V_tap at lowest input voltage</t>
  </si>
  <si>
    <t>V_tap at lowest input voltage with no zener diode</t>
  </si>
  <si>
    <t>proportion drift at lowest input voltage</t>
  </si>
  <si>
    <t>V_tap at minimum drive voltage</t>
  </si>
  <si>
    <t>V_tap at minimum drive voltage no tap</t>
  </si>
  <si>
    <t>proportion drift at minimum drive voltage</t>
  </si>
  <si>
    <t>as proportion of adc step</t>
  </si>
  <si>
    <t>Chosen zener diode</t>
  </si>
  <si>
    <t>1N4619</t>
  </si>
  <si>
    <t>Req</t>
  </si>
  <si>
    <t>Maximum capacitance adc pin</t>
  </si>
  <si>
    <t>Rzen_max</t>
  </si>
  <si>
    <t>R_snfb_L_suggested</t>
  </si>
  <si>
    <t>Bulk Capacitor (Electrolytic): Low-Frequency Energy Storage minimum capacitance</t>
  </si>
  <si>
    <t>Acceptible input voltage ripple</t>
  </si>
  <si>
    <t>∆V_in</t>
  </si>
  <si>
    <t>I_in</t>
  </si>
  <si>
    <t>Bulk Capacitor energy at Vin_max</t>
  </si>
  <si>
    <t>R_sfb_i</t>
  </si>
  <si>
    <t>R_sfb_i_required</t>
  </si>
  <si>
    <t>Multiple V_in_max should tollerate</t>
  </si>
  <si>
    <t>R_pfb_L</t>
  </si>
  <si>
    <t>R_pfb_H</t>
  </si>
  <si>
    <t>Maximum input voltage for range</t>
  </si>
  <si>
    <t>Divider multiple</t>
  </si>
  <si>
    <t>R_pfb_H_required</t>
  </si>
  <si>
    <t>C_pfb</t>
  </si>
  <si>
    <t>R_pfb_eq</t>
  </si>
  <si>
    <t>C_sn_n</t>
  </si>
  <si>
    <t>N paralle capacitors</t>
  </si>
  <si>
    <t>Proportion inductance is leakage</t>
  </si>
  <si>
    <t>I_sn_leak</t>
  </si>
  <si>
    <t>I_sn_rated_min</t>
  </si>
  <si>
    <t>I_sn_individual_rated_min</t>
  </si>
  <si>
    <t>I_sn_fsm_requried</t>
  </si>
  <si>
    <t>E_leak</t>
  </si>
  <si>
    <t>Q</t>
  </si>
  <si>
    <t>I_f(av)</t>
  </si>
  <si>
    <t>Driver MOSFET</t>
  </si>
  <si>
    <t>P_on</t>
  </si>
  <si>
    <t>R_DS(on)</t>
  </si>
  <si>
    <t>Continuous Drain Current</t>
  </si>
  <si>
    <t>I_d_required</t>
  </si>
  <si>
    <t>V_ds_required</t>
  </si>
  <si>
    <t>Q_gs</t>
  </si>
  <si>
    <t>Q_gd</t>
  </si>
  <si>
    <t>Q_g</t>
  </si>
  <si>
    <t>Total gate charge</t>
  </si>
  <si>
    <t>I_g</t>
  </si>
  <si>
    <t>switching time</t>
  </si>
  <si>
    <t>V_drive</t>
  </si>
  <si>
    <t>R_drive</t>
  </si>
  <si>
    <t>Maximum drive current</t>
  </si>
  <si>
    <t>Maximum drive current allowed</t>
  </si>
  <si>
    <t>Maximum drive current rating of gate driver</t>
  </si>
  <si>
    <t>Maximum drive current can safely use</t>
  </si>
  <si>
    <t>P_sw</t>
  </si>
  <si>
    <t>t_s_on</t>
  </si>
  <si>
    <t>t_s_off</t>
  </si>
  <si>
    <t>Time to switch off</t>
  </si>
  <si>
    <t>Tiome to switch on</t>
  </si>
  <si>
    <t>V_ds_actual</t>
  </si>
  <si>
    <t>V_DS</t>
  </si>
  <si>
    <t>I_DS</t>
  </si>
  <si>
    <t>Vgs which Q_g is for</t>
  </si>
  <si>
    <t>R_pulldown</t>
  </si>
  <si>
    <t>t_off_pulldown</t>
  </si>
  <si>
    <t>Passive off time without gate driver from pulldown resistor. For example on loss of power</t>
  </si>
  <si>
    <t>V_gs(th)</t>
  </si>
  <si>
    <t>I_DM</t>
  </si>
  <si>
    <t>Maximum pulsed drain current</t>
  </si>
  <si>
    <t>I_D25</t>
  </si>
  <si>
    <t>Pulldown great (less or equal to I_D25)</t>
  </si>
  <si>
    <t>Pulldown acceptible (less or equal to I_DM)</t>
  </si>
  <si>
    <t>P_Rpd</t>
  </si>
  <si>
    <t>Pulldown resistor power</t>
  </si>
  <si>
    <t>P_TOTAL</t>
  </si>
  <si>
    <t>s</t>
  </si>
  <si>
    <t>C</t>
  </si>
  <si>
    <t>V_ds high enough</t>
  </si>
  <si>
    <t>Max current reached in passive gate-off scenario (at peak current)</t>
  </si>
  <si>
    <t>P_gate</t>
  </si>
  <si>
    <t>Power for switching (power required to drive gate on and off)</t>
  </si>
  <si>
    <t>τ_sfb_cadc</t>
  </si>
  <si>
    <t>P_pfb_max</t>
  </si>
  <si>
    <t>Primary Current Feedback</t>
  </si>
  <si>
    <t>R_pcfb_sense</t>
  </si>
  <si>
    <t>Sense resistance</t>
  </si>
  <si>
    <t>V_pcfb_sense</t>
  </si>
  <si>
    <t>Multiple of peak current desired for top of range</t>
  </si>
  <si>
    <t>Voltage across sense resistor at peak primary current</t>
  </si>
  <si>
    <t>Peak current should be designed  for</t>
  </si>
  <si>
    <t>Resistor power at maximum current rated for</t>
  </si>
  <si>
    <t>P_pcfb_sense_max</t>
  </si>
  <si>
    <t>V_R_pcfb_sense_peak</t>
  </si>
  <si>
    <t>V_R_pcfb_sense_max</t>
  </si>
  <si>
    <t>Voltage across sense resistor at peak max current</t>
  </si>
  <si>
    <t>ADC input voltage desired at maximum current</t>
  </si>
  <si>
    <t>R_pcfb_f</t>
  </si>
  <si>
    <t>R_pcfb_i</t>
  </si>
  <si>
    <t>R_pcfb_i_required</t>
  </si>
  <si>
    <t>Operational amplifier Input offset voltage</t>
  </si>
  <si>
    <t>V_os</t>
  </si>
  <si>
    <t>I_b</t>
  </si>
  <si>
    <t>Operational amplifier input bias current</t>
  </si>
  <si>
    <t>Gain Bandwidth Product (GBWP)</t>
  </si>
  <si>
    <t>GBWP</t>
  </si>
  <si>
    <t>SR</t>
  </si>
  <si>
    <t>Slew Rate</t>
  </si>
  <si>
    <t>SR_normalized</t>
  </si>
  <si>
    <t>Slew Rate Normalized</t>
  </si>
  <si>
    <t>V/s</t>
  </si>
  <si>
    <t>mV/us</t>
  </si>
  <si>
    <t>CMRR</t>
  </si>
  <si>
    <t>Common Mode Input Range</t>
  </si>
  <si>
    <t>dB</t>
  </si>
  <si>
    <t>Gain required</t>
  </si>
  <si>
    <t>Actual value</t>
  </si>
  <si>
    <t>Actual gain</t>
  </si>
  <si>
    <t>R_pcfb_f/R_pcfb_i required</t>
  </si>
  <si>
    <t>Minimum measureable current from input offset voltage</t>
  </si>
  <si>
    <t>I_pcfb_sense_min</t>
  </si>
  <si>
    <t>BW</t>
  </si>
  <si>
    <t>Gain acceptible</t>
  </si>
  <si>
    <t>GBWP Acceptible (BW&gt;=f_sw)</t>
  </si>
  <si>
    <t>Minimum slew rate required</t>
  </si>
  <si>
    <t>Slew rate high enough</t>
  </si>
  <si>
    <t>Minimum GBWP required</t>
  </si>
  <si>
    <t>Operational amplifier</t>
  </si>
  <si>
    <t>Operational amplifier part</t>
  </si>
  <si>
    <t>MCP6021-E/P</t>
  </si>
  <si>
    <t>A_v_required</t>
  </si>
  <si>
    <t>Gain_db_required</t>
  </si>
  <si>
    <t>A_v</t>
  </si>
  <si>
    <t>Gain_db</t>
  </si>
  <si>
    <t>CMRR acceptible (larger than Gain_db)</t>
  </si>
  <si>
    <t>Minimum measurable current required</t>
  </si>
  <si>
    <t>Input offset voltage acceptible</t>
  </si>
  <si>
    <t>P_pcfb_sense_peak</t>
  </si>
  <si>
    <t>Resistor power under normal conditions reaching peak primary current</t>
  </si>
  <si>
    <t>R_eq-</t>
  </si>
  <si>
    <t>R_eq+</t>
  </si>
  <si>
    <r>
      <t>Differential input-referred voltage offset</t>
    </r>
    <r>
      <rPr>
        <sz val="11"/>
        <color theme="1"/>
        <rFont val="Calibri"/>
        <family val="2"/>
        <scheme val="minor"/>
      </rPr>
      <t xml:space="preserve"> due to bias currents.</t>
    </r>
  </si>
  <si>
    <t>V_os_input</t>
  </si>
  <si>
    <t>V_os_amp</t>
  </si>
  <si>
    <t>Input Offset Voltage</t>
  </si>
  <si>
    <t>V_os_total</t>
  </si>
  <si>
    <t>A_v_max</t>
  </si>
  <si>
    <t>Maximum gain for resistor tollerances</t>
  </si>
  <si>
    <t>R_pcfb_f and R_pcfb_i tolerance</t>
  </si>
  <si>
    <t>R_pcfb_f_max</t>
  </si>
  <si>
    <t>R_pcfb_f_min</t>
  </si>
  <si>
    <t>R_pcfb_i_max</t>
  </si>
  <si>
    <t>R_pcfb_i_min</t>
  </si>
  <si>
    <t>A_v_min</t>
  </si>
  <si>
    <t>Maximum proportion variation in A_v</t>
  </si>
  <si>
    <t>Maximum % variation in A_v</t>
  </si>
  <si>
    <t>V_nominal</t>
  </si>
  <si>
    <t>Voltage on ADC input for 1A input</t>
  </si>
  <si>
    <t>V_gain_error</t>
  </si>
  <si>
    <t>V_error_total_1A</t>
  </si>
  <si>
    <t>V_error_total_I_peak</t>
  </si>
  <si>
    <t>V_error_total_I_max</t>
  </si>
  <si>
    <t>V_adc to current multiplier</t>
  </si>
  <si>
    <t>I_error_total_1A</t>
  </si>
  <si>
    <t>I_error_total_I_peak</t>
  </si>
  <si>
    <t>I_error_total_I_max</t>
  </si>
  <si>
    <t>Q_c</t>
  </si>
  <si>
    <t>Charge per cycle</t>
  </si>
  <si>
    <t>Peak primary current at end of t_on</t>
  </si>
  <si>
    <t>Duty cycle at peak primary current</t>
  </si>
  <si>
    <t>ΔV_max</t>
  </si>
  <si>
    <t>Scaling factor for burst handling and ripple smoothing</t>
  </si>
  <si>
    <t>f_c</t>
  </si>
  <si>
    <t>cutoff frequency for good attenuation</t>
  </si>
  <si>
    <t>L_lp</t>
  </si>
  <si>
    <t>C_lp_tank_desired</t>
  </si>
  <si>
    <t>C_lp_tank_min</t>
  </si>
  <si>
    <t>L_lp_min</t>
  </si>
  <si>
    <t>Minimum desired low-pass filter inductance</t>
  </si>
  <si>
    <t>f_c_desired</t>
  </si>
  <si>
    <t>Actual cutoff frequency</t>
  </si>
  <si>
    <t>C_lp</t>
  </si>
  <si>
    <t>Actual tank capacitance</t>
  </si>
  <si>
    <t>Attenuation(dB)</t>
  </si>
  <si>
    <t>E_C_lp_max</t>
  </si>
  <si>
    <t>Power Conditioning</t>
  </si>
  <si>
    <t>R_ir</t>
  </si>
  <si>
    <t>Inrush current limiting resistance</t>
  </si>
  <si>
    <t>Minimum power rating for inrush current limiting resistor</t>
  </si>
  <si>
    <t>s1</t>
  </si>
  <si>
    <t>s2</t>
  </si>
  <si>
    <t>t_peak</t>
  </si>
  <si>
    <t>P_R_ir_max</t>
  </si>
  <si>
    <t>Circuit is underdamped</t>
  </si>
  <si>
    <t>Underdamped</t>
  </si>
  <si>
    <t>α</t>
  </si>
  <si>
    <t>ω0</t>
  </si>
  <si>
    <t>ωd​</t>
  </si>
  <si>
    <t>Percent overshoot</t>
  </si>
  <si>
    <t>t_99%</t>
  </si>
  <si>
    <t>V_c_rating_min</t>
  </si>
  <si>
    <t>Minimum voltage rating of capacitor(s)</t>
  </si>
  <si>
    <t>C_lp_individual</t>
  </si>
  <si>
    <t>N_C_lp</t>
  </si>
  <si>
    <t>C_lp tolerance</t>
  </si>
  <si>
    <t>C_lp_min</t>
  </si>
  <si>
    <t>ESR_C_lp_individual</t>
  </si>
  <si>
    <t>ESR of individual capacitor</t>
  </si>
  <si>
    <t>ESR_C_lp_total</t>
  </si>
  <si>
    <t>P_C_lp_loss</t>
  </si>
  <si>
    <t>P_C_lp_loss_individual</t>
  </si>
  <si>
    <t>Actual low-pass filter  inductance</t>
  </si>
  <si>
    <t>I_avg_max</t>
  </si>
  <si>
    <t>I_L_lp_min</t>
  </si>
  <si>
    <t>Relay coil resistance</t>
  </si>
  <si>
    <t>Relay coil resistance tolerance</t>
  </si>
  <si>
    <t>R_re_coil_min</t>
  </si>
  <si>
    <t>R_re_coil</t>
  </si>
  <si>
    <t>R_re_coil_max</t>
  </si>
  <si>
    <t>V_re_nom</t>
  </si>
  <si>
    <t>I_re_nom</t>
  </si>
  <si>
    <t>Relay R,V and I nominal match up</t>
  </si>
  <si>
    <t>V_re_max</t>
  </si>
  <si>
    <t>Maximum relay voltage</t>
  </si>
  <si>
    <t>V_re_min</t>
  </si>
  <si>
    <t>Minimum relay voltage</t>
  </si>
  <si>
    <t>I_re_min_required</t>
  </si>
  <si>
    <t>I_re_max_required</t>
  </si>
  <si>
    <t>V_in_nom</t>
  </si>
  <si>
    <t>Nominal input voltage</t>
  </si>
  <si>
    <t>Typical current using suggested resistor value with nominal input voltage</t>
  </si>
  <si>
    <t>Minimum current (with minimum input voltage and  R_re_coil_max)</t>
  </si>
  <si>
    <t>Maximum current (with maximum input voltage and  R_re_coil_min)</t>
  </si>
  <si>
    <t>R_re_ext</t>
  </si>
  <si>
    <t>Suitable R_ext value</t>
  </si>
  <si>
    <t>P_R_re_ext_max</t>
  </si>
  <si>
    <t>P_R_re_ext_min</t>
  </si>
  <si>
    <t>R_re_ext tolerance</t>
  </si>
  <si>
    <t>R_re_ext_min</t>
  </si>
  <si>
    <t>R_re_ext_max</t>
  </si>
  <si>
    <t>P_R_re_EXT_nom</t>
  </si>
  <si>
    <t>ΔV_ESR</t>
  </si>
  <si>
    <t>ΔV_C</t>
  </si>
  <si>
    <t>ΔV_total</t>
  </si>
  <si>
    <t>R_ESR_individual</t>
  </si>
  <si>
    <t>R_ESR_actual</t>
  </si>
  <si>
    <t>P_C_sn_total</t>
  </si>
  <si>
    <t>P_C_sn_individual</t>
  </si>
  <si>
    <t>ΔV_sn_actual_total</t>
  </si>
  <si>
    <t>ΔV_sn_C</t>
  </si>
  <si>
    <t>ΔV_sn_ESR</t>
  </si>
  <si>
    <t>https://www.mouser.co.uk/ProductDetail/KEMET/R75IW5270AA40J?qs=aP1CjGhiNiEaI%2F7WsvzojQ%3D%3D</t>
  </si>
  <si>
    <t>N in parallel</t>
  </si>
  <si>
    <t>https://www.mouser.co.uk/ProductDetail/EPCOS-TDK/B32678G3476K?qs=IQR8xM2KsGh1aOrglafROA%3D%3D</t>
  </si>
  <si>
    <t>https://www.mouser.co.uk/ProductDetail/EPCOS-TDK/B32674D3805K000?qs=mz7Iz7JhaAV5lafkGXiYeg%3D%3D</t>
  </si>
  <si>
    <t>https://www.mouser.co.uk/ProductDetail/EPCOS-TDK/B32676G6126K000?qs=mz7Iz7JhaAVrrHmvpKbQ8A%3D%3D</t>
  </si>
  <si>
    <t>https://www.mouser.co.uk/ProductDetail/EPCOS-TDK/B32674D4605K000?qs=mz7Iz7JhaAUE8TovPOC19w%3D%3D</t>
  </si>
  <si>
    <t>https://www.mouser.co.uk/ProductDetail/EPCOS-TDK/B32674D4565K000?qs=mz7Iz7JhaAVSf1KPVrH8mQ%3D%3D</t>
  </si>
  <si>
    <t>Total ESR</t>
  </si>
  <si>
    <t>Price</t>
  </si>
  <si>
    <t>ESR</t>
  </si>
  <si>
    <t>Total Price</t>
  </si>
  <si>
    <t>Total Capacitance</t>
  </si>
  <si>
    <t>Capacitance</t>
  </si>
  <si>
    <t xml:space="preserve"> </t>
  </si>
  <si>
    <t>k</t>
  </si>
  <si>
    <t>safety factor</t>
  </si>
  <si>
    <t>V_sn_actual</t>
  </si>
  <si>
    <t>C_sn_actual_individual</t>
  </si>
  <si>
    <t>k_actual</t>
  </si>
  <si>
    <t>V_reflected_max</t>
  </si>
  <si>
    <t>RCD Snubber</t>
  </si>
  <si>
    <t>Regenerative Snummer</t>
  </si>
  <si>
    <t>n_s</t>
  </si>
  <si>
    <t>n_r</t>
  </si>
  <si>
    <t>I_max</t>
  </si>
  <si>
    <t>I_min</t>
  </si>
  <si>
    <t>V_g</t>
  </si>
  <si>
    <t>C_2</t>
  </si>
  <si>
    <t>V_max</t>
  </si>
  <si>
    <t>Z_os</t>
  </si>
  <si>
    <t>C_s</t>
  </si>
  <si>
    <t>L_k</t>
  </si>
  <si>
    <t>I_pp</t>
  </si>
  <si>
    <t>V_i</t>
  </si>
  <si>
    <t>Input voltage</t>
  </si>
  <si>
    <t>V_o</t>
  </si>
  <si>
    <t>Output voltage</t>
  </si>
  <si>
    <t>Np/Ns</t>
  </si>
  <si>
    <t>L_s_max</t>
  </si>
  <si>
    <t>Maximum upper limit of L_s</t>
  </si>
  <si>
    <t>L_s_min</t>
  </si>
  <si>
    <t>Minimum L_s</t>
  </si>
  <si>
    <t>I_sw</t>
  </si>
  <si>
    <t>Maximum peak current allowed by the switch</t>
  </si>
  <si>
    <t>L_s</t>
  </si>
  <si>
    <t>L_m</t>
  </si>
  <si>
    <t>Desired max switch drain-source voltage</t>
  </si>
  <si>
    <t>L_s_valid</t>
  </si>
  <si>
    <t>L_s valid</t>
  </si>
  <si>
    <t>Actual chosen L_s</t>
  </si>
  <si>
    <t>Calculated C_s</t>
  </si>
  <si>
    <t>C_s_suggested</t>
  </si>
  <si>
    <t>I_lk_min</t>
  </si>
  <si>
    <t>I_c2_pkR</t>
  </si>
  <si>
    <t>Ids_pk</t>
  </si>
  <si>
    <t>I_c2_pkS</t>
  </si>
  <si>
    <t>L_lk</t>
  </si>
  <si>
    <t>Change Vmax</t>
  </si>
  <si>
    <t>v_ max/V_g</t>
  </si>
  <si>
    <t>Actual C_s</t>
  </si>
  <si>
    <t>Design based on</t>
  </si>
  <si>
    <t>C:\repos\snippets\CircuitAnalysis\VoltageMultiplier\Sources\Snubber\07948040.pdf</t>
  </si>
  <si>
    <t>E_pulse_max_desired</t>
  </si>
  <si>
    <t>Desired energy into flyback on each cycle with D=D_max</t>
  </si>
  <si>
    <t>n_s_over_p</t>
  </si>
  <si>
    <t>n_p_over_s</t>
  </si>
  <si>
    <t>n_p/n_s</t>
  </si>
  <si>
    <t>n_s/n_p</t>
  </si>
  <si>
    <t>Power Supply Voltage Feedback</t>
  </si>
  <si>
    <t>P_ESR</t>
  </si>
  <si>
    <t>R_C_ESR</t>
  </si>
  <si>
    <t>Conservative estimate</t>
  </si>
  <si>
    <t>https://www.mouser.co.uk/ProductDetail/KEMET/R75RR322050L4J?qs=zW32dvEIR3sfSLCevL5nlQ%3D%3D</t>
  </si>
  <si>
    <t>So only way to get more power out is to increase input voltage or increase peak current, but this is limited by the villard diodes.</t>
  </si>
  <si>
    <t>So what this means is the natural frequency the system operates at with limited peak primary current and discharging to 0 before next cycle. Is that the frequency increases in proportion to the drive voltage being placed across the flyback transformer.</t>
  </si>
  <si>
    <t>ω_r</t>
  </si>
  <si>
    <t>L_eq</t>
  </si>
  <si>
    <t>V_C,max</t>
  </si>
  <si>
    <t>I_D_s1,max</t>
  </si>
  <si>
    <t>I_D_s2,max</t>
  </si>
  <si>
    <t>V_D_s1,max</t>
  </si>
  <si>
    <t>V_D_s2,max</t>
  </si>
  <si>
    <t>I_Ds1,rating_min</t>
  </si>
  <si>
    <t>V_C,rating_min</t>
  </si>
  <si>
    <t>I_Ls,rating_min</t>
  </si>
  <si>
    <t>V_Ds2,rating_min</t>
  </si>
  <si>
    <t>V_Ds1,rating_min</t>
  </si>
  <si>
    <t>ΔV</t>
  </si>
  <si>
    <t>Maximum ripple across polypropylene capacitor allowed</t>
  </si>
  <si>
    <t>C_snp_required</t>
  </si>
  <si>
    <t>Snubber polypropylene capacitance required</t>
  </si>
  <si>
    <t>Regenerative Snubber Voltage Feedback</t>
  </si>
  <si>
    <t>RCD Snubber Voltage Feedback</t>
  </si>
  <si>
    <t>R_sfb_H</t>
  </si>
  <si>
    <t>R_sfb_L</t>
  </si>
  <si>
    <t>R_sfb_total</t>
  </si>
  <si>
    <t>V_drive_max</t>
  </si>
  <si>
    <t>P_R_sfb_H,max</t>
  </si>
  <si>
    <t>P_R_sfb_L,max</t>
  </si>
  <si>
    <t>I_sfb_max</t>
  </si>
  <si>
    <t>P_sfb</t>
  </si>
  <si>
    <t>Maximum divided voltage for maximum drive voltage</t>
  </si>
  <si>
    <t>Divide ratio required</t>
  </si>
  <si>
    <t>Actual divide ratio</t>
  </si>
  <si>
    <t>Divide ratio valid</t>
  </si>
  <si>
    <t>P_Ds1</t>
  </si>
  <si>
    <t>P_Ds2</t>
  </si>
  <si>
    <t>V_d_s1,forward</t>
  </si>
  <si>
    <t>V_d_s2,forward</t>
  </si>
  <si>
    <t>OVER ESTIMATE</t>
  </si>
  <si>
    <t>Inductor energy</t>
  </si>
  <si>
    <t>I_in_typical</t>
  </si>
  <si>
    <t>V_in_typical</t>
  </si>
  <si>
    <t>Capacitor voltage change from nominal for inductor energy</t>
  </si>
  <si>
    <t>PCB Track Thickness  IPC-2221</t>
  </si>
  <si>
    <t>Current (I)</t>
  </si>
  <si>
    <t>Thickness oz/ft</t>
  </si>
  <si>
    <t>T_rise</t>
  </si>
  <si>
    <t>Track</t>
  </si>
  <si>
    <t>Inputs from batteries</t>
  </si>
  <si>
    <t>Connection to both external 3A max PSU's</t>
  </si>
  <si>
    <t>To fiber optics</t>
  </si>
  <si>
    <t>22 amp peak circuit</t>
  </si>
  <si>
    <t>Length of track</t>
  </si>
  <si>
    <t>Actual Width Chosen</t>
  </si>
  <si>
    <t>External Layer Width Required (mm)</t>
  </si>
  <si>
    <t>Internal Layer Width Required (mm)</t>
  </si>
  <si>
    <t>Power</t>
  </si>
  <si>
    <t>Actual Expected Trise Internal</t>
  </si>
  <si>
    <t>Actual Expected Trise External</t>
  </si>
  <si>
    <t>Voltage Drop</t>
  </si>
  <si>
    <t>Mineral oil volume</t>
  </si>
  <si>
    <t>m^3</t>
  </si>
  <si>
    <t>Vessel ID</t>
  </si>
  <si>
    <t>Height</t>
  </si>
  <si>
    <t>Maximum heat power</t>
  </si>
  <si>
    <t>kJ/kg·K</t>
  </si>
  <si>
    <t>Allowed temperture rise above ambient</t>
  </si>
  <si>
    <t>K</t>
  </si>
  <si>
    <t>Mineral oil density</t>
  </si>
  <si>
    <t>Mineral oil Specific heat capacity oil</t>
  </si>
  <si>
    <t>kg/m³</t>
  </si>
  <si>
    <t>m³</t>
  </si>
  <si>
    <t>Total mass of mineral oil in vessel</t>
  </si>
  <si>
    <t>kg</t>
  </si>
  <si>
    <t>Total energy capacity for specified temperture rise</t>
  </si>
  <si>
    <t>KJ</t>
  </si>
  <si>
    <t>Maximum time for single turnover</t>
  </si>
  <si>
    <t>Desired maximum time for single turnover including safety factor</t>
  </si>
  <si>
    <t>Flow rate required</t>
  </si>
  <si>
    <t>m³/s</t>
  </si>
  <si>
    <t>ml/s</t>
  </si>
  <si>
    <t>Safe flow speed portal</t>
  </si>
  <si>
    <t>m/s</t>
  </si>
  <si>
    <t>Portal area required</t>
  </si>
  <si>
    <t>Portal sizing (diameter)</t>
  </si>
  <si>
    <t>Portal diameter minimum (mm)</t>
  </si>
  <si>
    <t>Minimum portal diameter</t>
  </si>
  <si>
    <t>Desired reynalds number</t>
  </si>
  <si>
    <t>Kinemetic viscosity</t>
  </si>
  <si>
    <t>Dyanmic viscosity</t>
  </si>
  <si>
    <t>Actual reynolds number</t>
  </si>
  <si>
    <t>Actual Portal diameter</t>
  </si>
  <si>
    <t>Actual portal diameter (m)</t>
  </si>
  <si>
    <t>Reynolds number acceptible</t>
  </si>
  <si>
    <t>M4</t>
  </si>
  <si>
    <t>Length</t>
  </si>
  <si>
    <t>Diameter</t>
  </si>
  <si>
    <t>Number</t>
  </si>
  <si>
    <t>M3</t>
  </si>
  <si>
    <t>30mm</t>
  </si>
  <si>
    <t>M2.5</t>
  </si>
  <si>
    <t>M8</t>
  </si>
  <si>
    <t>20mm</t>
  </si>
  <si>
    <t>30mm 40 more desirable</t>
  </si>
  <si>
    <t>https://www.aliexpress.com/item/1005005480826442.html?spm=a2g0o.cart.0.0.10e238dawUu18S&amp;mp=1&amp;pdp_npi=5%40dis%21GBP%21GBP%201.52%21GBP%201.26%21%21GBP%201.26%21%21%21%4021038da617489300338885085ef51d%2112000033254538100%21ct%21UK%214911257576%21%211%210</t>
  </si>
  <si>
    <t>https://www.aliexpress.com/item/1005005489704779.html?spm=a2g0o.cart.0.0.3af938daqF893N&amp;mp=1&amp;pdp_npi=5%40dis%21GBP%21GBP%202.11%21GBP%201.84%21%21GBP%201.84%21%21%21%4021038da617489300680525622ef51d%2112000033284825011%21ct%21UK%214911257576%21%211%210</t>
  </si>
  <si>
    <t>https://www.aliexpress.com/item/1005005480826442.html?spm=a2g0o.cart.0.0.560938daHEcyqE&amp;mp=1&amp;pdp_npi=5%40dis%21GBP%21GBP%200.82%21GBP%200.68%21%21GBP%200.68%21%21%21%4021038da617489300775685831ef51d%2112000033254379950%21ct%21UK%214911257576%21%211%210</t>
  </si>
  <si>
    <t>https://www.aliexpress.com/item/32979035684.html?spm=a2g0o.productlist.main.1.43315cf9lFXo4v&amp;algo_pvid=1ae9e8c1-7a0f-4aec-b376-9270d2db3078&amp;algo_exp_id=1ae9e8c1-7a0f-4aec-b376-9270d2db3078-0&amp;pdp_ext_f=%7B%22order%22%3A%2249%22%2C%22eval%22%3A%221%22%7D&amp;pdp_npi=4%40dis%21GBP%211.02%210.96%21%21%211.34%211.26%21%402103956b17489301282611606e8cf3%2112000037695417645%21sea%21UK%214911257576%21X&amp;curPageLogUid=ecdD7wgyjiJL&amp;utparam-url=scene%3Asearch%7Cquery_from%3A</t>
  </si>
  <si>
    <t>https://www.aliexpress.com/item/1005005489704779.html?spm=a2g0o.cart.0.0.184338dahPk8Kk&amp;mp=1&amp;pdp_npi=5%40dis%21GBP%21GBP%202.11%21GBP%201.84%21%21GBP%201.84%21%21%21%40211b807017489305761224505eeaf6%2112000033284825011%21ct%21UK%214911257576%21%211%210</t>
  </si>
  <si>
    <t>25mm (20mm just enough I think)</t>
  </si>
  <si>
    <t>https://www.aliexpress.com/item/1005005747262698.html?spm=a2g0o.cart.0.0.4cc038daQAAcCh&amp;mp=1&amp;pdp_npi=5%40dis%21GBP%21GBP%205.88%21GBP%202.94%21%21GBP%202.94%21%21%21%40211b807017489305983274816eeaf6%2112000034202358244%21ct%21UK%214911257576%21%211%210</t>
  </si>
  <si>
    <t xml:space="preserve">Washer kit varying sizes m2.5 + </t>
  </si>
  <si>
    <t xml:space="preserve">25mm </t>
  </si>
  <si>
    <t>Driver MOSFET Heat sinking</t>
  </si>
  <si>
    <t>Thermal conductivity of insulator layer</t>
  </si>
  <si>
    <t>W/m-K</t>
  </si>
  <si>
    <t>Thickness of insulator layer (mm)</t>
  </si>
  <si>
    <t>Contact Area</t>
  </si>
  <si>
    <t>Total thermal resistance</t>
  </si>
  <si>
    <t>RθCS</t>
  </si>
  <si>
    <t>Case-to-Sink Thermal resistance of insulator layer</t>
  </si>
  <si>
    <t>RθJC</t>
  </si>
  <si>
    <t>Junction-to-Case</t>
  </si>
  <si>
    <t>RθSA​</t>
  </si>
  <si>
    <t>Sink-to-Ambient Thermal resistance of heatsink max</t>
  </si>
  <si>
    <t>Delta T</t>
  </si>
  <si>
    <t>ΔT</t>
  </si>
  <si>
    <t>Maximum ambient temperature</t>
  </si>
  <si>
    <t>Maximum junction temperature</t>
  </si>
  <si>
    <t>Maximum allowed junction temperature</t>
  </si>
  <si>
    <t>Acceptible</t>
  </si>
  <si>
    <t>Dirver MOSFET Screw Washer choice</t>
  </si>
  <si>
    <t>High Voltage Output Feedback</t>
  </si>
  <si>
    <t>Individual composite resistor value</t>
  </si>
  <si>
    <t>N individual resistors in composite high voltage resistor</t>
  </si>
  <si>
    <t>Desired low voltage into ADC at full output voltage</t>
  </si>
  <si>
    <t>Ratio required</t>
  </si>
  <si>
    <t>Low leg resistance required</t>
  </si>
  <si>
    <t>Current at maximum output voltage</t>
  </si>
  <si>
    <t>Power per individual composite resistor</t>
  </si>
  <si>
    <t>Total power</t>
  </si>
  <si>
    <t>Power in lower leg resistor</t>
  </si>
  <si>
    <t>First stage voltage feedback</t>
  </si>
  <si>
    <t>Cooling fan</t>
  </si>
  <si>
    <t>Number of heatsinks (identicle in this case)</t>
  </si>
  <si>
    <t>Desired flow rate for each heatsink</t>
  </si>
  <si>
    <t>cross sectional area</t>
  </si>
  <si>
    <t>LFM</t>
  </si>
  <si>
    <t>Cubic meters per minute per heatsink</t>
  </si>
  <si>
    <t>Cubic meters per hour</t>
  </si>
  <si>
    <t>Inrush resistor temperature change</t>
  </si>
  <si>
    <t>Total energy into inrush current limiting resistor</t>
  </si>
  <si>
    <t>E_R_ir</t>
  </si>
  <si>
    <t>V_R_ir</t>
  </si>
  <si>
    <t>Volume of inrush resistor metal</t>
  </si>
  <si>
    <t>c_p</t>
  </si>
  <si>
    <t>Inrush resistor metal specific heat capacity (probably aluminium alloy)</t>
  </si>
  <si>
    <t>ρ</t>
  </si>
  <si>
    <t>Inrush resistor metal density</t>
  </si>
  <si>
    <t>kPETG</t>
  </si>
  <si>
    <t>heff​</t>
  </si>
  <si>
    <t>Effective thermal dissipation rate</t>
  </si>
  <si>
    <t>Thermal time constant</t>
  </si>
  <si>
    <t>Thermal capacitance</t>
  </si>
  <si>
    <t>Cth​</t>
  </si>
  <si>
    <t>t99%​</t>
  </si>
  <si>
    <t>Thermal conductivity petg</t>
  </si>
  <si>
    <t>RPETG​</t>
  </si>
  <si>
    <t>Thermal resistance PETG</t>
  </si>
  <si>
    <t>Area PETG insulator</t>
  </si>
  <si>
    <t>A_insulator</t>
  </si>
  <si>
    <t>L_insulator</t>
  </si>
  <si>
    <t>Length insulator</t>
  </si>
  <si>
    <t>Q(t)</t>
  </si>
  <si>
    <t>ΔTfar side</t>
  </si>
  <si>
    <t>Actual low leg resistance</t>
  </si>
  <si>
    <t>Actual low leg resistance required</t>
  </si>
  <si>
    <t>Active cooling by oil circulation</t>
  </si>
  <si>
    <t>Power loss discharge resistors</t>
  </si>
  <si>
    <t>Steady state power loss diodes</t>
  </si>
  <si>
    <t>Flyback power loss</t>
  </si>
  <si>
    <t>Total power loss into mineral oil</t>
  </si>
  <si>
    <t>?? I think I used two approaches this needs to go above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</si>
</sst>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3" fillId="0" borderId="0" xfId="1"/>
    <xf numFmtId="0" fontId="0" fillId="4" borderId="0" xfId="0" applyFill="1"/>
    <xf numFmtId="0" fontId="2" fillId="4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11" fontId="0" fillId="4" borderId="0" xfId="0" applyNumberFormat="1" applyFill="1"/>
    <xf numFmtId="0" fontId="1" fillId="4" borderId="0" xfId="0" applyFont="1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Fill="1" applyBorder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1" fontId="4" fillId="0" borderId="0" xfId="0" applyNumberFormat="1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11" fontId="5" fillId="0" borderId="0" xfId="0" applyNumberFormat="1" applyFont="1"/>
    <xf numFmtId="8" fontId="5" fillId="0" borderId="0" xfId="0" applyNumberFormat="1" applyFont="1"/>
    <xf numFmtId="8" fontId="5" fillId="6" borderId="5" xfId="0" applyNumberFormat="1" applyFont="1" applyFill="1" applyBorder="1" applyAlignment="1">
      <alignment horizontal="right" vertical="top" wrapText="1" indent="1"/>
    </xf>
    <xf numFmtId="6" fontId="0" fillId="0" borderId="0" xfId="0" applyNumberFormat="1"/>
    <xf numFmtId="0" fontId="0" fillId="0" borderId="0" xfId="0" applyAlignment="1">
      <alignment vertical="center" wrapText="1"/>
    </xf>
    <xf numFmtId="0" fontId="0" fillId="7" borderId="0" xfId="0" applyFill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110</xdr:row>
      <xdr:rowOff>47625</xdr:rowOff>
    </xdr:from>
    <xdr:to>
      <xdr:col>16</xdr:col>
      <xdr:colOff>3648942</xdr:colOff>
      <xdr:row>119</xdr:row>
      <xdr:rowOff>105022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11287125"/>
          <a:ext cx="6211167" cy="1771897"/>
        </a:xfrm>
        <a:prstGeom prst="rect">
          <a:avLst/>
        </a:prstGeom>
      </xdr:spPr>
    </xdr:pic>
    <xdr:clientData/>
  </xdr:twoCellAnchor>
  <xdr:twoCellAnchor editAs="oneCell">
    <xdr:from>
      <xdr:col>4</xdr:col>
      <xdr:colOff>789215</xdr:colOff>
      <xdr:row>210</xdr:row>
      <xdr:rowOff>13607</xdr:rowOff>
    </xdr:from>
    <xdr:to>
      <xdr:col>6</xdr:col>
      <xdr:colOff>709268</xdr:colOff>
      <xdr:row>213</xdr:row>
      <xdr:rowOff>23213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2536" y="36018107"/>
          <a:ext cx="2410161" cy="581106"/>
        </a:xfrm>
        <a:prstGeom prst="rect">
          <a:avLst/>
        </a:prstGeom>
      </xdr:spPr>
    </xdr:pic>
    <xdr:clientData/>
  </xdr:twoCellAnchor>
  <xdr:twoCellAnchor editAs="oneCell">
    <xdr:from>
      <xdr:col>3</xdr:col>
      <xdr:colOff>28013</xdr:colOff>
      <xdr:row>303</xdr:row>
      <xdr:rowOff>172891</xdr:rowOff>
    </xdr:from>
    <xdr:to>
      <xdr:col>9</xdr:col>
      <xdr:colOff>36017</xdr:colOff>
      <xdr:row>310</xdr:row>
      <xdr:rowOff>84548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7513" y="55812498"/>
          <a:ext cx="7247004" cy="1245157"/>
        </a:xfrm>
        <a:prstGeom prst="rect">
          <a:avLst/>
        </a:prstGeom>
      </xdr:spPr>
    </xdr:pic>
    <xdr:clientData/>
  </xdr:twoCellAnchor>
  <xdr:twoCellAnchor editAs="oneCell">
    <xdr:from>
      <xdr:col>6</xdr:col>
      <xdr:colOff>13609</xdr:colOff>
      <xdr:row>2</xdr:row>
      <xdr:rowOff>83786</xdr:rowOff>
    </xdr:from>
    <xdr:to>
      <xdr:col>11</xdr:col>
      <xdr:colOff>554182</xdr:colOff>
      <xdr:row>17</xdr:row>
      <xdr:rowOff>121227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8245" y="464786"/>
          <a:ext cx="5181846" cy="2894941"/>
        </a:xfrm>
        <a:prstGeom prst="rect">
          <a:avLst/>
        </a:prstGeom>
      </xdr:spPr>
    </xdr:pic>
    <xdr:clientData/>
  </xdr:twoCellAnchor>
  <xdr:twoCellAnchor editAs="oneCell">
    <xdr:from>
      <xdr:col>5</xdr:col>
      <xdr:colOff>883228</xdr:colOff>
      <xdr:row>21</xdr:row>
      <xdr:rowOff>69273</xdr:rowOff>
    </xdr:from>
    <xdr:to>
      <xdr:col>12</xdr:col>
      <xdr:colOff>34637</xdr:colOff>
      <xdr:row>27</xdr:row>
      <xdr:rowOff>177458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12683" y="4069773"/>
          <a:ext cx="5334000" cy="12511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114300</xdr:rowOff>
    </xdr:to>
    <xdr:sp macro="" textlink="">
      <xdr:nvSpPr>
        <xdr:cNvPr id="1066" name="AutoShape 42" descr="Topology of the Flyback converter with energy regenerative snubber. "/>
        <xdr:cNvSpPr>
          <a:spLocks noChangeAspect="1" noChangeArrowheads="1"/>
        </xdr:cNvSpPr>
      </xdr:nvSpPr>
      <xdr:spPr bwMode="auto">
        <a:xfrm>
          <a:off x="17811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304800</xdr:colOff>
      <xdr:row>236</xdr:row>
      <xdr:rowOff>114300</xdr:rowOff>
    </xdr:to>
    <xdr:sp macro="" textlink="">
      <xdr:nvSpPr>
        <xdr:cNvPr id="1067" name="AutoShape 43" descr="Topology of the Flyback converter with energy regenerative snubber. "/>
        <xdr:cNvSpPr>
          <a:spLocks noChangeAspect="1" noChangeArrowheads="1"/>
        </xdr:cNvSpPr>
      </xdr:nvSpPr>
      <xdr:spPr bwMode="auto">
        <a:xfrm>
          <a:off x="8972550" y="447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114300</xdr:rowOff>
    </xdr:to>
    <xdr:sp macro="" textlink="">
      <xdr:nvSpPr>
        <xdr:cNvPr id="18" name="AutoShape 42" descr="Topology of the Flyback converter with energy regenerative snubber. "/>
        <xdr:cNvSpPr>
          <a:spLocks noChangeAspect="1" noChangeArrowheads="1"/>
        </xdr:cNvSpPr>
      </xdr:nvSpPr>
      <xdr:spPr bwMode="auto">
        <a:xfrm>
          <a:off x="1781175" y="457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40821</xdr:colOff>
      <xdr:row>234</xdr:row>
      <xdr:rowOff>122464</xdr:rowOff>
    </xdr:from>
    <xdr:to>
      <xdr:col>5</xdr:col>
      <xdr:colOff>13820</xdr:colOff>
      <xdr:row>250</xdr:row>
      <xdr:rowOff>65731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1535" y="44713071"/>
          <a:ext cx="1524213" cy="2991267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394607</xdr:colOff>
      <xdr:row>542</xdr:row>
      <xdr:rowOff>81643</xdr:rowOff>
    </xdr:from>
    <xdr:to>
      <xdr:col>7</xdr:col>
      <xdr:colOff>1282199</xdr:colOff>
      <xdr:row>564</xdr:row>
      <xdr:rowOff>101281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58500" y="97821750"/>
          <a:ext cx="2915057" cy="4210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0</xdr:row>
      <xdr:rowOff>0</xdr:rowOff>
    </xdr:from>
    <xdr:to>
      <xdr:col>16</xdr:col>
      <xdr:colOff>96214</xdr:colOff>
      <xdr:row>19</xdr:row>
      <xdr:rowOff>67189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0"/>
          <a:ext cx="6906589" cy="3686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10</xdr:col>
      <xdr:colOff>267710</xdr:colOff>
      <xdr:row>15</xdr:row>
      <xdr:rowOff>67055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200025"/>
          <a:ext cx="7240010" cy="2724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180975</xdr:rowOff>
    </xdr:from>
    <xdr:to>
      <xdr:col>8</xdr:col>
      <xdr:colOff>105611</xdr:colOff>
      <xdr:row>14</xdr:row>
      <xdr:rowOff>143215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1475"/>
          <a:ext cx="5992061" cy="2438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0</xdr:rowOff>
    </xdr:from>
    <xdr:to>
      <xdr:col>6</xdr:col>
      <xdr:colOff>324803</xdr:colOff>
      <xdr:row>15</xdr:row>
      <xdr:rowOff>155164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90500"/>
          <a:ext cx="5058728" cy="2822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74543</xdr:colOff>
      <xdr:row>0</xdr:row>
      <xdr:rowOff>74543</xdr:rowOff>
    </xdr:from>
    <xdr:to>
      <xdr:col>25</xdr:col>
      <xdr:colOff>64859</xdr:colOff>
      <xdr:row>2</xdr:row>
      <xdr:rowOff>160333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108" y="74543"/>
          <a:ext cx="1829055" cy="466790"/>
        </a:xfrm>
        <a:prstGeom prst="rect">
          <a:avLst/>
        </a:prstGeom>
      </xdr:spPr>
    </xdr:pic>
    <xdr:clientData/>
  </xdr:twoCellAnchor>
  <xdr:twoCellAnchor editAs="oneCell">
    <xdr:from>
      <xdr:col>22</xdr:col>
      <xdr:colOff>91109</xdr:colOff>
      <xdr:row>3</xdr:row>
      <xdr:rowOff>16565</xdr:rowOff>
    </xdr:from>
    <xdr:to>
      <xdr:col>23</xdr:col>
      <xdr:colOff>316513</xdr:colOff>
      <xdr:row>5</xdr:row>
      <xdr:rowOff>121408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5674" y="588065"/>
          <a:ext cx="838317" cy="485843"/>
        </a:xfrm>
        <a:prstGeom prst="rect">
          <a:avLst/>
        </a:prstGeom>
      </xdr:spPr>
    </xdr:pic>
    <xdr:clientData/>
  </xdr:twoCellAnchor>
  <xdr:twoCellAnchor>
    <xdr:from>
      <xdr:col>24</xdr:col>
      <xdr:colOff>165651</xdr:colOff>
      <xdr:row>5</xdr:row>
      <xdr:rowOff>140804</xdr:rowOff>
    </xdr:from>
    <xdr:to>
      <xdr:col>28</xdr:col>
      <xdr:colOff>331304</xdr:colOff>
      <xdr:row>16</xdr:row>
      <xdr:rowOff>190499</xdr:rowOff>
    </xdr:to>
    <xdr:sp macro="" textlink="">
      <xdr:nvSpPr>
        <xdr:cNvPr id="4" name="TextBox 3"/>
        <xdr:cNvSpPr txBox="1"/>
      </xdr:nvSpPr>
      <xdr:spPr>
        <a:xfrm>
          <a:off x="4456042" y="1093304"/>
          <a:ext cx="2617305" cy="2145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Deriving equation for V_max so n_r = V_max/V_g </a:t>
          </a:r>
        </a:p>
        <a:p>
          <a:r>
            <a:rPr lang="en-GB" sz="1100"/>
            <a:t>ns = V_g/V_max for no vmin</a:t>
          </a:r>
        </a:p>
        <a:p>
          <a:r>
            <a:rPr lang="en-GB" sz="1100"/>
            <a:t>V_max  = (V_o*V_max/V_g)+(Zos*Imax)</a:t>
          </a:r>
        </a:p>
        <a:p>
          <a:r>
            <a:rPr lang="en-GB" sz="1100"/>
            <a:t>1 = (V_o/V_g)+(Z_ox*I_max/V_max)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(V_o/V_g)=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(Z_ox*I_max/V_max)</a:t>
          </a:r>
        </a:p>
        <a:p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V_max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=(Z_ox*I_max)/(1 - (V_o/V_g))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17</xdr:row>
      <xdr:rowOff>66675</xdr:rowOff>
    </xdr:from>
    <xdr:to>
      <xdr:col>5</xdr:col>
      <xdr:colOff>257273</xdr:colOff>
      <xdr:row>19</xdr:row>
      <xdr:rowOff>133412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3305175"/>
          <a:ext cx="704948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20</xdr:row>
      <xdr:rowOff>95250</xdr:rowOff>
    </xdr:from>
    <xdr:to>
      <xdr:col>10</xdr:col>
      <xdr:colOff>48102</xdr:colOff>
      <xdr:row>31</xdr:row>
      <xdr:rowOff>57437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3905250"/>
          <a:ext cx="3419952" cy="2057687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31</xdr:row>
      <xdr:rowOff>114300</xdr:rowOff>
    </xdr:from>
    <xdr:to>
      <xdr:col>10</xdr:col>
      <xdr:colOff>57630</xdr:colOff>
      <xdr:row>41</xdr:row>
      <xdr:rowOff>171724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9725" y="6019800"/>
          <a:ext cx="3439005" cy="19624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18</xdr:col>
      <xdr:colOff>591652</xdr:colOff>
      <xdr:row>24</xdr:row>
      <xdr:rowOff>86375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0"/>
          <a:ext cx="7897327" cy="465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.uk/ProductDetail/KEMET/R75IW5270AA40J?qs=aP1CjGhiNiEaI%2F7WsvzojQ%3D%3D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mouser.co.uk/ProductDetail/Microchip-Technology/MCP6021-E-P?qs=W2ndVjZwIIKVhoK39SuWRw%3D%3D" TargetMode="External"/><Relationship Id="rId1" Type="http://schemas.openxmlformats.org/officeDocument/2006/relationships/hyperlink" Target="https://www.mouser.co.uk/datasheet/2/281/MHR0422SA_series_data_sheet-1594297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.uk/ProductDetail/KEMET/R75RR322050L4J?qs=zW32dvEIR3sfSLCevL5nlQ%3D%3D" TargetMode="External"/><Relationship Id="rId4" Type="http://schemas.openxmlformats.org/officeDocument/2006/relationships/hyperlink" Target="https://www.mouser.co.uk/ProductDetail/EPCOS-TDK/B32674D4605K000?qs=mz7Iz7JhaAUE8TovPOC19w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0"/>
  <sheetViews>
    <sheetView tabSelected="1" topLeftCell="A223" zoomScale="70" zoomScaleNormal="70" workbookViewId="0">
      <selection activeCell="C235" sqref="C235"/>
    </sheetView>
  </sheetViews>
  <sheetFormatPr defaultRowHeight="15" x14ac:dyDescent="0.25"/>
  <cols>
    <col min="1" max="1" width="30.42578125" customWidth="1"/>
    <col min="2" max="2" width="18.42578125" customWidth="1"/>
    <col min="3" max="3" width="65.28515625" customWidth="1"/>
    <col min="4" max="5" width="23.28515625" customWidth="1"/>
    <col min="6" max="6" width="14" customWidth="1"/>
    <col min="7" max="7" width="16.28515625" customWidth="1"/>
    <col min="8" max="8" width="20.140625" customWidth="1"/>
    <col min="9" max="9" width="11.42578125" customWidth="1"/>
    <col min="10" max="10" width="10.7109375" customWidth="1"/>
    <col min="11" max="11" width="11" customWidth="1"/>
    <col min="17" max="17" width="55.85546875" customWidth="1"/>
    <col min="18" max="18" width="27.28515625" customWidth="1"/>
  </cols>
  <sheetData>
    <row r="1" spans="1:7" x14ac:dyDescent="0.25">
      <c r="A1" t="s">
        <v>131</v>
      </c>
      <c r="B1" t="s">
        <v>130</v>
      </c>
      <c r="C1" t="s">
        <v>129</v>
      </c>
      <c r="D1" t="s">
        <v>70</v>
      </c>
      <c r="E1" t="s">
        <v>19</v>
      </c>
    </row>
    <row r="2" spans="1:7" x14ac:dyDescent="0.25">
      <c r="C2" s="6" t="s">
        <v>77</v>
      </c>
      <c r="D2" s="6">
        <v>200</v>
      </c>
      <c r="E2" t="s">
        <v>22</v>
      </c>
    </row>
    <row r="3" spans="1:7" x14ac:dyDescent="0.25">
      <c r="B3" s="6" t="s">
        <v>48</v>
      </c>
      <c r="C3" s="6" t="s">
        <v>47</v>
      </c>
      <c r="D3" s="6">
        <v>16000</v>
      </c>
      <c r="E3" t="s">
        <v>73</v>
      </c>
    </row>
    <row r="4" spans="1:7" x14ac:dyDescent="0.25">
      <c r="C4" t="s">
        <v>4</v>
      </c>
      <c r="D4">
        <v>1.2</v>
      </c>
    </row>
    <row r="5" spans="1:7" x14ac:dyDescent="0.25">
      <c r="B5" t="s">
        <v>37</v>
      </c>
      <c r="C5" t="s">
        <v>44</v>
      </c>
      <c r="D5">
        <f>11.8*3</f>
        <v>35.400000000000006</v>
      </c>
      <c r="E5" t="s">
        <v>21</v>
      </c>
    </row>
    <row r="6" spans="1:7" x14ac:dyDescent="0.25">
      <c r="B6" t="s">
        <v>497</v>
      </c>
      <c r="C6" t="s">
        <v>498</v>
      </c>
      <c r="D6">
        <f>12.7*3</f>
        <v>38.099999999999994</v>
      </c>
      <c r="E6" t="s">
        <v>21</v>
      </c>
    </row>
    <row r="7" spans="1:7" x14ac:dyDescent="0.25">
      <c r="B7" t="s">
        <v>38</v>
      </c>
      <c r="C7" t="s">
        <v>43</v>
      </c>
      <c r="D7">
        <v>44.1</v>
      </c>
      <c r="E7" t="s">
        <v>21</v>
      </c>
    </row>
    <row r="8" spans="1:7" x14ac:dyDescent="0.25">
      <c r="B8" t="s">
        <v>76</v>
      </c>
      <c r="C8" t="s">
        <v>75</v>
      </c>
      <c r="D8">
        <v>80000</v>
      </c>
      <c r="E8" t="s">
        <v>21</v>
      </c>
    </row>
    <row r="9" spans="1:7" x14ac:dyDescent="0.25">
      <c r="B9" t="s">
        <v>61</v>
      </c>
      <c r="C9" t="s">
        <v>74</v>
      </c>
      <c r="D9">
        <v>50000</v>
      </c>
      <c r="E9" t="s">
        <v>21</v>
      </c>
    </row>
    <row r="10" spans="1:7" x14ac:dyDescent="0.25">
      <c r="B10" s="6"/>
      <c r="C10" s="6" t="s">
        <v>1</v>
      </c>
      <c r="D10" s="6">
        <f>D2/D9</f>
        <v>4.0000000000000001E-3</v>
      </c>
      <c r="E10" s="6" t="s">
        <v>20</v>
      </c>
      <c r="G10">
        <f>0.002*0.002*8000000</f>
        <v>32</v>
      </c>
    </row>
    <row r="11" spans="1:7" x14ac:dyDescent="0.25">
      <c r="B11" s="6"/>
      <c r="C11" s="6" t="s">
        <v>136</v>
      </c>
      <c r="D11" s="6">
        <f>D2/D8</f>
        <v>2.5000000000000001E-3</v>
      </c>
      <c r="E11" s="6" t="s">
        <v>20</v>
      </c>
    </row>
    <row r="12" spans="1:7" x14ac:dyDescent="0.25">
      <c r="C12" t="s">
        <v>17</v>
      </c>
      <c r="D12" s="23">
        <v>14000</v>
      </c>
      <c r="E12" t="s">
        <v>21</v>
      </c>
    </row>
    <row r="13" spans="1:7" x14ac:dyDescent="0.25">
      <c r="B13" s="6" t="s">
        <v>106</v>
      </c>
      <c r="C13" s="6" t="s">
        <v>0</v>
      </c>
      <c r="D13" s="6">
        <f>ROUND(D8/D12, 0)</f>
        <v>6</v>
      </c>
      <c r="E13" s="6"/>
    </row>
    <row r="14" spans="1:7" x14ac:dyDescent="0.25">
      <c r="B14" s="8" t="s">
        <v>105</v>
      </c>
      <c r="C14" s="8" t="s">
        <v>104</v>
      </c>
      <c r="D14" s="8">
        <v>6</v>
      </c>
      <c r="E14" s="8"/>
    </row>
    <row r="15" spans="1:7" x14ac:dyDescent="0.25">
      <c r="B15" s="6"/>
      <c r="C15" s="6" t="s">
        <v>71</v>
      </c>
      <c r="D15" s="6" t="b">
        <f>D14&gt;=D13</f>
        <v>1</v>
      </c>
      <c r="E15" s="6"/>
    </row>
    <row r="16" spans="1:7" x14ac:dyDescent="0.25">
      <c r="C16" t="s">
        <v>5</v>
      </c>
      <c r="D16" s="1">
        <v>1.0000000000000001E-9</v>
      </c>
      <c r="E16" t="s">
        <v>23</v>
      </c>
    </row>
    <row r="17" spans="1:11" x14ac:dyDescent="0.25">
      <c r="A17" s="8"/>
      <c r="B17" s="8"/>
      <c r="C17" s="8"/>
      <c r="D17" s="8"/>
      <c r="E17" s="8"/>
    </row>
    <row r="18" spans="1:11" x14ac:dyDescent="0.25">
      <c r="A18" s="8"/>
      <c r="B18" s="8"/>
      <c r="C18" s="8"/>
      <c r="D18" s="8"/>
      <c r="E18" s="8"/>
    </row>
    <row r="19" spans="1:11" x14ac:dyDescent="0.25">
      <c r="A19" s="8"/>
      <c r="B19" s="8"/>
      <c r="C19" s="8"/>
      <c r="D19" s="13"/>
      <c r="E19" s="8"/>
      <c r="G19" s="44" t="s">
        <v>593</v>
      </c>
      <c r="H19" s="44"/>
      <c r="I19" s="44"/>
      <c r="J19" s="44"/>
    </row>
    <row r="20" spans="1:11" x14ac:dyDescent="0.25">
      <c r="A20" s="46" t="s">
        <v>103</v>
      </c>
      <c r="B20" t="s">
        <v>101</v>
      </c>
      <c r="C20" t="s">
        <v>2</v>
      </c>
      <c r="D20">
        <v>0.3</v>
      </c>
      <c r="E20" t="s">
        <v>20</v>
      </c>
      <c r="G20" s="44"/>
      <c r="H20" s="44"/>
      <c r="I20" s="44"/>
      <c r="J20" s="44"/>
    </row>
    <row r="21" spans="1:11" x14ac:dyDescent="0.25">
      <c r="A21" s="46"/>
      <c r="B21" s="6"/>
      <c r="C21" s="6" t="s">
        <v>3</v>
      </c>
      <c r="D21" s="6">
        <f>D20/D4</f>
        <v>0.25</v>
      </c>
      <c r="E21" s="6" t="s">
        <v>20</v>
      </c>
      <c r="G21" s="44"/>
      <c r="H21" s="44"/>
      <c r="I21" s="44"/>
      <c r="J21" s="44"/>
    </row>
    <row r="22" spans="1:11" x14ac:dyDescent="0.25">
      <c r="A22" s="46"/>
      <c r="B22" t="s">
        <v>67</v>
      </c>
      <c r="C22" t="s">
        <v>102</v>
      </c>
      <c r="D22">
        <v>0.1</v>
      </c>
      <c r="G22" s="44"/>
      <c r="H22" s="44"/>
      <c r="I22" s="44"/>
      <c r="J22" s="44"/>
    </row>
    <row r="23" spans="1:11" x14ac:dyDescent="0.25">
      <c r="A23" s="46"/>
      <c r="B23" s="6"/>
      <c r="C23" s="12" t="s">
        <v>72</v>
      </c>
      <c r="D23" s="6">
        <f>D22/D4</f>
        <v>8.3333333333333343E-2</v>
      </c>
      <c r="E23" s="6"/>
    </row>
    <row r="24" spans="1:11" x14ac:dyDescent="0.25">
      <c r="A24" s="46"/>
      <c r="C24" t="s">
        <v>7</v>
      </c>
      <c r="D24">
        <v>35</v>
      </c>
    </row>
    <row r="25" spans="1:11" x14ac:dyDescent="0.25">
      <c r="A25" s="46"/>
      <c r="B25" s="6"/>
      <c r="C25" s="6" t="s">
        <v>28</v>
      </c>
      <c r="D25" s="6"/>
      <c r="E25" s="6"/>
    </row>
    <row r="26" spans="1:11" x14ac:dyDescent="0.25">
      <c r="A26" s="46"/>
      <c r="B26" s="6"/>
      <c r="C26" s="6" t="s">
        <v>12</v>
      </c>
      <c r="D26" s="6">
        <f>D24*D10</f>
        <v>0.14000000000000001</v>
      </c>
      <c r="E26" s="6" t="s">
        <v>22</v>
      </c>
    </row>
    <row r="27" spans="1:11" x14ac:dyDescent="0.25">
      <c r="A27" s="46"/>
      <c r="B27" s="6"/>
      <c r="C27" s="6" t="s">
        <v>11</v>
      </c>
      <c r="D27" s="6">
        <f>D26*D14</f>
        <v>0.84000000000000008</v>
      </c>
      <c r="E27" s="6" t="s">
        <v>22</v>
      </c>
    </row>
    <row r="28" spans="1:11" x14ac:dyDescent="0.25">
      <c r="A28" s="46"/>
      <c r="C28" t="s">
        <v>8</v>
      </c>
      <c r="D28">
        <v>100</v>
      </c>
      <c r="E28" t="s">
        <v>21</v>
      </c>
    </row>
    <row r="29" spans="1:11" x14ac:dyDescent="0.25">
      <c r="A29" s="46"/>
      <c r="C29" t="s">
        <v>10</v>
      </c>
      <c r="D29" s="1">
        <f>D57/D14</f>
        <v>0</v>
      </c>
      <c r="E29" t="s">
        <v>25</v>
      </c>
      <c r="G29" s="44" t="s">
        <v>594</v>
      </c>
      <c r="H29" s="45"/>
      <c r="I29" s="45"/>
      <c r="J29" s="45"/>
      <c r="K29" s="45"/>
    </row>
    <row r="30" spans="1:11" x14ac:dyDescent="0.25">
      <c r="B30" s="8"/>
      <c r="C30" s="10"/>
      <c r="D30" s="8"/>
      <c r="E30" s="8"/>
      <c r="G30" s="45"/>
      <c r="H30" s="45"/>
      <c r="I30" s="45"/>
      <c r="J30" s="45"/>
      <c r="K30" s="45"/>
    </row>
    <row r="31" spans="1:11" x14ac:dyDescent="0.25">
      <c r="A31" s="46" t="s">
        <v>132</v>
      </c>
      <c r="B31" s="6"/>
      <c r="C31" s="6"/>
      <c r="D31" s="6"/>
      <c r="E31" s="7"/>
      <c r="G31" s="45"/>
      <c r="H31" s="45"/>
      <c r="I31" s="45"/>
      <c r="J31" s="45"/>
      <c r="K31" s="45"/>
    </row>
    <row r="32" spans="1:11" x14ac:dyDescent="0.25">
      <c r="A32" s="46"/>
      <c r="B32" s="6"/>
      <c r="C32" s="6" t="s">
        <v>126</v>
      </c>
      <c r="D32" s="6">
        <f>D8/D23</f>
        <v>959999.99999999988</v>
      </c>
      <c r="E32" s="7" t="s">
        <v>24</v>
      </c>
      <c r="G32" s="45"/>
      <c r="H32" s="45"/>
      <c r="I32" s="45"/>
      <c r="J32" s="45"/>
      <c r="K32" s="45"/>
    </row>
    <row r="33" spans="1:18" x14ac:dyDescent="0.25">
      <c r="A33" s="46"/>
      <c r="B33" s="8"/>
      <c r="C33" s="8" t="s">
        <v>127</v>
      </c>
      <c r="D33" s="8">
        <v>200000</v>
      </c>
      <c r="E33" s="9" t="s">
        <v>24</v>
      </c>
      <c r="G33" s="45"/>
      <c r="H33" s="45"/>
      <c r="I33" s="45"/>
      <c r="J33" s="45"/>
      <c r="K33" s="45"/>
    </row>
    <row r="34" spans="1:18" x14ac:dyDescent="0.25">
      <c r="A34" s="46"/>
      <c r="B34" s="8"/>
      <c r="C34" s="8" t="s">
        <v>128</v>
      </c>
      <c r="D34" s="8">
        <v>5</v>
      </c>
      <c r="E34" s="9"/>
      <c r="G34" s="45"/>
      <c r="H34" s="45"/>
      <c r="I34" s="45"/>
      <c r="J34" s="45"/>
      <c r="K34" s="45"/>
    </row>
    <row r="35" spans="1:18" x14ac:dyDescent="0.25">
      <c r="A35" s="46"/>
      <c r="C35" t="s">
        <v>133</v>
      </c>
      <c r="D35">
        <f>D33*D34</f>
        <v>1000000</v>
      </c>
    </row>
    <row r="36" spans="1:18" x14ac:dyDescent="0.25">
      <c r="A36" s="46"/>
      <c r="C36" t="s">
        <v>138</v>
      </c>
      <c r="D36">
        <v>5</v>
      </c>
      <c r="E36" t="s">
        <v>170</v>
      </c>
    </row>
    <row r="37" spans="1:18" x14ac:dyDescent="0.25">
      <c r="A37" s="46"/>
      <c r="C37" t="s">
        <v>171</v>
      </c>
      <c r="D37">
        <f>(1+(D36/200))*D35</f>
        <v>1024999.9999999999</v>
      </c>
    </row>
    <row r="38" spans="1:18" x14ac:dyDescent="0.25">
      <c r="A38" s="46"/>
      <c r="C38" t="s">
        <v>172</v>
      </c>
      <c r="D38">
        <f>(1-(D36/200))*D35</f>
        <v>975000</v>
      </c>
    </row>
    <row r="39" spans="1:18" x14ac:dyDescent="0.25">
      <c r="A39" s="46"/>
      <c r="B39" s="6"/>
      <c r="C39" s="6" t="s">
        <v>9</v>
      </c>
      <c r="D39" s="6">
        <f>D8/D38</f>
        <v>8.2051282051282051E-2</v>
      </c>
      <c r="E39" s="6" t="s">
        <v>20</v>
      </c>
    </row>
    <row r="40" spans="1:18" x14ac:dyDescent="0.25">
      <c r="A40" s="46"/>
      <c r="B40" s="6"/>
      <c r="C40" s="6" t="s">
        <v>134</v>
      </c>
      <c r="D40" s="6">
        <f>POWER(D10, 2)*D37</f>
        <v>16.399999999999999</v>
      </c>
      <c r="E40" s="6" t="s">
        <v>22</v>
      </c>
    </row>
    <row r="41" spans="1:18" x14ac:dyDescent="0.25">
      <c r="A41" s="46"/>
      <c r="B41" s="6"/>
      <c r="C41" s="6" t="s">
        <v>173</v>
      </c>
      <c r="D41" s="6">
        <f>D40/D34</f>
        <v>3.28</v>
      </c>
      <c r="E41" s="6"/>
    </row>
    <row r="42" spans="1:18" x14ac:dyDescent="0.25">
      <c r="A42" s="46"/>
      <c r="B42" s="6"/>
      <c r="C42" s="6" t="s">
        <v>174</v>
      </c>
      <c r="D42" s="6">
        <f>D33*POWER(D99, 2)/(2*3)</f>
        <v>231.48148148148152</v>
      </c>
      <c r="E42" s="6"/>
    </row>
    <row r="43" spans="1:18" x14ac:dyDescent="0.25">
      <c r="A43" s="46"/>
      <c r="B43" s="6"/>
      <c r="C43" s="6" t="s">
        <v>135</v>
      </c>
      <c r="D43" s="6">
        <f>POWER(D11, 2)*D37</f>
        <v>6.40625</v>
      </c>
      <c r="E43" s="6" t="s">
        <v>22</v>
      </c>
    </row>
    <row r="44" spans="1:18" x14ac:dyDescent="0.25">
      <c r="A44" s="46"/>
      <c r="B44" s="6"/>
      <c r="C44" s="6" t="s">
        <v>27</v>
      </c>
      <c r="D44" s="11">
        <f>D60/D34</f>
        <v>0.23520000000000002</v>
      </c>
      <c r="E44" s="6" t="s">
        <v>25</v>
      </c>
    </row>
    <row r="45" spans="1:18" x14ac:dyDescent="0.25">
      <c r="A45" s="46"/>
      <c r="B45" s="8"/>
    </row>
    <row r="46" spans="1:18" x14ac:dyDescent="0.25">
      <c r="B46" s="8"/>
      <c r="P46" t="s">
        <v>78</v>
      </c>
      <c r="Q46" t="s">
        <v>79</v>
      </c>
      <c r="R46">
        <v>0.1</v>
      </c>
    </row>
    <row r="47" spans="1:18" ht="15" customHeight="1" x14ac:dyDescent="0.25">
      <c r="A47" s="46" t="s">
        <v>30</v>
      </c>
      <c r="C47" s="8" t="s">
        <v>29</v>
      </c>
      <c r="D47" s="8">
        <v>180</v>
      </c>
      <c r="E47" s="8" t="s">
        <v>345</v>
      </c>
      <c r="P47" t="s">
        <v>80</v>
      </c>
      <c r="Q47" t="s">
        <v>81</v>
      </c>
      <c r="R47">
        <f xml:space="preserve"> D8/R46</f>
        <v>800000</v>
      </c>
    </row>
    <row r="48" spans="1:18" x14ac:dyDescent="0.25">
      <c r="A48" s="46"/>
      <c r="C48" s="8" t="s">
        <v>26</v>
      </c>
      <c r="D48" s="8">
        <v>30</v>
      </c>
      <c r="E48" s="8" t="s">
        <v>21</v>
      </c>
      <c r="P48" t="s">
        <v>82</v>
      </c>
      <c r="Q48" t="s">
        <v>83</v>
      </c>
      <c r="R48">
        <f>D2/D8</f>
        <v>2.5000000000000001E-3</v>
      </c>
    </row>
    <row r="49" spans="1:18" x14ac:dyDescent="0.25">
      <c r="A49" s="46"/>
      <c r="B49" s="6"/>
      <c r="C49" s="6" t="s">
        <v>13</v>
      </c>
      <c r="D49" s="6">
        <f>D48/D14</f>
        <v>5</v>
      </c>
      <c r="E49" s="6" t="s">
        <v>345</v>
      </c>
      <c r="P49" t="s">
        <v>84</v>
      </c>
      <c r="Q49" t="s">
        <v>85</v>
      </c>
      <c r="R49">
        <f xml:space="preserve"> D2/D9</f>
        <v>4.0000000000000001E-3</v>
      </c>
    </row>
    <row r="50" spans="1:18" x14ac:dyDescent="0.25">
      <c r="A50" s="46"/>
      <c r="B50" s="6"/>
      <c r="C50" s="6" t="s">
        <v>14</v>
      </c>
      <c r="D50" s="11">
        <f>D47/(D16*LN(D12/D49))</f>
        <v>22677523348.74741</v>
      </c>
      <c r="E50" s="7" t="s">
        <v>24</v>
      </c>
      <c r="Q50" t="s">
        <v>86</v>
      </c>
      <c r="R50">
        <f>R48*R47</f>
        <v>2000</v>
      </c>
    </row>
    <row r="51" spans="1:18" x14ac:dyDescent="0.25">
      <c r="A51" s="46"/>
      <c r="C51" s="8" t="s">
        <v>16</v>
      </c>
      <c r="D51" s="13">
        <f>1000000000*15</f>
        <v>15000000000</v>
      </c>
      <c r="E51" s="9" t="s">
        <v>24</v>
      </c>
      <c r="G51" t="s">
        <v>31</v>
      </c>
      <c r="Q51" t="s">
        <v>87</v>
      </c>
      <c r="R51">
        <f>R49*R47</f>
        <v>3200</v>
      </c>
    </row>
    <row r="52" spans="1:18" x14ac:dyDescent="0.25">
      <c r="A52" s="46"/>
      <c r="B52" s="6"/>
      <c r="C52" s="6" t="s">
        <v>107</v>
      </c>
      <c r="D52" s="11">
        <f>D12*D12/D51</f>
        <v>1.3066666666666667E-2</v>
      </c>
      <c r="E52" s="6" t="s">
        <v>22</v>
      </c>
      <c r="Q52" t="s">
        <v>88</v>
      </c>
      <c r="R52">
        <f xml:space="preserve"> POWER(R50, 2)/R47</f>
        <v>5</v>
      </c>
    </row>
    <row r="53" spans="1:18" x14ac:dyDescent="0.25">
      <c r="A53" s="46"/>
      <c r="B53" s="6"/>
      <c r="C53" s="6" t="s">
        <v>15</v>
      </c>
      <c r="D53" s="11">
        <f>2*D52*D14</f>
        <v>0.15679999999999999</v>
      </c>
      <c r="E53" s="6" t="s">
        <v>22</v>
      </c>
      <c r="Q53" t="s">
        <v>89</v>
      </c>
      <c r="R53">
        <f xml:space="preserve"> POWER(R51, 2)/R47</f>
        <v>12.8</v>
      </c>
    </row>
    <row r="54" spans="1:18" x14ac:dyDescent="0.25">
      <c r="A54" s="46"/>
      <c r="B54" s="6"/>
      <c r="C54" s="6" t="s">
        <v>32</v>
      </c>
      <c r="D54" s="11">
        <f>D51*D16*LN(D12/D49)</f>
        <v>119.06062044244945</v>
      </c>
      <c r="E54" s="6"/>
    </row>
    <row r="55" spans="1:18" x14ac:dyDescent="0.25">
      <c r="A55" s="46"/>
      <c r="B55" s="6"/>
      <c r="C55" s="6" t="s">
        <v>108</v>
      </c>
      <c r="D55" s="11" t="b">
        <f>D54&lt;=D47</f>
        <v>1</v>
      </c>
      <c r="E55" s="6"/>
    </row>
    <row r="56" spans="1:18" x14ac:dyDescent="0.25">
      <c r="A56" s="14"/>
      <c r="B56" s="8"/>
      <c r="C56" s="8"/>
      <c r="D56" s="13"/>
      <c r="E56" s="8"/>
    </row>
    <row r="57" spans="1:18" x14ac:dyDescent="0.25">
      <c r="A57" s="43" t="s">
        <v>109</v>
      </c>
      <c r="C57" s="6"/>
      <c r="D57" s="11"/>
      <c r="E57" s="6"/>
    </row>
    <row r="58" spans="1:18" x14ac:dyDescent="0.25">
      <c r="A58" s="43"/>
      <c r="B58" s="6"/>
      <c r="C58" s="6" t="s">
        <v>90</v>
      </c>
      <c r="D58" s="6">
        <f>D2/D3</f>
        <v>1.2500000000000001E-2</v>
      </c>
      <c r="E58" s="6"/>
    </row>
    <row r="59" spans="1:18" x14ac:dyDescent="0.25">
      <c r="A59" s="43"/>
      <c r="B59" s="6" t="s">
        <v>124</v>
      </c>
      <c r="C59" s="6" t="s">
        <v>6</v>
      </c>
      <c r="D59" s="11">
        <f>D12*D12*0.5*D16</f>
        <v>9.8000000000000004E-2</v>
      </c>
      <c r="E59" s="6" t="s">
        <v>25</v>
      </c>
    </row>
    <row r="60" spans="1:18" x14ac:dyDescent="0.25">
      <c r="A60" s="43"/>
      <c r="B60" s="6"/>
      <c r="C60" s="6" t="s">
        <v>137</v>
      </c>
      <c r="D60" s="11">
        <f>D59*2*D14</f>
        <v>1.1760000000000002</v>
      </c>
      <c r="E60" s="6"/>
    </row>
    <row r="61" spans="1:18" x14ac:dyDescent="0.25">
      <c r="A61" s="43"/>
      <c r="B61" s="6"/>
      <c r="C61" s="6" t="s">
        <v>91</v>
      </c>
      <c r="D61" s="11">
        <f>D59-D58</f>
        <v>8.5500000000000007E-2</v>
      </c>
      <c r="E61" s="6"/>
      <c r="R61" s="1"/>
    </row>
    <row r="62" spans="1:18" x14ac:dyDescent="0.25">
      <c r="A62" s="43"/>
      <c r="B62" s="6"/>
      <c r="C62" s="6" t="s">
        <v>92</v>
      </c>
      <c r="D62" s="6">
        <f xml:space="preserve"> POWER(D61*2/D16, 0.5)</f>
        <v>13076.696830622021</v>
      </c>
      <c r="E62" s="6"/>
    </row>
    <row r="63" spans="1:18" x14ac:dyDescent="0.25">
      <c r="A63" s="43"/>
      <c r="B63" s="6" t="s">
        <v>123</v>
      </c>
      <c r="C63" s="6" t="s">
        <v>93</v>
      </c>
      <c r="D63" s="6">
        <f>D12-D62</f>
        <v>923.30316937797943</v>
      </c>
      <c r="E63" s="6"/>
    </row>
    <row r="64" spans="1:18" x14ac:dyDescent="0.25">
      <c r="A64" s="43"/>
      <c r="B64" s="6" t="s">
        <v>119</v>
      </c>
      <c r="C64" s="6" t="s">
        <v>120</v>
      </c>
      <c r="D64" s="6">
        <f>D63/POWER(2, 0.5)</f>
        <v>652.87393215820066</v>
      </c>
      <c r="E64" s="6"/>
    </row>
    <row r="65" spans="1:8" x14ac:dyDescent="0.25">
      <c r="A65" s="43"/>
      <c r="B65" s="6" t="s">
        <v>122</v>
      </c>
      <c r="C65" s="6" t="s">
        <v>121</v>
      </c>
      <c r="D65" s="11">
        <f>2 * PI() * D3* D16*POWER(D64, 2)</f>
        <v>42.850757935489241</v>
      </c>
      <c r="E65" s="6"/>
    </row>
    <row r="66" spans="1:8" x14ac:dyDescent="0.25">
      <c r="A66" s="43"/>
      <c r="C66" t="s">
        <v>94</v>
      </c>
      <c r="D66">
        <v>0.01</v>
      </c>
    </row>
    <row r="67" spans="1:8" x14ac:dyDescent="0.25">
      <c r="A67" s="43"/>
      <c r="C67" t="s">
        <v>95</v>
      </c>
      <c r="D67">
        <v>0.03</v>
      </c>
    </row>
    <row r="68" spans="1:8" x14ac:dyDescent="0.25">
      <c r="A68" s="43"/>
      <c r="C68" t="s">
        <v>96</v>
      </c>
      <c r="D68">
        <v>5.0000000000000001E-4</v>
      </c>
      <c r="G68" s="5" t="s">
        <v>33</v>
      </c>
      <c r="H68" t="s">
        <v>34</v>
      </c>
    </row>
    <row r="69" spans="1:8" x14ac:dyDescent="0.25">
      <c r="A69" s="43"/>
      <c r="C69" t="s">
        <v>97</v>
      </c>
      <c r="D69">
        <v>1E-3</v>
      </c>
      <c r="G69" s="5"/>
    </row>
    <row r="70" spans="1:8" x14ac:dyDescent="0.25">
      <c r="A70" s="43"/>
      <c r="C70" t="s">
        <v>98</v>
      </c>
      <c r="D70">
        <v>5.0000000000000001E-3</v>
      </c>
    </row>
    <row r="71" spans="1:8" x14ac:dyDescent="0.25">
      <c r="A71" s="43"/>
      <c r="C71" t="s">
        <v>99</v>
      </c>
      <c r="D71">
        <v>1.4999999999999999E-2</v>
      </c>
    </row>
    <row r="72" spans="1:8" x14ac:dyDescent="0.25">
      <c r="A72" s="43"/>
      <c r="C72" t="s">
        <v>100</v>
      </c>
      <c r="D72">
        <v>0.01</v>
      </c>
    </row>
    <row r="73" spans="1:8" x14ac:dyDescent="0.25">
      <c r="A73" s="43"/>
      <c r="C73" t="s">
        <v>113</v>
      </c>
      <c r="D73">
        <v>0.02</v>
      </c>
    </row>
    <row r="74" spans="1:8" x14ac:dyDescent="0.25">
      <c r="A74" s="43"/>
      <c r="B74" s="6"/>
      <c r="C74" s="6" t="s">
        <v>110</v>
      </c>
      <c r="D74" s="6">
        <f>D65*D67</f>
        <v>1.2855227380646772</v>
      </c>
      <c r="E74" s="6"/>
    </row>
    <row r="75" spans="1:8" x14ac:dyDescent="0.25">
      <c r="A75" s="43"/>
      <c r="B75" s="6"/>
      <c r="C75" s="6" t="s">
        <v>111</v>
      </c>
      <c r="D75" s="6">
        <f>D65*D69</f>
        <v>4.2850757935489245E-2</v>
      </c>
      <c r="E75" s="6"/>
    </row>
    <row r="76" spans="1:8" x14ac:dyDescent="0.25">
      <c r="A76" s="43"/>
      <c r="B76" s="6"/>
      <c r="C76" s="6" t="s">
        <v>112</v>
      </c>
      <c r="D76" s="6">
        <f>D65*D71</f>
        <v>0.6427613690323386</v>
      </c>
      <c r="E76" s="6"/>
    </row>
    <row r="77" spans="1:8" x14ac:dyDescent="0.25">
      <c r="A77" s="43"/>
      <c r="B77" s="6"/>
      <c r="C77" s="6" t="s">
        <v>114</v>
      </c>
      <c r="D77" s="11">
        <f>D65*D73</f>
        <v>0.85701515870978484</v>
      </c>
      <c r="E77" s="6"/>
    </row>
    <row r="78" spans="1:8" x14ac:dyDescent="0.25">
      <c r="A78" s="43"/>
      <c r="B78" s="6"/>
      <c r="C78" s="6" t="s">
        <v>115</v>
      </c>
      <c r="D78" s="6">
        <f>D74*D14*2</f>
        <v>15.426272856776126</v>
      </c>
      <c r="E78" s="6"/>
    </row>
    <row r="79" spans="1:8" x14ac:dyDescent="0.25">
      <c r="A79" s="43"/>
      <c r="B79" s="6"/>
      <c r="C79" s="6" t="s">
        <v>116</v>
      </c>
      <c r="D79" s="6">
        <f>D75*D14*2</f>
        <v>0.51420909522587088</v>
      </c>
      <c r="E79" s="6"/>
    </row>
    <row r="80" spans="1:8" x14ac:dyDescent="0.25">
      <c r="A80" s="43"/>
      <c r="B80" s="6"/>
      <c r="C80" s="6" t="s">
        <v>117</v>
      </c>
      <c r="D80" s="6">
        <f>D76*D14*2</f>
        <v>7.7131364283880632</v>
      </c>
      <c r="E80" s="6"/>
    </row>
    <row r="81" spans="1:5" x14ac:dyDescent="0.25">
      <c r="A81" s="43"/>
      <c r="B81" s="6"/>
      <c r="C81" s="6" t="s">
        <v>118</v>
      </c>
      <c r="D81" s="11">
        <f>D77*D14*2</f>
        <v>10.284181904517418</v>
      </c>
      <c r="E81" s="6"/>
    </row>
    <row r="83" spans="1:5" x14ac:dyDescent="0.25">
      <c r="C83" s="2" t="s">
        <v>18</v>
      </c>
      <c r="D83" s="4">
        <f>D43+D27+D53</f>
        <v>7.4030499999999995</v>
      </c>
    </row>
    <row r="84" spans="1:5" x14ac:dyDescent="0.25">
      <c r="A84" s="46" t="s">
        <v>125</v>
      </c>
      <c r="B84" s="6" t="s">
        <v>62</v>
      </c>
      <c r="C84" s="6" t="s">
        <v>63</v>
      </c>
      <c r="D84" s="6">
        <f>D12/2</f>
        <v>7000</v>
      </c>
      <c r="E84" s="2" t="s">
        <v>22</v>
      </c>
    </row>
    <row r="85" spans="1:5" x14ac:dyDescent="0.25">
      <c r="A85" s="46"/>
      <c r="B85" t="s">
        <v>58</v>
      </c>
      <c r="C85" s="3" t="s">
        <v>59</v>
      </c>
      <c r="D85">
        <v>0.38</v>
      </c>
    </row>
    <row r="86" spans="1:5" x14ac:dyDescent="0.25">
      <c r="A86" s="46"/>
      <c r="B86" t="s">
        <v>57</v>
      </c>
      <c r="D86">
        <v>6.2679999999999995E-4</v>
      </c>
    </row>
    <row r="87" spans="1:5" x14ac:dyDescent="0.25">
      <c r="A87" s="46"/>
      <c r="B87" t="s">
        <v>51</v>
      </c>
      <c r="C87" t="s">
        <v>52</v>
      </c>
      <c r="D87">
        <v>120</v>
      </c>
    </row>
    <row r="88" spans="1:5" x14ac:dyDescent="0.25">
      <c r="A88" s="46"/>
      <c r="C88" t="s">
        <v>36</v>
      </c>
      <c r="D88">
        <v>0.9</v>
      </c>
    </row>
    <row r="89" spans="1:5" x14ac:dyDescent="0.25">
      <c r="A89" s="46"/>
      <c r="B89" t="s">
        <v>39</v>
      </c>
      <c r="C89" t="s">
        <v>42</v>
      </c>
      <c r="D89">
        <v>0.5</v>
      </c>
    </row>
    <row r="90" spans="1:5" x14ac:dyDescent="0.25">
      <c r="A90" s="46"/>
      <c r="B90" t="s">
        <v>582</v>
      </c>
      <c r="C90" s="35" t="s">
        <v>583</v>
      </c>
      <c r="D90" s="1">
        <f>D2/D3</f>
        <v>1.2500000000000001E-2</v>
      </c>
    </row>
    <row r="91" spans="1:5" x14ac:dyDescent="0.25">
      <c r="A91" s="46"/>
      <c r="B91" t="s">
        <v>41</v>
      </c>
      <c r="C91" t="s">
        <v>35</v>
      </c>
      <c r="D91">
        <f>POWER(2*D90/D93, 0.5)</f>
        <v>22.598870056497173</v>
      </c>
    </row>
    <row r="92" spans="1:5" x14ac:dyDescent="0.25">
      <c r="A92" s="46"/>
      <c r="C92" t="s">
        <v>40</v>
      </c>
      <c r="D92">
        <f>D91</f>
        <v>22.598870056497173</v>
      </c>
    </row>
    <row r="93" spans="1:5" x14ac:dyDescent="0.25">
      <c r="A93" s="46"/>
      <c r="B93" t="s">
        <v>45</v>
      </c>
      <c r="C93" t="s">
        <v>46</v>
      </c>
      <c r="D93" s="1">
        <f>POWER(D5, 2)*POWER(D89/D3, 2)/(2*D90)</f>
        <v>4.8951562500000008E-5</v>
      </c>
    </row>
    <row r="94" spans="1:5" x14ac:dyDescent="0.25">
      <c r="A94" s="46"/>
      <c r="B94" t="s">
        <v>53</v>
      </c>
      <c r="C94" t="s">
        <v>54</v>
      </c>
      <c r="D94">
        <f>POWER(D93*1000000000/D87, 0.5)</f>
        <v>20.197269308003001</v>
      </c>
    </row>
    <row r="95" spans="1:5" x14ac:dyDescent="0.25">
      <c r="A95" s="46"/>
      <c r="B95" t="s">
        <v>55</v>
      </c>
      <c r="C95" t="s">
        <v>56</v>
      </c>
      <c r="D95">
        <f>(D7 * D89) / (D94 * D86 * D3)</f>
        <v>0.10885965835784052</v>
      </c>
    </row>
    <row r="96" spans="1:5" x14ac:dyDescent="0.25">
      <c r="A96" s="46"/>
      <c r="C96" t="s">
        <v>60</v>
      </c>
      <c r="D96" t="b">
        <f>D95&gt;D85</f>
        <v>0</v>
      </c>
    </row>
    <row r="97" spans="1:5" x14ac:dyDescent="0.25">
      <c r="A97" s="46"/>
      <c r="B97" t="s">
        <v>584</v>
      </c>
      <c r="C97" t="s">
        <v>587</v>
      </c>
      <c r="D97">
        <f>D91/D99</f>
        <v>271.18644067796606</v>
      </c>
    </row>
    <row r="98" spans="1:5" x14ac:dyDescent="0.25">
      <c r="A98" s="46"/>
      <c r="B98" t="s">
        <v>585</v>
      </c>
      <c r="C98" t="s">
        <v>586</v>
      </c>
      <c r="D98">
        <f>1/D97</f>
        <v>3.6875000000000007E-3</v>
      </c>
      <c r="E98">
        <v>3.6874999999999998E-3</v>
      </c>
    </row>
    <row r="99" spans="1:5" x14ac:dyDescent="0.25">
      <c r="A99" s="46"/>
      <c r="B99" t="s">
        <v>64</v>
      </c>
      <c r="C99" t="s">
        <v>65</v>
      </c>
      <c r="D99">
        <f>D23</f>
        <v>8.3333333333333343E-2</v>
      </c>
    </row>
    <row r="100" spans="1:5" x14ac:dyDescent="0.25">
      <c r="A100" s="46"/>
      <c r="C100" t="s">
        <v>66</v>
      </c>
      <c r="D100" t="b">
        <f>D99&lt;=D23</f>
        <v>1</v>
      </c>
    </row>
    <row r="101" spans="1:5" x14ac:dyDescent="0.25">
      <c r="A101" s="46"/>
      <c r="B101" t="s">
        <v>68</v>
      </c>
      <c r="C101" t="s">
        <v>49</v>
      </c>
      <c r="D101">
        <f>2*D2/(POWER(D99, 2)*D88*D3)</f>
        <v>3.9999999999999996</v>
      </c>
      <c r="E101">
        <v>8.5069444444444393</v>
      </c>
    </row>
    <row r="102" spans="1:5" x14ac:dyDescent="0.25">
      <c r="A102" s="46"/>
      <c r="B102" t="s">
        <v>68</v>
      </c>
      <c r="C102" t="s">
        <v>69</v>
      </c>
      <c r="D102">
        <f>D93*POWER(D97,2)</f>
        <v>3.6</v>
      </c>
    </row>
    <row r="103" spans="1:5" x14ac:dyDescent="0.25">
      <c r="A103" s="46"/>
      <c r="B103" t="s">
        <v>176</v>
      </c>
      <c r="C103" t="s">
        <v>177</v>
      </c>
      <c r="D103">
        <f xml:space="preserve"> D97*D94</f>
        <v>5477.2255750516606</v>
      </c>
    </row>
    <row r="104" spans="1:5" x14ac:dyDescent="0.25">
      <c r="A104" s="46"/>
      <c r="C104" t="s">
        <v>178</v>
      </c>
      <c r="D104">
        <v>6</v>
      </c>
    </row>
    <row r="105" spans="1:5" x14ac:dyDescent="0.25">
      <c r="A105" s="46"/>
      <c r="C105" t="s">
        <v>229</v>
      </c>
      <c r="D105">
        <f>D103/D104</f>
        <v>912.87092917527673</v>
      </c>
    </row>
    <row r="106" spans="1:5" x14ac:dyDescent="0.25">
      <c r="A106" s="46"/>
      <c r="C106" t="s">
        <v>189</v>
      </c>
      <c r="D106">
        <v>33</v>
      </c>
      <c r="E106" t="s">
        <v>141</v>
      </c>
    </row>
    <row r="107" spans="1:5" x14ac:dyDescent="0.25">
      <c r="A107" s="46"/>
      <c r="C107" t="s">
        <v>187</v>
      </c>
      <c r="D107">
        <v>74</v>
      </c>
      <c r="E107" t="s">
        <v>141</v>
      </c>
    </row>
    <row r="108" spans="1:5" x14ac:dyDescent="0.25">
      <c r="A108" s="46"/>
      <c r="C108" t="s">
        <v>186</v>
      </c>
      <c r="D108">
        <v>4</v>
      </c>
    </row>
    <row r="109" spans="1:5" x14ac:dyDescent="0.25">
      <c r="A109" s="46"/>
      <c r="C109" t="s">
        <v>180</v>
      </c>
      <c r="D109">
        <f>D107-(D108*2)</f>
        <v>66</v>
      </c>
      <c r="E109" t="s">
        <v>141</v>
      </c>
    </row>
    <row r="110" spans="1:5" x14ac:dyDescent="0.25">
      <c r="A110" s="46"/>
      <c r="C110" t="s">
        <v>181</v>
      </c>
      <c r="D110">
        <f>D109/D104</f>
        <v>11</v>
      </c>
      <c r="E110" t="s">
        <v>141</v>
      </c>
    </row>
    <row r="111" spans="1:5" x14ac:dyDescent="0.25">
      <c r="A111" s="46"/>
      <c r="C111" t="s">
        <v>182</v>
      </c>
      <c r="D111">
        <v>0.25</v>
      </c>
      <c r="E111" t="s">
        <v>141</v>
      </c>
    </row>
    <row r="112" spans="1:5" x14ac:dyDescent="0.25">
      <c r="A112" s="46"/>
      <c r="C112" t="s">
        <v>191</v>
      </c>
      <c r="D112">
        <f>D111/2000</f>
        <v>1.25E-4</v>
      </c>
      <c r="E112" t="s">
        <v>214</v>
      </c>
    </row>
    <row r="113" spans="1:5" x14ac:dyDescent="0.25">
      <c r="A113" s="46"/>
      <c r="C113" t="s">
        <v>183</v>
      </c>
      <c r="D113">
        <f>0.1</f>
        <v>0.1</v>
      </c>
    </row>
    <row r="114" spans="1:5" x14ac:dyDescent="0.25">
      <c r="A114" s="46"/>
      <c r="C114" t="s">
        <v>184</v>
      </c>
      <c r="D114">
        <f>D111*(1+D113)</f>
        <v>0.27500000000000002</v>
      </c>
    </row>
    <row r="115" spans="1:5" x14ac:dyDescent="0.25">
      <c r="A115" s="46"/>
      <c r="C115" t="s">
        <v>179</v>
      </c>
      <c r="D115">
        <f>D103/D104</f>
        <v>912.87092917527673</v>
      </c>
    </row>
    <row r="116" spans="1:5" x14ac:dyDescent="0.25">
      <c r="A116" s="46"/>
      <c r="C116" t="s">
        <v>185</v>
      </c>
      <c r="D116">
        <f>D110/D114</f>
        <v>40</v>
      </c>
    </row>
    <row r="117" spans="1:5" x14ac:dyDescent="0.25">
      <c r="A117" s="46"/>
      <c r="C117" t="s">
        <v>197</v>
      </c>
      <c r="D117">
        <f>D115/D116</f>
        <v>22.821773229381918</v>
      </c>
    </row>
    <row r="118" spans="1:5" x14ac:dyDescent="0.25">
      <c r="A118" s="46"/>
      <c r="C118" t="s">
        <v>196</v>
      </c>
      <c r="D118">
        <f>D117*D111</f>
        <v>5.7054433073454796</v>
      </c>
      <c r="E118" t="s">
        <v>141</v>
      </c>
    </row>
    <row r="119" spans="1:5" x14ac:dyDescent="0.25">
      <c r="A119" s="46"/>
      <c r="C119" t="s">
        <v>188</v>
      </c>
      <c r="D119">
        <f>(D106/2)+(D118/2)</f>
        <v>19.352721653672738</v>
      </c>
    </row>
    <row r="120" spans="1:5" x14ac:dyDescent="0.25">
      <c r="A120" s="46"/>
      <c r="C120" t="s">
        <v>190</v>
      </c>
      <c r="D120">
        <f>(D119/1000)*D103*2*PI()</f>
        <v>666.01275416968303</v>
      </c>
    </row>
    <row r="121" spans="1:5" x14ac:dyDescent="0.25">
      <c r="A121" s="46"/>
      <c r="C121" t="s">
        <v>191</v>
      </c>
      <c r="D121">
        <f>D111/2000</f>
        <v>1.25E-4</v>
      </c>
    </row>
    <row r="122" spans="1:5" x14ac:dyDescent="0.25">
      <c r="A122" s="46"/>
      <c r="C122" t="s">
        <v>192</v>
      </c>
      <c r="D122">
        <f>PI()*POWER(D121, 2)*D120</f>
        <v>3.2692824620259078E-5</v>
      </c>
      <c r="E122" t="s">
        <v>194</v>
      </c>
    </row>
    <row r="123" spans="1:5" x14ac:dyDescent="0.25">
      <c r="A123" s="46"/>
      <c r="C123" t="s">
        <v>193</v>
      </c>
      <c r="D123">
        <v>8960</v>
      </c>
    </row>
    <row r="124" spans="1:5" x14ac:dyDescent="0.25">
      <c r="A124" s="46"/>
      <c r="C124" t="s">
        <v>195</v>
      </c>
      <c r="D124">
        <f>D123*D122</f>
        <v>0.29292770859752132</v>
      </c>
    </row>
    <row r="125" spans="1:5" x14ac:dyDescent="0.25">
      <c r="A125" s="46"/>
      <c r="C125" t="s">
        <v>227</v>
      </c>
      <c r="D125">
        <f>D112^2*PI()</f>
        <v>4.9087385212340514E-8</v>
      </c>
    </row>
    <row r="126" spans="1:5" x14ac:dyDescent="0.25">
      <c r="A126" s="46"/>
      <c r="C126" t="s">
        <v>203</v>
      </c>
      <c r="D126" s="1">
        <v>1.6800000000000002E-8</v>
      </c>
    </row>
    <row r="127" spans="1:5" x14ac:dyDescent="0.25">
      <c r="A127" s="46"/>
      <c r="C127" t="s">
        <v>202</v>
      </c>
      <c r="D127" s="1">
        <f>D126*D120/D125</f>
        <v>227.94072696375301</v>
      </c>
    </row>
    <row r="128" spans="1:5" x14ac:dyDescent="0.25">
      <c r="A128" s="46"/>
      <c r="C128" t="s">
        <v>204</v>
      </c>
      <c r="D128" s="1">
        <f>POWER(D99/POWER(3, 0.5), 2)*D127</f>
        <v>0.52764057167535439</v>
      </c>
      <c r="E128" t="s">
        <v>228</v>
      </c>
    </row>
    <row r="129" spans="1:5" x14ac:dyDescent="0.25">
      <c r="A129" s="46"/>
      <c r="C129" t="s">
        <v>198</v>
      </c>
    </row>
    <row r="130" spans="1:5" x14ac:dyDescent="0.25">
      <c r="A130" s="46"/>
      <c r="C130" t="s">
        <v>199</v>
      </c>
    </row>
    <row r="131" spans="1:5" x14ac:dyDescent="0.25">
      <c r="A131" s="46"/>
      <c r="C131" t="s">
        <v>201</v>
      </c>
      <c r="D131">
        <v>2</v>
      </c>
      <c r="E131" t="s">
        <v>207</v>
      </c>
    </row>
    <row r="132" spans="1:5" x14ac:dyDescent="0.25">
      <c r="A132" s="46"/>
      <c r="C132" t="s">
        <v>211</v>
      </c>
      <c r="D132">
        <f>D131/2000</f>
        <v>1E-3</v>
      </c>
    </row>
    <row r="133" spans="1:5" x14ac:dyDescent="0.25">
      <c r="A133" s="46"/>
      <c r="C133" t="s">
        <v>200</v>
      </c>
      <c r="D133">
        <v>21</v>
      </c>
    </row>
    <row r="134" spans="1:5" x14ac:dyDescent="0.25">
      <c r="A134" s="46"/>
      <c r="C134" t="s">
        <v>205</v>
      </c>
      <c r="D134">
        <v>0.05</v>
      </c>
    </row>
    <row r="135" spans="1:5" x14ac:dyDescent="0.25">
      <c r="A135" s="46"/>
      <c r="C135" t="s">
        <v>206</v>
      </c>
      <c r="D135">
        <f>(D133/1000)*D94*2*PI()</f>
        <v>2.6649669009850672</v>
      </c>
    </row>
    <row r="136" spans="1:5" x14ac:dyDescent="0.25">
      <c r="A136" s="46"/>
      <c r="C136" t="s">
        <v>191</v>
      </c>
      <c r="D136">
        <f>D131/2000</f>
        <v>1E-3</v>
      </c>
    </row>
    <row r="137" spans="1:5" x14ac:dyDescent="0.25">
      <c r="A137" s="46"/>
      <c r="C137" t="s">
        <v>192</v>
      </c>
      <c r="D137">
        <f>PI()*POWER(D136, 2)*D135</f>
        <v>8.3722404381946435E-6</v>
      </c>
    </row>
    <row r="138" spans="1:5" x14ac:dyDescent="0.25">
      <c r="A138" s="46"/>
      <c r="C138" t="s">
        <v>208</v>
      </c>
      <c r="D138">
        <f>POWER(2*D143/(4*PI()*(0.0000001)*2*PI()*D3), 0.5)</f>
        <v>5.157209585242166E-4</v>
      </c>
      <c r="E138" t="s">
        <v>214</v>
      </c>
    </row>
    <row r="139" spans="1:5" x14ac:dyDescent="0.25">
      <c r="A139" s="46"/>
      <c r="C139" t="s">
        <v>209</v>
      </c>
      <c r="D139">
        <f>1000*D138</f>
        <v>0.51572095852421662</v>
      </c>
      <c r="E139" t="s">
        <v>141</v>
      </c>
    </row>
    <row r="140" spans="1:5" x14ac:dyDescent="0.25">
      <c r="A140" s="46"/>
      <c r="C140" t="s">
        <v>210</v>
      </c>
      <c r="D140">
        <f>POWER(D132, 2)*PI()</f>
        <v>3.1415926535897929E-6</v>
      </c>
      <c r="E140" t="s">
        <v>215</v>
      </c>
    </row>
    <row r="141" spans="1:5" x14ac:dyDescent="0.25">
      <c r="A141" s="46"/>
      <c r="C141" t="s">
        <v>212</v>
      </c>
      <c r="D141">
        <f>POWER((D132-D138), 2)*PI()</f>
        <v>7.3678575561831338E-7</v>
      </c>
      <c r="E141" t="s">
        <v>215</v>
      </c>
    </row>
    <row r="142" spans="1:5" x14ac:dyDescent="0.25">
      <c r="A142" s="46"/>
      <c r="C142" t="s">
        <v>213</v>
      </c>
      <c r="D142">
        <f>D140-D141</f>
        <v>2.4048068979714796E-6</v>
      </c>
      <c r="E142" t="s">
        <v>215</v>
      </c>
    </row>
    <row r="143" spans="1:5" x14ac:dyDescent="0.25">
      <c r="A143" s="46"/>
      <c r="C143" t="s">
        <v>203</v>
      </c>
      <c r="D143" s="1">
        <v>1.6800000000000002E-8</v>
      </c>
    </row>
    <row r="144" spans="1:5" x14ac:dyDescent="0.25">
      <c r="A144" s="46"/>
      <c r="C144" t="s">
        <v>217</v>
      </c>
      <c r="D144" s="1">
        <f>D135+D134</f>
        <v>2.714966900985067</v>
      </c>
    </row>
    <row r="145" spans="1:5" x14ac:dyDescent="0.25">
      <c r="A145" s="46"/>
      <c r="C145" t="s">
        <v>218</v>
      </c>
      <c r="D145" s="1">
        <f>2*D132*PI()*D135</f>
        <v>1.674448087638929E-2</v>
      </c>
    </row>
    <row r="146" spans="1:5" x14ac:dyDescent="0.25">
      <c r="A146" s="46"/>
      <c r="C146" t="s">
        <v>219</v>
      </c>
      <c r="D146" s="1">
        <f>D143*D135/D142</f>
        <v>1.8617479837701342E-2</v>
      </c>
      <c r="E146" t="s">
        <v>216</v>
      </c>
    </row>
    <row r="147" spans="1:5" x14ac:dyDescent="0.25">
      <c r="A147" s="46"/>
      <c r="C147" t="s">
        <v>220</v>
      </c>
      <c r="D147" s="1">
        <f>D143*D134/D142</f>
        <v>3.4930039526606611E-4</v>
      </c>
    </row>
    <row r="148" spans="1:5" x14ac:dyDescent="0.25">
      <c r="A148" s="46"/>
      <c r="C148" t="s">
        <v>221</v>
      </c>
      <c r="D148" s="1">
        <f>D146+D147</f>
        <v>1.8966780232967408E-2</v>
      </c>
    </row>
    <row r="149" spans="1:5" x14ac:dyDescent="0.25">
      <c r="A149" s="46"/>
      <c r="C149" t="s">
        <v>222</v>
      </c>
      <c r="D149" s="1">
        <f>POWER(D91/POWER(3, 0.5), 2)*D146</f>
        <v>3.1693710556057906</v>
      </c>
    </row>
    <row r="150" spans="1:5" x14ac:dyDescent="0.25">
      <c r="A150" s="46"/>
      <c r="C150" t="s">
        <v>223</v>
      </c>
      <c r="D150" s="1">
        <f>POWER(D91/POWER(3, 0.5), 2)*D147</f>
        <v>5.9463610119027711E-2</v>
      </c>
    </row>
    <row r="151" spans="1:5" x14ac:dyDescent="0.25">
      <c r="A151" s="46"/>
      <c r="C151" t="s">
        <v>224</v>
      </c>
      <c r="D151" s="1">
        <f>D149+D150</f>
        <v>3.2288346657248184</v>
      </c>
    </row>
    <row r="152" spans="1:5" x14ac:dyDescent="0.25">
      <c r="A152" s="46"/>
      <c r="C152" t="s">
        <v>225</v>
      </c>
      <c r="D152" s="23">
        <f>D149/D145</f>
        <v>189.2785496906501</v>
      </c>
      <c r="E152" t="s">
        <v>226</v>
      </c>
    </row>
    <row r="153" spans="1:5" x14ac:dyDescent="0.25">
      <c r="A153" s="46"/>
      <c r="C153" t="s">
        <v>298</v>
      </c>
      <c r="D153" s="23">
        <v>0.2</v>
      </c>
    </row>
    <row r="154" spans="1:5" x14ac:dyDescent="0.25">
      <c r="A154" s="46"/>
      <c r="C154" t="s">
        <v>231</v>
      </c>
      <c r="D154">
        <f>D153*D102</f>
        <v>0.72000000000000008</v>
      </c>
    </row>
    <row r="155" spans="1:5" x14ac:dyDescent="0.25">
      <c r="A155" s="46"/>
      <c r="C155" t="s">
        <v>234</v>
      </c>
      <c r="D155">
        <f>D154/POWER(D97, 2)</f>
        <v>9.7903125000000027E-6</v>
      </c>
    </row>
    <row r="156" spans="1:5" x14ac:dyDescent="0.25">
      <c r="A156" s="24"/>
    </row>
    <row r="157" spans="1:5" x14ac:dyDescent="0.25">
      <c r="A157" s="43" t="s">
        <v>540</v>
      </c>
      <c r="B157" t="s">
        <v>535</v>
      </c>
      <c r="D157">
        <f>D4</f>
        <v>1.2</v>
      </c>
    </row>
    <row r="158" spans="1:5" x14ac:dyDescent="0.25">
      <c r="A158" s="43"/>
      <c r="B158" t="s">
        <v>50</v>
      </c>
      <c r="C158" t="s">
        <v>242</v>
      </c>
      <c r="D158">
        <f>1/D97</f>
        <v>3.6875000000000007E-3</v>
      </c>
    </row>
    <row r="159" spans="1:5" x14ac:dyDescent="0.25">
      <c r="A159" s="43"/>
      <c r="B159" t="s">
        <v>48</v>
      </c>
      <c r="D159">
        <f>D3</f>
        <v>16000</v>
      </c>
    </row>
    <row r="160" spans="1:5" x14ac:dyDescent="0.25">
      <c r="A160" s="43"/>
      <c r="B160" t="s">
        <v>76</v>
      </c>
      <c r="D160">
        <f>D84</f>
        <v>7000</v>
      </c>
    </row>
    <row r="161" spans="1:4" x14ac:dyDescent="0.25">
      <c r="A161" s="43"/>
      <c r="B161" t="s">
        <v>534</v>
      </c>
      <c r="C161" t="s">
        <v>250</v>
      </c>
      <c r="D161">
        <v>2.5</v>
      </c>
    </row>
    <row r="162" spans="1:4" x14ac:dyDescent="0.25">
      <c r="A162" s="43"/>
      <c r="B162" t="s">
        <v>243</v>
      </c>
      <c r="D162">
        <f>D91</f>
        <v>22.598870056497173</v>
      </c>
    </row>
    <row r="163" spans="1:4" x14ac:dyDescent="0.25">
      <c r="A163" s="43"/>
      <c r="B163" t="s">
        <v>244</v>
      </c>
      <c r="D163">
        <f>D155</f>
        <v>9.7903125000000027E-6</v>
      </c>
    </row>
    <row r="164" spans="1:4" x14ac:dyDescent="0.25">
      <c r="A164" s="43"/>
      <c r="B164" t="s">
        <v>539</v>
      </c>
      <c r="D164">
        <f>D160*D158</f>
        <v>25.812500000000004</v>
      </c>
    </row>
    <row r="165" spans="1:4" x14ac:dyDescent="0.25">
      <c r="A165" s="43"/>
      <c r="B165" t="s">
        <v>241</v>
      </c>
      <c r="D165">
        <v>10</v>
      </c>
    </row>
    <row r="166" spans="1:4" x14ac:dyDescent="0.25">
      <c r="A166" s="43"/>
      <c r="B166" t="s">
        <v>230</v>
      </c>
      <c r="C166" t="s">
        <v>240</v>
      </c>
      <c r="D166">
        <f>D161*D164</f>
        <v>64.531250000000014</v>
      </c>
    </row>
    <row r="167" spans="1:4" x14ac:dyDescent="0.25">
      <c r="A167" s="43"/>
      <c r="B167" t="s">
        <v>39</v>
      </c>
      <c r="D167">
        <f>D89</f>
        <v>0.5</v>
      </c>
    </row>
    <row r="168" spans="1:4" x14ac:dyDescent="0.25">
      <c r="A168" s="43"/>
      <c r="B168" t="s">
        <v>303</v>
      </c>
      <c r="D168">
        <f>0.5*D163*POWER(D162, 2)</f>
        <v>2.5000000000000001E-3</v>
      </c>
    </row>
    <row r="169" spans="1:4" x14ac:dyDescent="0.25">
      <c r="A169" s="43"/>
      <c r="B169" t="s">
        <v>232</v>
      </c>
      <c r="D169">
        <f>D162*D163/D166</f>
        <v>3.4285714285714285E-6</v>
      </c>
    </row>
    <row r="170" spans="1:4" x14ac:dyDescent="0.25">
      <c r="A170" s="43"/>
      <c r="B170" t="s">
        <v>233</v>
      </c>
      <c r="D170" t="b">
        <f>AND(D169&gt;0, D169&lt;((1-D167)/D159))</f>
        <v>1</v>
      </c>
    </row>
    <row r="171" spans="1:4" x14ac:dyDescent="0.25">
      <c r="A171" s="43"/>
      <c r="B171" t="s">
        <v>245</v>
      </c>
      <c r="D171">
        <f>D168*D159</f>
        <v>40</v>
      </c>
    </row>
    <row r="172" spans="1:4" x14ac:dyDescent="0.25">
      <c r="A172" s="43"/>
      <c r="B172" t="s">
        <v>238</v>
      </c>
      <c r="D172">
        <f>POWER(D166, 2)/D171</f>
        <v>104.10705566406254</v>
      </c>
    </row>
    <row r="173" spans="1:4" x14ac:dyDescent="0.25">
      <c r="A173" s="43"/>
      <c r="B173" t="s">
        <v>236</v>
      </c>
      <c r="D173">
        <v>330</v>
      </c>
    </row>
    <row r="174" spans="1:4" x14ac:dyDescent="0.25">
      <c r="A174" s="43"/>
      <c r="B174" t="s">
        <v>536</v>
      </c>
      <c r="D174">
        <f>POWER(D173*D171, 0.5)</f>
        <v>114.89125293076057</v>
      </c>
    </row>
    <row r="175" spans="1:4" x14ac:dyDescent="0.25">
      <c r="A175" s="43"/>
      <c r="B175" t="s">
        <v>538</v>
      </c>
      <c r="D175">
        <f>D174/D164</f>
        <v>4.4509928496178421</v>
      </c>
    </row>
    <row r="176" spans="1:4" x14ac:dyDescent="0.25">
      <c r="A176" s="43"/>
      <c r="B176" t="s">
        <v>246</v>
      </c>
      <c r="C176" t="s">
        <v>247</v>
      </c>
      <c r="D176">
        <f>D171*D157</f>
        <v>48</v>
      </c>
    </row>
    <row r="177" spans="1:14" x14ac:dyDescent="0.25">
      <c r="A177" s="43"/>
      <c r="B177" t="s">
        <v>235</v>
      </c>
      <c r="C177" t="s">
        <v>248</v>
      </c>
      <c r="D177">
        <v>0.5</v>
      </c>
    </row>
    <row r="178" spans="1:14" x14ac:dyDescent="0.25">
      <c r="A178" s="43"/>
      <c r="B178" t="s">
        <v>237</v>
      </c>
      <c r="D178">
        <f>D174/(D177*D173*D159)</f>
        <v>4.3519413988924462E-5</v>
      </c>
    </row>
    <row r="179" spans="1:14" x14ac:dyDescent="0.25">
      <c r="A179" s="43"/>
      <c r="B179" t="s">
        <v>296</v>
      </c>
      <c r="C179" t="s">
        <v>297</v>
      </c>
      <c r="D179" s="1">
        <v>10</v>
      </c>
    </row>
    <row r="180" spans="1:14" x14ac:dyDescent="0.25">
      <c r="A180" s="43"/>
      <c r="B180" t="s">
        <v>537</v>
      </c>
      <c r="D180" s="1">
        <v>6.0000000000000002E-6</v>
      </c>
    </row>
    <row r="181" spans="1:14" x14ac:dyDescent="0.25">
      <c r="A181" s="43"/>
      <c r="B181" t="s">
        <v>513</v>
      </c>
      <c r="D181" s="1">
        <v>4.1000000000000003E-3</v>
      </c>
    </row>
    <row r="182" spans="1:14" x14ac:dyDescent="0.25">
      <c r="A182" s="43"/>
      <c r="B182" t="s">
        <v>239</v>
      </c>
      <c r="D182" s="1">
        <f>D180*D179</f>
        <v>6.0000000000000002E-5</v>
      </c>
    </row>
    <row r="183" spans="1:14" x14ac:dyDescent="0.25">
      <c r="A183" s="43"/>
      <c r="B183" t="s">
        <v>514</v>
      </c>
      <c r="D183" s="1">
        <f>D181/D179</f>
        <v>4.1000000000000005E-4</v>
      </c>
    </row>
    <row r="184" spans="1:14" x14ac:dyDescent="0.25">
      <c r="A184" s="43"/>
      <c r="B184" t="s">
        <v>518</v>
      </c>
      <c r="C184" t="s">
        <v>249</v>
      </c>
      <c r="D184">
        <f>D174/(D182*(D173*D159))</f>
        <v>0.36266178324103715</v>
      </c>
      <c r="H184" t="s">
        <v>532</v>
      </c>
      <c r="I184" t="s">
        <v>521</v>
      </c>
      <c r="J184" t="s">
        <v>529</v>
      </c>
      <c r="K184" t="s">
        <v>527</v>
      </c>
      <c r="L184" t="s">
        <v>528</v>
      </c>
      <c r="M184" t="s">
        <v>530</v>
      </c>
      <c r="N184" t="s">
        <v>531</v>
      </c>
    </row>
    <row r="185" spans="1:14" x14ac:dyDescent="0.25">
      <c r="A185" s="43"/>
      <c r="B185" t="s">
        <v>519</v>
      </c>
      <c r="D185" s="1">
        <f>D162*D183</f>
        <v>9.2655367231638426E-3</v>
      </c>
      <c r="E185" t="s">
        <v>510</v>
      </c>
      <c r="G185" s="5" t="s">
        <v>520</v>
      </c>
      <c r="H185">
        <v>27</v>
      </c>
      <c r="I185">
        <v>2</v>
      </c>
      <c r="J185">
        <v>1.8</v>
      </c>
      <c r="K185">
        <f>J185/I185</f>
        <v>0.9</v>
      </c>
      <c r="L185" s="31">
        <v>8.81</v>
      </c>
      <c r="M185" s="31">
        <f>L185*I185</f>
        <v>17.62</v>
      </c>
      <c r="N185">
        <f>H185*I185</f>
        <v>54</v>
      </c>
    </row>
    <row r="186" spans="1:14" x14ac:dyDescent="0.25">
      <c r="A186" s="43"/>
      <c r="B186" t="s">
        <v>517</v>
      </c>
      <c r="D186" s="1">
        <f>D185+D184</f>
        <v>0.37192731996420098</v>
      </c>
      <c r="G186" t="s">
        <v>522</v>
      </c>
      <c r="H186">
        <v>47</v>
      </c>
      <c r="I186">
        <v>1</v>
      </c>
      <c r="J186">
        <v>2.7</v>
      </c>
      <c r="K186">
        <f t="shared" ref="K186:K191" si="0">J186/I186</f>
        <v>2.7</v>
      </c>
      <c r="L186" s="31">
        <v>13.55</v>
      </c>
      <c r="M186" s="31">
        <f t="shared" ref="M186:M188" si="1">L186*I186</f>
        <v>13.55</v>
      </c>
      <c r="N186">
        <f t="shared" ref="N186:N191" si="2">H186*I186</f>
        <v>47</v>
      </c>
    </row>
    <row r="187" spans="1:14" ht="15.75" thickBot="1" x14ac:dyDescent="0.3">
      <c r="A187" s="43"/>
      <c r="B187" t="s">
        <v>515</v>
      </c>
      <c r="D187" s="1">
        <f>POWER(D185, 2)/D183</f>
        <v>0.20939066041048232</v>
      </c>
      <c r="G187" t="s">
        <v>523</v>
      </c>
      <c r="H187">
        <v>8</v>
      </c>
      <c r="I187">
        <v>10</v>
      </c>
      <c r="J187">
        <v>6</v>
      </c>
      <c r="K187">
        <f t="shared" si="0"/>
        <v>0.6</v>
      </c>
      <c r="L187" s="32">
        <v>2.95</v>
      </c>
      <c r="M187" s="32">
        <f>L187*I187</f>
        <v>29.5</v>
      </c>
      <c r="N187">
        <f t="shared" si="2"/>
        <v>80</v>
      </c>
    </row>
    <row r="188" spans="1:14" x14ac:dyDescent="0.25">
      <c r="A188" s="43"/>
      <c r="B188" t="s">
        <v>516</v>
      </c>
      <c r="D188" s="1">
        <f>D187/D179</f>
        <v>2.0939066041048233E-2</v>
      </c>
      <c r="G188" t="s">
        <v>524</v>
      </c>
      <c r="H188">
        <v>12</v>
      </c>
      <c r="I188">
        <v>4</v>
      </c>
      <c r="J188">
        <v>1.8</v>
      </c>
      <c r="K188">
        <f t="shared" si="0"/>
        <v>0.45</v>
      </c>
      <c r="L188" s="31">
        <v>8.82</v>
      </c>
      <c r="M188" s="31">
        <f t="shared" si="1"/>
        <v>35.28</v>
      </c>
      <c r="N188">
        <f t="shared" si="2"/>
        <v>48</v>
      </c>
    </row>
    <row r="189" spans="1:14" x14ac:dyDescent="0.25">
      <c r="A189" s="43"/>
      <c r="B189" t="s">
        <v>299</v>
      </c>
      <c r="D189" s="1">
        <f>2*PI()*D159*D182*D184</f>
        <v>2.1875243404182072</v>
      </c>
      <c r="E189" t="s">
        <v>511</v>
      </c>
      <c r="G189" s="5" t="s">
        <v>525</v>
      </c>
      <c r="H189">
        <v>6</v>
      </c>
      <c r="I189">
        <v>10</v>
      </c>
      <c r="J189">
        <v>4.0999999999999996</v>
      </c>
      <c r="K189">
        <f t="shared" si="0"/>
        <v>0.41</v>
      </c>
      <c r="L189" s="31"/>
      <c r="M189" s="31">
        <v>25.4</v>
      </c>
      <c r="N189">
        <f t="shared" si="2"/>
        <v>60</v>
      </c>
    </row>
    <row r="190" spans="1:14" x14ac:dyDescent="0.25">
      <c r="A190" s="43"/>
      <c r="B190" t="s">
        <v>300</v>
      </c>
      <c r="D190">
        <f>2*D189</f>
        <v>4.3750486808364144</v>
      </c>
      <c r="E190" t="s">
        <v>512</v>
      </c>
      <c r="G190" t="s">
        <v>526</v>
      </c>
      <c r="H190">
        <v>5.6</v>
      </c>
      <c r="I190">
        <v>9</v>
      </c>
      <c r="J190">
        <v>4.2</v>
      </c>
      <c r="K190">
        <f t="shared" si="0"/>
        <v>0.46666666666666667</v>
      </c>
      <c r="L190" s="31"/>
      <c r="M190" s="31">
        <v>26.7</v>
      </c>
      <c r="N190">
        <f t="shared" si="2"/>
        <v>50.4</v>
      </c>
    </row>
    <row r="191" spans="1:14" x14ac:dyDescent="0.25">
      <c r="A191" s="43"/>
      <c r="B191" t="s">
        <v>301</v>
      </c>
      <c r="D191" s="1">
        <f>D190/D179</f>
        <v>0.43750486808364142</v>
      </c>
      <c r="G191" t="s">
        <v>533</v>
      </c>
      <c r="H191">
        <v>5</v>
      </c>
      <c r="I191">
        <v>10</v>
      </c>
      <c r="J191">
        <v>5.5</v>
      </c>
      <c r="K191">
        <f t="shared" si="0"/>
        <v>0.55000000000000004</v>
      </c>
      <c r="M191" s="33">
        <v>21</v>
      </c>
      <c r="N191">
        <f t="shared" si="2"/>
        <v>50</v>
      </c>
    </row>
    <row r="192" spans="1:14" x14ac:dyDescent="0.25">
      <c r="A192" s="43"/>
      <c r="B192" t="s">
        <v>302</v>
      </c>
      <c r="D192" s="1">
        <f>D162*D4</f>
        <v>27.118644067796605</v>
      </c>
    </row>
    <row r="193" spans="1:5" x14ac:dyDescent="0.25">
      <c r="A193" s="43"/>
      <c r="B193" t="s">
        <v>303</v>
      </c>
      <c r="D193" s="1">
        <f>D168</f>
        <v>2.5000000000000001E-3</v>
      </c>
    </row>
    <row r="194" spans="1:5" x14ac:dyDescent="0.25">
      <c r="A194" s="43"/>
      <c r="B194" t="s">
        <v>304</v>
      </c>
      <c r="D194" s="1"/>
    </row>
    <row r="195" spans="1:5" x14ac:dyDescent="0.25">
      <c r="A195" s="43"/>
      <c r="B195" t="s">
        <v>305</v>
      </c>
      <c r="D195" s="1">
        <f>D168*D159</f>
        <v>40</v>
      </c>
    </row>
    <row r="196" spans="1:5" x14ac:dyDescent="0.25">
      <c r="A196" s="43"/>
      <c r="B196" t="s">
        <v>251</v>
      </c>
      <c r="D196">
        <v>2.85</v>
      </c>
    </row>
    <row r="197" spans="1:5" x14ac:dyDescent="0.25">
      <c r="A197" s="43"/>
      <c r="C197" t="s">
        <v>252</v>
      </c>
      <c r="D197">
        <v>200</v>
      </c>
    </row>
    <row r="198" spans="1:5" x14ac:dyDescent="0.25">
      <c r="A198" s="43"/>
      <c r="C198" t="s">
        <v>253</v>
      </c>
      <c r="D198">
        <f>(D197+D7)/D196</f>
        <v>85.649122807017534</v>
      </c>
    </row>
    <row r="199" spans="1:5" x14ac:dyDescent="0.25">
      <c r="A199" s="43"/>
      <c r="C199" t="s">
        <v>254</v>
      </c>
      <c r="D199" s="1">
        <v>9.9999999999999995E-7</v>
      </c>
    </row>
    <row r="200" spans="1:5" x14ac:dyDescent="0.25">
      <c r="A200" s="43"/>
    </row>
    <row r="201" spans="1:5" x14ac:dyDescent="0.25">
      <c r="A201" s="43"/>
      <c r="B201" t="s">
        <v>256</v>
      </c>
      <c r="D201">
        <v>500000</v>
      </c>
    </row>
    <row r="202" spans="1:5" x14ac:dyDescent="0.25">
      <c r="A202" s="43"/>
      <c r="B202" t="s">
        <v>280</v>
      </c>
      <c r="D202">
        <f>D201/D198</f>
        <v>5837.7714051618195</v>
      </c>
    </row>
    <row r="203" spans="1:5" x14ac:dyDescent="0.25">
      <c r="A203" s="43"/>
      <c r="B203" t="s">
        <v>257</v>
      </c>
      <c r="D203">
        <v>6800</v>
      </c>
    </row>
    <row r="204" spans="1:5" x14ac:dyDescent="0.25">
      <c r="A204" s="43"/>
      <c r="B204" t="s">
        <v>258</v>
      </c>
      <c r="D204">
        <f>D201+D203</f>
        <v>506800</v>
      </c>
    </row>
    <row r="205" spans="1:5" x14ac:dyDescent="0.25">
      <c r="A205" s="43"/>
      <c r="B205" t="s">
        <v>259</v>
      </c>
      <c r="D205">
        <f>D197/D204</f>
        <v>3.9463299131807419E-4</v>
      </c>
      <c r="E205" t="s">
        <v>20</v>
      </c>
    </row>
    <row r="206" spans="1:5" x14ac:dyDescent="0.25">
      <c r="A206" s="43"/>
      <c r="B206" t="s">
        <v>260</v>
      </c>
      <c r="D206">
        <f>POWER(D205, 2)*D201</f>
        <v>7.7867598918325606E-2</v>
      </c>
      <c r="E206" t="s">
        <v>22</v>
      </c>
    </row>
    <row r="207" spans="1:5" x14ac:dyDescent="0.25">
      <c r="A207" s="43"/>
      <c r="B207" t="s">
        <v>261</v>
      </c>
      <c r="D207">
        <f>POWER(D205, 2)*D203</f>
        <v>1.0589993452892283E-3</v>
      </c>
      <c r="E207" t="s">
        <v>22</v>
      </c>
    </row>
    <row r="208" spans="1:5" x14ac:dyDescent="0.25">
      <c r="A208" s="43"/>
      <c r="B208" t="s">
        <v>262</v>
      </c>
      <c r="C208" t="s">
        <v>255</v>
      </c>
      <c r="D208">
        <f>D206+D207</f>
        <v>7.8926598263614839E-2</v>
      </c>
      <c r="E208" t="s">
        <v>22</v>
      </c>
    </row>
    <row r="209" spans="1:11" x14ac:dyDescent="0.25">
      <c r="A209" s="43"/>
      <c r="B209" t="s">
        <v>263</v>
      </c>
      <c r="D209">
        <f>D197/100</f>
        <v>2</v>
      </c>
    </row>
    <row r="210" spans="1:11" x14ac:dyDescent="0.25">
      <c r="A210" s="43"/>
      <c r="C210" t="s">
        <v>264</v>
      </c>
      <c r="D210">
        <f>POWER(2, 12)</f>
        <v>4096</v>
      </c>
    </row>
    <row r="211" spans="1:11" x14ac:dyDescent="0.25">
      <c r="A211" s="43"/>
      <c r="C211" t="s">
        <v>265</v>
      </c>
      <c r="D211">
        <f>3.3/D210</f>
        <v>8.0566406249999996E-4</v>
      </c>
    </row>
    <row r="212" spans="1:11" x14ac:dyDescent="0.25">
      <c r="A212" s="43"/>
      <c r="C212" t="s">
        <v>266</v>
      </c>
      <c r="D212">
        <f>D211*D198</f>
        <v>6.9004420230263153E-2</v>
      </c>
      <c r="E212" t="s">
        <v>21</v>
      </c>
    </row>
    <row r="213" spans="1:11" x14ac:dyDescent="0.25">
      <c r="A213" s="29"/>
    </row>
    <row r="214" spans="1:11" x14ac:dyDescent="0.25">
      <c r="A214" s="43" t="s">
        <v>541</v>
      </c>
    </row>
    <row r="215" spans="1:11" x14ac:dyDescent="0.25">
      <c r="A215" s="43"/>
      <c r="B215" t="s">
        <v>580</v>
      </c>
      <c r="C215" t="s">
        <v>581</v>
      </c>
    </row>
    <row r="216" spans="1:11" x14ac:dyDescent="0.25">
      <c r="A216" s="43"/>
    </row>
    <row r="217" spans="1:11" x14ac:dyDescent="0.25">
      <c r="A217" s="43"/>
      <c r="B217" t="s">
        <v>535</v>
      </c>
      <c r="D217">
        <v>2.5</v>
      </c>
    </row>
    <row r="218" spans="1:11" x14ac:dyDescent="0.25">
      <c r="A218" s="43"/>
      <c r="B218" t="s">
        <v>551</v>
      </c>
      <c r="C218" s="34"/>
      <c r="D218">
        <f>D155</f>
        <v>9.7903125000000027E-6</v>
      </c>
      <c r="E218">
        <f>D218</f>
        <v>9.7903125000000027E-6</v>
      </c>
      <c r="F218">
        <f t="shared" ref="F218:G218" si="3">E218</f>
        <v>9.7903125000000027E-6</v>
      </c>
      <c r="G218">
        <f t="shared" si="3"/>
        <v>9.7903125000000027E-6</v>
      </c>
      <c r="H218">
        <f t="shared" ref="H218:K218" si="4">G218</f>
        <v>9.7903125000000027E-6</v>
      </c>
      <c r="I218">
        <f t="shared" si="4"/>
        <v>9.7903125000000027E-6</v>
      </c>
      <c r="J218">
        <f t="shared" si="4"/>
        <v>9.7903125000000027E-6</v>
      </c>
      <c r="K218">
        <f t="shared" si="4"/>
        <v>9.7903125000000027E-6</v>
      </c>
    </row>
    <row r="219" spans="1:11" x14ac:dyDescent="0.25">
      <c r="A219" s="43"/>
      <c r="B219" t="s">
        <v>565</v>
      </c>
      <c r="C219" s="34"/>
      <c r="D219">
        <f>D93-D155</f>
        <v>3.9161250000000004E-5</v>
      </c>
      <c r="E219">
        <f>D219</f>
        <v>3.9161250000000004E-5</v>
      </c>
      <c r="F219">
        <f t="shared" ref="F219:G219" si="5">E219</f>
        <v>3.9161250000000004E-5</v>
      </c>
      <c r="G219">
        <f t="shared" si="5"/>
        <v>3.9161250000000004E-5</v>
      </c>
      <c r="H219">
        <f t="shared" ref="H219:K219" si="6">G219</f>
        <v>3.9161250000000004E-5</v>
      </c>
      <c r="I219">
        <f t="shared" si="6"/>
        <v>3.9161250000000004E-5</v>
      </c>
      <c r="J219">
        <f t="shared" si="6"/>
        <v>3.9161250000000004E-5</v>
      </c>
      <c r="K219">
        <f t="shared" si="6"/>
        <v>3.9161250000000004E-5</v>
      </c>
    </row>
    <row r="220" spans="1:11" x14ac:dyDescent="0.25">
      <c r="A220" s="43"/>
      <c r="B220" t="s">
        <v>552</v>
      </c>
      <c r="C220" s="34"/>
      <c r="D220">
        <f>D162</f>
        <v>22.598870056497173</v>
      </c>
      <c r="E220">
        <f>D220</f>
        <v>22.598870056497173</v>
      </c>
      <c r="F220">
        <f t="shared" ref="F220:G220" si="7">E220</f>
        <v>22.598870056497173</v>
      </c>
      <c r="G220">
        <f t="shared" si="7"/>
        <v>22.598870056497173</v>
      </c>
      <c r="H220">
        <f t="shared" ref="H220:K220" si="8">G220</f>
        <v>22.598870056497173</v>
      </c>
      <c r="I220">
        <f t="shared" si="8"/>
        <v>22.598870056497173</v>
      </c>
      <c r="J220">
        <f t="shared" si="8"/>
        <v>22.598870056497173</v>
      </c>
      <c r="K220">
        <f t="shared" si="8"/>
        <v>22.598870056497173</v>
      </c>
    </row>
    <row r="221" spans="1:11" x14ac:dyDescent="0.25">
      <c r="A221" s="43"/>
      <c r="B221" t="s">
        <v>330</v>
      </c>
      <c r="C221" t="s">
        <v>566</v>
      </c>
      <c r="D221">
        <f>100</f>
        <v>100</v>
      </c>
      <c r="E221">
        <f t="shared" ref="E221:G226" si="9">D221</f>
        <v>100</v>
      </c>
      <c r="F221">
        <f t="shared" si="9"/>
        <v>100</v>
      </c>
      <c r="G221">
        <f t="shared" si="9"/>
        <v>100</v>
      </c>
      <c r="H221">
        <f t="shared" ref="H221:K221" si="10">G221</f>
        <v>100</v>
      </c>
      <c r="I221">
        <f t="shared" si="10"/>
        <v>100</v>
      </c>
      <c r="J221">
        <f t="shared" si="10"/>
        <v>100</v>
      </c>
      <c r="K221">
        <f t="shared" si="10"/>
        <v>100</v>
      </c>
    </row>
    <row r="222" spans="1:11" x14ac:dyDescent="0.25">
      <c r="A222" s="43"/>
      <c r="B222" t="s">
        <v>553</v>
      </c>
      <c r="C222" t="s">
        <v>554</v>
      </c>
      <c r="D222">
        <f>D7</f>
        <v>44.1</v>
      </c>
      <c r="E222">
        <f t="shared" si="9"/>
        <v>44.1</v>
      </c>
      <c r="F222">
        <f t="shared" si="9"/>
        <v>44.1</v>
      </c>
      <c r="G222">
        <f t="shared" si="9"/>
        <v>44.1</v>
      </c>
      <c r="H222">
        <f>D5</f>
        <v>35.400000000000006</v>
      </c>
      <c r="I222">
        <f t="shared" ref="I222:K222" si="11">H222</f>
        <v>35.400000000000006</v>
      </c>
      <c r="J222">
        <f t="shared" si="11"/>
        <v>35.400000000000006</v>
      </c>
      <c r="K222">
        <f t="shared" si="11"/>
        <v>35.400000000000006</v>
      </c>
    </row>
    <row r="223" spans="1:11" x14ac:dyDescent="0.25">
      <c r="A223" s="43"/>
      <c r="B223" t="s">
        <v>555</v>
      </c>
      <c r="C223" t="s">
        <v>556</v>
      </c>
      <c r="D223">
        <f>D160</f>
        <v>7000</v>
      </c>
      <c r="E223">
        <v>1000</v>
      </c>
      <c r="F223">
        <v>1</v>
      </c>
      <c r="G223">
        <v>0</v>
      </c>
      <c r="H223">
        <f>D223</f>
        <v>7000</v>
      </c>
      <c r="I223">
        <f>E223</f>
        <v>1000</v>
      </c>
      <c r="J223">
        <f>F223</f>
        <v>1</v>
      </c>
      <c r="K223">
        <f>G223</f>
        <v>0</v>
      </c>
    </row>
    <row r="224" spans="1:11" x14ac:dyDescent="0.25">
      <c r="A224" s="43"/>
      <c r="B224" t="s">
        <v>557</v>
      </c>
      <c r="C224" s="34"/>
      <c r="D224">
        <f>D158</f>
        <v>3.6875000000000007E-3</v>
      </c>
      <c r="E224">
        <f t="shared" si="9"/>
        <v>3.6875000000000007E-3</v>
      </c>
      <c r="F224">
        <f t="shared" si="9"/>
        <v>3.6875000000000007E-3</v>
      </c>
      <c r="G224">
        <f t="shared" si="9"/>
        <v>3.6875000000000007E-3</v>
      </c>
      <c r="H224">
        <f t="shared" ref="H224:K224" si="12">G224</f>
        <v>3.6875000000000007E-3</v>
      </c>
      <c r="I224">
        <f t="shared" si="12"/>
        <v>3.6875000000000007E-3</v>
      </c>
      <c r="J224">
        <f t="shared" si="12"/>
        <v>3.6875000000000007E-3</v>
      </c>
      <c r="K224">
        <f t="shared" si="12"/>
        <v>3.6875000000000007E-3</v>
      </c>
    </row>
    <row r="225" spans="1:13" x14ac:dyDescent="0.25">
      <c r="A225" s="43"/>
      <c r="B225" t="s">
        <v>48</v>
      </c>
      <c r="D225">
        <f>D3</f>
        <v>16000</v>
      </c>
      <c r="E225">
        <f t="shared" si="9"/>
        <v>16000</v>
      </c>
      <c r="F225">
        <f t="shared" si="9"/>
        <v>16000</v>
      </c>
      <c r="G225">
        <f t="shared" si="9"/>
        <v>16000</v>
      </c>
      <c r="H225">
        <f t="shared" ref="H225:K225" si="13">G225</f>
        <v>16000</v>
      </c>
      <c r="I225">
        <f t="shared" si="13"/>
        <v>16000</v>
      </c>
      <c r="J225">
        <f t="shared" si="13"/>
        <v>16000</v>
      </c>
      <c r="K225">
        <f t="shared" si="13"/>
        <v>16000</v>
      </c>
    </row>
    <row r="226" spans="1:13" x14ac:dyDescent="0.25">
      <c r="A226" s="43"/>
      <c r="B226" t="s">
        <v>39</v>
      </c>
      <c r="D226">
        <f>D89</f>
        <v>0.5</v>
      </c>
      <c r="E226">
        <f t="shared" si="9"/>
        <v>0.5</v>
      </c>
      <c r="F226">
        <f t="shared" si="9"/>
        <v>0.5</v>
      </c>
      <c r="G226">
        <f t="shared" si="9"/>
        <v>0.5</v>
      </c>
      <c r="H226">
        <f t="shared" ref="H226:K226" si="14">G226</f>
        <v>0.5</v>
      </c>
      <c r="I226">
        <f t="shared" si="14"/>
        <v>0.5</v>
      </c>
      <c r="J226">
        <f t="shared" si="14"/>
        <v>0.5</v>
      </c>
      <c r="K226">
        <f t="shared" si="14"/>
        <v>0.5</v>
      </c>
    </row>
    <row r="227" spans="1:13" x14ac:dyDescent="0.25">
      <c r="A227" s="43"/>
      <c r="C227" s="34"/>
    </row>
    <row r="228" spans="1:13" x14ac:dyDescent="0.25">
      <c r="A228" s="43"/>
      <c r="B228" t="s">
        <v>562</v>
      </c>
      <c r="C228" s="34" t="s">
        <v>563</v>
      </c>
      <c r="D228">
        <v>40</v>
      </c>
      <c r="E228">
        <v>40</v>
      </c>
      <c r="F228">
        <v>40</v>
      </c>
      <c r="G228">
        <v>40</v>
      </c>
      <c r="H228">
        <f>G228</f>
        <v>40</v>
      </c>
      <c r="I228">
        <f>H228</f>
        <v>40</v>
      </c>
      <c r="J228">
        <f>I228</f>
        <v>40</v>
      </c>
      <c r="K228">
        <f>J228</f>
        <v>40</v>
      </c>
    </row>
    <row r="229" spans="1:13" x14ac:dyDescent="0.25">
      <c r="A229" s="43"/>
      <c r="B229" t="s">
        <v>571</v>
      </c>
      <c r="C229" t="s">
        <v>570</v>
      </c>
      <c r="D229">
        <f>D218*POWER(D220, 2)/(2*POWER(D221-D222-(D223*D224), 2))</f>
        <v>2.7616446905913709E-6</v>
      </c>
    </row>
    <row r="230" spans="1:13" x14ac:dyDescent="0.25">
      <c r="A230" s="43"/>
      <c r="B230" t="s">
        <v>550</v>
      </c>
      <c r="C230" t="s">
        <v>579</v>
      </c>
      <c r="D230" s="1">
        <f>(0.22*0.000001)*6</f>
        <v>1.3199999999999999E-6</v>
      </c>
      <c r="E230" s="1">
        <f>D230</f>
        <v>1.3199999999999999E-6</v>
      </c>
      <c r="F230" s="1">
        <f>E230</f>
        <v>1.3199999999999999E-6</v>
      </c>
      <c r="G230" s="1">
        <f>E230</f>
        <v>1.3199999999999999E-6</v>
      </c>
      <c r="H230" s="1">
        <f t="shared" ref="H230:K230" si="15">F230</f>
        <v>1.3199999999999999E-6</v>
      </c>
      <c r="I230" s="1">
        <f t="shared" si="15"/>
        <v>1.3199999999999999E-6</v>
      </c>
      <c r="J230" s="1">
        <f t="shared" si="15"/>
        <v>1.3199999999999999E-6</v>
      </c>
      <c r="K230" s="1">
        <f t="shared" si="15"/>
        <v>1.3199999999999999E-6</v>
      </c>
      <c r="L230" s="1"/>
    </row>
    <row r="231" spans="1:13" x14ac:dyDescent="0.25">
      <c r="A231" s="43"/>
      <c r="B231" t="s">
        <v>558</v>
      </c>
      <c r="C231" s="34" t="s">
        <v>559</v>
      </c>
      <c r="D231">
        <f>POWER(D226/(PI()*D225), 2)/D230</f>
        <v>7.4959445758121602E-5</v>
      </c>
      <c r="E231">
        <f>POWER(E226/(PI()*E225), 2)/E230</f>
        <v>7.4959445758121602E-5</v>
      </c>
      <c r="F231">
        <f>POWER(F226/(PI()*F225), 2)/F230</f>
        <v>7.4959445758121602E-5</v>
      </c>
      <c r="G231">
        <f>POWER(G226/(PI()*G225), 2)/G230</f>
        <v>7.4959445758121602E-5</v>
      </c>
      <c r="H231">
        <f t="shared" ref="H231:K231" si="16">POWER(H226/(PI()*H225), 2)/H230</f>
        <v>7.4959445758121602E-5</v>
      </c>
      <c r="I231">
        <f t="shared" si="16"/>
        <v>7.4959445758121602E-5</v>
      </c>
      <c r="J231">
        <f t="shared" si="16"/>
        <v>7.4959445758121602E-5</v>
      </c>
      <c r="K231">
        <f t="shared" si="16"/>
        <v>7.4959445758121602E-5</v>
      </c>
    </row>
    <row r="232" spans="1:13" x14ac:dyDescent="0.25">
      <c r="A232" s="43"/>
      <c r="B232" t="s">
        <v>560</v>
      </c>
      <c r="C232" s="34" t="s">
        <v>561</v>
      </c>
      <c r="D232">
        <f>(POWER(D228, 2)-POWER(POWER(D228, 4) - POWER(PI()*POWER(D222, 2)*D230/(D219+D218), 2), 0.5))/((D230/2)*POWER(PI()*D222/(D219+D218), 2))</f>
        <v>1.6087439934673409E-6</v>
      </c>
      <c r="E232">
        <f>(POWER(E228, 2)-POWER(POWER(E228, 4) - POWER(PI()*POWER(E222, 2)*E230/(E219+E218), 2), 0.5))/((E230/2)*POWER(PI()*E222/(E219+E218), 2))</f>
        <v>1.6087439934673409E-6</v>
      </c>
      <c r="F232">
        <f>(POWER(F228, 2)-POWER(POWER(F228, 4) - POWER(PI()*POWER(F222, 2)*F230/(F219+F218), 2), 0.5))/((F230/2)*POWER(PI()*F222/(F219+F218), 2))</f>
        <v>1.6087439934673409E-6</v>
      </c>
      <c r="G232">
        <f>(POWER(G228, 2)-POWER(POWER(G228, 4) - POWER(PI()*POWER(G222, 2)*G230/(G219+G218), 2), 0.5))/((G230/2)*POWER(PI()*G222/(G219+G218), 2))</f>
        <v>1.6087439934673409E-6</v>
      </c>
      <c r="H232">
        <f t="shared" ref="H232:K232" si="17">(POWER(H228, 2)-POWER(POWER(H228, 4) - POWER(PI()*POWER(H222, 2)*H230/(H219+H218), 2), 0.5))/((H230/2)*POWER(PI()*H222/(H219+H218), 2))</f>
        <v>1.0349973695208604E-6</v>
      </c>
      <c r="I232">
        <f t="shared" si="17"/>
        <v>1.0349973695208604E-6</v>
      </c>
      <c r="J232">
        <f t="shared" si="17"/>
        <v>1.0349973695208604E-6</v>
      </c>
      <c r="K232">
        <f t="shared" si="17"/>
        <v>1.0349973695208604E-6</v>
      </c>
    </row>
    <row r="233" spans="1:13" x14ac:dyDescent="0.25">
      <c r="A233" s="43"/>
      <c r="B233" t="s">
        <v>564</v>
      </c>
      <c r="C233" s="34" t="s">
        <v>569</v>
      </c>
      <c r="D233" s="1">
        <v>1.5E-5</v>
      </c>
      <c r="E233" s="1">
        <f t="shared" ref="E233:K233" si="18">D233</f>
        <v>1.5E-5</v>
      </c>
      <c r="F233" s="1">
        <f t="shared" si="18"/>
        <v>1.5E-5</v>
      </c>
      <c r="G233" s="1">
        <f t="shared" si="18"/>
        <v>1.5E-5</v>
      </c>
      <c r="H233">
        <f t="shared" si="18"/>
        <v>1.5E-5</v>
      </c>
      <c r="I233">
        <f t="shared" si="18"/>
        <v>1.5E-5</v>
      </c>
      <c r="J233">
        <f t="shared" si="18"/>
        <v>1.5E-5</v>
      </c>
      <c r="K233">
        <f t="shared" si="18"/>
        <v>1.5E-5</v>
      </c>
    </row>
    <row r="234" spans="1:13" x14ac:dyDescent="0.25">
      <c r="A234" s="43"/>
      <c r="B234" t="s">
        <v>567</v>
      </c>
      <c r="C234" s="34" t="s">
        <v>568</v>
      </c>
      <c r="D234" t="b">
        <f>AND(D233&gt;D232, D233&lt;D231)</f>
        <v>1</v>
      </c>
      <c r="E234" t="b">
        <f>AND(E233&gt;E232, E233&lt;E231)</f>
        <v>1</v>
      </c>
      <c r="F234" t="b">
        <f>AND(F233&gt;F232, F233&lt;F231)</f>
        <v>1</v>
      </c>
      <c r="G234" t="b">
        <f>AND(G233&gt;G232, G233&lt;G231)</f>
        <v>1</v>
      </c>
      <c r="H234" t="b">
        <f t="shared" ref="H234:K234" si="19">AND(H233&gt;H232, H233&lt;H231)</f>
        <v>1</v>
      </c>
      <c r="I234" t="b">
        <f t="shared" si="19"/>
        <v>1</v>
      </c>
      <c r="J234" t="b">
        <f t="shared" si="19"/>
        <v>1</v>
      </c>
      <c r="K234" t="b">
        <f t="shared" si="19"/>
        <v>1</v>
      </c>
    </row>
    <row r="235" spans="1:13" x14ac:dyDescent="0.25">
      <c r="A235" s="43"/>
      <c r="B235" t="s">
        <v>590</v>
      </c>
      <c r="D235">
        <v>8.4999999999999995E-4</v>
      </c>
    </row>
    <row r="236" spans="1:13" x14ac:dyDescent="0.25">
      <c r="A236" s="43"/>
      <c r="B236" t="s">
        <v>303</v>
      </c>
      <c r="D236">
        <f>POWER(D220, 2)*D218/2</f>
        <v>2.5000000000000001E-3</v>
      </c>
    </row>
    <row r="237" spans="1:13" x14ac:dyDescent="0.25">
      <c r="A237" s="43"/>
      <c r="B237" t="s">
        <v>589</v>
      </c>
      <c r="C237" s="34" t="s">
        <v>591</v>
      </c>
      <c r="D237">
        <f>POWER(D220/SQRT(3), 2)*D235</f>
        <v>0.14470086288529263</v>
      </c>
    </row>
    <row r="238" spans="1:13" x14ac:dyDescent="0.25">
      <c r="A238" s="43"/>
      <c r="B238" t="s">
        <v>596</v>
      </c>
      <c r="D238">
        <f>D218*D233/(D218+D233)</f>
        <v>5.9238739931172719E-6</v>
      </c>
      <c r="G238" t="s">
        <v>532</v>
      </c>
      <c r="H238" t="s">
        <v>521</v>
      </c>
      <c r="I238" t="s">
        <v>529</v>
      </c>
      <c r="J238" t="s">
        <v>527</v>
      </c>
      <c r="K238" t="s">
        <v>528</v>
      </c>
      <c r="L238" t="s">
        <v>530</v>
      </c>
      <c r="M238" t="s">
        <v>531</v>
      </c>
    </row>
    <row r="239" spans="1:13" x14ac:dyDescent="0.25">
      <c r="A239" s="43"/>
      <c r="B239" s="36" t="s">
        <v>595</v>
      </c>
      <c r="D239" s="1">
        <f>1/POWER(D238*D230, 0.5)</f>
        <v>357610.39006916573</v>
      </c>
      <c r="F239" s="5" t="s">
        <v>592</v>
      </c>
      <c r="G239">
        <v>2.2000000000000001E-3</v>
      </c>
      <c r="H239">
        <v>6</v>
      </c>
      <c r="I239">
        <v>5.0999999999999996</v>
      </c>
      <c r="J239">
        <f>I239/H239</f>
        <v>0.85</v>
      </c>
      <c r="K239" s="31">
        <v>2.27</v>
      </c>
      <c r="L239" s="31">
        <f>K239*H239</f>
        <v>13.620000000000001</v>
      </c>
      <c r="M239">
        <f>G239*H239</f>
        <v>1.32E-2</v>
      </c>
    </row>
    <row r="240" spans="1:13" x14ac:dyDescent="0.25">
      <c r="A240" s="43"/>
      <c r="B240" t="s">
        <v>598</v>
      </c>
      <c r="D240">
        <f>POWER(2*D236/D238, 0.5)</f>
        <v>29.052405428187488</v>
      </c>
    </row>
    <row r="241" spans="1:5" x14ac:dyDescent="0.25">
      <c r="A241" s="43"/>
      <c r="B241" t="s">
        <v>599</v>
      </c>
      <c r="D241">
        <f>D240</f>
        <v>29.052405428187488</v>
      </c>
    </row>
    <row r="242" spans="1:5" x14ac:dyDescent="0.25">
      <c r="A242" s="43"/>
      <c r="B242" t="s">
        <v>597</v>
      </c>
      <c r="D242" s="1">
        <f>SQRT(D236*2/D230)</f>
        <v>61.545745489666373</v>
      </c>
    </row>
    <row r="243" spans="1:5" x14ac:dyDescent="0.25">
      <c r="A243" s="43"/>
      <c r="B243" t="s">
        <v>600</v>
      </c>
      <c r="D243" s="1">
        <f>D242+D7</f>
        <v>105.64574548966638</v>
      </c>
    </row>
    <row r="244" spans="1:5" x14ac:dyDescent="0.25">
      <c r="A244" s="43"/>
      <c r="B244" t="s">
        <v>601</v>
      </c>
      <c r="D244" s="1">
        <f>D242</f>
        <v>61.545745489666373</v>
      </c>
    </row>
    <row r="245" spans="1:5" x14ac:dyDescent="0.25">
      <c r="A245" s="43"/>
      <c r="B245" t="s">
        <v>604</v>
      </c>
      <c r="D245">
        <f>D217*D241</f>
        <v>72.631013570468724</v>
      </c>
    </row>
    <row r="246" spans="1:5" x14ac:dyDescent="0.25">
      <c r="A246" s="43"/>
      <c r="B246" t="s">
        <v>602</v>
      </c>
      <c r="D246">
        <f>D217*D241</f>
        <v>72.631013570468724</v>
      </c>
    </row>
    <row r="247" spans="1:5" x14ac:dyDescent="0.25">
      <c r="A247" s="43"/>
      <c r="B247" t="s">
        <v>602</v>
      </c>
      <c r="D247">
        <f>D217*D241</f>
        <v>72.631013570468724</v>
      </c>
    </row>
    <row r="248" spans="1:5" x14ac:dyDescent="0.25">
      <c r="A248" s="43"/>
      <c r="B248" t="s">
        <v>606</v>
      </c>
      <c r="D248" s="1">
        <f>D217*D243</f>
        <v>264.11436372416597</v>
      </c>
    </row>
    <row r="249" spans="1:5" x14ac:dyDescent="0.25">
      <c r="A249" s="43"/>
      <c r="B249" t="s">
        <v>605</v>
      </c>
      <c r="D249" s="1">
        <f>D217*D244</f>
        <v>153.86436372416594</v>
      </c>
    </row>
    <row r="250" spans="1:5" x14ac:dyDescent="0.25">
      <c r="A250" s="43"/>
      <c r="B250" t="s">
        <v>603</v>
      </c>
      <c r="D250" s="1">
        <f>D217*D242</f>
        <v>153.86436372416594</v>
      </c>
    </row>
    <row r="251" spans="1:5" x14ac:dyDescent="0.25">
      <c r="A251" s="43"/>
      <c r="B251" t="s">
        <v>627</v>
      </c>
      <c r="D251" s="1">
        <v>0.86</v>
      </c>
    </row>
    <row r="252" spans="1:5" x14ac:dyDescent="0.25">
      <c r="A252" s="43"/>
      <c r="B252" t="s">
        <v>628</v>
      </c>
      <c r="D252" s="1">
        <f>0.86</f>
        <v>0.86</v>
      </c>
    </row>
    <row r="253" spans="1:5" x14ac:dyDescent="0.25">
      <c r="A253" s="43"/>
      <c r="B253" t="s">
        <v>625</v>
      </c>
      <c r="C253" t="s">
        <v>629</v>
      </c>
      <c r="D253" s="1">
        <f>D236*16000/4</f>
        <v>10</v>
      </c>
    </row>
    <row r="254" spans="1:5" x14ac:dyDescent="0.25">
      <c r="A254" s="43"/>
      <c r="B254" t="s">
        <v>626</v>
      </c>
      <c r="C254" t="s">
        <v>629</v>
      </c>
      <c r="D254" s="1">
        <f>D253</f>
        <v>10</v>
      </c>
    </row>
    <row r="255" spans="1:5" x14ac:dyDescent="0.25">
      <c r="A255" s="43"/>
      <c r="B255" t="s">
        <v>607</v>
      </c>
      <c r="C255" t="s">
        <v>608</v>
      </c>
      <c r="D255">
        <v>0.5</v>
      </c>
      <c r="E255" t="s">
        <v>773</v>
      </c>
    </row>
    <row r="256" spans="1:5" x14ac:dyDescent="0.25">
      <c r="A256" s="43"/>
      <c r="B256" s="51" t="s">
        <v>609</v>
      </c>
      <c r="C256" s="51" t="s">
        <v>610</v>
      </c>
      <c r="D256" s="51">
        <f>D236*2/POWER(D255, 2)</f>
        <v>0.02</v>
      </c>
    </row>
    <row r="257" spans="1:4" x14ac:dyDescent="0.25">
      <c r="A257" s="43"/>
      <c r="C257" s="34"/>
    </row>
    <row r="258" spans="1:4" x14ac:dyDescent="0.25">
      <c r="A258" s="43"/>
      <c r="C258" s="34"/>
    </row>
    <row r="259" spans="1:4" x14ac:dyDescent="0.25">
      <c r="A259" s="43"/>
      <c r="C259" s="34"/>
    </row>
    <row r="260" spans="1:4" x14ac:dyDescent="0.25">
      <c r="A260" s="43"/>
      <c r="C260" s="34"/>
    </row>
    <row r="261" spans="1:4" x14ac:dyDescent="0.25">
      <c r="A261" s="43"/>
      <c r="C261" s="34"/>
    </row>
    <row r="262" spans="1:4" x14ac:dyDescent="0.25">
      <c r="A262" s="43"/>
      <c r="C262" s="34"/>
    </row>
    <row r="263" spans="1:4" x14ac:dyDescent="0.25">
      <c r="A263" s="43"/>
      <c r="C263" s="34"/>
    </row>
    <row r="264" spans="1:4" x14ac:dyDescent="0.25">
      <c r="A264" s="43"/>
      <c r="C264" s="34"/>
    </row>
    <row r="265" spans="1:4" x14ac:dyDescent="0.25">
      <c r="A265" s="43"/>
    </row>
    <row r="266" spans="1:4" x14ac:dyDescent="0.25">
      <c r="A266" s="37"/>
    </row>
    <row r="267" spans="1:4" x14ac:dyDescent="0.25">
      <c r="A267" s="43" t="s">
        <v>612</v>
      </c>
      <c r="C267" t="s">
        <v>267</v>
      </c>
      <c r="D267">
        <f>D209/D204</f>
        <v>3.9463299131807418E-6</v>
      </c>
    </row>
    <row r="268" spans="1:4" x14ac:dyDescent="0.25">
      <c r="A268" s="43"/>
      <c r="C268" t="s">
        <v>268</v>
      </c>
      <c r="D268">
        <f>(D209-(D201*D199))*(D203/(D203+D201))</f>
        <v>2.0126282557221785E-2</v>
      </c>
    </row>
    <row r="269" spans="1:4" x14ac:dyDescent="0.25">
      <c r="A269" s="43"/>
      <c r="C269" t="s">
        <v>269</v>
      </c>
      <c r="D269">
        <f>D209/D198</f>
        <v>2.3351085620647277E-2</v>
      </c>
    </row>
    <row r="270" spans="1:4" x14ac:dyDescent="0.25">
      <c r="A270" s="43"/>
      <c r="C270" t="s">
        <v>270</v>
      </c>
      <c r="D270">
        <f>ABS(D269-D268)/D269</f>
        <v>0.13810077680388819</v>
      </c>
    </row>
    <row r="271" spans="1:4" x14ac:dyDescent="0.25">
      <c r="A271" s="43"/>
      <c r="C271" t="s">
        <v>271</v>
      </c>
      <c r="D271">
        <f>(D5-(D201*D199))*(D203/(D203+D201))</f>
        <v>0.46827150749802693</v>
      </c>
    </row>
    <row r="272" spans="1:4" x14ac:dyDescent="0.25">
      <c r="A272" s="43"/>
      <c r="C272" t="s">
        <v>272</v>
      </c>
      <c r="D272">
        <f>D5/D198</f>
        <v>0.41331421548545688</v>
      </c>
    </row>
    <row r="273" spans="1:4" x14ac:dyDescent="0.25">
      <c r="A273" s="43"/>
      <c r="C273" t="s">
        <v>273</v>
      </c>
      <c r="D273">
        <f>ABS(D272-D271)/D272</f>
        <v>0.13296734047247841</v>
      </c>
    </row>
    <row r="274" spans="1:4" x14ac:dyDescent="0.25">
      <c r="A274" s="43"/>
      <c r="C274" t="s">
        <v>274</v>
      </c>
      <c r="D274">
        <f>(D272-D271)/D212</f>
        <v>-0.79643147249380875</v>
      </c>
    </row>
    <row r="275" spans="1:4" x14ac:dyDescent="0.25">
      <c r="A275" s="43"/>
      <c r="B275" t="s">
        <v>275</v>
      </c>
      <c r="C275" t="s">
        <v>276</v>
      </c>
    </row>
    <row r="276" spans="1:4" x14ac:dyDescent="0.25">
      <c r="A276" s="43"/>
      <c r="B276" t="s">
        <v>277</v>
      </c>
      <c r="D276">
        <f>(D201*D203)/(D201+D203)</f>
        <v>6708.7608524072612</v>
      </c>
    </row>
    <row r="277" spans="1:4" x14ac:dyDescent="0.25">
      <c r="A277" s="43"/>
      <c r="C277" t="s">
        <v>278</v>
      </c>
      <c r="D277">
        <f>0.00000000001</f>
        <v>9.9999999999999994E-12</v>
      </c>
    </row>
    <row r="278" spans="1:4" x14ac:dyDescent="0.25">
      <c r="A278" s="43"/>
    </row>
    <row r="279" spans="1:4" x14ac:dyDescent="0.25">
      <c r="A279" s="43"/>
      <c r="B279" t="s">
        <v>279</v>
      </c>
      <c r="D279">
        <f>3.15/(0.000001)</f>
        <v>3150000</v>
      </c>
    </row>
    <row r="280" spans="1:4" x14ac:dyDescent="0.25">
      <c r="A280" s="43"/>
      <c r="B280" t="s">
        <v>351</v>
      </c>
      <c r="D280">
        <f>D277/((1/D276)+(1/D279))</f>
        <v>6.6945031316023044E-8</v>
      </c>
    </row>
    <row r="281" spans="1:4" x14ac:dyDescent="0.25">
      <c r="A281" s="43"/>
      <c r="B281" t="s">
        <v>287</v>
      </c>
      <c r="D281">
        <f>D196/0.012</f>
        <v>237.5</v>
      </c>
    </row>
    <row r="282" spans="1:4" x14ac:dyDescent="0.25">
      <c r="A282" s="43"/>
      <c r="B282" t="s">
        <v>286</v>
      </c>
      <c r="D282" s="25">
        <v>1000</v>
      </c>
    </row>
    <row r="283" spans="1:4" x14ac:dyDescent="0.25">
      <c r="A283" s="43"/>
    </row>
    <row r="284" spans="1:4" x14ac:dyDescent="0.25">
      <c r="A284" s="43"/>
      <c r="B284" t="s">
        <v>284</v>
      </c>
      <c r="D284">
        <f>D2/D5</f>
        <v>5.6497175141242932</v>
      </c>
    </row>
    <row r="285" spans="1:4" x14ac:dyDescent="0.25">
      <c r="A285" s="43"/>
      <c r="B285" t="s">
        <v>283</v>
      </c>
      <c r="C285" t="s">
        <v>282</v>
      </c>
      <c r="D285">
        <v>0.05</v>
      </c>
    </row>
    <row r="286" spans="1:4" x14ac:dyDescent="0.25">
      <c r="A286" s="43"/>
      <c r="C286" t="s">
        <v>281</v>
      </c>
      <c r="D286">
        <f>D284/(D3*D285)</f>
        <v>7.0621468926553663E-3</v>
      </c>
    </row>
    <row r="287" spans="1:4" x14ac:dyDescent="0.25">
      <c r="A287" s="43"/>
      <c r="C287" t="s">
        <v>285</v>
      </c>
      <c r="D287">
        <f>POWER(D7, 2)*D286/2</f>
        <v>6.8672669491525422</v>
      </c>
    </row>
    <row r="288" spans="1:4" x14ac:dyDescent="0.25">
      <c r="A288" s="43"/>
    </row>
    <row r="289" spans="1:5" x14ac:dyDescent="0.25">
      <c r="A289" s="46" t="s">
        <v>611</v>
      </c>
      <c r="B289" t="s">
        <v>616</v>
      </c>
      <c r="D289" s="1">
        <f>MAX(D319, 200)</f>
        <v>200</v>
      </c>
    </row>
    <row r="290" spans="1:5" x14ac:dyDescent="0.25">
      <c r="A290" s="46"/>
      <c r="B290" t="s">
        <v>613</v>
      </c>
      <c r="D290">
        <v>500000</v>
      </c>
    </row>
    <row r="291" spans="1:5" x14ac:dyDescent="0.25">
      <c r="A291" s="46"/>
      <c r="B291" t="s">
        <v>614</v>
      </c>
      <c r="D291">
        <v>6800</v>
      </c>
    </row>
    <row r="292" spans="1:5" x14ac:dyDescent="0.25">
      <c r="A292" s="46"/>
      <c r="B292" t="s">
        <v>615</v>
      </c>
      <c r="D292">
        <f>D290+D291</f>
        <v>506800</v>
      </c>
    </row>
    <row r="293" spans="1:5" x14ac:dyDescent="0.25">
      <c r="A293" s="46"/>
      <c r="B293" t="s">
        <v>619</v>
      </c>
      <c r="D293" s="1">
        <f>D289/D292</f>
        <v>3.9463299131807419E-4</v>
      </c>
    </row>
    <row r="294" spans="1:5" x14ac:dyDescent="0.25">
      <c r="A294" s="46"/>
      <c r="B294" t="s">
        <v>617</v>
      </c>
      <c r="D294" s="1">
        <f>POWER(D293, 2)*D290</f>
        <v>7.7867598918325606E-2</v>
      </c>
    </row>
    <row r="295" spans="1:5" x14ac:dyDescent="0.25">
      <c r="A295" s="46"/>
      <c r="B295" t="s">
        <v>618</v>
      </c>
      <c r="D295" s="1">
        <f>POWER(D293, 2)*D291</f>
        <v>1.0589993452892283E-3</v>
      </c>
    </row>
    <row r="296" spans="1:5" x14ac:dyDescent="0.25">
      <c r="A296" s="46"/>
      <c r="B296" t="s">
        <v>620</v>
      </c>
      <c r="D296" s="1">
        <f>D294+D295</f>
        <v>7.8926598263614839E-2</v>
      </c>
    </row>
    <row r="297" spans="1:5" x14ac:dyDescent="0.25">
      <c r="A297" s="46"/>
      <c r="C297" t="s">
        <v>621</v>
      </c>
      <c r="D297">
        <v>2.7</v>
      </c>
    </row>
    <row r="298" spans="1:5" x14ac:dyDescent="0.25">
      <c r="A298" s="46"/>
      <c r="C298" t="s">
        <v>622</v>
      </c>
      <c r="D298" s="1">
        <f>D289/D297</f>
        <v>74.074074074074076</v>
      </c>
    </row>
    <row r="299" spans="1:5" x14ac:dyDescent="0.25">
      <c r="A299" s="46"/>
      <c r="C299" t="s">
        <v>623</v>
      </c>
      <c r="D299" s="1">
        <f>D292/D291</f>
        <v>74.529411764705884</v>
      </c>
    </row>
    <row r="300" spans="1:5" x14ac:dyDescent="0.25">
      <c r="A300" s="46"/>
      <c r="C300" t="s">
        <v>624</v>
      </c>
      <c r="D300" s="1" t="b">
        <f>MAX(D298, D299)/MIN(D298,D299)&lt;1.04</f>
        <v>1</v>
      </c>
    </row>
    <row r="301" spans="1:5" x14ac:dyDescent="0.25">
      <c r="A301" s="46"/>
    </row>
    <row r="302" spans="1:5" x14ac:dyDescent="0.25">
      <c r="A302" s="46" t="s">
        <v>588</v>
      </c>
      <c r="C302" t="s">
        <v>288</v>
      </c>
      <c r="D302">
        <v>2</v>
      </c>
    </row>
    <row r="303" spans="1:5" x14ac:dyDescent="0.25">
      <c r="A303" s="46"/>
      <c r="B303" t="s">
        <v>38</v>
      </c>
      <c r="D303">
        <f>D7</f>
        <v>44.1</v>
      </c>
    </row>
    <row r="304" spans="1:5" x14ac:dyDescent="0.25">
      <c r="A304" s="46"/>
      <c r="B304" t="s">
        <v>289</v>
      </c>
      <c r="D304">
        <v>10000</v>
      </c>
      <c r="E304" s="9" t="s">
        <v>24</v>
      </c>
    </row>
    <row r="305" spans="1:5" x14ac:dyDescent="0.25">
      <c r="A305" s="46"/>
      <c r="C305" t="s">
        <v>292</v>
      </c>
      <c r="D305">
        <f>D303*D302/D307</f>
        <v>32.666666666666664</v>
      </c>
    </row>
    <row r="306" spans="1:5" x14ac:dyDescent="0.25">
      <c r="A306" s="46"/>
      <c r="B306" t="s">
        <v>293</v>
      </c>
      <c r="D306">
        <f>D305*D304</f>
        <v>326666.66666666663</v>
      </c>
      <c r="E306" s="9" t="s">
        <v>24</v>
      </c>
    </row>
    <row r="307" spans="1:5" x14ac:dyDescent="0.25">
      <c r="A307" s="46"/>
      <c r="C307" t="s">
        <v>291</v>
      </c>
      <c r="D307">
        <v>2.7</v>
      </c>
    </row>
    <row r="308" spans="1:5" x14ac:dyDescent="0.25">
      <c r="A308" s="46"/>
      <c r="B308" t="s">
        <v>290</v>
      </c>
      <c r="D308">
        <v>330000</v>
      </c>
    </row>
    <row r="309" spans="1:5" x14ac:dyDescent="0.25">
      <c r="A309" s="46"/>
      <c r="B309" t="s">
        <v>294</v>
      </c>
      <c r="D309" s="1">
        <v>1.0000000000000001E-9</v>
      </c>
      <c r="E309" s="9" t="s">
        <v>24</v>
      </c>
    </row>
    <row r="310" spans="1:5" x14ac:dyDescent="0.25">
      <c r="A310" s="46"/>
      <c r="B310" t="s">
        <v>295</v>
      </c>
      <c r="D310">
        <f>(D304*D308)/(D304+D308)</f>
        <v>9705.8823529411766</v>
      </c>
      <c r="E310" s="9" t="s">
        <v>24</v>
      </c>
    </row>
    <row r="311" spans="1:5" x14ac:dyDescent="0.25">
      <c r="A311" s="46"/>
      <c r="B311" t="s">
        <v>352</v>
      </c>
      <c r="D311">
        <f>POWER(D303*D302, 2)/(D304+D308)</f>
        <v>2.2880117647058825E-2</v>
      </c>
      <c r="E311" s="9" t="s">
        <v>22</v>
      </c>
    </row>
    <row r="312" spans="1:5" x14ac:dyDescent="0.25">
      <c r="A312" s="24"/>
      <c r="E312" s="9"/>
    </row>
    <row r="313" spans="1:5" x14ac:dyDescent="0.25">
      <c r="A313" s="43" t="s">
        <v>306</v>
      </c>
      <c r="B313" t="s">
        <v>48</v>
      </c>
      <c r="D313">
        <f>D3</f>
        <v>16000</v>
      </c>
      <c r="E313" t="s">
        <v>73</v>
      </c>
    </row>
    <row r="314" spans="1:5" x14ac:dyDescent="0.25">
      <c r="A314" s="43"/>
      <c r="B314" t="s">
        <v>41</v>
      </c>
      <c r="D314">
        <f>D162</f>
        <v>22.598870056497173</v>
      </c>
      <c r="E314" t="s">
        <v>20</v>
      </c>
    </row>
    <row r="315" spans="1:5" x14ac:dyDescent="0.25">
      <c r="A315" s="43"/>
      <c r="B315" t="s">
        <v>39</v>
      </c>
      <c r="D315">
        <v>0.5</v>
      </c>
    </row>
    <row r="316" spans="1:5" x14ac:dyDescent="0.25">
      <c r="A316" s="43"/>
      <c r="B316" t="s">
        <v>308</v>
      </c>
      <c r="D316">
        <v>2.3E-2</v>
      </c>
      <c r="E316" s="9" t="s">
        <v>24</v>
      </c>
    </row>
    <row r="317" spans="1:5" x14ac:dyDescent="0.25">
      <c r="A317" s="43"/>
      <c r="B317" t="s">
        <v>307</v>
      </c>
      <c r="D317">
        <f>POWER(D314,2)*D315*D316/3</f>
        <v>1.9577175566833704</v>
      </c>
    </row>
    <row r="318" spans="1:5" x14ac:dyDescent="0.25">
      <c r="A318" s="43"/>
      <c r="B318" t="s">
        <v>310</v>
      </c>
      <c r="C318" t="s">
        <v>309</v>
      </c>
      <c r="D318" s="1">
        <f>D315*D314*D4</f>
        <v>13.559322033898303</v>
      </c>
    </row>
    <row r="319" spans="1:5" x14ac:dyDescent="0.25">
      <c r="A319" s="43"/>
      <c r="B319" t="s">
        <v>311</v>
      </c>
      <c r="D319" s="1">
        <f>D242+D7</f>
        <v>105.64574548966638</v>
      </c>
      <c r="E319" t="s">
        <v>21</v>
      </c>
    </row>
    <row r="320" spans="1:5" x14ac:dyDescent="0.25">
      <c r="A320" s="43"/>
      <c r="B320" t="s">
        <v>329</v>
      </c>
      <c r="D320">
        <v>250</v>
      </c>
      <c r="E320" t="s">
        <v>21</v>
      </c>
    </row>
    <row r="321" spans="1:5" x14ac:dyDescent="0.25">
      <c r="A321" s="43"/>
      <c r="C321" t="s">
        <v>347</v>
      </c>
      <c r="D321" t="b">
        <f>D320&gt;=D319</f>
        <v>1</v>
      </c>
    </row>
    <row r="322" spans="1:5" x14ac:dyDescent="0.25">
      <c r="A322" s="43"/>
      <c r="B322" t="s">
        <v>312</v>
      </c>
      <c r="E322" t="s">
        <v>346</v>
      </c>
    </row>
    <row r="323" spans="1:5" x14ac:dyDescent="0.25">
      <c r="A323" s="43"/>
      <c r="B323" t="s">
        <v>313</v>
      </c>
      <c r="E323" t="s">
        <v>346</v>
      </c>
    </row>
    <row r="324" spans="1:5" x14ac:dyDescent="0.25">
      <c r="A324" s="43"/>
      <c r="B324" t="s">
        <v>314</v>
      </c>
      <c r="C324" t="s">
        <v>315</v>
      </c>
      <c r="D324" s="1">
        <v>4.9999999999999998E-8</v>
      </c>
      <c r="E324" t="s">
        <v>346</v>
      </c>
    </row>
    <row r="325" spans="1:5" x14ac:dyDescent="0.25">
      <c r="A325" s="43"/>
      <c r="B325" t="s">
        <v>316</v>
      </c>
      <c r="D325">
        <f>D3*D324*2</f>
        <v>1.5999999999999999E-3</v>
      </c>
      <c r="E325" t="s">
        <v>20</v>
      </c>
    </row>
    <row r="326" spans="1:5" x14ac:dyDescent="0.25">
      <c r="A326" s="43"/>
      <c r="B326" t="s">
        <v>318</v>
      </c>
      <c r="C326" t="s">
        <v>332</v>
      </c>
      <c r="D326">
        <v>10</v>
      </c>
      <c r="E326" t="s">
        <v>21</v>
      </c>
    </row>
    <row r="327" spans="1:5" x14ac:dyDescent="0.25">
      <c r="A327" s="43"/>
      <c r="B327" t="s">
        <v>319</v>
      </c>
      <c r="D327">
        <v>5</v>
      </c>
      <c r="E327" s="9" t="s">
        <v>24</v>
      </c>
    </row>
    <row r="328" spans="1:5" x14ac:dyDescent="0.25">
      <c r="A328" s="43"/>
      <c r="B328" t="s">
        <v>232</v>
      </c>
      <c r="C328" t="s">
        <v>317</v>
      </c>
      <c r="D328" s="1">
        <f>D324*D327/D326</f>
        <v>2.4999999999999999E-8</v>
      </c>
      <c r="E328" t="s">
        <v>345</v>
      </c>
    </row>
    <row r="329" spans="1:5" x14ac:dyDescent="0.25">
      <c r="A329" s="43"/>
      <c r="B329" t="s">
        <v>325</v>
      </c>
      <c r="C329" t="s">
        <v>328</v>
      </c>
      <c r="D329" s="1">
        <f>D328</f>
        <v>2.4999999999999999E-8</v>
      </c>
      <c r="E329" t="s">
        <v>345</v>
      </c>
    </row>
    <row r="330" spans="1:5" x14ac:dyDescent="0.25">
      <c r="A330" s="43"/>
      <c r="B330" t="s">
        <v>326</v>
      </c>
      <c r="C330" t="s">
        <v>327</v>
      </c>
      <c r="D330" s="1">
        <f>D329</f>
        <v>2.4999999999999999E-8</v>
      </c>
      <c r="E330" t="s">
        <v>345</v>
      </c>
    </row>
    <row r="331" spans="1:5" x14ac:dyDescent="0.25">
      <c r="A331" s="43"/>
      <c r="C331" t="s">
        <v>320</v>
      </c>
      <c r="D331">
        <f>D326/D327</f>
        <v>2</v>
      </c>
      <c r="E331" t="s">
        <v>20</v>
      </c>
    </row>
    <row r="332" spans="1:5" x14ac:dyDescent="0.25">
      <c r="A332" s="43"/>
      <c r="C332" t="s">
        <v>322</v>
      </c>
      <c r="D332">
        <v>3</v>
      </c>
      <c r="E332" t="s">
        <v>20</v>
      </c>
    </row>
    <row r="333" spans="1:5" x14ac:dyDescent="0.25">
      <c r="A333" s="43"/>
      <c r="C333" t="s">
        <v>323</v>
      </c>
      <c r="D333">
        <f>D332/D4</f>
        <v>2.5</v>
      </c>
      <c r="E333" t="s">
        <v>20</v>
      </c>
    </row>
    <row r="334" spans="1:5" x14ac:dyDescent="0.25">
      <c r="A334" s="43"/>
      <c r="C334" t="s">
        <v>321</v>
      </c>
      <c r="D334" t="b">
        <f>D331&lt;D333</f>
        <v>1</v>
      </c>
    </row>
    <row r="335" spans="1:5" x14ac:dyDescent="0.25">
      <c r="A335" s="43"/>
      <c r="B335" t="s">
        <v>349</v>
      </c>
      <c r="C335" t="s">
        <v>350</v>
      </c>
      <c r="D335" s="1">
        <f>D324*D326*D313</f>
        <v>8.0000000000000002E-3</v>
      </c>
      <c r="E335" t="s">
        <v>22</v>
      </c>
    </row>
    <row r="336" spans="1:5" x14ac:dyDescent="0.25">
      <c r="A336" s="43"/>
      <c r="B336" t="s">
        <v>330</v>
      </c>
      <c r="D336">
        <f>D221+D7</f>
        <v>144.1</v>
      </c>
      <c r="E336" t="s">
        <v>21</v>
      </c>
    </row>
    <row r="337" spans="1:5" x14ac:dyDescent="0.25">
      <c r="A337" s="43"/>
      <c r="B337" t="s">
        <v>331</v>
      </c>
      <c r="D337">
        <f>D314</f>
        <v>22.598870056497173</v>
      </c>
      <c r="E337" t="s">
        <v>20</v>
      </c>
    </row>
    <row r="338" spans="1:5" x14ac:dyDescent="0.25">
      <c r="A338" s="43"/>
      <c r="B338" t="s">
        <v>324</v>
      </c>
      <c r="D338" s="1">
        <f>0.5*D336*D337*(D329+D330)*D3</f>
        <v>1.302598870056497</v>
      </c>
      <c r="E338" t="s">
        <v>22</v>
      </c>
    </row>
    <row r="339" spans="1:5" x14ac:dyDescent="0.25">
      <c r="A339" s="43"/>
      <c r="B339" t="s">
        <v>344</v>
      </c>
      <c r="D339" s="1">
        <f>D317+D338</f>
        <v>3.2603164267398674</v>
      </c>
      <c r="E339" t="s">
        <v>22</v>
      </c>
    </row>
    <row r="340" spans="1:5" x14ac:dyDescent="0.25">
      <c r="A340" s="43"/>
      <c r="B340" t="s">
        <v>333</v>
      </c>
      <c r="D340">
        <v>1000</v>
      </c>
      <c r="E340" s="9" t="s">
        <v>24</v>
      </c>
    </row>
    <row r="341" spans="1:5" x14ac:dyDescent="0.25">
      <c r="A341" s="43"/>
      <c r="B341" t="s">
        <v>336</v>
      </c>
      <c r="D341">
        <v>2.5</v>
      </c>
      <c r="E341" t="s">
        <v>21</v>
      </c>
    </row>
    <row r="342" spans="1:5" x14ac:dyDescent="0.25">
      <c r="A342" s="43"/>
      <c r="B342" t="s">
        <v>337</v>
      </c>
      <c r="C342" t="s">
        <v>338</v>
      </c>
      <c r="D342">
        <v>210</v>
      </c>
      <c r="E342" t="s">
        <v>20</v>
      </c>
    </row>
    <row r="343" spans="1:5" x14ac:dyDescent="0.25">
      <c r="A343" s="43"/>
      <c r="B343" t="s">
        <v>334</v>
      </c>
      <c r="C343" t="s">
        <v>335</v>
      </c>
      <c r="D343" s="1">
        <f>-D340*(D324/D326)*LN(D341/D326)</f>
        <v>6.9314718055994534E-6</v>
      </c>
      <c r="E343" t="s">
        <v>345</v>
      </c>
    </row>
    <row r="344" spans="1:5" x14ac:dyDescent="0.25">
      <c r="A344" s="43"/>
      <c r="C344" t="s">
        <v>348</v>
      </c>
      <c r="D344" s="1">
        <f>D314+(D7*D343/D93)</f>
        <v>28.843367494693062</v>
      </c>
      <c r="E344" t="s">
        <v>20</v>
      </c>
    </row>
    <row r="345" spans="1:5" x14ac:dyDescent="0.25">
      <c r="A345" s="43"/>
      <c r="B345" t="s">
        <v>339</v>
      </c>
      <c r="D345">
        <v>60</v>
      </c>
      <c r="E345" t="s">
        <v>20</v>
      </c>
    </row>
    <row r="346" spans="1:5" x14ac:dyDescent="0.25">
      <c r="A346" s="43"/>
      <c r="C346" t="s">
        <v>341</v>
      </c>
      <c r="D346" t="b">
        <f>D344&lt;D342</f>
        <v>1</v>
      </c>
    </row>
    <row r="347" spans="1:5" x14ac:dyDescent="0.25">
      <c r="A347" s="43"/>
      <c r="C347" t="s">
        <v>340</v>
      </c>
      <c r="D347" t="b">
        <f>D344&lt;D345</f>
        <v>1</v>
      </c>
    </row>
    <row r="348" spans="1:5" x14ac:dyDescent="0.25">
      <c r="A348" s="43"/>
      <c r="B348" t="s">
        <v>342</v>
      </c>
      <c r="C348" t="s">
        <v>343</v>
      </c>
      <c r="D348">
        <f>0.5*POWER(D326, 2)/D340</f>
        <v>0.05</v>
      </c>
      <c r="E348" t="s">
        <v>22</v>
      </c>
    </row>
    <row r="349" spans="1:5" x14ac:dyDescent="0.25">
      <c r="A349" s="38"/>
    </row>
    <row r="350" spans="1:5" x14ac:dyDescent="0.25">
      <c r="A350" s="46" t="s">
        <v>704</v>
      </c>
      <c r="B350" t="s">
        <v>344</v>
      </c>
      <c r="D350" s="1">
        <f>D339</f>
        <v>3.2603164267398674</v>
      </c>
      <c r="E350" t="s">
        <v>22</v>
      </c>
    </row>
    <row r="351" spans="1:5" x14ac:dyDescent="0.25">
      <c r="A351" s="46"/>
      <c r="C351" t="s">
        <v>705</v>
      </c>
      <c r="D351">
        <v>0.9</v>
      </c>
      <c r="E351" s="39" t="s">
        <v>706</v>
      </c>
    </row>
    <row r="352" spans="1:5" x14ac:dyDescent="0.25">
      <c r="A352" s="46"/>
      <c r="C352" t="s">
        <v>707</v>
      </c>
      <c r="D352">
        <v>0.15</v>
      </c>
      <c r="E352" s="40" t="s">
        <v>141</v>
      </c>
    </row>
    <row r="353" spans="1:5" x14ac:dyDescent="0.25">
      <c r="A353" s="46"/>
      <c r="C353" t="s">
        <v>708</v>
      </c>
      <c r="D353" s="1">
        <v>1.4999999999999999E-4</v>
      </c>
      <c r="E353" s="41" t="s">
        <v>215</v>
      </c>
    </row>
    <row r="354" spans="1:5" x14ac:dyDescent="0.25">
      <c r="A354" s="46"/>
      <c r="B354" t="s">
        <v>710</v>
      </c>
      <c r="C354" t="s">
        <v>711</v>
      </c>
      <c r="D354">
        <f>D352/(1000*D351*D353)</f>
        <v>1.1111111111111112</v>
      </c>
      <c r="E354" s="40"/>
    </row>
    <row r="355" spans="1:5" x14ac:dyDescent="0.25">
      <c r="A355" s="46"/>
      <c r="B355" t="s">
        <v>712</v>
      </c>
      <c r="C355" t="s">
        <v>713</v>
      </c>
      <c r="D355">
        <f>3.5+0.5</f>
        <v>4</v>
      </c>
      <c r="E355" s="40"/>
    </row>
    <row r="356" spans="1:5" x14ac:dyDescent="0.25">
      <c r="A356" s="46"/>
      <c r="B356" t="s">
        <v>714</v>
      </c>
      <c r="C356" t="s">
        <v>715</v>
      </c>
      <c r="D356">
        <v>6.6665999999999999</v>
      </c>
      <c r="E356" s="39"/>
    </row>
    <row r="357" spans="1:5" x14ac:dyDescent="0.25">
      <c r="A357" s="46"/>
      <c r="C357" t="s">
        <v>709</v>
      </c>
      <c r="D357">
        <f>D354+D355+D356</f>
        <v>11.77771111111111</v>
      </c>
      <c r="E357" s="39"/>
    </row>
    <row r="358" spans="1:5" x14ac:dyDescent="0.25">
      <c r="A358" s="46"/>
      <c r="B358" t="s">
        <v>717</v>
      </c>
      <c r="C358" t="s">
        <v>716</v>
      </c>
      <c r="D358" s="1">
        <f>D357*D350</f>
        <v>38.399065004952206</v>
      </c>
      <c r="E358" s="39"/>
    </row>
    <row r="359" spans="1:5" x14ac:dyDescent="0.25">
      <c r="A359" s="46"/>
      <c r="C359" t="s">
        <v>718</v>
      </c>
      <c r="D359">
        <v>35</v>
      </c>
      <c r="E359" s="39"/>
    </row>
    <row r="360" spans="1:5" x14ac:dyDescent="0.25">
      <c r="A360" s="46"/>
      <c r="C360" t="s">
        <v>719</v>
      </c>
      <c r="D360" s="1">
        <f>D359+D358</f>
        <v>73.399065004952206</v>
      </c>
      <c r="E360" s="39"/>
    </row>
    <row r="361" spans="1:5" x14ac:dyDescent="0.25">
      <c r="A361" s="46"/>
      <c r="C361" t="s">
        <v>720</v>
      </c>
      <c r="D361">
        <v>150</v>
      </c>
      <c r="E361" s="39"/>
    </row>
    <row r="362" spans="1:5" x14ac:dyDescent="0.25">
      <c r="A362" s="46"/>
      <c r="C362" t="s">
        <v>721</v>
      </c>
      <c r="D362" t="b">
        <f>D360&lt;D361/D4</f>
        <v>1</v>
      </c>
    </row>
    <row r="363" spans="1:5" x14ac:dyDescent="0.25">
      <c r="A363" s="46" t="s">
        <v>722</v>
      </c>
    </row>
    <row r="364" spans="1:5" x14ac:dyDescent="0.25">
      <c r="A364" s="46"/>
    </row>
    <row r="365" spans="1:5" x14ac:dyDescent="0.25">
      <c r="A365" s="46"/>
    </row>
    <row r="366" spans="1:5" x14ac:dyDescent="0.25">
      <c r="A366" s="46"/>
    </row>
    <row r="367" spans="1:5" x14ac:dyDescent="0.25">
      <c r="A367" s="43" t="s">
        <v>353</v>
      </c>
      <c r="B367" t="s">
        <v>39</v>
      </c>
      <c r="C367" t="s">
        <v>42</v>
      </c>
      <c r="D367">
        <f>D89</f>
        <v>0.5</v>
      </c>
    </row>
    <row r="368" spans="1:5" x14ac:dyDescent="0.25">
      <c r="A368" s="43"/>
      <c r="B368" t="s">
        <v>48</v>
      </c>
      <c r="D368">
        <f>D3</f>
        <v>16000</v>
      </c>
    </row>
    <row r="369" spans="1:5" x14ac:dyDescent="0.25">
      <c r="A369" s="43"/>
      <c r="B369" t="s">
        <v>243</v>
      </c>
      <c r="D369">
        <f>D162</f>
        <v>22.598870056497173</v>
      </c>
    </row>
    <row r="370" spans="1:5" x14ac:dyDescent="0.25">
      <c r="A370" s="43"/>
      <c r="C370" t="s">
        <v>357</v>
      </c>
      <c r="D370">
        <v>2</v>
      </c>
    </row>
    <row r="371" spans="1:5" x14ac:dyDescent="0.25">
      <c r="A371" s="43"/>
      <c r="C371" t="s">
        <v>359</v>
      </c>
      <c r="D371">
        <f>D370*D369</f>
        <v>45.197740112994346</v>
      </c>
    </row>
    <row r="372" spans="1:5" x14ac:dyDescent="0.25">
      <c r="A372" s="43"/>
      <c r="B372" t="s">
        <v>354</v>
      </c>
      <c r="C372" t="s">
        <v>355</v>
      </c>
      <c r="D372">
        <v>1E-3</v>
      </c>
    </row>
    <row r="373" spans="1:5" x14ac:dyDescent="0.25">
      <c r="A373" s="43"/>
      <c r="B373" t="s">
        <v>356</v>
      </c>
      <c r="C373" t="s">
        <v>358</v>
      </c>
      <c r="D373">
        <f>D372*D369</f>
        <v>2.2598870056497175E-2</v>
      </c>
    </row>
    <row r="374" spans="1:5" x14ac:dyDescent="0.25">
      <c r="A374" s="43"/>
      <c r="B374" t="s">
        <v>406</v>
      </c>
      <c r="C374" t="s">
        <v>407</v>
      </c>
      <c r="D374">
        <f>POWER(D369, 2)*D372/3</f>
        <v>0.17023630927681485</v>
      </c>
    </row>
    <row r="375" spans="1:5" x14ac:dyDescent="0.25">
      <c r="A375" s="43"/>
      <c r="B375" t="s">
        <v>361</v>
      </c>
      <c r="C375" t="s">
        <v>360</v>
      </c>
      <c r="D375">
        <f>POWER(D371, 2)*D372/3</f>
        <v>0.6809452371072594</v>
      </c>
    </row>
    <row r="376" spans="1:5" x14ac:dyDescent="0.25">
      <c r="A376" s="43"/>
      <c r="B376" t="s">
        <v>362</v>
      </c>
      <c r="C376" t="s">
        <v>358</v>
      </c>
      <c r="D376">
        <f>D369*D372</f>
        <v>2.2598870056497175E-2</v>
      </c>
    </row>
    <row r="377" spans="1:5" x14ac:dyDescent="0.25">
      <c r="A377" s="43"/>
      <c r="B377" t="s">
        <v>363</v>
      </c>
      <c r="C377" t="s">
        <v>364</v>
      </c>
      <c r="D377">
        <f>D371*D372</f>
        <v>4.519774011299435E-2</v>
      </c>
    </row>
    <row r="378" spans="1:5" x14ac:dyDescent="0.25">
      <c r="A378" s="43"/>
      <c r="C378" t="s">
        <v>365</v>
      </c>
      <c r="D378">
        <f>2.5</f>
        <v>2.5</v>
      </c>
    </row>
    <row r="379" spans="1:5" x14ac:dyDescent="0.25">
      <c r="A379" s="43"/>
      <c r="B379" t="s">
        <v>396</v>
      </c>
      <c r="C379" t="s">
        <v>397</v>
      </c>
      <c r="D379" s="5" t="s">
        <v>398</v>
      </c>
    </row>
    <row r="380" spans="1:5" x14ac:dyDescent="0.25">
      <c r="A380" s="43"/>
      <c r="B380" t="s">
        <v>370</v>
      </c>
      <c r="C380" t="s">
        <v>369</v>
      </c>
      <c r="D380" s="1">
        <v>2.5000000000000001E-4</v>
      </c>
    </row>
    <row r="381" spans="1:5" x14ac:dyDescent="0.25">
      <c r="A381" s="43"/>
      <c r="B381" t="s">
        <v>371</v>
      </c>
      <c r="C381" t="s">
        <v>372</v>
      </c>
      <c r="D381" s="1">
        <v>5.0000000000000001E-9</v>
      </c>
    </row>
    <row r="382" spans="1:5" x14ac:dyDescent="0.25">
      <c r="A382" s="43"/>
      <c r="B382" t="s">
        <v>374</v>
      </c>
      <c r="C382" t="s">
        <v>373</v>
      </c>
      <c r="D382" s="1">
        <v>10000000</v>
      </c>
      <c r="E382" t="s">
        <v>73</v>
      </c>
    </row>
    <row r="383" spans="1:5" x14ac:dyDescent="0.25">
      <c r="A383" s="43"/>
      <c r="B383" t="s">
        <v>375</v>
      </c>
      <c r="C383" t="s">
        <v>376</v>
      </c>
      <c r="D383" s="26">
        <v>7000</v>
      </c>
      <c r="E383" t="s">
        <v>380</v>
      </c>
    </row>
    <row r="384" spans="1:5" x14ac:dyDescent="0.25">
      <c r="A384" s="43"/>
      <c r="B384" t="s">
        <v>377</v>
      </c>
      <c r="C384" t="s">
        <v>378</v>
      </c>
      <c r="D384" s="1">
        <f>D383*1000</f>
        <v>7000000</v>
      </c>
      <c r="E384" t="s">
        <v>379</v>
      </c>
    </row>
    <row r="385" spans="1:5" x14ac:dyDescent="0.25">
      <c r="A385" s="43"/>
      <c r="B385" s="27" t="s">
        <v>381</v>
      </c>
      <c r="C385" t="s">
        <v>382</v>
      </c>
      <c r="D385" s="27">
        <v>70</v>
      </c>
      <c r="E385" t="s">
        <v>383</v>
      </c>
    </row>
    <row r="386" spans="1:5" x14ac:dyDescent="0.25">
      <c r="A386" s="43"/>
      <c r="C386" t="s">
        <v>384</v>
      </c>
      <c r="D386">
        <f>D378/D377</f>
        <v>55.3125</v>
      </c>
    </row>
    <row r="387" spans="1:5" x14ac:dyDescent="0.25">
      <c r="A387" s="43"/>
      <c r="B387" t="s">
        <v>399</v>
      </c>
      <c r="C387" t="s">
        <v>387</v>
      </c>
      <c r="D387">
        <f>D386-1</f>
        <v>54.3125</v>
      </c>
    </row>
    <row r="388" spans="1:5" x14ac:dyDescent="0.25">
      <c r="A388" s="43"/>
      <c r="B388" t="s">
        <v>400</v>
      </c>
      <c r="D388">
        <f>20*LOG10(D387)</f>
        <v>34.697995875854836</v>
      </c>
    </row>
    <row r="389" spans="1:5" x14ac:dyDescent="0.25">
      <c r="A389" s="43"/>
      <c r="B389" t="s">
        <v>366</v>
      </c>
      <c r="D389">
        <v>56000</v>
      </c>
    </row>
    <row r="390" spans="1:5" x14ac:dyDescent="0.25">
      <c r="A390" s="43"/>
      <c r="B390" t="s">
        <v>368</v>
      </c>
      <c r="D390">
        <f>D389/D387</f>
        <v>1031.0701956271575</v>
      </c>
    </row>
    <row r="391" spans="1:5" x14ac:dyDescent="0.25">
      <c r="A391" s="43"/>
      <c r="B391" t="s">
        <v>367</v>
      </c>
      <c r="C391" t="s">
        <v>385</v>
      </c>
      <c r="D391">
        <v>1000</v>
      </c>
    </row>
    <row r="392" spans="1:5" x14ac:dyDescent="0.25">
      <c r="A392" s="43"/>
      <c r="B392" t="s">
        <v>401</v>
      </c>
      <c r="C392" t="s">
        <v>386</v>
      </c>
      <c r="D392">
        <f>1+(D389/D391)</f>
        <v>57</v>
      </c>
    </row>
    <row r="393" spans="1:5" x14ac:dyDescent="0.25">
      <c r="A393" s="43"/>
      <c r="C393" t="s">
        <v>417</v>
      </c>
      <c r="D393">
        <v>1E-3</v>
      </c>
    </row>
    <row r="394" spans="1:5" x14ac:dyDescent="0.25">
      <c r="A394" s="43"/>
      <c r="B394" t="s">
        <v>418</v>
      </c>
      <c r="D394">
        <f>D389*(1+D393)</f>
        <v>56055.999999999993</v>
      </c>
    </row>
    <row r="395" spans="1:5" x14ac:dyDescent="0.25">
      <c r="A395" s="43"/>
      <c r="B395" t="s">
        <v>419</v>
      </c>
      <c r="D395">
        <f>D389*(1-D393)</f>
        <v>55944</v>
      </c>
    </row>
    <row r="396" spans="1:5" x14ac:dyDescent="0.25">
      <c r="A396" s="43"/>
      <c r="B396" t="s">
        <v>420</v>
      </c>
      <c r="D396">
        <f>D391*(1+D393)</f>
        <v>1000.9999999999999</v>
      </c>
    </row>
    <row r="397" spans="1:5" x14ac:dyDescent="0.25">
      <c r="A397" s="43"/>
      <c r="B397" t="s">
        <v>421</v>
      </c>
      <c r="D397">
        <f>D391*(1-D393)</f>
        <v>999</v>
      </c>
    </row>
    <row r="398" spans="1:5" x14ac:dyDescent="0.25">
      <c r="A398" s="43"/>
      <c r="B398" t="s">
        <v>415</v>
      </c>
      <c r="C398" t="s">
        <v>416</v>
      </c>
      <c r="D398">
        <f>1+(D394/D397)</f>
        <v>57.112112112112108</v>
      </c>
    </row>
    <row r="399" spans="1:5" x14ac:dyDescent="0.25">
      <c r="A399" s="43"/>
      <c r="B399" t="s">
        <v>422</v>
      </c>
      <c r="C399" t="s">
        <v>416</v>
      </c>
      <c r="D399">
        <f>1+(D395/D396)</f>
        <v>56.888111888111894</v>
      </c>
    </row>
    <row r="400" spans="1:5" x14ac:dyDescent="0.25">
      <c r="A400" s="43"/>
      <c r="C400" t="s">
        <v>423</v>
      </c>
      <c r="D400">
        <f>MAX(ABS((D398-D392)/D392), ABS((D399-D392)/D392))</f>
        <v>1.9668791598615406E-3</v>
      </c>
    </row>
    <row r="401" spans="1:5" x14ac:dyDescent="0.25">
      <c r="A401" s="43"/>
      <c r="C401" t="s">
        <v>424</v>
      </c>
      <c r="D401">
        <f>100*D400</f>
        <v>0.19668791598615407</v>
      </c>
      <c r="E401" t="s">
        <v>170</v>
      </c>
    </row>
    <row r="402" spans="1:5" x14ac:dyDescent="0.25">
      <c r="A402" s="43"/>
      <c r="B402" t="s">
        <v>402</v>
      </c>
      <c r="D402">
        <f>20*LOG10(D392)</f>
        <v>35.117497113449829</v>
      </c>
    </row>
    <row r="403" spans="1:5" x14ac:dyDescent="0.25">
      <c r="A403" s="43"/>
      <c r="C403" t="s">
        <v>391</v>
      </c>
      <c r="D403" t="b">
        <f>ABS((D392-D386)/D386)&lt;0.02</f>
        <v>0</v>
      </c>
    </row>
    <row r="404" spans="1:5" x14ac:dyDescent="0.25">
      <c r="A404" s="43"/>
      <c r="C404" t="s">
        <v>403</v>
      </c>
      <c r="D404" t="b">
        <f>D385&gt;D402</f>
        <v>1</v>
      </c>
    </row>
    <row r="405" spans="1:5" x14ac:dyDescent="0.25">
      <c r="A405" s="43"/>
      <c r="B405" t="s">
        <v>389</v>
      </c>
      <c r="C405" t="s">
        <v>388</v>
      </c>
      <c r="D405" s="1">
        <f>D380/D372</f>
        <v>0.25</v>
      </c>
    </row>
    <row r="406" spans="1:5" x14ac:dyDescent="0.25">
      <c r="A406" s="43"/>
      <c r="C406" t="s">
        <v>404</v>
      </c>
      <c r="D406" s="1">
        <f>D369/20</f>
        <v>1.1299435028248586</v>
      </c>
    </row>
    <row r="407" spans="1:5" x14ac:dyDescent="0.25">
      <c r="A407" s="43"/>
      <c r="C407" t="s">
        <v>405</v>
      </c>
      <c r="D407" s="1" t="b">
        <f>D405&lt;D406</f>
        <v>1</v>
      </c>
    </row>
    <row r="408" spans="1:5" x14ac:dyDescent="0.25">
      <c r="A408" s="43"/>
      <c r="B408" t="s">
        <v>390</v>
      </c>
      <c r="D408">
        <f>D382/D392</f>
        <v>175438.59649122806</v>
      </c>
    </row>
    <row r="409" spans="1:5" x14ac:dyDescent="0.25">
      <c r="A409" s="43"/>
      <c r="C409" t="s">
        <v>395</v>
      </c>
      <c r="D409">
        <f>D368*D392</f>
        <v>912000</v>
      </c>
    </row>
    <row r="410" spans="1:5" x14ac:dyDescent="0.25">
      <c r="A410" s="43"/>
      <c r="C410" t="s">
        <v>392</v>
      </c>
      <c r="D410" t="b">
        <f>D408&gt;=D3</f>
        <v>1</v>
      </c>
    </row>
    <row r="411" spans="1:5" x14ac:dyDescent="0.25">
      <c r="A411" s="43"/>
    </row>
    <row r="412" spans="1:5" x14ac:dyDescent="0.25">
      <c r="A412" s="43"/>
      <c r="C412" t="s">
        <v>393</v>
      </c>
      <c r="D412">
        <f>D378*D368/D367</f>
        <v>80000</v>
      </c>
      <c r="E412" t="s">
        <v>379</v>
      </c>
    </row>
    <row r="413" spans="1:5" x14ac:dyDescent="0.25">
      <c r="A413" s="43"/>
      <c r="C413" t="s">
        <v>393</v>
      </c>
      <c r="D413">
        <f>D412/1000</f>
        <v>80</v>
      </c>
      <c r="E413" t="s">
        <v>380</v>
      </c>
    </row>
    <row r="414" spans="1:5" x14ac:dyDescent="0.25">
      <c r="A414" s="43"/>
      <c r="C414" t="s">
        <v>394</v>
      </c>
      <c r="D414" t="b">
        <f>D412&lt;=D384</f>
        <v>1</v>
      </c>
    </row>
    <row r="415" spans="1:5" x14ac:dyDescent="0.25">
      <c r="A415" s="43"/>
      <c r="B415" t="s">
        <v>408</v>
      </c>
      <c r="D415">
        <f>(D389*D391)/(D389+D391)</f>
        <v>982.45614035087715</v>
      </c>
    </row>
    <row r="416" spans="1:5" x14ac:dyDescent="0.25">
      <c r="A416" s="43"/>
      <c r="B416" t="s">
        <v>409</v>
      </c>
      <c r="D416">
        <f>D372</f>
        <v>1E-3</v>
      </c>
    </row>
    <row r="417" spans="1:5" x14ac:dyDescent="0.25">
      <c r="A417" s="43"/>
    </row>
    <row r="418" spans="1:5" x14ac:dyDescent="0.25">
      <c r="A418" s="43"/>
    </row>
    <row r="419" spans="1:5" x14ac:dyDescent="0.25">
      <c r="A419" s="43"/>
      <c r="B419" t="s">
        <v>411</v>
      </c>
      <c r="C419" s="28" t="s">
        <v>410</v>
      </c>
      <c r="D419">
        <f>D381*(D415-D416)</f>
        <v>4.9122757017543856E-6</v>
      </c>
      <c r="E419" t="s">
        <v>21</v>
      </c>
    </row>
    <row r="420" spans="1:5" x14ac:dyDescent="0.25">
      <c r="A420" s="43"/>
      <c r="B420" t="s">
        <v>412</v>
      </c>
      <c r="C420" t="s">
        <v>413</v>
      </c>
      <c r="D420" s="1">
        <f>D392*D380</f>
        <v>1.4250000000000001E-2</v>
      </c>
    </row>
    <row r="421" spans="1:5" x14ac:dyDescent="0.25">
      <c r="A421" s="43"/>
      <c r="B421" t="s">
        <v>414</v>
      </c>
      <c r="D421" s="1">
        <f>D420+D419</f>
        <v>1.4254912275701755E-2</v>
      </c>
    </row>
    <row r="422" spans="1:5" x14ac:dyDescent="0.25">
      <c r="A422" s="43"/>
      <c r="B422" t="s">
        <v>425</v>
      </c>
      <c r="C422" t="s">
        <v>426</v>
      </c>
      <c r="D422">
        <f>D372*D392</f>
        <v>5.7000000000000002E-2</v>
      </c>
    </row>
    <row r="423" spans="1:5" x14ac:dyDescent="0.25">
      <c r="A423" s="43"/>
      <c r="B423" t="s">
        <v>427</v>
      </c>
      <c r="D423">
        <f>D422*D400</f>
        <v>1.1211211211210782E-4</v>
      </c>
    </row>
    <row r="424" spans="1:5" x14ac:dyDescent="0.25">
      <c r="A424" s="43"/>
      <c r="B424" t="s">
        <v>428</v>
      </c>
      <c r="D424" s="1">
        <f>D423+D421</f>
        <v>1.4367024387813862E-2</v>
      </c>
    </row>
    <row r="425" spans="1:5" x14ac:dyDescent="0.25">
      <c r="A425" s="43"/>
      <c r="B425" t="s">
        <v>429</v>
      </c>
      <c r="D425" s="1">
        <f>(D423*D369)+D421</f>
        <v>1.6788519329082721E-2</v>
      </c>
    </row>
    <row r="426" spans="1:5" x14ac:dyDescent="0.25">
      <c r="A426" s="43"/>
      <c r="B426" t="s">
        <v>430</v>
      </c>
      <c r="D426" s="1">
        <f>(D423*D371)+D421</f>
        <v>1.9322126382463688E-2</v>
      </c>
    </row>
    <row r="427" spans="1:5" x14ac:dyDescent="0.25">
      <c r="A427" s="43"/>
      <c r="C427" t="s">
        <v>431</v>
      </c>
      <c r="D427">
        <f>1/D422</f>
        <v>17.543859649122805</v>
      </c>
    </row>
    <row r="428" spans="1:5" x14ac:dyDescent="0.25">
      <c r="A428" s="43"/>
      <c r="B428" t="s">
        <v>432</v>
      </c>
      <c r="D428" s="1">
        <f>D424*D425</f>
        <v>2.4120106663621586E-4</v>
      </c>
    </row>
    <row r="429" spans="1:5" x14ac:dyDescent="0.25">
      <c r="A429" s="43"/>
      <c r="B429" t="s">
        <v>433</v>
      </c>
      <c r="D429" s="1">
        <f>D425*D427</f>
        <v>0.29453542682601264</v>
      </c>
    </row>
    <row r="430" spans="1:5" x14ac:dyDescent="0.25">
      <c r="A430" s="43"/>
      <c r="B430" t="s">
        <v>434</v>
      </c>
      <c r="D430" s="1">
        <f>D426*D427</f>
        <v>0.33898467337655586</v>
      </c>
    </row>
    <row r="431" spans="1:5" x14ac:dyDescent="0.25">
      <c r="A431" s="43"/>
      <c r="B431" t="s">
        <v>432</v>
      </c>
      <c r="D431" s="1">
        <f>D428*100</f>
        <v>2.4120106663621587E-2</v>
      </c>
      <c r="E431" t="s">
        <v>170</v>
      </c>
    </row>
    <row r="432" spans="1:5" x14ac:dyDescent="0.25">
      <c r="A432" s="43"/>
      <c r="B432" t="s">
        <v>433</v>
      </c>
      <c r="D432" s="1">
        <f>(D429/D369)*100</f>
        <v>1.3033192637051061</v>
      </c>
      <c r="E432" t="s">
        <v>170</v>
      </c>
    </row>
    <row r="433" spans="1:5" x14ac:dyDescent="0.25">
      <c r="A433" s="43"/>
      <c r="B433" t="s">
        <v>434</v>
      </c>
      <c r="D433">
        <f>(D430/D371)*100</f>
        <v>0.75000358984562998</v>
      </c>
      <c r="E433" t="s">
        <v>170</v>
      </c>
    </row>
    <row r="435" spans="1:5" x14ac:dyDescent="0.25">
      <c r="A435" s="43" t="s">
        <v>454</v>
      </c>
      <c r="B435" t="s">
        <v>48</v>
      </c>
      <c r="C435" t="s">
        <v>47</v>
      </c>
      <c r="D435">
        <f>D3</f>
        <v>16000</v>
      </c>
    </row>
    <row r="436" spans="1:5" x14ac:dyDescent="0.25">
      <c r="A436" s="43"/>
      <c r="B436" t="s">
        <v>41</v>
      </c>
      <c r="C436" t="s">
        <v>437</v>
      </c>
      <c r="D436">
        <f>D91</f>
        <v>22.598870056497173</v>
      </c>
    </row>
    <row r="437" spans="1:5" x14ac:dyDescent="0.25">
      <c r="A437" s="43"/>
      <c r="B437" t="s">
        <v>39</v>
      </c>
      <c r="C437" t="s">
        <v>438</v>
      </c>
      <c r="D437">
        <f>D89</f>
        <v>0.5</v>
      </c>
    </row>
    <row r="438" spans="1:5" x14ac:dyDescent="0.25">
      <c r="A438" s="43"/>
      <c r="B438" t="s">
        <v>435</v>
      </c>
      <c r="C438" t="s">
        <v>436</v>
      </c>
      <c r="D438">
        <f>0.5*D436/D435</f>
        <v>7.0621468926553661E-4</v>
      </c>
    </row>
    <row r="439" spans="1:5" x14ac:dyDescent="0.25">
      <c r="A439" s="43"/>
      <c r="B439" t="s">
        <v>439</v>
      </c>
      <c r="D439">
        <v>0.5</v>
      </c>
    </row>
    <row r="440" spans="1:5" x14ac:dyDescent="0.25">
      <c r="A440" s="43"/>
      <c r="B440" t="s">
        <v>445</v>
      </c>
      <c r="D440">
        <f>D438/D439</f>
        <v>1.4124293785310732E-3</v>
      </c>
    </row>
    <row r="441" spans="1:5" x14ac:dyDescent="0.25">
      <c r="A441" s="43"/>
      <c r="C441" t="s">
        <v>440</v>
      </c>
      <c r="D441">
        <v>10</v>
      </c>
    </row>
    <row r="442" spans="1:5" x14ac:dyDescent="0.25">
      <c r="A442" s="43"/>
      <c r="B442" t="s">
        <v>444</v>
      </c>
      <c r="D442">
        <f>D441*D440</f>
        <v>1.4124293785310733E-2</v>
      </c>
    </row>
    <row r="443" spans="1:5" x14ac:dyDescent="0.25">
      <c r="A443" s="43"/>
      <c r="B443" t="s">
        <v>469</v>
      </c>
      <c r="C443" t="s">
        <v>470</v>
      </c>
      <c r="D443">
        <f>3*D465</f>
        <v>132.30000000000001</v>
      </c>
    </row>
    <row r="444" spans="1:5" x14ac:dyDescent="0.25">
      <c r="A444" s="43"/>
      <c r="B444" t="s">
        <v>471</v>
      </c>
      <c r="D444" s="1">
        <v>1E-3</v>
      </c>
    </row>
    <row r="445" spans="1:5" x14ac:dyDescent="0.25">
      <c r="A445" s="43"/>
      <c r="B445" t="s">
        <v>472</v>
      </c>
      <c r="D445">
        <v>20</v>
      </c>
    </row>
    <row r="446" spans="1:5" x14ac:dyDescent="0.25">
      <c r="A446" s="43"/>
      <c r="B446" t="s">
        <v>475</v>
      </c>
      <c r="C446" t="s">
        <v>476</v>
      </c>
      <c r="D446" s="30">
        <v>1.7000000000000001E-2</v>
      </c>
    </row>
    <row r="447" spans="1:5" x14ac:dyDescent="0.25">
      <c r="A447" s="43"/>
      <c r="B447" t="s">
        <v>477</v>
      </c>
      <c r="D447">
        <f>D446/D445</f>
        <v>8.5000000000000006E-4</v>
      </c>
    </row>
    <row r="448" spans="1:5" x14ac:dyDescent="0.25">
      <c r="A448" s="43"/>
      <c r="B448" t="s">
        <v>450</v>
      </c>
      <c r="C448" t="s">
        <v>451</v>
      </c>
      <c r="D448" s="1">
        <f>D444*D445</f>
        <v>0.02</v>
      </c>
    </row>
    <row r="449" spans="1:4" x14ac:dyDescent="0.25">
      <c r="A449" s="43"/>
      <c r="C449" t="s">
        <v>473</v>
      </c>
      <c r="D449" s="1">
        <f>0.2</f>
        <v>0.2</v>
      </c>
    </row>
    <row r="450" spans="1:4" x14ac:dyDescent="0.25">
      <c r="A450" s="43"/>
      <c r="B450" t="s">
        <v>474</v>
      </c>
      <c r="D450" s="1">
        <f>D448*(1-D449)</f>
        <v>1.6E-2</v>
      </c>
    </row>
    <row r="451" spans="1:4" x14ac:dyDescent="0.25">
      <c r="A451" s="43"/>
      <c r="B451" t="s">
        <v>510</v>
      </c>
      <c r="D451" s="1">
        <f>D447*D436</f>
        <v>1.9209039548022597E-2</v>
      </c>
    </row>
    <row r="452" spans="1:4" x14ac:dyDescent="0.25">
      <c r="A452" s="43"/>
      <c r="B452" t="s">
        <v>511</v>
      </c>
      <c r="D452" s="1">
        <f>D438/D448</f>
        <v>3.531073446327683E-2</v>
      </c>
    </row>
    <row r="453" spans="1:4" x14ac:dyDescent="0.25">
      <c r="A453" s="43"/>
      <c r="B453" t="s">
        <v>512</v>
      </c>
      <c r="D453" s="1">
        <f>D451+D452</f>
        <v>5.4519774011299427E-2</v>
      </c>
    </row>
    <row r="454" spans="1:4" x14ac:dyDescent="0.25">
      <c r="A454" s="43"/>
      <c r="B454" t="s">
        <v>478</v>
      </c>
      <c r="D454" s="1">
        <f>POWER(D451, 2)/D447</f>
        <v>0.43410258865587781</v>
      </c>
    </row>
    <row r="455" spans="1:4" x14ac:dyDescent="0.25">
      <c r="A455" s="43"/>
      <c r="B455" t="s">
        <v>479</v>
      </c>
      <c r="D455" s="1">
        <f>D454/D445</f>
        <v>2.1705129432793891E-2</v>
      </c>
    </row>
    <row r="456" spans="1:4" x14ac:dyDescent="0.25">
      <c r="A456" s="43"/>
      <c r="B456" t="s">
        <v>448</v>
      </c>
      <c r="C456" t="s">
        <v>442</v>
      </c>
      <c r="D456">
        <v>500</v>
      </c>
    </row>
    <row r="457" spans="1:4" x14ac:dyDescent="0.25">
      <c r="A457" s="43"/>
      <c r="B457" t="s">
        <v>446</v>
      </c>
      <c r="C457" t="s">
        <v>447</v>
      </c>
      <c r="D457">
        <f>1/(POWER(2*PI()*D456, 2)*D442)</f>
        <v>7.1735398018775158E-6</v>
      </c>
    </row>
    <row r="458" spans="1:4" x14ac:dyDescent="0.25">
      <c r="A458" s="43"/>
      <c r="B458" t="s">
        <v>443</v>
      </c>
      <c r="C458" t="s">
        <v>480</v>
      </c>
      <c r="D458" s="1">
        <v>2.1999999999999999E-5</v>
      </c>
    </row>
    <row r="459" spans="1:4" x14ac:dyDescent="0.25">
      <c r="A459" s="43"/>
      <c r="B459" t="s">
        <v>481</v>
      </c>
      <c r="D459" s="1">
        <f>D2*2/D5</f>
        <v>11.299435028248586</v>
      </c>
    </row>
    <row r="460" spans="1:4" x14ac:dyDescent="0.25">
      <c r="A460" s="43"/>
      <c r="B460" t="s">
        <v>482</v>
      </c>
      <c r="D460" s="1">
        <f>2*D459</f>
        <v>22.598870056497173</v>
      </c>
    </row>
    <row r="461" spans="1:4" x14ac:dyDescent="0.25">
      <c r="A461" s="43"/>
      <c r="B461" t="s">
        <v>441</v>
      </c>
      <c r="C461" t="s">
        <v>449</v>
      </c>
      <c r="D461" s="1">
        <f>1/(2*PI()*POWER(D448*D458, 0.5))</f>
        <v>239.93510443917407</v>
      </c>
    </row>
    <row r="462" spans="1:4" x14ac:dyDescent="0.25">
      <c r="A462" s="43"/>
      <c r="B462" t="s">
        <v>452</v>
      </c>
      <c r="D462" s="1">
        <f>40*LOG10(D435/D461)</f>
        <v>72.961047570285331</v>
      </c>
    </row>
    <row r="463" spans="1:4" x14ac:dyDescent="0.25">
      <c r="A463" s="43"/>
      <c r="C463" t="s">
        <v>453</v>
      </c>
      <c r="D463">
        <f>POWER(D7, 2)*0.5*D448</f>
        <v>19.448100000000004</v>
      </c>
    </row>
    <row r="464" spans="1:4" x14ac:dyDescent="0.25">
      <c r="A464" s="43"/>
      <c r="B464" t="s">
        <v>455</v>
      </c>
      <c r="C464" t="s">
        <v>456</v>
      </c>
      <c r="D464">
        <v>33</v>
      </c>
    </row>
    <row r="465" spans="1:4" x14ac:dyDescent="0.25">
      <c r="A465" s="43"/>
      <c r="B465" t="s">
        <v>38</v>
      </c>
      <c r="D465">
        <f>D7</f>
        <v>44.1</v>
      </c>
    </row>
    <row r="466" spans="1:4" x14ac:dyDescent="0.25">
      <c r="A466" s="43"/>
    </row>
    <row r="467" spans="1:4" x14ac:dyDescent="0.25">
      <c r="A467" s="43"/>
      <c r="B467" t="s">
        <v>458</v>
      </c>
      <c r="D467" s="1">
        <f>((-D464)+POWER(POWER(D464, 2)-(4*D458/D448), 0.5))/(2*D458)</f>
        <v>-1.5151530456139737</v>
      </c>
    </row>
    <row r="468" spans="1:4" x14ac:dyDescent="0.25">
      <c r="A468" s="43"/>
      <c r="B468" t="s">
        <v>459</v>
      </c>
      <c r="D468" s="1">
        <f>((-D464)-POWER(POWER(D464, 2)-(4*D458/D448), 0.5))/(2*D458)</f>
        <v>-1499998.4848469547</v>
      </c>
    </row>
    <row r="469" spans="1:4" x14ac:dyDescent="0.25">
      <c r="A469" s="43"/>
      <c r="B469" t="s">
        <v>460</v>
      </c>
      <c r="D469" s="1">
        <f>LN(D468/D467)/(D467-D468)</f>
        <v>9.2036573945350537E-6</v>
      </c>
    </row>
    <row r="470" spans="1:4" x14ac:dyDescent="0.25">
      <c r="A470" s="43"/>
      <c r="B470" t="s">
        <v>243</v>
      </c>
      <c r="D470" s="1">
        <f>(D465/(D458*(D467-D468)))*(EXP(D467*D469)-EXP(D468*D469))</f>
        <v>1.3363463508162678</v>
      </c>
    </row>
    <row r="471" spans="1:4" x14ac:dyDescent="0.25">
      <c r="A471" s="43"/>
      <c r="B471" t="s">
        <v>461</v>
      </c>
      <c r="D471" s="1">
        <f>D464*POWER(D470, 2)</f>
        <v>58.932111788218542</v>
      </c>
    </row>
    <row r="472" spans="1:4" x14ac:dyDescent="0.25">
      <c r="A472" s="43"/>
      <c r="C472" t="s">
        <v>457</v>
      </c>
      <c r="D472" s="1">
        <f>D471*D4</f>
        <v>70.71853414586225</v>
      </c>
    </row>
    <row r="473" spans="1:4" x14ac:dyDescent="0.25">
      <c r="A473" s="43"/>
      <c r="B473" t="s">
        <v>463</v>
      </c>
      <c r="C473" t="s">
        <v>462</v>
      </c>
      <c r="D473" t="b">
        <f>(POWER(D464, 2)/(4*POWER(D458, 2)))&lt;(1/(D458*D448))</f>
        <v>0</v>
      </c>
    </row>
    <row r="474" spans="1:4" x14ac:dyDescent="0.25">
      <c r="A474" s="43"/>
      <c r="B474" t="s">
        <v>464</v>
      </c>
      <c r="D474" s="1">
        <f>D464/(2*D458)</f>
        <v>750000</v>
      </c>
    </row>
    <row r="475" spans="1:4" x14ac:dyDescent="0.25">
      <c r="A475" s="43"/>
      <c r="B475" t="s">
        <v>465</v>
      </c>
      <c r="D475" s="1">
        <f>1/POWER(D458*D448, 0.5)</f>
        <v>1507.5567228888181</v>
      </c>
    </row>
    <row r="476" spans="1:4" x14ac:dyDescent="0.25">
      <c r="A476" s="43"/>
      <c r="B476" t="s">
        <v>466</v>
      </c>
      <c r="D476" t="str">
        <f>IF(D473, POWER(POWER(D475, 2)-POWER(D474, 2), 0.5),"NA")</f>
        <v>NA</v>
      </c>
    </row>
    <row r="477" spans="1:4" x14ac:dyDescent="0.25">
      <c r="A477" s="43"/>
      <c r="C477" t="s">
        <v>467</v>
      </c>
      <c r="D477" s="1" t="str">
        <f>IF(D473, 100*EXP(-PI()*D474/D476), "Not Under-damped")</f>
        <v>Not Under-damped</v>
      </c>
    </row>
    <row r="478" spans="1:4" x14ac:dyDescent="0.25">
      <c r="A478" s="43"/>
      <c r="B478" t="s">
        <v>468</v>
      </c>
      <c r="D478" s="1">
        <f>5/MIN(ABS(D467), ABS(D468))</f>
        <v>3.2999966666561322</v>
      </c>
    </row>
    <row r="479" spans="1:4" x14ac:dyDescent="0.25">
      <c r="A479" s="43"/>
      <c r="B479" t="s">
        <v>486</v>
      </c>
      <c r="C479" t="s">
        <v>483</v>
      </c>
      <c r="D479">
        <v>1600</v>
      </c>
    </row>
    <row r="480" spans="1:4" x14ac:dyDescent="0.25">
      <c r="A480" s="43"/>
      <c r="C480" t="s">
        <v>484</v>
      </c>
      <c r="D480">
        <v>0.1</v>
      </c>
    </row>
    <row r="481" spans="1:4" x14ac:dyDescent="0.25">
      <c r="A481" s="43"/>
      <c r="B481" t="s">
        <v>485</v>
      </c>
      <c r="D481">
        <f>D479*(1-D480)</f>
        <v>1440</v>
      </c>
    </row>
    <row r="482" spans="1:4" x14ac:dyDescent="0.25">
      <c r="A482" s="43"/>
      <c r="B482" t="s">
        <v>487</v>
      </c>
      <c r="D482">
        <f>D479*(1+D480)</f>
        <v>1760.0000000000002</v>
      </c>
    </row>
    <row r="483" spans="1:4" x14ac:dyDescent="0.25">
      <c r="A483" s="43"/>
      <c r="B483" t="s">
        <v>488</v>
      </c>
      <c r="D483">
        <v>24</v>
      </c>
    </row>
    <row r="484" spans="1:4" x14ac:dyDescent="0.25">
      <c r="A484" s="43"/>
      <c r="B484" t="s">
        <v>489</v>
      </c>
      <c r="D484">
        <v>1.4999999999999999E-2</v>
      </c>
    </row>
    <row r="485" spans="1:4" x14ac:dyDescent="0.25">
      <c r="A485" s="43"/>
      <c r="C485" t="s">
        <v>490</v>
      </c>
      <c r="D485" t="b">
        <f>(D483/D479)=D484</f>
        <v>1</v>
      </c>
    </row>
    <row r="486" spans="1:4" x14ac:dyDescent="0.25">
      <c r="A486" s="43"/>
      <c r="B486" t="s">
        <v>491</v>
      </c>
      <c r="C486" t="s">
        <v>492</v>
      </c>
      <c r="D486">
        <f>1.3*D483</f>
        <v>31.200000000000003</v>
      </c>
    </row>
    <row r="487" spans="1:4" x14ac:dyDescent="0.25">
      <c r="A487" s="43"/>
      <c r="B487" t="s">
        <v>493</v>
      </c>
      <c r="C487" t="s">
        <v>494</v>
      </c>
      <c r="D487">
        <f>0.75*D483</f>
        <v>18</v>
      </c>
    </row>
    <row r="488" spans="1:4" x14ac:dyDescent="0.25">
      <c r="A488" s="43"/>
      <c r="B488" t="s">
        <v>495</v>
      </c>
      <c r="D488">
        <f>D487/D482</f>
        <v>1.0227272727272725E-2</v>
      </c>
    </row>
    <row r="489" spans="1:4" x14ac:dyDescent="0.25">
      <c r="A489" s="43"/>
      <c r="B489" t="s">
        <v>496</v>
      </c>
      <c r="D489">
        <f>D486/D482</f>
        <v>1.7727272727272727E-2</v>
      </c>
    </row>
    <row r="490" spans="1:4" x14ac:dyDescent="0.25">
      <c r="A490" s="43"/>
      <c r="B490" t="s">
        <v>502</v>
      </c>
      <c r="D490">
        <v>1330</v>
      </c>
    </row>
    <row r="491" spans="1:4" x14ac:dyDescent="0.25">
      <c r="A491" s="43"/>
      <c r="C491" t="s">
        <v>506</v>
      </c>
      <c r="D491">
        <v>0.05</v>
      </c>
    </row>
    <row r="492" spans="1:4" x14ac:dyDescent="0.25">
      <c r="A492" s="43"/>
      <c r="B492" t="s">
        <v>507</v>
      </c>
      <c r="D492">
        <f>D490*(1-D491)</f>
        <v>1263.5</v>
      </c>
    </row>
    <row r="493" spans="1:4" x14ac:dyDescent="0.25">
      <c r="A493" s="43"/>
      <c r="B493" t="s">
        <v>508</v>
      </c>
      <c r="D493">
        <f>D490*(1+D491)</f>
        <v>1396.5</v>
      </c>
    </row>
    <row r="494" spans="1:4" x14ac:dyDescent="0.25">
      <c r="A494" s="43"/>
      <c r="C494" t="s">
        <v>499</v>
      </c>
      <c r="D494">
        <f>D6/(D479+D490)</f>
        <v>1.3003412969283274E-2</v>
      </c>
    </row>
    <row r="495" spans="1:4" x14ac:dyDescent="0.25">
      <c r="A495" s="43"/>
      <c r="C495" t="s">
        <v>500</v>
      </c>
      <c r="D495">
        <f>D5/(D481+D493)</f>
        <v>1.2480169222633529E-2</v>
      </c>
    </row>
    <row r="496" spans="1:4" x14ac:dyDescent="0.25">
      <c r="A496" s="43"/>
      <c r="C496" t="s">
        <v>501</v>
      </c>
      <c r="D496">
        <f>D7/(D481+D492)</f>
        <v>1.6312187904568152E-2</v>
      </c>
    </row>
    <row r="497" spans="1:4" x14ac:dyDescent="0.25">
      <c r="A497" s="43"/>
      <c r="C497" t="s">
        <v>503</v>
      </c>
      <c r="D497" t="b">
        <f>AND((D494&gt;D488), (D496&lt;D489))</f>
        <v>1</v>
      </c>
    </row>
    <row r="498" spans="1:4" x14ac:dyDescent="0.25">
      <c r="A498" s="43"/>
    </row>
    <row r="499" spans="1:4" x14ac:dyDescent="0.25">
      <c r="A499" s="43"/>
      <c r="B499" t="s">
        <v>504</v>
      </c>
      <c r="D499">
        <f xml:space="preserve"> POWER(D496, 2)*D490</f>
        <v>0.35389634073113957</v>
      </c>
    </row>
    <row r="500" spans="1:4" x14ac:dyDescent="0.25">
      <c r="A500" s="43"/>
      <c r="B500" t="s">
        <v>509</v>
      </c>
      <c r="D500">
        <f>POWER(D494, 2)*D479</f>
        <v>0.27054199815955915</v>
      </c>
    </row>
    <row r="501" spans="1:4" x14ac:dyDescent="0.25">
      <c r="A501" s="43"/>
      <c r="B501" t="s">
        <v>505</v>
      </c>
      <c r="D501">
        <f>POWER(D495, 2)*D482</f>
        <v>0.27412813793300184</v>
      </c>
    </row>
    <row r="502" spans="1:4" x14ac:dyDescent="0.25">
      <c r="A502" s="43"/>
      <c r="C502" t="s">
        <v>630</v>
      </c>
      <c r="D502" s="1">
        <f>0.5*D458*POWER(D503, 2)</f>
        <v>3.0311171733454588E-4</v>
      </c>
    </row>
    <row r="503" spans="1:4" x14ac:dyDescent="0.25">
      <c r="A503" s="43"/>
      <c r="C503" t="s">
        <v>631</v>
      </c>
      <c r="D503">
        <f>D2/D6</f>
        <v>5.2493438320209984</v>
      </c>
    </row>
    <row r="504" spans="1:4" x14ac:dyDescent="0.25">
      <c r="A504" s="43"/>
      <c r="C504" t="s">
        <v>632</v>
      </c>
      <c r="D504">
        <f>D6</f>
        <v>38.099999999999994</v>
      </c>
    </row>
    <row r="505" spans="1:4" x14ac:dyDescent="0.25">
      <c r="A505" s="43"/>
      <c r="C505" t="s">
        <v>633</v>
      </c>
      <c r="D505">
        <f>POWER(((0.5*D448*POWER(D504, 2))+D502)*2/D448, 0.5)</f>
        <v>38.100397782329424</v>
      </c>
    </row>
    <row r="506" spans="1:4" x14ac:dyDescent="0.25">
      <c r="A506" t="s">
        <v>741</v>
      </c>
      <c r="B506" t="s">
        <v>743</v>
      </c>
      <c r="C506" t="s">
        <v>742</v>
      </c>
      <c r="D506" s="1">
        <f>0.5*D448*POWER(D7, 2)</f>
        <v>19.448100000000004</v>
      </c>
    </row>
    <row r="507" spans="1:4" x14ac:dyDescent="0.25">
      <c r="B507" t="s">
        <v>744</v>
      </c>
      <c r="C507" t="s">
        <v>745</v>
      </c>
      <c r="D507">
        <f>(0.06*0.022*0.0018)+(2*(0.06*0.0129*0.001))+(0.06*0.0091*0.0018)</f>
        <v>4.9067999999999993E-6</v>
      </c>
    </row>
    <row r="508" spans="1:4" x14ac:dyDescent="0.25">
      <c r="B508" t="s">
        <v>746</v>
      </c>
      <c r="C508" t="s">
        <v>747</v>
      </c>
      <c r="D508">
        <v>850</v>
      </c>
    </row>
    <row r="509" spans="1:4" x14ac:dyDescent="0.25">
      <c r="B509" t="s">
        <v>748</v>
      </c>
      <c r="C509" t="s">
        <v>749</v>
      </c>
      <c r="D509">
        <v>2700</v>
      </c>
    </row>
    <row r="510" spans="1:4" x14ac:dyDescent="0.25">
      <c r="B510" t="s">
        <v>717</v>
      </c>
      <c r="D510">
        <f>D506/(D509*D507*D508)</f>
        <v>1.7270150907024588</v>
      </c>
    </row>
    <row r="511" spans="1:4" x14ac:dyDescent="0.25">
      <c r="B511" t="s">
        <v>750</v>
      </c>
      <c r="C511" t="s">
        <v>757</v>
      </c>
      <c r="D511">
        <v>0.2</v>
      </c>
    </row>
    <row r="512" spans="1:4" x14ac:dyDescent="0.25">
      <c r="B512" t="s">
        <v>755</v>
      </c>
      <c r="C512" t="s">
        <v>754</v>
      </c>
      <c r="D512">
        <f>D508*D507*D509</f>
        <v>11.261106</v>
      </c>
    </row>
    <row r="513" spans="1:10" x14ac:dyDescent="0.25">
      <c r="B513" t="s">
        <v>761</v>
      </c>
      <c r="C513" t="s">
        <v>760</v>
      </c>
      <c r="D513">
        <f>0.022*0.06</f>
        <v>1.3199999999999998E-3</v>
      </c>
    </row>
    <row r="514" spans="1:10" x14ac:dyDescent="0.25">
      <c r="B514" t="s">
        <v>762</v>
      </c>
      <c r="C514" t="s">
        <v>763</v>
      </c>
      <c r="D514">
        <f>0.002</f>
        <v>2E-3</v>
      </c>
    </row>
    <row r="515" spans="1:10" x14ac:dyDescent="0.25">
      <c r="B515" t="s">
        <v>751</v>
      </c>
      <c r="C515" t="s">
        <v>752</v>
      </c>
      <c r="D515">
        <v>0.5</v>
      </c>
    </row>
    <row r="516" spans="1:10" x14ac:dyDescent="0.25">
      <c r="B516" t="s">
        <v>756</v>
      </c>
      <c r="C516" t="s">
        <v>753</v>
      </c>
      <c r="D516">
        <f>4.605*D512/D515</f>
        <v>103.71478626000001</v>
      </c>
    </row>
    <row r="517" spans="1:10" x14ac:dyDescent="0.25">
      <c r="B517" t="s">
        <v>758</v>
      </c>
      <c r="C517" t="s">
        <v>759</v>
      </c>
      <c r="D517">
        <f>D514/(D511*D513)</f>
        <v>7.575757575757577</v>
      </c>
    </row>
    <row r="518" spans="1:10" x14ac:dyDescent="0.25">
      <c r="B518" t="s">
        <v>764</v>
      </c>
      <c r="D518">
        <f>D512*D510/D516</f>
        <v>0.18751521071687935</v>
      </c>
    </row>
    <row r="519" spans="1:10" x14ac:dyDescent="0.25">
      <c r="A519" s="42"/>
      <c r="B519" t="s">
        <v>765</v>
      </c>
      <c r="D519">
        <f>D518*D517</f>
        <v>1.4205697781581772</v>
      </c>
    </row>
    <row r="520" spans="1:10" x14ac:dyDescent="0.25">
      <c r="A520" s="43" t="s">
        <v>634</v>
      </c>
      <c r="C520" t="s">
        <v>638</v>
      </c>
      <c r="D520" t="s">
        <v>639</v>
      </c>
      <c r="E520" t="s">
        <v>641</v>
      </c>
      <c r="F520" t="s">
        <v>640</v>
      </c>
      <c r="G520" t="s">
        <v>642</v>
      </c>
    </row>
    <row r="521" spans="1:10" x14ac:dyDescent="0.25">
      <c r="A521" s="43"/>
      <c r="C521" t="s">
        <v>635</v>
      </c>
      <c r="D521">
        <f>D2/D5</f>
        <v>5.6497175141242932</v>
      </c>
      <c r="E521">
        <f>11*0.01</f>
        <v>0.11</v>
      </c>
      <c r="F521">
        <v>1</v>
      </c>
      <c r="G521">
        <v>22</v>
      </c>
      <c r="H521">
        <v>10</v>
      </c>
      <c r="I521">
        <v>10</v>
      </c>
      <c r="J521">
        <v>10</v>
      </c>
    </row>
    <row r="522" spans="1:10" x14ac:dyDescent="0.25">
      <c r="A522" s="43"/>
      <c r="C522" t="s">
        <v>636</v>
      </c>
      <c r="D522">
        <v>2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</row>
    <row r="523" spans="1:10" x14ac:dyDescent="0.25">
      <c r="A523" s="43"/>
      <c r="C523" t="s">
        <v>637</v>
      </c>
      <c r="D523">
        <v>5</v>
      </c>
      <c r="E523">
        <v>5</v>
      </c>
      <c r="F523">
        <v>5</v>
      </c>
      <c r="G523">
        <v>5</v>
      </c>
      <c r="H523">
        <v>5</v>
      </c>
      <c r="I523">
        <v>5</v>
      </c>
      <c r="J523">
        <v>5</v>
      </c>
    </row>
    <row r="524" spans="1:10" x14ac:dyDescent="0.25">
      <c r="A524" s="43"/>
      <c r="C524" t="s">
        <v>645</v>
      </c>
      <c r="D524">
        <f>0.0254*POWER(D521/(0.048*POWER(D523, 0.44)), 1/0.725)/(D522*1.378)</f>
        <v>2.4923433704232472</v>
      </c>
      <c r="E524">
        <f t="shared" ref="E524:G524" si="20">0.0254*POWER(E521/(0.048*POWER(E523, 0.44)), 1/0.725)/(E522*1.378)</f>
        <v>1.0892125473680554E-2</v>
      </c>
      <c r="F524">
        <f t="shared" si="20"/>
        <v>0.22873341897835012</v>
      </c>
      <c r="G524">
        <f t="shared" si="20"/>
        <v>16.253508114154439</v>
      </c>
      <c r="H524">
        <f t="shared" ref="H524" si="21">0.0254*POWER(H521/(0.048*POWER(H523, 0.44)), 1/0.725)/(H522*1.378)</f>
        <v>5.4782262733389961</v>
      </c>
      <c r="I524">
        <f t="shared" ref="I524:J524" si="22">0.0254*POWER(I521/(0.048*POWER(I523, 0.44)), 1/0.725)/(I522*1.378)</f>
        <v>5.4782262733389961</v>
      </c>
      <c r="J524">
        <f t="shared" si="22"/>
        <v>5.4782262733389961</v>
      </c>
    </row>
    <row r="525" spans="1:10" x14ac:dyDescent="0.25">
      <c r="A525" s="43"/>
      <c r="C525" t="s">
        <v>646</v>
      </c>
      <c r="D525">
        <f>0.0254*POWER(D521/(0.024*POWER(D523, 0.44)), 1/0.725)/(D522*1.378)</f>
        <v>6.4836813405534928</v>
      </c>
      <c r="E525">
        <f t="shared" ref="E525:I525" si="23">0.0254*POWER(E521/(0.024*POWER(E523, 0.44)), 1/0.725)/(E522*1.378)</f>
        <v>2.8335209157266786E-2</v>
      </c>
      <c r="F525">
        <f t="shared" si="23"/>
        <v>0.59503622903255293</v>
      </c>
      <c r="G525">
        <f t="shared" si="23"/>
        <v>42.282523559497292</v>
      </c>
      <c r="H525">
        <f t="shared" si="23"/>
        <v>14.251276083899347</v>
      </c>
      <c r="I525">
        <f t="shared" si="23"/>
        <v>14.251276083899347</v>
      </c>
    </row>
    <row r="526" spans="1:10" x14ac:dyDescent="0.25">
      <c r="A526" s="43"/>
      <c r="C526" t="s">
        <v>644</v>
      </c>
      <c r="D526">
        <v>8</v>
      </c>
      <c r="E526">
        <v>1</v>
      </c>
      <c r="F526">
        <v>1</v>
      </c>
      <c r="G526">
        <v>8</v>
      </c>
      <c r="H526">
        <v>8</v>
      </c>
    </row>
    <row r="527" spans="1:10" x14ac:dyDescent="0.25">
      <c r="A527" s="43"/>
      <c r="C527" t="s">
        <v>649</v>
      </c>
      <c r="D527">
        <f>POWER(D521/POWER(D526*(D522*1.378)/0.0254, 0.725)/0.048, 1/0.44)</f>
        <v>0.7318559619713908</v>
      </c>
      <c r="E527">
        <f t="shared" ref="E527:H527" si="24">POWER(E521/POWER(E526*(E522*1.378)/0.0254, 0.725)/0.048, 1/0.44)</f>
        <v>2.9151906392472556E-3</v>
      </c>
      <c r="F527">
        <f t="shared" si="24"/>
        <v>0.43986554940209394</v>
      </c>
      <c r="G527">
        <f t="shared" si="24"/>
        <v>16.078094835159579</v>
      </c>
      <c r="H527">
        <f t="shared" si="24"/>
        <v>2.6791758539545092</v>
      </c>
    </row>
    <row r="528" spans="1:10" x14ac:dyDescent="0.25">
      <c r="A528" s="43"/>
      <c r="C528" t="s">
        <v>648</v>
      </c>
      <c r="D528">
        <f>POWER(D521/POWER(D526*(D522*1.378)/0.0254, 0.725)/0.024, 1/0.44)</f>
        <v>3.5365898499283999</v>
      </c>
      <c r="E528">
        <f t="shared" ref="E528:H528" si="25">POWER(E521/POWER(E526*(E522*1.378)/0.0254, 0.725)/0.024, 1/0.44)</f>
        <v>1.4087244158805046E-2</v>
      </c>
      <c r="F528">
        <f t="shared" si="25"/>
        <v>2.1255877087593311</v>
      </c>
      <c r="G528">
        <f t="shared" si="25"/>
        <v>77.695106625959824</v>
      </c>
      <c r="H528">
        <f t="shared" si="25"/>
        <v>12.946736275462857</v>
      </c>
    </row>
    <row r="529" spans="1:8" x14ac:dyDescent="0.25">
      <c r="A529" s="43"/>
      <c r="C529" t="s">
        <v>643</v>
      </c>
      <c r="D529">
        <v>100</v>
      </c>
      <c r="E529">
        <v>200</v>
      </c>
      <c r="F529">
        <v>120</v>
      </c>
      <c r="G529">
        <v>100</v>
      </c>
      <c r="H529">
        <v>100</v>
      </c>
    </row>
    <row r="530" spans="1:8" x14ac:dyDescent="0.25">
      <c r="A530" s="43"/>
      <c r="C530" t="s">
        <v>202</v>
      </c>
      <c r="D530">
        <f>(0.0000000168)*(D529/1000)/((D526/1000)*0.0000348*D522)</f>
        <v>3.0172413793103452E-3</v>
      </c>
      <c r="E530">
        <f>(0.0000000168)*(E529/1000)/((E526/1000)*0.0000348*E522)</f>
        <v>4.8275862068965524E-2</v>
      </c>
      <c r="F530">
        <f>(0.0000000168)*(F529/1000)/((F526/1000)*0.0000348*F522)</f>
        <v>2.8965517241379312E-2</v>
      </c>
      <c r="G530">
        <f>(0.0000000168)*(G529/1000)/((G526/1000)*0.0000348*G522)</f>
        <v>3.0172413793103452E-3</v>
      </c>
      <c r="H530">
        <f>(0.0000000168)*(H529/1000)/((H526/1000)*0.0000348*H522)</f>
        <v>3.0172413793103452E-3</v>
      </c>
    </row>
    <row r="531" spans="1:8" x14ac:dyDescent="0.25">
      <c r="A531" s="43"/>
      <c r="C531" t="s">
        <v>647</v>
      </c>
      <c r="D531">
        <f>POWER(D521, 2)*D530</f>
        <v>9.6308256864577377E-2</v>
      </c>
      <c r="E531">
        <f>POWER(E521, 2)*E530</f>
        <v>5.8413793103448278E-4</v>
      </c>
      <c r="F531">
        <f>POWER(F521, 2)*F530</f>
        <v>2.8965517241379312E-2</v>
      </c>
      <c r="G531">
        <f>POWER(G521, 2)*G530</f>
        <v>1.460344827586207</v>
      </c>
      <c r="H531">
        <f>POWER(H521, 2)*H530</f>
        <v>0.30172413793103453</v>
      </c>
    </row>
    <row r="532" spans="1:8" x14ac:dyDescent="0.25">
      <c r="A532" s="43"/>
      <c r="C532" t="s">
        <v>650</v>
      </c>
      <c r="D532">
        <f>D521*D530</f>
        <v>1.7046561465030197E-2</v>
      </c>
      <c r="E532">
        <f t="shared" ref="E532:H532" si="26">E521*E530</f>
        <v>5.3103448275862077E-3</v>
      </c>
      <c r="F532">
        <f t="shared" si="26"/>
        <v>2.8965517241379312E-2</v>
      </c>
      <c r="G532">
        <f t="shared" si="26"/>
        <v>6.6379310344827594E-2</v>
      </c>
      <c r="H532">
        <f t="shared" si="26"/>
        <v>3.0172413793103453E-2</v>
      </c>
    </row>
    <row r="533" spans="1:8" x14ac:dyDescent="0.25">
      <c r="A533" s="42"/>
    </row>
    <row r="534" spans="1:8" x14ac:dyDescent="0.25">
      <c r="A534" s="42"/>
    </row>
    <row r="539" spans="1:8" x14ac:dyDescent="0.25">
      <c r="A539" s="46" t="s">
        <v>723</v>
      </c>
    </row>
    <row r="540" spans="1:8" x14ac:dyDescent="0.25">
      <c r="A540" s="46"/>
      <c r="C540" t="s">
        <v>724</v>
      </c>
      <c r="D540" s="1">
        <v>1000000000</v>
      </c>
    </row>
    <row r="541" spans="1:8" x14ac:dyDescent="0.25">
      <c r="A541" s="46"/>
      <c r="C541" t="s">
        <v>725</v>
      </c>
      <c r="D541">
        <v>14</v>
      </c>
    </row>
    <row r="542" spans="1:8" x14ac:dyDescent="0.25">
      <c r="A542" s="46"/>
      <c r="C542" t="s">
        <v>221</v>
      </c>
      <c r="D542" s="1">
        <f>D540*D541</f>
        <v>14000000000</v>
      </c>
    </row>
    <row r="543" spans="1:8" x14ac:dyDescent="0.25">
      <c r="A543" s="46"/>
      <c r="C543" t="s">
        <v>726</v>
      </c>
      <c r="D543">
        <f>2.5</f>
        <v>2.5</v>
      </c>
    </row>
    <row r="544" spans="1:8" x14ac:dyDescent="0.25">
      <c r="A544" s="46"/>
      <c r="C544" t="s">
        <v>727</v>
      </c>
      <c r="D544">
        <f>D8/D543</f>
        <v>32000</v>
      </c>
    </row>
    <row r="545" spans="1:4" x14ac:dyDescent="0.25">
      <c r="A545" s="46"/>
      <c r="C545" t="s">
        <v>728</v>
      </c>
      <c r="D545">
        <f>D542/D544</f>
        <v>437500</v>
      </c>
    </row>
    <row r="546" spans="1:4" x14ac:dyDescent="0.25">
      <c r="A546" s="46"/>
      <c r="C546" t="s">
        <v>766</v>
      </c>
      <c r="D546" s="1">
        <v>130000</v>
      </c>
    </row>
    <row r="547" spans="1:4" x14ac:dyDescent="0.25">
      <c r="A547" s="46"/>
      <c r="C547" t="s">
        <v>729</v>
      </c>
      <c r="D547" s="1">
        <f>D8/D542</f>
        <v>5.7142857142857145E-6</v>
      </c>
    </row>
    <row r="548" spans="1:4" x14ac:dyDescent="0.25">
      <c r="A548" s="46"/>
      <c r="C548" t="s">
        <v>730</v>
      </c>
      <c r="D548" s="1">
        <f>D547*D547*D540</f>
        <v>3.2653061224489799E-2</v>
      </c>
    </row>
    <row r="549" spans="1:4" x14ac:dyDescent="0.25">
      <c r="A549" s="46"/>
      <c r="C549" t="s">
        <v>731</v>
      </c>
      <c r="D549" s="1">
        <f>D548*D541</f>
        <v>0.45714285714285718</v>
      </c>
    </row>
    <row r="550" spans="1:4" x14ac:dyDescent="0.25">
      <c r="A550" s="46"/>
      <c r="C550" t="s">
        <v>732</v>
      </c>
      <c r="D550" s="1">
        <f>POWER(D547, 2)*D546</f>
        <v>4.2448979591836746E-6</v>
      </c>
    </row>
    <row r="553" spans="1:4" x14ac:dyDescent="0.25">
      <c r="A553" s="46" t="s">
        <v>733</v>
      </c>
      <c r="C553" t="s">
        <v>724</v>
      </c>
      <c r="D553" s="1">
        <v>100000000</v>
      </c>
    </row>
    <row r="554" spans="1:4" x14ac:dyDescent="0.25">
      <c r="A554" s="46"/>
      <c r="C554" t="s">
        <v>725</v>
      </c>
      <c r="D554">
        <v>1</v>
      </c>
    </row>
    <row r="555" spans="1:4" x14ac:dyDescent="0.25">
      <c r="A555" s="46"/>
      <c r="C555" t="s">
        <v>221</v>
      </c>
      <c r="D555" s="1">
        <f>D553*D554</f>
        <v>100000000</v>
      </c>
    </row>
    <row r="556" spans="1:4" x14ac:dyDescent="0.25">
      <c r="A556" s="46"/>
      <c r="C556" t="s">
        <v>726</v>
      </c>
      <c r="D556">
        <v>2.5</v>
      </c>
    </row>
    <row r="557" spans="1:4" x14ac:dyDescent="0.25">
      <c r="A557" s="46"/>
      <c r="C557" t="s">
        <v>727</v>
      </c>
      <c r="D557">
        <f>D12/D556</f>
        <v>5600</v>
      </c>
    </row>
    <row r="558" spans="1:4" x14ac:dyDescent="0.25">
      <c r="A558" s="46"/>
      <c r="C558" t="s">
        <v>728</v>
      </c>
      <c r="D558">
        <f>D555/D557</f>
        <v>17857.142857142859</v>
      </c>
    </row>
    <row r="559" spans="1:4" x14ac:dyDescent="0.25">
      <c r="A559" s="46"/>
      <c r="C559" t="s">
        <v>767</v>
      </c>
      <c r="D559" s="1">
        <v>20000</v>
      </c>
    </row>
    <row r="560" spans="1:4" x14ac:dyDescent="0.25">
      <c r="A560" s="46"/>
      <c r="C560" t="s">
        <v>729</v>
      </c>
      <c r="D560" s="1">
        <f>D12/D555</f>
        <v>1.3999999999999999E-4</v>
      </c>
    </row>
    <row r="561" spans="1:5" x14ac:dyDescent="0.25">
      <c r="A561" s="46"/>
      <c r="C561" t="s">
        <v>730</v>
      </c>
      <c r="D561" s="1">
        <f>D560*D560*D553</f>
        <v>1.9599999999999997</v>
      </c>
    </row>
    <row r="562" spans="1:5" x14ac:dyDescent="0.25">
      <c r="A562" s="46"/>
      <c r="C562" t="s">
        <v>731</v>
      </c>
      <c r="D562" s="1">
        <f>D561*D554</f>
        <v>1.9599999999999997</v>
      </c>
    </row>
    <row r="563" spans="1:5" x14ac:dyDescent="0.25">
      <c r="C563" t="s">
        <v>732</v>
      </c>
      <c r="D563" s="1">
        <f>POWER(D560, 2)*D559</f>
        <v>3.9199999999999993E-4</v>
      </c>
    </row>
    <row r="565" spans="1:5" x14ac:dyDescent="0.25">
      <c r="A565" s="43" t="s">
        <v>734</v>
      </c>
      <c r="C565" t="s">
        <v>735</v>
      </c>
      <c r="D565">
        <v>3</v>
      </c>
    </row>
    <row r="566" spans="1:5" x14ac:dyDescent="0.25">
      <c r="A566" s="43"/>
      <c r="C566" t="s">
        <v>736</v>
      </c>
      <c r="D566">
        <v>550</v>
      </c>
      <c r="E566" t="s">
        <v>738</v>
      </c>
    </row>
    <row r="567" spans="1:5" x14ac:dyDescent="0.25">
      <c r="A567" s="43"/>
      <c r="C567" t="s">
        <v>737</v>
      </c>
      <c r="D567">
        <f>25.4*41.9*0.000001</f>
        <v>1.06426E-3</v>
      </c>
    </row>
    <row r="568" spans="1:5" x14ac:dyDescent="0.25">
      <c r="A568" s="43"/>
      <c r="C568" t="s">
        <v>739</v>
      </c>
      <c r="D568">
        <f>D567*D566*0.3048</f>
        <v>0.17841254640000004</v>
      </c>
      <c r="E568" t="s">
        <v>652</v>
      </c>
    </row>
    <row r="569" spans="1:5" x14ac:dyDescent="0.25">
      <c r="A569" s="43"/>
      <c r="C569" t="s">
        <v>740</v>
      </c>
      <c r="D569">
        <f>D568*50</f>
        <v>8.9206273200000012</v>
      </c>
    </row>
    <row r="570" spans="1:5" x14ac:dyDescent="0.25">
      <c r="A570" s="43"/>
    </row>
    <row r="571" spans="1:5" x14ac:dyDescent="0.25">
      <c r="A571" s="43"/>
    </row>
    <row r="572" spans="1:5" x14ac:dyDescent="0.25">
      <c r="A572" s="43"/>
    </row>
    <row r="573" spans="1:5" x14ac:dyDescent="0.25">
      <c r="A573" s="43"/>
    </row>
    <row r="574" spans="1:5" x14ac:dyDescent="0.25">
      <c r="A574" s="43"/>
    </row>
    <row r="575" spans="1:5" x14ac:dyDescent="0.25">
      <c r="A575" s="43"/>
    </row>
    <row r="576" spans="1:5" x14ac:dyDescent="0.25">
      <c r="A576" s="43"/>
    </row>
    <row r="577" spans="1:5" x14ac:dyDescent="0.25">
      <c r="A577" s="43"/>
    </row>
    <row r="579" spans="1:5" x14ac:dyDescent="0.25">
      <c r="A579" s="43" t="s">
        <v>768</v>
      </c>
      <c r="C579" t="s">
        <v>769</v>
      </c>
      <c r="E579" s="1">
        <f>D53</f>
        <v>0.15679999999999999</v>
      </c>
    </row>
    <row r="580" spans="1:5" x14ac:dyDescent="0.25">
      <c r="A580" s="43"/>
      <c r="C580" t="s">
        <v>770</v>
      </c>
      <c r="E580">
        <f>D27</f>
        <v>0.84000000000000008</v>
      </c>
    </row>
    <row r="581" spans="1:5" x14ac:dyDescent="0.25">
      <c r="A581" s="43"/>
      <c r="C581" t="s">
        <v>771</v>
      </c>
      <c r="E581" s="1">
        <f>D149+D150</f>
        <v>3.2288346657248184</v>
      </c>
    </row>
    <row r="582" spans="1:5" x14ac:dyDescent="0.25">
      <c r="A582" s="43"/>
      <c r="C582" t="s">
        <v>772</v>
      </c>
      <c r="E582" s="1">
        <f>E579+E580+E581</f>
        <v>4.2256346657248187</v>
      </c>
    </row>
    <row r="583" spans="1:5" x14ac:dyDescent="0.25">
      <c r="A583" s="43"/>
    </row>
    <row r="584" spans="1:5" x14ac:dyDescent="0.25">
      <c r="A584" s="43"/>
    </row>
    <row r="585" spans="1:5" x14ac:dyDescent="0.25">
      <c r="A585" s="43"/>
      <c r="C585" t="s">
        <v>4</v>
      </c>
      <c r="E585">
        <v>2</v>
      </c>
    </row>
    <row r="586" spans="1:5" x14ac:dyDescent="0.25">
      <c r="A586" s="43"/>
      <c r="C586" t="s">
        <v>653</v>
      </c>
      <c r="D586" t="s">
        <v>214</v>
      </c>
      <c r="E586">
        <v>0.17399999999999999</v>
      </c>
    </row>
    <row r="587" spans="1:5" x14ac:dyDescent="0.25">
      <c r="A587" s="43"/>
      <c r="C587" t="s">
        <v>654</v>
      </c>
      <c r="D587" t="s">
        <v>214</v>
      </c>
      <c r="E587">
        <v>0.5</v>
      </c>
    </row>
    <row r="588" spans="1:5" x14ac:dyDescent="0.25">
      <c r="A588" s="43"/>
      <c r="C588" t="s">
        <v>651</v>
      </c>
      <c r="D588" t="s">
        <v>662</v>
      </c>
      <c r="E588">
        <f>POWER(E586/2, 2)*PI()*E587</f>
        <v>1.1889357397510571E-2</v>
      </c>
    </row>
    <row r="589" spans="1:5" x14ac:dyDescent="0.25">
      <c r="A589" s="43"/>
      <c r="C589" t="s">
        <v>655</v>
      </c>
      <c r="E589" s="1">
        <f>E582</f>
        <v>4.2256346657248187</v>
      </c>
    </row>
    <row r="590" spans="1:5" x14ac:dyDescent="0.25">
      <c r="A590" s="43"/>
      <c r="C590" t="s">
        <v>660</v>
      </c>
      <c r="D590" t="s">
        <v>656</v>
      </c>
      <c r="E590">
        <v>2300</v>
      </c>
    </row>
    <row r="591" spans="1:5" x14ac:dyDescent="0.25">
      <c r="A591" s="43"/>
      <c r="C591" t="s">
        <v>657</v>
      </c>
      <c r="D591" t="s">
        <v>658</v>
      </c>
      <c r="E591">
        <v>20</v>
      </c>
    </row>
    <row r="592" spans="1:5" x14ac:dyDescent="0.25">
      <c r="A592" s="43"/>
      <c r="C592" t="s">
        <v>659</v>
      </c>
      <c r="D592" t="s">
        <v>661</v>
      </c>
      <c r="E592">
        <v>800</v>
      </c>
    </row>
    <row r="593" spans="1:5" x14ac:dyDescent="0.25">
      <c r="A593" s="43"/>
      <c r="C593" t="s">
        <v>663</v>
      </c>
      <c r="D593" t="s">
        <v>664</v>
      </c>
      <c r="E593">
        <f>E592*E588</f>
        <v>9.5114859180084572</v>
      </c>
    </row>
    <row r="594" spans="1:5" x14ac:dyDescent="0.25">
      <c r="A594" s="43"/>
      <c r="C594" t="s">
        <v>665</v>
      </c>
      <c r="D594" t="s">
        <v>666</v>
      </c>
      <c r="E594">
        <f>E590*E593*E591</f>
        <v>437528.35222838906</v>
      </c>
    </row>
    <row r="595" spans="1:5" x14ac:dyDescent="0.25">
      <c r="A595" s="43"/>
      <c r="C595" t="s">
        <v>667</v>
      </c>
      <c r="D595" t="s">
        <v>345</v>
      </c>
      <c r="E595">
        <f>E594/E589</f>
        <v>103541.45278513808</v>
      </c>
    </row>
    <row r="596" spans="1:5" x14ac:dyDescent="0.25">
      <c r="A596" s="43"/>
      <c r="C596" t="s">
        <v>668</v>
      </c>
      <c r="D596" t="s">
        <v>345</v>
      </c>
      <c r="E596">
        <f>E595/E585</f>
        <v>51770.726392569042</v>
      </c>
    </row>
    <row r="597" spans="1:5" x14ac:dyDescent="0.25">
      <c r="A597" s="43"/>
      <c r="C597" t="s">
        <v>669</v>
      </c>
      <c r="D597" t="s">
        <v>670</v>
      </c>
      <c r="E597">
        <f>E588/E596</f>
        <v>2.2965405791982709E-7</v>
      </c>
    </row>
    <row r="598" spans="1:5" x14ac:dyDescent="0.25">
      <c r="A598" s="43"/>
      <c r="C598" t="s">
        <v>669</v>
      </c>
      <c r="D598" t="s">
        <v>671</v>
      </c>
      <c r="E598">
        <f>(1000000)*E597</f>
        <v>0.2296540579198271</v>
      </c>
    </row>
    <row r="599" spans="1:5" x14ac:dyDescent="0.25">
      <c r="A599" s="43"/>
      <c r="C599" t="s">
        <v>672</v>
      </c>
      <c r="D599" t="s">
        <v>673</v>
      </c>
      <c r="E599">
        <v>0.1</v>
      </c>
    </row>
    <row r="600" spans="1:5" x14ac:dyDescent="0.25">
      <c r="A600" s="43"/>
      <c r="C600" t="s">
        <v>674</v>
      </c>
      <c r="D600" t="s">
        <v>215</v>
      </c>
      <c r="E600">
        <f>E597/E599</f>
        <v>2.2965405791982708E-6</v>
      </c>
    </row>
    <row r="601" spans="1:5" x14ac:dyDescent="0.25">
      <c r="A601" s="43"/>
      <c r="C601" t="s">
        <v>675</v>
      </c>
      <c r="D601" t="s">
        <v>214</v>
      </c>
      <c r="E601">
        <f>2*POWER(E600/PI(), 0.5)</f>
        <v>1.7099842927712037E-3</v>
      </c>
    </row>
    <row r="602" spans="1:5" x14ac:dyDescent="0.25">
      <c r="A602" s="43"/>
      <c r="C602" t="s">
        <v>677</v>
      </c>
      <c r="D602" t="s">
        <v>214</v>
      </c>
      <c r="E602">
        <f>CEILING(E601, 0.001)</f>
        <v>2E-3</v>
      </c>
    </row>
    <row r="603" spans="1:5" x14ac:dyDescent="0.25">
      <c r="A603" s="43"/>
      <c r="C603" t="s">
        <v>676</v>
      </c>
      <c r="D603" t="s">
        <v>141</v>
      </c>
      <c r="E603">
        <f>E602*1000</f>
        <v>2</v>
      </c>
    </row>
    <row r="604" spans="1:5" x14ac:dyDescent="0.25">
      <c r="A604" s="43"/>
      <c r="C604" t="s">
        <v>682</v>
      </c>
      <c r="D604" t="s">
        <v>141</v>
      </c>
      <c r="E604">
        <v>9</v>
      </c>
    </row>
    <row r="605" spans="1:5" x14ac:dyDescent="0.25">
      <c r="C605" t="s">
        <v>683</v>
      </c>
      <c r="E605">
        <f>E604/1000</f>
        <v>8.9999999999999993E-3</v>
      </c>
    </row>
    <row r="606" spans="1:5" x14ac:dyDescent="0.25">
      <c r="C606" t="s">
        <v>680</v>
      </c>
      <c r="E606">
        <f>0.00604</f>
        <v>6.0400000000000002E-3</v>
      </c>
    </row>
    <row r="607" spans="1:5" x14ac:dyDescent="0.25">
      <c r="C607" t="s">
        <v>679</v>
      </c>
      <c r="E607">
        <f>E606/E592</f>
        <v>7.5500000000000006E-6</v>
      </c>
    </row>
    <row r="608" spans="1:5" x14ac:dyDescent="0.25">
      <c r="C608" t="s">
        <v>678</v>
      </c>
      <c r="E608">
        <v>2300</v>
      </c>
    </row>
    <row r="609" spans="3:5" x14ac:dyDescent="0.25">
      <c r="C609" t="s">
        <v>681</v>
      </c>
      <c r="E609">
        <f>E592*E599*E605/E606</f>
        <v>119.20529801324503</v>
      </c>
    </row>
    <row r="610" spans="3:5" x14ac:dyDescent="0.25">
      <c r="C610" t="s">
        <v>684</v>
      </c>
      <c r="E610" t="b">
        <f>E609&lt;E608</f>
        <v>1</v>
      </c>
    </row>
  </sheetData>
  <mergeCells count="22">
    <mergeCell ref="A350:A362"/>
    <mergeCell ref="A363:A366"/>
    <mergeCell ref="A539:A550"/>
    <mergeCell ref="A553:A562"/>
    <mergeCell ref="A435:A505"/>
    <mergeCell ref="A520:A532"/>
    <mergeCell ref="A579:A604"/>
    <mergeCell ref="A214:A265"/>
    <mergeCell ref="G19:J22"/>
    <mergeCell ref="G29:K34"/>
    <mergeCell ref="A367:A433"/>
    <mergeCell ref="A20:A29"/>
    <mergeCell ref="A47:A55"/>
    <mergeCell ref="A57:A81"/>
    <mergeCell ref="A313:A348"/>
    <mergeCell ref="A267:A288"/>
    <mergeCell ref="A302:A311"/>
    <mergeCell ref="A84:A155"/>
    <mergeCell ref="A157:A212"/>
    <mergeCell ref="A31:A45"/>
    <mergeCell ref="A289:A301"/>
    <mergeCell ref="A565:A577"/>
  </mergeCells>
  <conditionalFormatting sqref="D96">
    <cfRule type="cellIs" dxfId="3" priority="3" operator="notEqual">
      <formula>FALSE</formula>
    </cfRule>
    <cfRule type="cellIs" dxfId="2" priority="4" operator="equal">
      <formula>FALSE</formula>
    </cfRule>
  </conditionalFormatting>
  <conditionalFormatting sqref="E610">
    <cfRule type="cellIs" dxfId="1" priority="1" operator="notEqual">
      <formula>TRUE</formula>
    </cfRule>
    <cfRule type="cellIs" dxfId="0" priority="2" operator="equal">
      <formula>TRUE</formula>
    </cfRule>
  </conditionalFormatting>
  <hyperlinks>
    <hyperlink ref="G68" r:id="rId1"/>
    <hyperlink ref="D379" r:id="rId2" display="https://www.mouser.co.uk/ProductDetail/Microchip-Technology/MCP6021-E-P?qs=W2ndVjZwIIKVhoK39SuWRw%3D%3D"/>
    <hyperlink ref="G185" r:id="rId3"/>
    <hyperlink ref="G189" r:id="rId4"/>
    <hyperlink ref="F239" r:id="rId5"/>
  </hyperlink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20" sqref="B20:D20"/>
    </sheetView>
  </sheetViews>
  <sheetFormatPr defaultRowHeight="15" x14ac:dyDescent="0.25"/>
  <cols>
    <col min="2" max="2" width="30.85546875" customWidth="1"/>
  </cols>
  <sheetData>
    <row r="2" spans="2:4" x14ac:dyDescent="0.25">
      <c r="B2" t="s">
        <v>130</v>
      </c>
      <c r="C2" t="s">
        <v>70</v>
      </c>
      <c r="D2" t="s">
        <v>19</v>
      </c>
    </row>
    <row r="3" spans="2:4" x14ac:dyDescent="0.25">
      <c r="B3" t="s">
        <v>138</v>
      </c>
      <c r="C3">
        <v>0.02</v>
      </c>
    </row>
    <row r="4" spans="2:4" x14ac:dyDescent="0.25">
      <c r="B4" t="s">
        <v>139</v>
      </c>
      <c r="C4">
        <v>25.4</v>
      </c>
    </row>
    <row r="5" spans="2:4" x14ac:dyDescent="0.25">
      <c r="B5" t="s">
        <v>140</v>
      </c>
      <c r="C5">
        <f>0.6*C4</f>
        <v>15.239999999999998</v>
      </c>
      <c r="D5" t="s">
        <v>141</v>
      </c>
    </row>
    <row r="6" spans="2:4" x14ac:dyDescent="0.25">
      <c r="B6" t="s">
        <v>142</v>
      </c>
      <c r="C6">
        <f>C5*(1+C3)</f>
        <v>15.544799999999999</v>
      </c>
      <c r="D6" t="s">
        <v>141</v>
      </c>
    </row>
    <row r="7" spans="2:4" x14ac:dyDescent="0.25">
      <c r="B7" t="s">
        <v>143</v>
      </c>
      <c r="C7">
        <f>0.032*C4</f>
        <v>0.81279999999999997</v>
      </c>
      <c r="D7" t="s">
        <v>141</v>
      </c>
    </row>
    <row r="8" spans="2:4" x14ac:dyDescent="0.25">
      <c r="B8" t="s">
        <v>144</v>
      </c>
      <c r="C8">
        <f>C7*(1+C3)</f>
        <v>0.82905600000000002</v>
      </c>
      <c r="D8" t="s">
        <v>141</v>
      </c>
    </row>
    <row r="9" spans="2:4" x14ac:dyDescent="0.25">
      <c r="B9" t="s">
        <v>145</v>
      </c>
      <c r="C9">
        <f>0.17*C4</f>
        <v>4.3180000000000005</v>
      </c>
      <c r="D9" t="s">
        <v>141</v>
      </c>
    </row>
    <row r="10" spans="2:4" x14ac:dyDescent="0.25">
      <c r="B10" s="17" t="s">
        <v>39</v>
      </c>
      <c r="C10" s="17">
        <f>C9*(1+C3)</f>
        <v>4.4043600000000005</v>
      </c>
      <c r="D10" s="17" t="s">
        <v>141</v>
      </c>
    </row>
    <row r="11" spans="2:4" x14ac:dyDescent="0.25">
      <c r="B11" s="15" t="s">
        <v>146</v>
      </c>
      <c r="C11" s="15">
        <v>5</v>
      </c>
      <c r="D11" s="15" t="s">
        <v>141</v>
      </c>
    </row>
    <row r="12" spans="2:4" x14ac:dyDescent="0.25">
      <c r="B12" t="s">
        <v>147</v>
      </c>
      <c r="C12">
        <v>5</v>
      </c>
      <c r="D12" t="s">
        <v>141</v>
      </c>
    </row>
    <row r="13" spans="2:4" x14ac:dyDescent="0.25">
      <c r="B13" s="16" t="s">
        <v>148</v>
      </c>
      <c r="C13" s="16">
        <f>C6+(2*C12)</f>
        <v>25.544799999999999</v>
      </c>
      <c r="D13" s="16" t="s">
        <v>141</v>
      </c>
    </row>
    <row r="14" spans="2:4" x14ac:dyDescent="0.25">
      <c r="B14" t="s">
        <v>149</v>
      </c>
      <c r="C14">
        <f>C7+0.2</f>
        <v>1.0127999999999999</v>
      </c>
      <c r="D14" t="s">
        <v>141</v>
      </c>
    </row>
    <row r="15" spans="2:4" x14ac:dyDescent="0.25">
      <c r="B15" t="s">
        <v>150</v>
      </c>
      <c r="C15">
        <f>C8+0.3</f>
        <v>1.1290560000000001</v>
      </c>
      <c r="D15" t="s">
        <v>141</v>
      </c>
    </row>
    <row r="16" spans="2:4" x14ac:dyDescent="0.25">
      <c r="B16" s="16" t="s">
        <v>154</v>
      </c>
      <c r="C16" s="16">
        <v>1.1000000000000001</v>
      </c>
      <c r="D16" s="16" t="s">
        <v>141</v>
      </c>
    </row>
    <row r="17" spans="2:4" x14ac:dyDescent="0.25">
      <c r="B17" t="s">
        <v>151</v>
      </c>
      <c r="C17">
        <f>C16+(2*0.3)</f>
        <v>1.7000000000000002</v>
      </c>
      <c r="D17" t="s">
        <v>141</v>
      </c>
    </row>
    <row r="18" spans="2:4" x14ac:dyDescent="0.25">
      <c r="B18" t="s">
        <v>152</v>
      </c>
      <c r="C18">
        <f>C16+(2*0.5)</f>
        <v>2.1</v>
      </c>
      <c r="D18" t="s">
        <v>141</v>
      </c>
    </row>
    <row r="19" spans="2:4" x14ac:dyDescent="0.25">
      <c r="B19" t="s">
        <v>153</v>
      </c>
      <c r="C19">
        <f>C16+(2*0.7)</f>
        <v>2.5</v>
      </c>
      <c r="D19" t="s">
        <v>141</v>
      </c>
    </row>
    <row r="20" spans="2:4" x14ac:dyDescent="0.25">
      <c r="B20" s="16" t="s">
        <v>155</v>
      </c>
      <c r="C20" s="16">
        <v>2.5</v>
      </c>
      <c r="D20" s="16" t="s">
        <v>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1" zoomScale="85" zoomScaleNormal="85" workbookViewId="0">
      <selection activeCell="F23" sqref="F23"/>
    </sheetView>
  </sheetViews>
  <sheetFormatPr defaultRowHeight="15" x14ac:dyDescent="0.25"/>
  <cols>
    <col min="3" max="3" width="36.140625" customWidth="1"/>
  </cols>
  <sheetData>
    <row r="1" spans="1:2" x14ac:dyDescent="0.25">
      <c r="A1" s="47" t="s">
        <v>157</v>
      </c>
      <c r="B1" s="47"/>
    </row>
    <row r="18" spans="3:5" x14ac:dyDescent="0.25">
      <c r="C18" s="48" t="s">
        <v>169</v>
      </c>
      <c r="D18" s="49"/>
      <c r="E18" s="50"/>
    </row>
    <row r="19" spans="3:5" x14ac:dyDescent="0.25">
      <c r="C19" s="18" t="s">
        <v>23</v>
      </c>
      <c r="D19" s="18">
        <v>12</v>
      </c>
      <c r="E19" s="18" t="s">
        <v>141</v>
      </c>
    </row>
    <row r="20" spans="3:5" x14ac:dyDescent="0.25">
      <c r="C20" s="18" t="s">
        <v>158</v>
      </c>
      <c r="D20" s="18">
        <f>D19+0.5</f>
        <v>12.5</v>
      </c>
      <c r="E20" s="18" t="s">
        <v>141</v>
      </c>
    </row>
    <row r="21" spans="3:5" x14ac:dyDescent="0.25">
      <c r="C21" s="18" t="s">
        <v>39</v>
      </c>
      <c r="D21" s="18">
        <v>19.399999999999999</v>
      </c>
      <c r="E21" s="18" t="s">
        <v>141</v>
      </c>
    </row>
    <row r="22" spans="3:5" x14ac:dyDescent="0.25">
      <c r="C22" s="18" t="s">
        <v>156</v>
      </c>
      <c r="D22" s="18">
        <v>7.9</v>
      </c>
      <c r="E22" s="18" t="s">
        <v>141</v>
      </c>
    </row>
    <row r="23" spans="3:5" x14ac:dyDescent="0.25">
      <c r="C23" s="18" t="s">
        <v>143</v>
      </c>
      <c r="D23" s="18">
        <v>0.8</v>
      </c>
      <c r="E23" s="18" t="s">
        <v>141</v>
      </c>
    </row>
    <row r="24" spans="3:5" x14ac:dyDescent="0.25">
      <c r="C24" s="18" t="s">
        <v>149</v>
      </c>
      <c r="D24" s="18">
        <f>D23+0.2</f>
        <v>1</v>
      </c>
      <c r="E24" s="18" t="s">
        <v>141</v>
      </c>
    </row>
    <row r="25" spans="3:5" x14ac:dyDescent="0.25">
      <c r="C25" s="18" t="s">
        <v>150</v>
      </c>
      <c r="D25" s="18">
        <f>D23+0.3</f>
        <v>1.1000000000000001</v>
      </c>
      <c r="E25" s="18" t="s">
        <v>141</v>
      </c>
    </row>
    <row r="26" spans="3:5" x14ac:dyDescent="0.25">
      <c r="C26" s="20" t="s">
        <v>154</v>
      </c>
      <c r="D26" s="20">
        <v>1.1000000000000001</v>
      </c>
      <c r="E26" s="20" t="s">
        <v>141</v>
      </c>
    </row>
    <row r="27" spans="3:5" x14ac:dyDescent="0.25">
      <c r="C27" s="18" t="s">
        <v>151</v>
      </c>
      <c r="D27" s="18">
        <f>D26+(2*0.3)</f>
        <v>1.7000000000000002</v>
      </c>
      <c r="E27" s="18" t="s">
        <v>141</v>
      </c>
    </row>
    <row r="28" spans="3:5" x14ac:dyDescent="0.25">
      <c r="C28" s="18" t="s">
        <v>152</v>
      </c>
      <c r="D28" s="18">
        <f>D26+(2*0.5)</f>
        <v>2.1</v>
      </c>
      <c r="E28" s="18" t="s">
        <v>141</v>
      </c>
    </row>
    <row r="29" spans="3:5" x14ac:dyDescent="0.25">
      <c r="C29" s="18" t="s">
        <v>153</v>
      </c>
      <c r="D29" s="18">
        <f>D26+(2*0.7)</f>
        <v>2.5</v>
      </c>
      <c r="E29" s="18" t="s">
        <v>141</v>
      </c>
    </row>
    <row r="30" spans="3:5" x14ac:dyDescent="0.25">
      <c r="C30" s="20" t="s">
        <v>155</v>
      </c>
      <c r="D30" s="20">
        <v>2.5</v>
      </c>
      <c r="E30" s="20" t="s">
        <v>141</v>
      </c>
    </row>
    <row r="31" spans="3:5" x14ac:dyDescent="0.25">
      <c r="C31" s="18" t="s">
        <v>159</v>
      </c>
      <c r="D31" s="18">
        <v>1</v>
      </c>
      <c r="E31" s="18" t="s">
        <v>141</v>
      </c>
    </row>
    <row r="32" spans="3:5" x14ac:dyDescent="0.25">
      <c r="C32" s="18" t="s">
        <v>160</v>
      </c>
      <c r="D32" s="18">
        <f>CEILING((2*D31)+D21, 1)</f>
        <v>22</v>
      </c>
      <c r="E32" s="18" t="s">
        <v>141</v>
      </c>
    </row>
    <row r="33" spans="3:5" x14ac:dyDescent="0.25">
      <c r="C33" s="18" t="s">
        <v>161</v>
      </c>
      <c r="D33" s="18">
        <f>CEILING((2*D31)+D22, 1)</f>
        <v>10</v>
      </c>
      <c r="E33" s="18" t="s">
        <v>141</v>
      </c>
    </row>
  </sheetData>
  <mergeCells count="2">
    <mergeCell ref="A1:B1"/>
    <mergeCell ref="C18:E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34" sqref="F34"/>
    </sheetView>
  </sheetViews>
  <sheetFormatPr defaultRowHeight="15" x14ac:dyDescent="0.25"/>
  <cols>
    <col min="2" max="2" width="33.42578125" customWidth="1"/>
  </cols>
  <sheetData>
    <row r="1" spans="1:2" x14ac:dyDescent="0.25">
      <c r="A1" s="47" t="s">
        <v>168</v>
      </c>
      <c r="B1" s="47"/>
    </row>
    <row r="17" spans="1:4" x14ac:dyDescent="0.25">
      <c r="B17" s="48" t="s">
        <v>169</v>
      </c>
      <c r="C17" s="49"/>
      <c r="D17" s="50"/>
    </row>
    <row r="18" spans="1:4" x14ac:dyDescent="0.25">
      <c r="B18" s="18" t="s">
        <v>164</v>
      </c>
      <c r="C18" s="18">
        <v>8</v>
      </c>
      <c r="D18" s="18" t="s">
        <v>141</v>
      </c>
    </row>
    <row r="19" spans="1:4" x14ac:dyDescent="0.25">
      <c r="B19" s="18" t="s">
        <v>165</v>
      </c>
      <c r="C19" s="18">
        <f>C18+0.5</f>
        <v>8.5</v>
      </c>
      <c r="D19" s="18" t="s">
        <v>141</v>
      </c>
    </row>
    <row r="20" spans="1:4" x14ac:dyDescent="0.25">
      <c r="B20" s="18" t="s">
        <v>140</v>
      </c>
      <c r="C20" s="18">
        <v>10</v>
      </c>
      <c r="D20" s="18" t="s">
        <v>141</v>
      </c>
    </row>
    <row r="21" spans="1:4" x14ac:dyDescent="0.25">
      <c r="A21" s="19"/>
      <c r="B21" s="18" t="s">
        <v>142</v>
      </c>
      <c r="C21" s="18">
        <f>C20+2</f>
        <v>12</v>
      </c>
      <c r="D21" s="18" t="s">
        <v>141</v>
      </c>
    </row>
    <row r="22" spans="1:4" x14ac:dyDescent="0.25">
      <c r="B22" s="18" t="s">
        <v>162</v>
      </c>
      <c r="C22" s="18">
        <v>2</v>
      </c>
      <c r="D22" s="18"/>
    </row>
    <row r="23" spans="1:4" x14ac:dyDescent="0.25">
      <c r="B23" s="18" t="s">
        <v>163</v>
      </c>
      <c r="C23" s="18">
        <f>C22+1</f>
        <v>3</v>
      </c>
      <c r="D23" s="18" t="s">
        <v>141</v>
      </c>
    </row>
    <row r="24" spans="1:4" x14ac:dyDescent="0.25">
      <c r="B24" s="18" t="s">
        <v>143</v>
      </c>
      <c r="C24" s="18">
        <v>0.6</v>
      </c>
      <c r="D24" s="18" t="s">
        <v>141</v>
      </c>
    </row>
    <row r="25" spans="1:4" x14ac:dyDescent="0.25">
      <c r="B25" s="18" t="s">
        <v>144</v>
      </c>
      <c r="C25" s="18">
        <f>C24+0.2</f>
        <v>0.8</v>
      </c>
      <c r="D25" s="18" t="s">
        <v>141</v>
      </c>
    </row>
    <row r="26" spans="1:4" x14ac:dyDescent="0.25">
      <c r="B26" s="18" t="s">
        <v>149</v>
      </c>
      <c r="C26" s="18">
        <f>C25+0.2</f>
        <v>1</v>
      </c>
      <c r="D26" s="18" t="s">
        <v>141</v>
      </c>
    </row>
    <row r="27" spans="1:4" x14ac:dyDescent="0.25">
      <c r="B27" s="18" t="s">
        <v>150</v>
      </c>
      <c r="C27" s="18">
        <f>C25+0.3</f>
        <v>1.1000000000000001</v>
      </c>
      <c r="D27" s="18" t="s">
        <v>141</v>
      </c>
    </row>
    <row r="28" spans="1:4" x14ac:dyDescent="0.25">
      <c r="B28" s="20" t="s">
        <v>154</v>
      </c>
      <c r="C28" s="20">
        <v>1</v>
      </c>
      <c r="D28" s="20" t="s">
        <v>141</v>
      </c>
    </row>
    <row r="29" spans="1:4" x14ac:dyDescent="0.25">
      <c r="B29" s="18" t="s">
        <v>151</v>
      </c>
      <c r="C29" s="18">
        <f>C28+(2*0.3)</f>
        <v>1.6</v>
      </c>
      <c r="D29" s="18" t="s">
        <v>141</v>
      </c>
    </row>
    <row r="30" spans="1:4" x14ac:dyDescent="0.25">
      <c r="B30" s="18" t="s">
        <v>152</v>
      </c>
      <c r="C30" s="18">
        <f>C28+(2*0.5)</f>
        <v>2</v>
      </c>
      <c r="D30" s="18" t="s">
        <v>141</v>
      </c>
    </row>
    <row r="31" spans="1:4" x14ac:dyDescent="0.25">
      <c r="B31" s="18" t="s">
        <v>153</v>
      </c>
      <c r="C31" s="18">
        <f>C28+(2*0.7)</f>
        <v>2.4</v>
      </c>
      <c r="D31" s="18" t="s">
        <v>141</v>
      </c>
    </row>
    <row r="32" spans="1:4" x14ac:dyDescent="0.25">
      <c r="B32" s="20" t="s">
        <v>155</v>
      </c>
      <c r="C32" s="20">
        <v>2.4</v>
      </c>
      <c r="D32" s="20" t="s">
        <v>141</v>
      </c>
    </row>
    <row r="33" spans="2:4" x14ac:dyDescent="0.25">
      <c r="B33" s="18" t="s">
        <v>159</v>
      </c>
      <c r="C33" s="18">
        <v>1</v>
      </c>
      <c r="D33" s="18" t="s">
        <v>141</v>
      </c>
    </row>
    <row r="34" spans="2:4" x14ac:dyDescent="0.25">
      <c r="B34" s="18" t="s">
        <v>160</v>
      </c>
      <c r="C34" s="18">
        <f>CEILING((2*C33)+C21, 1)</f>
        <v>14</v>
      </c>
      <c r="D34" s="18" t="s">
        <v>141</v>
      </c>
    </row>
    <row r="35" spans="2:4" x14ac:dyDescent="0.25">
      <c r="B35" s="18" t="s">
        <v>161</v>
      </c>
      <c r="C35" s="18">
        <f>CEILING((2*C33)+C23, 1)</f>
        <v>5</v>
      </c>
      <c r="D35" s="18" t="s">
        <v>141</v>
      </c>
    </row>
    <row r="36" spans="2:4" x14ac:dyDescent="0.25">
      <c r="B36" s="21" t="s">
        <v>166</v>
      </c>
      <c r="C36" s="21">
        <f>C19</f>
        <v>8.5</v>
      </c>
      <c r="D36" s="21" t="s">
        <v>141</v>
      </c>
    </row>
    <row r="37" spans="2:4" x14ac:dyDescent="0.25">
      <c r="B37" s="22" t="s">
        <v>167</v>
      </c>
      <c r="C37" s="22">
        <f>C36-C32</f>
        <v>6.1</v>
      </c>
      <c r="D37" s="22" t="s">
        <v>141</v>
      </c>
    </row>
  </sheetData>
  <mergeCells count="2">
    <mergeCell ref="B17:D17"/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20" sqref="D20"/>
    </sheetView>
  </sheetViews>
  <sheetFormatPr defaultRowHeight="15" x14ac:dyDescent="0.25"/>
  <cols>
    <col min="2" max="2" width="33.42578125" customWidth="1"/>
  </cols>
  <sheetData>
    <row r="1" spans="1:2" x14ac:dyDescent="0.25">
      <c r="A1" s="47" t="s">
        <v>175</v>
      </c>
      <c r="B1" s="47"/>
    </row>
    <row r="17" spans="1:4" x14ac:dyDescent="0.25">
      <c r="B17" s="48" t="s">
        <v>169</v>
      </c>
      <c r="C17" s="49"/>
      <c r="D17" s="50"/>
    </row>
    <row r="18" spans="1:4" x14ac:dyDescent="0.25">
      <c r="B18" s="18" t="s">
        <v>164</v>
      </c>
      <c r="C18" s="18">
        <v>46</v>
      </c>
      <c r="D18" s="18" t="s">
        <v>141</v>
      </c>
    </row>
    <row r="19" spans="1:4" x14ac:dyDescent="0.25">
      <c r="B19" s="18" t="s">
        <v>165</v>
      </c>
      <c r="C19" s="18">
        <f>C18+0.5</f>
        <v>46.5</v>
      </c>
      <c r="D19" s="18" t="s">
        <v>141</v>
      </c>
    </row>
    <row r="20" spans="1:4" x14ac:dyDescent="0.25">
      <c r="B20" s="18" t="s">
        <v>140</v>
      </c>
      <c r="C20" s="18">
        <v>50</v>
      </c>
      <c r="D20" s="18" t="s">
        <v>141</v>
      </c>
    </row>
    <row r="21" spans="1:4" x14ac:dyDescent="0.25">
      <c r="A21" s="19"/>
      <c r="B21" s="18" t="s">
        <v>142</v>
      </c>
      <c r="C21" s="18">
        <f>C20+2</f>
        <v>52</v>
      </c>
      <c r="D21" s="18" t="s">
        <v>141</v>
      </c>
    </row>
    <row r="22" spans="1:4" x14ac:dyDescent="0.25">
      <c r="B22" s="18" t="s">
        <v>162</v>
      </c>
      <c r="C22" s="18">
        <v>2</v>
      </c>
      <c r="D22" s="18"/>
    </row>
    <row r="23" spans="1:4" x14ac:dyDescent="0.25">
      <c r="B23" s="18" t="s">
        <v>163</v>
      </c>
      <c r="C23" s="18">
        <f>C22+1</f>
        <v>3</v>
      </c>
      <c r="D23" s="18" t="s">
        <v>141</v>
      </c>
    </row>
    <row r="24" spans="1:4" x14ac:dyDescent="0.25">
      <c r="B24" s="18" t="s">
        <v>143</v>
      </c>
      <c r="C24" s="18">
        <v>0.8</v>
      </c>
      <c r="D24" s="18" t="s">
        <v>141</v>
      </c>
    </row>
    <row r="25" spans="1:4" x14ac:dyDescent="0.25">
      <c r="B25" s="18" t="s">
        <v>144</v>
      </c>
      <c r="C25" s="18">
        <f>C24+0.2</f>
        <v>1</v>
      </c>
      <c r="D25" s="18" t="s">
        <v>141</v>
      </c>
    </row>
    <row r="26" spans="1:4" x14ac:dyDescent="0.25">
      <c r="B26" s="18" t="s">
        <v>149</v>
      </c>
      <c r="C26" s="18">
        <f>C25+0.2</f>
        <v>1.2</v>
      </c>
      <c r="D26" s="18" t="s">
        <v>141</v>
      </c>
    </row>
    <row r="27" spans="1:4" x14ac:dyDescent="0.25">
      <c r="B27" s="18" t="s">
        <v>150</v>
      </c>
      <c r="C27" s="18">
        <f>C25+0.3</f>
        <v>1.3</v>
      </c>
      <c r="D27" s="18" t="s">
        <v>141</v>
      </c>
    </row>
    <row r="28" spans="1:4" x14ac:dyDescent="0.25">
      <c r="B28" s="20" t="s">
        <v>154</v>
      </c>
      <c r="C28" s="20">
        <v>1.2</v>
      </c>
      <c r="D28" s="20" t="s">
        <v>141</v>
      </c>
    </row>
    <row r="29" spans="1:4" x14ac:dyDescent="0.25">
      <c r="B29" s="18" t="s">
        <v>151</v>
      </c>
      <c r="C29" s="18">
        <f>C28+(2*0.3)</f>
        <v>1.7999999999999998</v>
      </c>
      <c r="D29" s="18" t="s">
        <v>141</v>
      </c>
    </row>
    <row r="30" spans="1:4" x14ac:dyDescent="0.25">
      <c r="B30" s="18" t="s">
        <v>152</v>
      </c>
      <c r="C30" s="18">
        <f>C28+(2*0.5)</f>
        <v>2.2000000000000002</v>
      </c>
      <c r="D30" s="18" t="s">
        <v>141</v>
      </c>
    </row>
    <row r="31" spans="1:4" x14ac:dyDescent="0.25">
      <c r="B31" s="18" t="s">
        <v>153</v>
      </c>
      <c r="C31" s="18">
        <f>C28+(2*0.7)</f>
        <v>2.5999999999999996</v>
      </c>
      <c r="D31" s="18" t="s">
        <v>141</v>
      </c>
    </row>
    <row r="32" spans="1:4" x14ac:dyDescent="0.25">
      <c r="B32" s="20" t="s">
        <v>155</v>
      </c>
      <c r="C32" s="20">
        <v>2.6</v>
      </c>
      <c r="D32" s="20" t="s">
        <v>141</v>
      </c>
    </row>
    <row r="33" spans="2:4" x14ac:dyDescent="0.25">
      <c r="B33" s="18" t="s">
        <v>159</v>
      </c>
      <c r="C33" s="18">
        <v>1</v>
      </c>
      <c r="D33" s="18" t="s">
        <v>141</v>
      </c>
    </row>
    <row r="34" spans="2:4" x14ac:dyDescent="0.25">
      <c r="B34" s="18" t="s">
        <v>160</v>
      </c>
      <c r="C34" s="18">
        <f>CEILING((2*C33)+C21, 1)</f>
        <v>54</v>
      </c>
      <c r="D34" s="18" t="s">
        <v>141</v>
      </c>
    </row>
    <row r="35" spans="2:4" x14ac:dyDescent="0.25">
      <c r="B35" s="18" t="s">
        <v>161</v>
      </c>
      <c r="C35" s="18">
        <f>CEILING((2*C33)+C23, 1)</f>
        <v>5</v>
      </c>
      <c r="D35" s="18" t="s">
        <v>141</v>
      </c>
    </row>
    <row r="36" spans="2:4" x14ac:dyDescent="0.25">
      <c r="B36" s="21" t="s">
        <v>166</v>
      </c>
      <c r="C36" s="21">
        <f>C19</f>
        <v>46.5</v>
      </c>
      <c r="D36" s="21" t="s">
        <v>141</v>
      </c>
    </row>
    <row r="37" spans="2:4" x14ac:dyDescent="0.25">
      <c r="B37" s="22" t="s">
        <v>167</v>
      </c>
      <c r="C37" s="22">
        <f>C36-C32</f>
        <v>43.9</v>
      </c>
      <c r="D37" s="22" t="s">
        <v>141</v>
      </c>
    </row>
  </sheetData>
  <mergeCells count="2">
    <mergeCell ref="A1:B1"/>
    <mergeCell ref="B17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:U18"/>
  <sheetViews>
    <sheetView topLeftCell="A7" zoomScale="115" zoomScaleNormal="115" workbookViewId="0">
      <selection activeCell="H19" sqref="H19"/>
    </sheetView>
  </sheetViews>
  <sheetFormatPr defaultRowHeight="15" x14ac:dyDescent="0.25"/>
  <sheetData>
    <row r="2" spans="19:20" x14ac:dyDescent="0.25">
      <c r="S2" t="s">
        <v>542</v>
      </c>
      <c r="T2">
        <v>399</v>
      </c>
    </row>
    <row r="3" spans="19:20" x14ac:dyDescent="0.25">
      <c r="S3" t="s">
        <v>555</v>
      </c>
      <c r="T3">
        <v>14000</v>
      </c>
    </row>
    <row r="4" spans="19:20" x14ac:dyDescent="0.25">
      <c r="S4" t="s">
        <v>576</v>
      </c>
      <c r="T4" s="1">
        <v>5.4399999999999996E-6</v>
      </c>
    </row>
    <row r="5" spans="19:20" x14ac:dyDescent="0.25">
      <c r="S5" t="s">
        <v>544</v>
      </c>
      <c r="T5">
        <v>40</v>
      </c>
    </row>
    <row r="6" spans="19:20" x14ac:dyDescent="0.25">
      <c r="S6" t="s">
        <v>545</v>
      </c>
      <c r="T6">
        <v>20</v>
      </c>
    </row>
    <row r="7" spans="19:20" x14ac:dyDescent="0.25">
      <c r="S7" t="s">
        <v>547</v>
      </c>
      <c r="T7">
        <v>1E-4</v>
      </c>
    </row>
    <row r="8" spans="19:20" x14ac:dyDescent="0.25">
      <c r="S8" t="s">
        <v>549</v>
      </c>
      <c r="T8">
        <f>POWER(T4/T7, 0.5)</f>
        <v>0.23323807579381201</v>
      </c>
    </row>
    <row r="9" spans="19:20" x14ac:dyDescent="0.25">
      <c r="S9" t="s">
        <v>548</v>
      </c>
      <c r="T9">
        <v>0.1</v>
      </c>
    </row>
    <row r="10" spans="19:20" x14ac:dyDescent="0.25">
      <c r="S10" t="s">
        <v>578</v>
      </c>
      <c r="T10">
        <f>T9/T12</f>
        <v>2.2471910112359553E-3</v>
      </c>
    </row>
    <row r="11" spans="19:20" x14ac:dyDescent="0.25">
      <c r="S11" t="s">
        <v>543</v>
      </c>
      <c r="T11">
        <f>T9/T12</f>
        <v>2.2471910112359553E-3</v>
      </c>
    </row>
    <row r="12" spans="19:20" x14ac:dyDescent="0.25">
      <c r="S12" t="s">
        <v>546</v>
      </c>
      <c r="T12">
        <v>44.5</v>
      </c>
    </row>
    <row r="13" spans="19:20" x14ac:dyDescent="0.25">
      <c r="S13" t="s">
        <v>572</v>
      </c>
      <c r="T13">
        <f>T6-POWER(POWER((T9-(T11*T12))/T8, 2)+POWER(T6, 2), 0.5)</f>
        <v>0</v>
      </c>
    </row>
    <row r="14" spans="19:20" x14ac:dyDescent="0.25">
      <c r="S14" t="s">
        <v>573</v>
      </c>
      <c r="T14">
        <f>(1/T11)*(T13-T6)</f>
        <v>-8899.9999999999982</v>
      </c>
    </row>
    <row r="15" spans="19:20" x14ac:dyDescent="0.25">
      <c r="S15" t="s">
        <v>574</v>
      </c>
      <c r="T15">
        <f>T13-T14</f>
        <v>8899.9999999999982</v>
      </c>
    </row>
    <row r="16" spans="19:20" x14ac:dyDescent="0.25">
      <c r="S16" t="s">
        <v>575</v>
      </c>
      <c r="T16">
        <f>T5</f>
        <v>40</v>
      </c>
    </row>
    <row r="17" spans="19:21" x14ac:dyDescent="0.25">
      <c r="S17" t="s">
        <v>547</v>
      </c>
      <c r="T17">
        <f>T4*POWER(T5, 2)/POWER(T9-(T3/T2), 2)</f>
        <v>7.1102949277174389E-6</v>
      </c>
    </row>
    <row r="18" spans="19:21" x14ac:dyDescent="0.25">
      <c r="S18" t="s">
        <v>577</v>
      </c>
      <c r="T18" t="str">
        <f>IF(T11&lt;T9/T12, "Decrease V_max by", "Increase V_max by")</f>
        <v>Increase V_max by</v>
      </c>
      <c r="U18">
        <f>T11/(T9/T12)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115" zoomScaleNormal="115" workbookViewId="0">
      <selection activeCell="D28" sqref="B3:D28"/>
    </sheetView>
  </sheetViews>
  <sheetFormatPr defaultRowHeight="15" x14ac:dyDescent="0.25"/>
  <cols>
    <col min="2" max="2" width="46.85546875" bestFit="1" customWidth="1"/>
    <col min="4" max="4" width="12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E14" sqref="E14"/>
    </sheetView>
  </sheetViews>
  <sheetFormatPr defaultRowHeight="15" x14ac:dyDescent="0.25"/>
  <sheetData>
    <row r="3" spans="1:5" x14ac:dyDescent="0.25">
      <c r="A3" t="s">
        <v>687</v>
      </c>
      <c r="B3" t="s">
        <v>686</v>
      </c>
      <c r="C3" t="s">
        <v>129</v>
      </c>
      <c r="D3" t="s">
        <v>688</v>
      </c>
    </row>
    <row r="4" spans="1:5" x14ac:dyDescent="0.25">
      <c r="A4" t="s">
        <v>685</v>
      </c>
      <c r="B4" t="s">
        <v>690</v>
      </c>
      <c r="D4">
        <v>12</v>
      </c>
      <c r="E4" t="s">
        <v>697</v>
      </c>
    </row>
    <row r="5" spans="1:5" x14ac:dyDescent="0.25">
      <c r="A5" t="s">
        <v>689</v>
      </c>
      <c r="B5" t="s">
        <v>694</v>
      </c>
      <c r="D5">
        <v>5</v>
      </c>
      <c r="E5" t="s">
        <v>696</v>
      </c>
    </row>
    <row r="6" spans="1:5" x14ac:dyDescent="0.25">
      <c r="A6" t="s">
        <v>691</v>
      </c>
      <c r="B6" t="s">
        <v>693</v>
      </c>
      <c r="D6">
        <v>8</v>
      </c>
      <c r="E6" t="s">
        <v>698</v>
      </c>
    </row>
    <row r="7" spans="1:5" x14ac:dyDescent="0.25">
      <c r="A7" t="s">
        <v>692</v>
      </c>
      <c r="B7" t="s">
        <v>690</v>
      </c>
      <c r="D7">
        <v>4</v>
      </c>
      <c r="E7" t="s">
        <v>695</v>
      </c>
    </row>
    <row r="8" spans="1:5" x14ac:dyDescent="0.25">
      <c r="A8" t="s">
        <v>685</v>
      </c>
      <c r="B8" t="s">
        <v>693</v>
      </c>
      <c r="D8">
        <v>4</v>
      </c>
      <c r="E8" t="s">
        <v>697</v>
      </c>
    </row>
    <row r="9" spans="1:5" x14ac:dyDescent="0.25">
      <c r="A9" t="s">
        <v>691</v>
      </c>
      <c r="B9" t="s">
        <v>700</v>
      </c>
      <c r="D9">
        <v>4</v>
      </c>
      <c r="E9" t="s">
        <v>699</v>
      </c>
    </row>
    <row r="10" spans="1:5" x14ac:dyDescent="0.25">
      <c r="A10" t="s">
        <v>702</v>
      </c>
      <c r="E10" t="s">
        <v>701</v>
      </c>
    </row>
    <row r="11" spans="1:5" x14ac:dyDescent="0.25">
      <c r="A11" t="s">
        <v>689</v>
      </c>
      <c r="B11" t="s">
        <v>703</v>
      </c>
      <c r="D1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Driver And Controller</vt:lpstr>
      <vt:lpstr>Villard Diode PCB Calcs</vt:lpstr>
      <vt:lpstr>Villard Capacitor PCB Calcs</vt:lpstr>
      <vt:lpstr>Villard Capacitor Bleeder Calcs</vt:lpstr>
      <vt:lpstr>Output Series Compsite Resistor</vt:lpstr>
      <vt:lpstr>Regenerative snubber design</vt:lpstr>
      <vt:lpstr>Active Cooling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2024-11-04T21:29:48Z</dcterms:created>
  <dcterms:modified xsi:type="dcterms:W3CDTF">2025-09-17T13:58:34Z</dcterms:modified>
</cp:coreProperties>
</file>