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070" windowHeight="19050"/>
  </bookViews>
  <sheets>
    <sheet name="Sheet1" sheetId="1" r:id="rId1"/>
  </sheets>
  <definedNames>
    <definedName name="_xlnm.Sheet_Title" localSheetId="0">"Sheet1"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<sst xmlns="http://schemas.openxmlformats.org/spreadsheetml/2006/main" uniqueCount="112" count="112">
  <si>
    <t>Area</t>
  </si>
  <si>
    <t>Amarok:</t>
  </si>
  <si>
    <t>Shiraz</t>
  </si>
  <si>
    <t>1 to 17</t>
  </si>
  <si>
    <t>Merlot</t>
  </si>
  <si>
    <t>1 to 24</t>
  </si>
  <si>
    <t>Chenin Blanc</t>
  </si>
  <si>
    <t>1 to 19</t>
  </si>
  <si>
    <t>Sauv Blanc</t>
  </si>
  <si>
    <t>1 to 18</t>
  </si>
  <si>
    <t>Semillon</t>
  </si>
  <si>
    <t>1 to 16</t>
  </si>
  <si>
    <t>1 to 40</t>
  </si>
  <si>
    <t>1 to 28</t>
  </si>
  <si>
    <t>Cab Sauv</t>
  </si>
  <si>
    <t>1 to 43</t>
  </si>
  <si>
    <t>Brambles</t>
  </si>
  <si>
    <t>EB1</t>
  </si>
  <si>
    <t>Wagtail</t>
  </si>
  <si>
    <t>EB2</t>
  </si>
  <si>
    <t>M412</t>
  </si>
  <si>
    <t>ARM</t>
  </si>
  <si>
    <t>M337</t>
  </si>
  <si>
    <t>EB3</t>
  </si>
  <si>
    <t>EB4</t>
  </si>
  <si>
    <t>Pinot Noir</t>
  </si>
  <si>
    <t>MV6</t>
  </si>
  <si>
    <t>Petit Verdot</t>
  </si>
  <si>
    <t>RB 1</t>
  </si>
  <si>
    <t>Cab Franc</t>
  </si>
  <si>
    <t>Cab Sauv </t>
  </si>
  <si>
    <t>RB2</t>
  </si>
  <si>
    <t>Malbec</t>
  </si>
  <si>
    <t>Chardonnay</t>
  </si>
  <si>
    <t>WB1</t>
  </si>
  <si>
    <t>Gingin</t>
  </si>
  <si>
    <t>Buckingham</t>
  </si>
  <si>
    <t>Burnside</t>
  </si>
  <si>
    <t>1 to 41</t>
  </si>
  <si>
    <t>Victory Point</t>
  </si>
  <si>
    <t>Glen Harding</t>
  </si>
  <si>
    <t>Forrest</t>
  </si>
  <si>
    <t>Droopy</t>
  </si>
  <si>
    <t>1 to 10</t>
  </si>
  <si>
    <t>1 to 9</t>
  </si>
  <si>
    <t>Cape Falls</t>
  </si>
  <si>
    <t>1 to 49</t>
  </si>
  <si>
    <t>Collins</t>
  </si>
  <si>
    <t>Chapman Creek</t>
  </si>
  <si>
    <t>2a</t>
  </si>
  <si>
    <t>2b</t>
  </si>
  <si>
    <t>1 to 20</t>
  </si>
  <si>
    <t>1 to 39</t>
  </si>
  <si>
    <t>1 to 27</t>
  </si>
  <si>
    <t>Merlot (New)</t>
  </si>
  <si>
    <t>Chapman Creek (Yelverton)</t>
  </si>
  <si>
    <t>Fallow</t>
  </si>
  <si>
    <t>Crane</t>
  </si>
  <si>
    <t>Forest Springs</t>
  </si>
  <si>
    <t>MU 1</t>
  </si>
  <si>
    <t>1 to 12</t>
  </si>
  <si>
    <t>MU 2</t>
  </si>
  <si>
    <t>Hannaford </t>
  </si>
  <si>
    <t>1 to 21</t>
  </si>
  <si>
    <t>1 to 23</t>
  </si>
  <si>
    <t>Kaards</t>
  </si>
  <si>
    <t>Houghton- super</t>
  </si>
  <si>
    <t>Moss Wood</t>
  </si>
  <si>
    <t>Krek Mueller  </t>
  </si>
  <si>
    <t>1a</t>
  </si>
  <si>
    <t>1b</t>
  </si>
  <si>
    <t>1 to 5</t>
  </si>
  <si>
    <t>1 to 25</t>
  </si>
  <si>
    <t>1 to 14</t>
  </si>
  <si>
    <t>Mercier 191/337</t>
  </si>
  <si>
    <t>Houghton 5</t>
  </si>
  <si>
    <t>QA 45</t>
  </si>
  <si>
    <t>Mairs</t>
  </si>
  <si>
    <t>Moses Rock</t>
  </si>
  <si>
    <t>MU 3</t>
  </si>
  <si>
    <t>Paganin</t>
  </si>
  <si>
    <t>Tempranillo</t>
  </si>
  <si>
    <t>Roje</t>
  </si>
  <si>
    <t>Rosa Park</t>
  </si>
  <si>
    <t>Houghton</t>
  </si>
  <si>
    <t>5a</t>
  </si>
  <si>
    <t>1 to 13</t>
  </si>
  <si>
    <t>Davis 5</t>
  </si>
  <si>
    <t>Stellar Ridge</t>
  </si>
  <si>
    <t>Chard New</t>
  </si>
  <si>
    <t>19 to 57</t>
  </si>
  <si>
    <t>Thompson -Wily</t>
  </si>
  <si>
    <t>chardonnay</t>
  </si>
  <si>
    <t>1 to 36</t>
  </si>
  <si>
    <t>1 to 33</t>
  </si>
  <si>
    <t>1 to 34</t>
  </si>
  <si>
    <t>1 to 22</t>
  </si>
  <si>
    <t>Thompson -Donaldson Rd</t>
  </si>
  <si>
    <t>1996 and 1997</t>
  </si>
  <si>
    <t>Thompson -Rickett Rd</t>
  </si>
  <si>
    <t>Victory Point </t>
  </si>
  <si>
    <t>Houghton selection</t>
  </si>
  <si>
    <t>MossW</t>
  </si>
  <si>
    <t>Various</t>
  </si>
  <si>
    <t>Vintage Unit </t>
  </si>
  <si>
    <t>Wilyabrup Investments  </t>
  </si>
  <si>
    <t>Woodlands- Home</t>
  </si>
  <si>
    <t>Woodlands- Pusey</t>
  </si>
  <si>
    <t>Woodman</t>
  </si>
  <si>
    <t>Wood Sea </t>
  </si>
  <si>
    <t>shiraz</t>
  </si>
  <si>
    <t>Wrights</t>
  </si>
</sst>
</file>

<file path=xl/styles.xml><?xml version="1.0" encoding="utf-8"?>
<styleSheet xmlns="http://schemas.openxmlformats.org/spreadsheetml/2006/main">
  <numFmts count="1">
    <numFmt formatCode="0.000" numFmtId="100"/>
  </numFmts>
  <fonts count="9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0"/>
      <strike val="0"/>
    </font>
    <font>
      <b val="0"/>
      <i val="0"/>
      <u val="none"/>
      <color rgb="FF000000"/>
      <name val="Calibri"/>
      <vertAlign val="baseline"/>
      <sz val="10"/>
      <strike val="0"/>
    </font>
    <font>
      <b val="0"/>
      <i val="0"/>
      <u val="none"/>
      <color rgb="FF000000"/>
      <name val="Calibri"/>
      <vertAlign val="baseline"/>
      <sz val="8"/>
      <strike val="0"/>
    </font>
    <font>
      <b val="0"/>
      <i val="0"/>
      <u val="none"/>
      <color rgb="FF000000"/>
      <name val="Calibri"/>
      <vertAlign val="baseline"/>
      <sz val="9"/>
      <strike val="0"/>
    </font>
    <font>
      <b val="0"/>
      <i val="0"/>
      <u val="none"/>
      <color rgb="FF000000"/>
      <name val="Calibri"/>
      <vertAlign val="baseline"/>
      <sz val="12"/>
      <strike val="0"/>
    </font>
    <font>
      <b val="0"/>
      <i val="0"/>
      <u val="none"/>
      <color rgb="FF000000"/>
      <name val="Arial"/>
      <vertAlign val="baseline"/>
      <sz val="7"/>
      <strike val="0"/>
    </font>
    <font>
      <b val="0"/>
      <i val="0"/>
      <u val="none"/>
      <color rgb="FF000000"/>
      <name val="Calibri"/>
      <vertAlign val="baseline"/>
      <sz val="7"/>
      <strike val="0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rgb="FF000000"/>
      </patternFill>
    </fill>
  </fills>
  <borders count="9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75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1" shrinkToFit="1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2" borderId="1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2" fillId="2" borderId="1" numFmtId="0" xfId="0">
      <alignment horizontal="center" vertical="center" wrapText="1" shrinkToFit="1" textRotation="0" indent="0"/>
      <protection locked="1" hidden="0"/>
    </xf>
    <xf applyAlignment="1" applyBorder="1" applyFont="1" applyFill="1" applyNumberFormat="1" fontId="2" fillId="2" borderId="1" numFmtId="0" xfId="0">
      <alignment horizontal="center" vertical="center" wrapText="1" shrinkToFit="0" textRotation="0" indent="0"/>
      <protection locked="1" hidden="0"/>
    </xf>
    <xf applyAlignment="1" applyBorder="1" applyFont="1" applyFill="1" applyNumberFormat="1" fontId="2" fillId="3" borderId="1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2" fillId="3" borderId="1" numFmtId="0" xfId="0">
      <alignment horizontal="center" vertical="center" wrapText="1" shrinkToFit="1" textRotation="0" indent="0"/>
      <protection locked="1" hidden="0"/>
    </xf>
    <xf applyAlignment="1" applyBorder="1" applyFont="1" applyFill="1" applyNumberFormat="1" fontId="2" fillId="3" borderId="1" numFmtId="0" xfId="0">
      <alignment horizontal="center" vertical="center" wrapText="1" shrinkToFit="0" textRotation="0" indent="0"/>
      <protection locked="1" hidden="0"/>
    </xf>
    <xf applyAlignment="1" applyBorder="1" applyFont="1" applyFill="1" applyNumberFormat="1" fontId="3" fillId="4" borderId="1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1" numFmtId="0" xfId="0">
      <alignment horizontal="left" vertical="bottom" wrapText="1" shrinkToFit="1" textRotation="0" indent="0"/>
      <protection locked="1" hidden="0"/>
    </xf>
    <xf applyAlignment="1" applyBorder="1" applyFont="1" applyFill="1" applyNumberFormat="1" fontId="3" fillId="0" borderId="1" numFmtId="2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1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2" fillId="4" borderId="1" numFmtId="0" xfId="0">
      <alignment horizontal="general" vertical="bottom" wrapText="1" shrinkToFit="1" textRotation="0" indent="0"/>
      <protection locked="1" hidden="0"/>
    </xf>
    <xf applyAlignment="1" applyBorder="1" applyFont="1" applyFill="1" applyNumberFormat="1" fontId="3" fillId="4" borderId="1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2" fillId="3" borderId="1" numFmtId="2" xfId="0">
      <alignment horizontal="left" vertical="bottom" wrapText="1" shrinkToFit="0" textRotation="0" indent="0"/>
      <protection locked="1" hidden="0"/>
    </xf>
    <xf applyAlignment="1" applyBorder="1" applyFont="1" applyFill="1" applyNumberFormat="1" fontId="2" fillId="3" borderId="1" numFmtId="1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1" numFmtId="100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1" numFmtId="1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1" numFmtId="0" xfId="0">
      <alignment horizontal="general" vertical="bottom" wrapText="1" shrinkToFit="1" textRotation="0" indent="0"/>
      <protection locked="1" hidden="0"/>
    </xf>
    <xf applyAlignment="1" applyBorder="1" applyFont="1" applyFill="1" applyNumberFormat="1" fontId="3" fillId="0" borderId="1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3" fillId="0" borderId="2" numFmtId="0" xfId="0">
      <alignment horizontal="general" vertical="bottom" wrapText="1" shrinkToFit="1" textRotation="0" indent="0"/>
      <protection locked="1" hidden="0"/>
    </xf>
    <xf applyAlignment="1" applyBorder="1" applyFont="1" applyFill="1" applyNumberFormat="1" fontId="3" fillId="0" borderId="2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2" fillId="3" borderId="3" numFmtId="1" xfId="0">
      <alignment horizontal="left" vertical="bottom" wrapText="1" shrinkToFit="0" textRotation="0" indent="0"/>
      <protection locked="1" hidden="0"/>
    </xf>
    <xf applyAlignment="1" applyBorder="1" applyFont="1" applyFill="1" applyNumberFormat="1" fontId="4" fillId="4" borderId="1" numFmtId="0" xfId="0">
      <alignment horizontal="left" vertical="bottom" wrapText="1" shrinkToFit="1" textRotation="0" indent="0"/>
      <protection locked="1" hidden="0"/>
    </xf>
    <xf applyAlignment="1" applyBorder="1" applyFont="1" applyFill="1" applyNumberFormat="1" fontId="3" fillId="4" borderId="1" numFmtId="1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3" numFmtId="1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4" borderId="1" numFmtId="0" xfId="0">
      <alignment horizontal="center" vertical="bottom" wrapText="1" shrinkToFit="1" textRotation="0" indent="0"/>
      <protection locked="1" hidden="0"/>
    </xf>
    <xf applyAlignment="1" applyBorder="1" applyFont="1" applyFill="1" applyNumberFormat="1" fontId="3" fillId="4" borderId="1" numFmtId="0" xfId="0">
      <alignment horizontal="general" vertical="bottom" wrapText="1" shrinkToFit="1" textRotation="0" indent="0"/>
      <protection locked="1" hidden="0"/>
    </xf>
    <xf applyAlignment="1" applyBorder="1" applyFont="1" applyFill="1" applyNumberFormat="1" fontId="5" fillId="0" borderId="1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4" numFmtId="1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3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4" fillId="0" borderId="1" numFmtId="0" xfId="0">
      <alignment horizontal="left" vertical="bottom" wrapText="1" shrinkToFit="1" textRotation="0" indent="0"/>
      <protection locked="1" hidden="0"/>
    </xf>
    <xf applyAlignment="1" applyBorder="1" applyFont="1" applyFill="1" applyNumberFormat="1" fontId="3" fillId="4" borderId="2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2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5" numFmtId="1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1" numFmtId="17" xfId="0">
      <alignment horizontal="left" vertical="bottom" wrapText="1" shrinkToFit="0" textRotation="0" indent="0"/>
      <protection locked="1" hidden="0"/>
    </xf>
    <xf applyAlignment="1" applyBorder="1" applyFont="1" applyFill="1" applyNumberFormat="1" fontId="1" fillId="0" borderId="1" numFmtId="0" xfId="0">
      <alignment horizontal="general" vertical="bottom" wrapText="1" shrinkToFit="1" textRotation="0" indent="0"/>
      <protection locked="1" hidden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6" fillId="4" borderId="1" numFmtId="0" xfId="0">
      <alignment horizontal="general" vertical="bottom" wrapText="0" shrinkToFit="1" textRotation="0" indent="0"/>
      <protection locked="1" hidden="0"/>
    </xf>
    <xf applyAlignment="1" applyBorder="1" applyFont="1" applyFill="1" applyNumberFormat="1" fontId="3" fillId="4" borderId="1" numFmtId="0" xfId="0">
      <alignment horizontal="center" vertical="bottom" wrapText="1" shrinkToFit="0" textRotation="0" indent="0"/>
      <protection locked="1" hidden="0"/>
    </xf>
    <xf applyAlignment="1" applyBorder="1" applyFont="1" applyFill="1" applyNumberFormat="1" fontId="3" fillId="0" borderId="3" numFmtId="1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3" fillId="0" borderId="1" numFmtId="0" xfId="0">
      <alignment horizontal="general" vertical="bottom" wrapText="0" shrinkToFit="1" textRotation="0" indent="0"/>
      <protection locked="1" hidden="0"/>
    </xf>
    <xf applyAlignment="1" applyBorder="1" applyFont="1" applyFill="1" applyNumberFormat="1" fontId="4" fillId="4" borderId="1" numFmtId="0" xfId="0">
      <alignment horizontal="general" vertical="bottom" wrapText="0" shrinkToFit="1" textRotation="0" indent="0"/>
      <protection locked="1" hidden="0"/>
    </xf>
    <xf applyAlignment="1" applyBorder="1" applyFont="1" applyFill="1" applyNumberFormat="1" fontId="3" fillId="4" borderId="1" numFmtId="0" xfId="0">
      <alignment horizontal="left" vertical="bottom" wrapText="1" shrinkToFit="1" textRotation="0" indent="0"/>
      <protection locked="1" hidden="0"/>
    </xf>
    <xf applyAlignment="1" applyBorder="1" applyFont="1" applyFill="1" applyNumberFormat="1" fontId="3" fillId="4" borderId="1" numFmtId="2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4" borderId="3" numFmtId="1" xfId="0">
      <alignment horizontal="left" vertical="bottom" wrapText="1" shrinkToFit="0" textRotation="0" indent="0"/>
      <protection locked="1" hidden="0"/>
    </xf>
    <xf applyAlignment="1" applyBorder="1" applyFont="1" applyFill="1" applyNumberFormat="1" fontId="4" fillId="0" borderId="1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1" numFmtId="16" xfId="0">
      <alignment horizontal="left" vertical="bottom" wrapText="1" shrinkToFit="0" textRotation="0" indent="0"/>
      <protection locked="1" hidden="0"/>
    </xf>
    <xf applyAlignment="1" applyBorder="1" applyFont="1" applyFill="1" applyNumberFormat="1" fontId="2" fillId="3" borderId="3" numFmtId="0" xfId="0">
      <alignment horizontal="center" vertical="center" wrapText="1" shrinkToFit="0" textRotation="0" indent="0"/>
      <protection locked="1" hidden="0"/>
    </xf>
    <xf applyAlignment="1" applyBorder="1" applyFont="1" applyFill="1" applyNumberFormat="1" fontId="5" fillId="0" borderId="1" numFmtId="2" xfId="0">
      <alignment horizontal="left" vertical="bottom" wrapText="1" shrinkToFit="0" textRotation="0" indent="0"/>
      <protection locked="1" hidden="0"/>
    </xf>
    <xf applyAlignment="1" applyBorder="1" applyFont="1" applyFill="1" applyNumberFormat="1" fontId="5" fillId="0" borderId="1" numFmtId="17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3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7" fillId="0" borderId="1" numFmtId="0" xfId="0">
      <alignment horizontal="center" vertical="bottom" wrapText="1" shrinkToFit="0" textRotation="0" indent="0"/>
      <protection locked="1" hidden="0"/>
    </xf>
    <xf applyAlignment="1" applyBorder="1" applyFont="1" applyFill="1" applyNumberFormat="1" fontId="8" fillId="0" borderId="1" numFmtId="0" xfId="0">
      <alignment horizontal="center" vertical="bottom" wrapText="1" shrinkToFit="0" textRotation="0" indent="0"/>
      <protection locked="1" hidden="0"/>
    </xf>
    <xf applyAlignment="1" applyBorder="1" applyFont="1" applyFill="1" applyNumberFormat="1" fontId="5" fillId="0" borderId="1" numFmtId="1" xfId="0">
      <alignment horizontal="left" vertical="bottom" wrapText="1" shrinkToFit="0" textRotation="0" indent="0"/>
      <protection locked="1" hidden="0"/>
    </xf>
    <xf applyAlignment="1" applyBorder="1" applyFont="1" applyFill="1" applyNumberFormat="1" fontId="7" fillId="4" borderId="1" numFmtId="0" xfId="0">
      <alignment horizontal="center" vertical="bottom" wrapText="1" shrinkToFit="0" textRotation="0" indent="0"/>
      <protection locked="1" hidden="0"/>
    </xf>
    <xf applyAlignment="1" applyBorder="1" applyFont="1" applyFill="1" applyNumberFormat="1" fontId="3" fillId="0" borderId="4" numFmtId="0" xfId="0">
      <alignment horizontal="general" vertical="bottom" wrapText="1" shrinkToFit="1" textRotation="0" indent="0"/>
      <protection locked="1" hidden="0"/>
    </xf>
    <xf applyAlignment="1" applyBorder="1" applyFont="1" applyFill="1" applyNumberFormat="1" fontId="3" fillId="0" borderId="6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1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3" fillId="0" borderId="1" numFmtId="0" xfId="0">
      <alignment horizontal="center" vertical="bottom" wrapText="1" shrinkToFit="0" textRotation="0" indent="0"/>
      <protection locked="1" hidden="0"/>
    </xf>
    <xf applyAlignment="1" applyBorder="1" applyFont="1" applyFill="1" applyNumberFormat="1" fontId="3" fillId="0" borderId="1" numFmtId="17" xfId="0">
      <alignment horizontal="center" vertical="bottom" wrapText="1" shrinkToFit="0" textRotation="0" indent="0"/>
      <protection locked="1" hidden="0"/>
    </xf>
    <xf applyAlignment="1" applyBorder="1" applyFont="1" applyFill="1" applyNumberFormat="1" fontId="3" fillId="4" borderId="4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4" fillId="0" borderId="4" numFmtId="0" xfId="0">
      <alignment horizontal="left" vertical="bottom" wrapText="1" shrinkToFit="1" textRotation="0" indent="0"/>
      <protection locked="1" hidden="0"/>
    </xf>
    <xf applyAlignment="1" applyBorder="1" applyFont="1" applyFill="1" applyNumberFormat="1" fontId="3" fillId="0" borderId="4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0" borderId="7" numFmtId="1" xfId="0">
      <alignment horizontal="left" vertical="bottom" wrapText="1" shrinkToFit="0" textRotation="0" indent="0"/>
      <protection locked="1" hidden="0"/>
    </xf>
    <xf applyAlignment="1" applyBorder="1" applyFont="1" applyFill="1" applyNumberFormat="1" fontId="4" fillId="4" borderId="4" numFmtId="0" xfId="0">
      <alignment horizontal="left" vertical="bottom" wrapText="1" shrinkToFit="1" textRotation="0" indent="0"/>
      <protection locked="1" hidden="0"/>
    </xf>
    <xf applyAlignment="1" applyBorder="1" applyFont="1" applyFill="1" applyNumberFormat="1" fontId="3" fillId="0" borderId="0" numFmtId="1" xfId="0">
      <alignment horizontal="left" vertical="bottom" wrapText="1" shrinkToFit="0" textRotation="0" indent="0"/>
      <protection locked="1" hidden="0"/>
    </xf>
    <xf applyAlignment="1" applyBorder="1" applyFont="1" applyFill="1" applyNumberFormat="1" fontId="3" fillId="5" borderId="1" numFmtId="0" xfId="0">
      <alignment horizontal="left" vertical="bottom" wrapText="1" shrinkToFit="0" textRotation="0" indent="0"/>
      <protection locked="1" hidden="0"/>
    </xf>
    <xf applyAlignment="1" applyBorder="1" applyFont="1" applyFill="1" applyNumberFormat="1" fontId="4" fillId="0" borderId="8" numFmtId="0" xfId="0">
      <alignment horizontal="left" vertical="bottom" wrapText="1" shrinkToFit="1" textRotation="0" indent="0"/>
      <protection locked="1" hidden="0"/>
    </xf>
    <xf applyAlignment="1" applyBorder="1" applyFont="1" applyFill="1" applyNumberFormat="1" fontId="3" fillId="0" borderId="2" numFmtId="2" xfId="0">
      <alignment horizontal="left" vertical="bottom" wrapText="1" shrinkToFit="0" textRotation="0" indent="0"/>
      <protection locked="1" hidden="0"/>
    </xf>
    <xf applyAlignment="1" applyBorder="1" applyFont="1" applyFill="1" applyNumberFormat="1" fontId="1" fillId="0" borderId="0" numFmtId="1" xfId="0">
      <alignment horizontal="left" vertical="bottom" wrapText="1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M250"/>
  <sheetViews>
    <sheetView workbookViewId="0" tabSelected="1">
      <selection activeCell="P13" sqref="P13"/>
    </sheetView>
  </sheetViews>
  <sheetFormatPr defaultColWidth="60.75" defaultRowHeight="14.4" outlineLevelCol="1"/>
  <cols>
    <col min="1" max="1" style="1" width="20.109375" customWidth="1"/>
    <col min="2" max="2" style="1" width="13.886718749999998" customWidth="1"/>
    <col min="3" max="4" style="1" width="8.88671875" bestFit="1" customWidth="1"/>
    <col min="5" max="5" style="1" width="6.886718750000001" customWidth="1" outlineLevel="1"/>
    <col min="6" max="6" style="1" width="8.88671875" bestFit="1" customWidth="1" outlineLevel="1"/>
    <col min="7" max="7" style="1" width="6.5546875" customWidth="1" outlineLevel="1"/>
    <col min="8" max="8" style="1" width="8.5546875" customWidth="1" outlineLevel="1"/>
    <col min="9" max="9" style="1" width="8.33203125" customWidth="1" outlineLevel="1"/>
    <col min="10" max="10" style="1" width="10.33203125" customWidth="1" outlineLevel="1"/>
    <col min="11" max="11" style="2" width="12.109375" customWidth="1" outlineLevel="1"/>
    <col min="12" max="12" style="2" width="10.5546875" customWidth="1" outlineLevel="1"/>
    <col min="13" max="13" style="3" width="9.5546875" customWidth="1" outlineLevel="1"/>
    <col min="14" max="16384" style="4" width="11.570733173076924"/>
  </cols>
  <sheetData>
    <row r="1" spans="1:13" ht="27.6">
      <c r="A1" s="5" t="inlineStr">
        <is>
          <t>Vineyard</t>
        </is>
      </c>
      <c r="B1" s="5" t="inlineStr">
        <is>
          <t>Variety</t>
        </is>
      </c>
      <c r="C1" s="5" t="s">
        <v>0</v>
      </c>
      <c r="D1" s="5" t="inlineStr">
        <is>
          <t>Block</t>
        </is>
      </c>
      <c r="E1" s="5" t="inlineStr">
        <is>
          <t>Total Rows</t>
        </is>
      </c>
      <c r="F1" s="5" t="inlineStr">
        <is>
          <t>Rows Numbers</t>
        </is>
      </c>
      <c r="G1" s="5" t="inlineStr">
        <is>
          <t>Row Width</t>
        </is>
      </c>
      <c r="H1" s="5" t="inlineStr">
        <is>
          <t>Vine Spacing</t>
        </is>
      </c>
      <c r="I1" s="5" t="inlineStr">
        <is>
          <t>VinesHa</t>
        </is>
      </c>
      <c r="J1" s="5" t="inlineStr">
        <is>
          <t>Total Vines</t>
        </is>
      </c>
      <c r="K1" s="6" t="inlineStr">
        <is>
          <t>Clone</t>
        </is>
      </c>
      <c r="L1" s="6" t="inlineStr">
        <is>
          <t>Source Vineyard</t>
        </is>
      </c>
      <c r="M1" s="7" t="inlineStr">
        <is>
          <t>Plant Date</t>
        </is>
      </c>
    </row>
    <row r="2" spans="1:13">
      <c r="A2" s="8" t="inlineStr">
        <is>
          <t>Amarok</t>
        </is>
      </c>
      <c r="B2" s="8"/>
      <c r="C2" s="8">
        <f>SUM(C3:C11)</f>
        <v>20.409377186843948</v>
      </c>
      <c r="D2" s="8"/>
      <c r="E2" s="8"/>
      <c r="F2" s="8"/>
      <c r="G2" s="8"/>
      <c r="H2" s="8"/>
      <c r="I2" s="8"/>
      <c r="J2" s="8">
        <f>SUM(J3:J11)</f>
        <v>29165</v>
      </c>
      <c r="K2" s="9"/>
      <c r="L2" s="9"/>
      <c r="M2" s="10"/>
    </row>
    <row r="3" spans="1:13">
      <c r="A3" s="11" t="s">
        <v>1</v>
      </c>
      <c r="B3" s="12" t="s">
        <v>2</v>
      </c>
      <c r="C3" s="13">
        <f>J3/I3</f>
        <v>1.4254723582925122</v>
      </c>
      <c r="D3" s="14">
        <v>1</v>
      </c>
      <c r="E3" s="14">
        <v>17</v>
      </c>
      <c r="F3" s="14" t="s">
        <v>3</v>
      </c>
      <c r="G3" s="14">
        <v>3.5</v>
      </c>
      <c r="H3" s="14">
        <v>2</v>
      </c>
      <c r="I3" s="14">
        <v>1429</v>
      </c>
      <c r="J3" s="14">
        <v>2037</v>
      </c>
      <c r="K3" s="15"/>
      <c r="L3" s="15"/>
      <c r="M3" s="16"/>
    </row>
    <row r="4" spans="1:13">
      <c r="A4" s="11" t="s">
        <v>1</v>
      </c>
      <c r="B4" s="12" t="s">
        <v>4</v>
      </c>
      <c r="C4" s="13">
        <f>J4/I4</f>
        <v>2.0132960111966409</v>
      </c>
      <c r="D4" s="14">
        <v>2</v>
      </c>
      <c r="E4" s="14">
        <v>24</v>
      </c>
      <c r="F4" s="14" t="s">
        <v>5</v>
      </c>
      <c r="G4" s="14">
        <v>3.5</v>
      </c>
      <c r="H4" s="14">
        <v>2</v>
      </c>
      <c r="I4" s="14">
        <v>1429</v>
      </c>
      <c r="J4" s="14">
        <v>2877</v>
      </c>
      <c r="K4" s="15"/>
      <c r="L4" s="15"/>
      <c r="M4" s="16"/>
    </row>
    <row r="5" spans="1:13">
      <c r="A5" s="11" t="s">
        <v>1</v>
      </c>
      <c r="B5" s="12" t="s">
        <v>6</v>
      </c>
      <c r="C5" s="13">
        <f>J5/I5</f>
        <v>1.1329601119664101</v>
      </c>
      <c r="D5" s="14">
        <v>3</v>
      </c>
      <c r="E5" s="14">
        <v>19</v>
      </c>
      <c r="F5" s="14" t="s">
        <v>7</v>
      </c>
      <c r="G5" s="14">
        <v>3.5</v>
      </c>
      <c r="H5" s="14">
        <v>2</v>
      </c>
      <c r="I5" s="14">
        <v>1429</v>
      </c>
      <c r="J5" s="14">
        <v>1619</v>
      </c>
      <c r="K5" s="15"/>
      <c r="L5" s="15"/>
      <c r="M5" s="16"/>
    </row>
    <row r="6" spans="1:13">
      <c r="A6" s="11" t="s">
        <v>1</v>
      </c>
      <c r="B6" s="12" t="s">
        <v>8</v>
      </c>
      <c r="C6" s="13">
        <f>J6/I6</f>
        <v>1.8866340097970609</v>
      </c>
      <c r="D6" s="14">
        <v>4</v>
      </c>
      <c r="E6" s="14">
        <v>18</v>
      </c>
      <c r="F6" s="14" t="s">
        <v>9</v>
      </c>
      <c r="G6" s="14">
        <v>3.5</v>
      </c>
      <c r="H6" s="14">
        <v>2</v>
      </c>
      <c r="I6" s="14">
        <v>1429</v>
      </c>
      <c r="J6" s="14">
        <v>2696</v>
      </c>
      <c r="K6" s="15"/>
      <c r="L6" s="15"/>
      <c r="M6" s="16"/>
    </row>
    <row r="7" spans="1:13">
      <c r="A7" s="11" t="s">
        <v>1</v>
      </c>
      <c r="B7" s="12" t="s">
        <v>10</v>
      </c>
      <c r="C7" s="13">
        <f>J7/I7</f>
        <v>2.4555633310006999</v>
      </c>
      <c r="D7" s="14">
        <v>5</v>
      </c>
      <c r="E7" s="14">
        <v>16</v>
      </c>
      <c r="F7" s="14" t="s">
        <v>11</v>
      </c>
      <c r="G7" s="14">
        <v>3.5</v>
      </c>
      <c r="H7" s="14">
        <v>2</v>
      </c>
      <c r="I7" s="14">
        <v>1429</v>
      </c>
      <c r="J7" s="14">
        <v>3509</v>
      </c>
      <c r="K7" s="15"/>
      <c r="L7" s="15"/>
      <c r="M7" s="16"/>
    </row>
    <row r="8" spans="1:13">
      <c r="A8" s="11" t="s">
        <v>1</v>
      </c>
      <c r="B8" s="12" t="s">
        <v>2</v>
      </c>
      <c r="C8" s="13">
        <f>J8/I8</f>
        <v>2.6466060181945417</v>
      </c>
      <c r="D8" s="14">
        <v>6</v>
      </c>
      <c r="E8" s="14">
        <v>40</v>
      </c>
      <c r="F8" s="14" t="s">
        <v>12</v>
      </c>
      <c r="G8" s="14">
        <v>3.5</v>
      </c>
      <c r="H8" s="14">
        <v>2</v>
      </c>
      <c r="I8" s="14">
        <v>1429</v>
      </c>
      <c r="J8" s="14">
        <v>3782</v>
      </c>
      <c r="K8" s="15"/>
      <c r="L8" s="15"/>
      <c r="M8" s="16"/>
    </row>
    <row r="9" spans="1:13">
      <c r="A9" s="11" t="s">
        <v>1</v>
      </c>
      <c r="B9" s="12" t="s">
        <v>2</v>
      </c>
      <c r="C9" s="13">
        <f>J9/I9</f>
        <v>2.2778166550034991</v>
      </c>
      <c r="D9" s="14">
        <v>7</v>
      </c>
      <c r="E9" s="14">
        <v>28</v>
      </c>
      <c r="F9" s="14" t="s">
        <v>13</v>
      </c>
      <c r="G9" s="14">
        <v>3.5</v>
      </c>
      <c r="H9" s="14">
        <v>2</v>
      </c>
      <c r="I9" s="14">
        <v>1429</v>
      </c>
      <c r="J9" s="14">
        <v>3255</v>
      </c>
      <c r="K9" s="15"/>
      <c r="L9" s="15"/>
      <c r="M9" s="16"/>
    </row>
    <row r="10" spans="1:13">
      <c r="A10" s="11" t="s">
        <v>1</v>
      </c>
      <c r="B10" s="12" t="s">
        <v>14</v>
      </c>
      <c r="C10" s="13">
        <f>J10/I10</f>
        <v>1.3596920923722884</v>
      </c>
      <c r="D10" s="14">
        <v>8</v>
      </c>
      <c r="E10" s="14">
        <v>16</v>
      </c>
      <c r="F10" s="14" t="s">
        <v>11</v>
      </c>
      <c r="G10" s="14">
        <v>3.5</v>
      </c>
      <c r="H10" s="14">
        <v>2</v>
      </c>
      <c r="I10" s="14">
        <v>1429</v>
      </c>
      <c r="J10" s="14">
        <v>1943</v>
      </c>
      <c r="K10" s="15"/>
      <c r="L10" s="15"/>
      <c r="M10" s="16"/>
    </row>
    <row r="11" spans="1:13">
      <c r="A11" s="11" t="s">
        <v>1</v>
      </c>
      <c r="B11" s="12" t="s">
        <v>14</v>
      </c>
      <c r="C11" s="13">
        <f>J11/I11</f>
        <v>5.211336599020294</v>
      </c>
      <c r="D11" s="14">
        <v>9</v>
      </c>
      <c r="E11" s="14">
        <v>43</v>
      </c>
      <c r="F11" s="14" t="s">
        <v>15</v>
      </c>
      <c r="G11" s="14">
        <v>3.5</v>
      </c>
      <c r="H11" s="14">
        <v>2</v>
      </c>
      <c r="I11" s="14">
        <v>1429</v>
      </c>
      <c r="J11" s="14">
        <v>7447</v>
      </c>
      <c r="K11" s="15"/>
      <c r="L11" s="15"/>
      <c r="M11" s="16"/>
    </row>
    <row r="12" spans="1:13">
      <c r="A12" s="8" t="s">
        <v>16</v>
      </c>
      <c r="B12" s="8"/>
      <c r="C12" s="17">
        <f>SUM(C13:C34)</f>
        <v>3.8418978034439317</v>
      </c>
      <c r="D12" s="8"/>
      <c r="E12" s="8"/>
      <c r="F12" s="8"/>
      <c r="G12" s="8"/>
      <c r="H12" s="8"/>
      <c r="I12" s="8"/>
      <c r="J12" s="18" t="e">
        <f>SUM(#REF!)</f>
        <v>#REF!</v>
      </c>
      <c r="K12" s="9"/>
      <c r="L12" s="9"/>
      <c r="M12" s="10"/>
    </row>
    <row r="13" spans="1:13" ht="27.6">
      <c r="A13" s="11" t="s">
        <v>16</v>
      </c>
      <c r="B13" s="12" t="s">
        <v>14</v>
      </c>
      <c r="C13" s="19">
        <v>0.10199999999999999</v>
      </c>
      <c r="D13" s="14" t="s">
        <v>17</v>
      </c>
      <c r="E13" s="14"/>
      <c r="F13" s="14"/>
      <c r="G13" s="14">
        <v>1.3999999999999999</v>
      </c>
      <c r="H13" s="14">
        <v>0.75</v>
      </c>
      <c r="I13" s="14">
        <v>9524</v>
      </c>
      <c r="J13" s="20">
        <v>975</v>
      </c>
      <c r="K13" s="21" t="inlineStr">
        <is>
          <t>Sheena Houghton</t>
        </is>
      </c>
      <c r="L13" s="21" t="s">
        <v>18</v>
      </c>
      <c r="M13" s="22">
        <v>2024</v>
      </c>
    </row>
    <row r="14" spans="1:13" ht="27.6">
      <c r="A14" s="11" t="s">
        <v>16</v>
      </c>
      <c r="B14" s="12" t="s">
        <v>14</v>
      </c>
      <c r="C14" s="19">
        <v>0.065000000000000002</v>
      </c>
      <c r="D14" s="14" t="s">
        <v>17</v>
      </c>
      <c r="E14" s="14"/>
      <c r="F14" s="14"/>
      <c r="G14" s="14">
        <v>1.3999999999999999</v>
      </c>
      <c r="H14" s="14">
        <v>0.75</v>
      </c>
      <c r="I14" s="14">
        <v>9524</v>
      </c>
      <c r="J14" s="20">
        <v>621</v>
      </c>
      <c r="K14" s="21" t="inlineStr">
        <is>
          <t> Houghton Woodlands</t>
        </is>
      </c>
      <c r="L14" s="21" t="s">
        <v>18</v>
      </c>
      <c r="M14" s="22">
        <v>2024</v>
      </c>
    </row>
    <row r="15" spans="1:13">
      <c r="A15" s="11" t="s">
        <v>16</v>
      </c>
      <c r="B15" s="12" t="s">
        <v>14</v>
      </c>
      <c r="C15" s="19">
        <v>0.214</v>
      </c>
      <c r="D15" s="14" t="s">
        <v>19</v>
      </c>
      <c r="E15" s="14"/>
      <c r="F15" s="14"/>
      <c r="G15" s="14">
        <v>1.3999999999999999</v>
      </c>
      <c r="H15" s="14">
        <v>0.75</v>
      </c>
      <c r="I15" s="14">
        <v>9524</v>
      </c>
      <c r="J15" s="20">
        <v>2034</v>
      </c>
      <c r="K15" s="21" t="s">
        <v>20</v>
      </c>
      <c r="L15" s="21" t="s">
        <v>21</v>
      </c>
      <c r="M15" s="22">
        <v>2024</v>
      </c>
    </row>
    <row r="16" spans="1:13">
      <c r="A16" s="11" t="s">
        <v>16</v>
      </c>
      <c r="B16" s="12" t="s">
        <v>14</v>
      </c>
      <c r="C16" s="19">
        <v>0.108</v>
      </c>
      <c r="D16" s="14" t="s">
        <v>19</v>
      </c>
      <c r="E16" s="14"/>
      <c r="F16" s="14"/>
      <c r="G16" s="14">
        <v>1.3999999999999999</v>
      </c>
      <c r="H16" s="14">
        <v>0.75</v>
      </c>
      <c r="I16" s="14">
        <v>9524</v>
      </c>
      <c r="J16" s="20">
        <v>1028</v>
      </c>
      <c r="K16" s="21" t="s">
        <v>22</v>
      </c>
      <c r="L16" s="21" t="s">
        <v>21</v>
      </c>
      <c r="M16" s="22">
        <v>2025</v>
      </c>
    </row>
    <row r="17" spans="1:13">
      <c r="A17" s="11" t="s">
        <v>16</v>
      </c>
      <c r="B17" s="12" t="s">
        <v>14</v>
      </c>
      <c r="C17" s="19">
        <v>0.27600000000000002</v>
      </c>
      <c r="D17" s="14" t="s">
        <v>19</v>
      </c>
      <c r="E17" s="14"/>
      <c r="F17" s="14"/>
      <c r="G17" s="14">
        <v>1.3999999999999999</v>
      </c>
      <c r="H17" s="14">
        <v>0.75</v>
      </c>
      <c r="I17" s="14">
        <v>9524</v>
      </c>
      <c r="J17" s="20">
        <v>2624</v>
      </c>
      <c r="K17" s="21" t="s">
        <v>22</v>
      </c>
      <c r="L17" s="21" t="s">
        <v>21</v>
      </c>
      <c r="M17" s="22">
        <v>2024</v>
      </c>
    </row>
    <row r="18" spans="1:13">
      <c r="A18" s="11" t="s">
        <v>16</v>
      </c>
      <c r="B18" s="12" t="s">
        <v>14</v>
      </c>
      <c r="C18" s="19">
        <v>0.23000000000000001</v>
      </c>
      <c r="D18" s="14" t="s">
        <v>23</v>
      </c>
      <c r="E18" s="14"/>
      <c r="F18" s="14"/>
      <c r="G18" s="14">
        <v>1.3999999999999999</v>
      </c>
      <c r="H18" s="14">
        <v>0.75</v>
      </c>
      <c r="I18" s="14">
        <v>9524</v>
      </c>
      <c r="J18" s="20">
        <v>2192.6666666666665</v>
      </c>
      <c r="K18" s="21" t="inlineStr">
        <is>
          <t>Houghtons</t>
        </is>
      </c>
      <c r="L18" s="21" t="s">
        <v>21</v>
      </c>
      <c r="M18" s="22">
        <v>2024</v>
      </c>
    </row>
    <row r="19" spans="1:13">
      <c r="A19" s="11" t="s">
        <v>16</v>
      </c>
      <c r="B19" s="12" t="s">
        <v>14</v>
      </c>
      <c r="C19" s="19">
        <v>0.23000000000000001</v>
      </c>
      <c r="D19" s="14" t="s">
        <v>23</v>
      </c>
      <c r="E19" s="14"/>
      <c r="F19" s="14"/>
      <c r="G19" s="14">
        <v>1.3999999999999999</v>
      </c>
      <c r="H19" s="14">
        <v>0.75</v>
      </c>
      <c r="I19" s="14">
        <v>9524</v>
      </c>
      <c r="J19" s="20">
        <v>2192.6666666666665</v>
      </c>
      <c r="K19" s="21" t="s">
        <v>22</v>
      </c>
      <c r="L19" s="21" t="s">
        <v>21</v>
      </c>
      <c r="M19" s="22">
        <v>2024</v>
      </c>
    </row>
    <row r="20" spans="1:13">
      <c r="A20" s="11" t="s">
        <v>16</v>
      </c>
      <c r="B20" s="12" t="s">
        <v>14</v>
      </c>
      <c r="C20" s="19">
        <v>0.23000000000000001</v>
      </c>
      <c r="D20" s="14" t="s">
        <v>23</v>
      </c>
      <c r="E20" s="14"/>
      <c r="F20" s="14"/>
      <c r="G20" s="14">
        <v>1.3999999999999999</v>
      </c>
      <c r="H20" s="14">
        <v>0.75</v>
      </c>
      <c r="I20" s="14">
        <v>9524</v>
      </c>
      <c r="J20" s="20">
        <v>2192.6666666666665</v>
      </c>
      <c r="K20" s="21" t="inlineStr">
        <is>
          <t>M191</t>
        </is>
      </c>
      <c r="L20" s="21" t="s">
        <v>21</v>
      </c>
      <c r="M20" s="22">
        <v>2025</v>
      </c>
    </row>
    <row r="21" spans="1:13">
      <c r="A21" s="11" t="s">
        <v>16</v>
      </c>
      <c r="B21" s="12" t="s">
        <v>4</v>
      </c>
      <c r="C21" s="19">
        <v>0.20719999999999997</v>
      </c>
      <c r="D21" s="14" t="s">
        <v>24</v>
      </c>
      <c r="E21" s="14"/>
      <c r="F21" s="14"/>
      <c r="G21" s="14">
        <v>1.3999999999999999</v>
      </c>
      <c r="H21" s="14">
        <v>0.75</v>
      </c>
      <c r="I21" s="14">
        <v>9524</v>
      </c>
      <c r="J21" s="20">
        <v>1973.3333333333333</v>
      </c>
      <c r="K21" s="12">
        <v>181</v>
      </c>
      <c r="L21" s="21" t="s">
        <v>21</v>
      </c>
      <c r="M21" s="22">
        <v>2024</v>
      </c>
    </row>
    <row r="22" spans="1:13">
      <c r="A22" s="11" t="s">
        <v>16</v>
      </c>
      <c r="B22" s="12" t="s">
        <v>4</v>
      </c>
      <c r="C22" s="19">
        <v>0.093238135237295253</v>
      </c>
      <c r="D22" s="14" t="s">
        <v>24</v>
      </c>
      <c r="E22" s="14"/>
      <c r="F22" s="14"/>
      <c r="G22" s="14">
        <v>1.3999999999999999</v>
      </c>
      <c r="H22" s="14">
        <v>0.75</v>
      </c>
      <c r="I22" s="14">
        <v>9524</v>
      </c>
      <c r="J22" s="20">
        <v>888</v>
      </c>
      <c r="K22" s="21" t="inlineStr">
        <is>
          <t>181</t>
        </is>
      </c>
      <c r="L22" s="21" t="s">
        <v>21</v>
      </c>
      <c r="M22" s="22">
        <v>2025</v>
      </c>
    </row>
    <row r="23" spans="1:13">
      <c r="A23" s="11" t="s">
        <v>16</v>
      </c>
      <c r="B23" s="12" t="s">
        <v>25</v>
      </c>
      <c r="C23" s="19">
        <v>0.10359792804143916</v>
      </c>
      <c r="D23" s="14" t="s">
        <v>24</v>
      </c>
      <c r="E23" s="14"/>
      <c r="F23" s="14"/>
      <c r="G23" s="14">
        <v>1.3999999999999999</v>
      </c>
      <c r="H23" s="14">
        <v>0.75</v>
      </c>
      <c r="I23" s="14">
        <v>9524</v>
      </c>
      <c r="J23" s="20">
        <v>986.66666666666663</v>
      </c>
      <c r="K23" s="21" t="s">
        <v>26</v>
      </c>
      <c r="L23" s="21" t="s">
        <v>21</v>
      </c>
      <c r="M23" s="22">
        <v>2025</v>
      </c>
    </row>
    <row r="24" spans="1:13">
      <c r="A24" s="11" t="s">
        <v>16</v>
      </c>
      <c r="B24" s="12" t="s">
        <v>27</v>
      </c>
      <c r="C24" s="19">
        <v>0.082599999999999993</v>
      </c>
      <c r="D24" s="14" t="s">
        <v>28</v>
      </c>
      <c r="E24" s="14"/>
      <c r="F24" s="14"/>
      <c r="G24" s="14">
        <v>1.3999999999999999</v>
      </c>
      <c r="H24" s="14">
        <v>0.75</v>
      </c>
      <c r="I24" s="14">
        <v>9524</v>
      </c>
      <c r="J24" s="20">
        <v>786.66666666666663</v>
      </c>
      <c r="K24" s="21" t="inlineStr">
        <is>
          <t>Petrus CH8</t>
        </is>
      </c>
      <c r="L24" s="21" t="s">
        <v>21</v>
      </c>
      <c r="M24" s="22">
        <v>2025</v>
      </c>
    </row>
    <row r="25" spans="1:13">
      <c r="A25" s="11" t="s">
        <v>16</v>
      </c>
      <c r="B25" s="12" t="s">
        <v>29</v>
      </c>
      <c r="C25" s="19">
        <v>0.053689999999999995</v>
      </c>
      <c r="D25" s="14" t="s">
        <v>28</v>
      </c>
      <c r="E25" s="14"/>
      <c r="F25" s="14"/>
      <c r="G25" s="14">
        <v>1.3999999999999999</v>
      </c>
      <c r="H25" s="14">
        <v>0.75</v>
      </c>
      <c r="I25" s="14">
        <v>9524</v>
      </c>
      <c r="J25" s="20">
        <v>511.33333333333331</v>
      </c>
      <c r="K25" s="21" t="inlineStr">
        <is>
          <t>M214</t>
        </is>
      </c>
      <c r="L25" s="21" t="s">
        <v>21</v>
      </c>
      <c r="M25" s="22">
        <v>2024</v>
      </c>
    </row>
    <row r="26" spans="1:13">
      <c r="A26" s="11" t="s">
        <v>16</v>
      </c>
      <c r="B26" s="12" t="s">
        <v>30</v>
      </c>
      <c r="C26" s="19">
        <v>0.12802999999999998</v>
      </c>
      <c r="D26" s="14" t="s">
        <v>28</v>
      </c>
      <c r="E26" s="14"/>
      <c r="F26" s="14"/>
      <c r="G26" s="14">
        <v>1.3999999999999999</v>
      </c>
      <c r="H26" s="14">
        <v>0.75</v>
      </c>
      <c r="I26" s="14">
        <v>9524</v>
      </c>
      <c r="J26" s="20">
        <v>1219.3333333333333</v>
      </c>
      <c r="K26" s="21" t="s">
        <v>22</v>
      </c>
      <c r="L26" s="21" t="s">
        <v>21</v>
      </c>
      <c r="M26" s="22">
        <v>2025</v>
      </c>
    </row>
    <row r="27" spans="1:13">
      <c r="A27" s="11" t="s">
        <v>16</v>
      </c>
      <c r="B27" s="12" t="s">
        <v>30</v>
      </c>
      <c r="C27" s="19">
        <v>0.15694</v>
      </c>
      <c r="D27" s="14" t="s">
        <v>28</v>
      </c>
      <c r="E27" s="14"/>
      <c r="F27" s="14"/>
      <c r="G27" s="14">
        <v>1.3999999999999999</v>
      </c>
      <c r="H27" s="14">
        <v>0.75</v>
      </c>
      <c r="I27" s="14">
        <v>9524</v>
      </c>
      <c r="J27" s="20">
        <v>1494.6666666666667</v>
      </c>
      <c r="K27" s="21" t="inlineStr">
        <is>
          <t>Houghtons </t>
        </is>
      </c>
      <c r="L27" s="21" t="inlineStr">
        <is>
          <t>Vic Point</t>
        </is>
      </c>
      <c r="M27" s="22">
        <v>2025</v>
      </c>
    </row>
    <row r="28" spans="1:13" ht="27.6">
      <c r="A28" s="11" t="s">
        <v>16</v>
      </c>
      <c r="B28" s="12" t="s">
        <v>30</v>
      </c>
      <c r="C28" s="19">
        <v>0.099118017639647213</v>
      </c>
      <c r="D28" s="14" t="s">
        <v>28</v>
      </c>
      <c r="E28" s="14"/>
      <c r="F28" s="14"/>
      <c r="G28" s="14">
        <v>1.3999999999999999</v>
      </c>
      <c r="H28" s="14">
        <v>0.75</v>
      </c>
      <c r="I28" s="14">
        <v>9524</v>
      </c>
      <c r="J28" s="20">
        <v>944</v>
      </c>
      <c r="K28" s="21" t="inlineStr">
        <is>
          <t>Houghtons Willespie</t>
        </is>
      </c>
      <c r="L28" s="21" t="s">
        <v>18</v>
      </c>
      <c r="M28" s="22">
        <v>2025</v>
      </c>
    </row>
    <row r="29" spans="1:13" ht="27.6">
      <c r="A29" s="11" t="s">
        <v>16</v>
      </c>
      <c r="B29" s="12" t="s">
        <v>30</v>
      </c>
      <c r="C29" s="19">
        <v>0.31387372252554951</v>
      </c>
      <c r="D29" s="14" t="s">
        <v>28</v>
      </c>
      <c r="E29" s="14"/>
      <c r="F29" s="14"/>
      <c r="G29" s="14">
        <v>1.3999999999999999</v>
      </c>
      <c r="H29" s="14">
        <v>0.75</v>
      </c>
      <c r="I29" s="14">
        <v>9524</v>
      </c>
      <c r="J29" s="20">
        <v>2989.3333333333335</v>
      </c>
      <c r="K29" s="21" t="inlineStr">
        <is>
          <t>Houghtons Mosswood</t>
        </is>
      </c>
      <c r="L29" s="21" t="s">
        <v>18</v>
      </c>
      <c r="M29" s="22">
        <v>2025</v>
      </c>
    </row>
    <row r="30" spans="1:13">
      <c r="A30" s="11" t="s">
        <v>16</v>
      </c>
      <c r="B30" s="12" t="s">
        <v>30</v>
      </c>
      <c r="C30" s="19">
        <v>0.04564</v>
      </c>
      <c r="D30" s="14" t="s">
        <v>31</v>
      </c>
      <c r="E30" s="14"/>
      <c r="F30" s="14"/>
      <c r="G30" s="14">
        <v>1.3999999999999999</v>
      </c>
      <c r="H30" s="14">
        <v>0.75</v>
      </c>
      <c r="I30" s="14">
        <v>9524</v>
      </c>
      <c r="J30" s="20">
        <v>434.66666666666669</v>
      </c>
      <c r="K30" s="21" t="s">
        <v>22</v>
      </c>
      <c r="L30" s="21" t="s">
        <v>21</v>
      </c>
      <c r="M30" s="22">
        <v>2025</v>
      </c>
    </row>
    <row r="31" spans="1:13">
      <c r="A31" s="11" t="s">
        <v>16</v>
      </c>
      <c r="B31" s="12" t="s">
        <v>30</v>
      </c>
      <c r="C31" s="19">
        <v>0.19396999999999998</v>
      </c>
      <c r="D31" s="14" t="s">
        <v>31</v>
      </c>
      <c r="E31" s="14"/>
      <c r="F31" s="14"/>
      <c r="G31" s="14">
        <v>1.3999999999999999</v>
      </c>
      <c r="H31" s="14">
        <v>0.75</v>
      </c>
      <c r="I31" s="14">
        <v>9524</v>
      </c>
      <c r="J31" s="20">
        <v>1847.3333333333333</v>
      </c>
      <c r="K31" s="21" t="s">
        <v>20</v>
      </c>
      <c r="L31" s="21" t="s">
        <v>21</v>
      </c>
      <c r="M31" s="22">
        <v>2025</v>
      </c>
    </row>
    <row r="32" spans="1:13">
      <c r="A32" s="11" t="s">
        <v>16</v>
      </c>
      <c r="B32" s="12" t="s">
        <v>32</v>
      </c>
      <c r="C32" s="19">
        <v>0.34200000000000003</v>
      </c>
      <c r="D32" s="14" t="inlineStr">
        <is>
          <t>RB3</t>
        </is>
      </c>
      <c r="E32" s="14"/>
      <c r="F32" s="14"/>
      <c r="G32" s="14">
        <v>1.3999999999999999</v>
      </c>
      <c r="H32" s="14">
        <v>0.75</v>
      </c>
      <c r="I32" s="14">
        <v>9524</v>
      </c>
      <c r="J32" s="20">
        <v>3260</v>
      </c>
      <c r="K32" s="21" t="inlineStr">
        <is>
          <t>Cl1056</t>
        </is>
      </c>
      <c r="L32" s="21" t="s">
        <v>21</v>
      </c>
      <c r="M32" s="22">
        <v>2025</v>
      </c>
    </row>
    <row r="33" spans="1:13">
      <c r="A33" s="11" t="s">
        <v>16</v>
      </c>
      <c r="B33" s="12" t="s">
        <v>33</v>
      </c>
      <c r="C33" s="19">
        <v>0.20635999999999996</v>
      </c>
      <c r="D33" s="14" t="s">
        <v>34</v>
      </c>
      <c r="E33" s="14"/>
      <c r="F33" s="14"/>
      <c r="G33" s="14">
        <v>1.3999999999999999</v>
      </c>
      <c r="H33" s="14">
        <v>0.75</v>
      </c>
      <c r="I33" s="14">
        <v>9524</v>
      </c>
      <c r="J33" s="20">
        <v>1965.3333333333333</v>
      </c>
      <c r="K33" s="21" t="s">
        <v>35</v>
      </c>
      <c r="L33" s="21" t="s">
        <v>21</v>
      </c>
      <c r="M33" s="22">
        <v>2024</v>
      </c>
    </row>
    <row r="34" spans="1:13">
      <c r="A34" s="11" t="s">
        <v>16</v>
      </c>
      <c r="B34" s="12" t="s">
        <v>33</v>
      </c>
      <c r="C34" s="19">
        <v>0.36063999999999996</v>
      </c>
      <c r="D34" s="14" t="s">
        <v>34</v>
      </c>
      <c r="E34" s="14"/>
      <c r="F34" s="14"/>
      <c r="G34" s="14">
        <v>1.3999999999999999</v>
      </c>
      <c r="H34" s="14">
        <v>0.75</v>
      </c>
      <c r="I34" s="14">
        <v>9524</v>
      </c>
      <c r="J34" s="20">
        <v>3434.6666666666665</v>
      </c>
      <c r="K34" s="21" t="s">
        <v>35</v>
      </c>
      <c r="L34" s="21" t="s">
        <v>21</v>
      </c>
      <c r="M34" s="22">
        <v>2024</v>
      </c>
    </row>
    <row r="35" spans="1:13">
      <c r="A35" s="8" t="s">
        <v>36</v>
      </c>
      <c r="B35" s="8"/>
      <c r="C35" s="17">
        <f>SUM(C36:C38)</f>
        <v>0.2549490101979604</v>
      </c>
      <c r="D35" s="8"/>
      <c r="E35" s="8"/>
      <c r="F35" s="8"/>
      <c r="G35" s="8"/>
      <c r="H35" s="8"/>
      <c r="I35" s="8"/>
      <c r="J35" s="18"/>
      <c r="K35" s="9"/>
      <c r="L35" s="9"/>
      <c r="M35" s="10"/>
    </row>
    <row r="36" spans="1:13">
      <c r="A36" s="11" t="s">
        <v>36</v>
      </c>
      <c r="B36" s="12" t="s">
        <v>14</v>
      </c>
      <c r="C36" s="13">
        <f>J36/I36</f>
        <v>0.14997000599880023</v>
      </c>
      <c r="D36" s="14">
        <v>1</v>
      </c>
      <c r="E36" s="14">
        <v>12</v>
      </c>
      <c r="F36" s="14"/>
      <c r="G36" s="14">
        <v>3</v>
      </c>
      <c r="H36" s="14">
        <v>2</v>
      </c>
      <c r="I36" s="14">
        <v>1667</v>
      </c>
      <c r="J36" s="20">
        <v>250</v>
      </c>
      <c r="K36" s="23"/>
      <c r="L36" s="23"/>
      <c r="M36" s="24">
        <v>2007</v>
      </c>
    </row>
    <row r="37" spans="1:13">
      <c r="A37" s="11" t="s">
        <v>36</v>
      </c>
      <c r="B37" s="12" t="s">
        <v>2</v>
      </c>
      <c r="C37" s="13">
        <f>J37/I37</f>
        <v>0.079784043191361731</v>
      </c>
      <c r="D37" s="14">
        <v>2</v>
      </c>
      <c r="E37" s="14">
        <v>7</v>
      </c>
      <c r="F37" s="14"/>
      <c r="G37" s="14">
        <v>3</v>
      </c>
      <c r="H37" s="14">
        <v>2</v>
      </c>
      <c r="I37" s="14">
        <v>1667</v>
      </c>
      <c r="J37" s="20">
        <v>133</v>
      </c>
      <c r="K37" s="21"/>
      <c r="L37" s="21"/>
      <c r="M37" s="22">
        <v>2007</v>
      </c>
    </row>
    <row r="38" spans="1:13">
      <c r="A38" s="11" t="s">
        <v>36</v>
      </c>
      <c r="B38" s="12" t="s">
        <v>4</v>
      </c>
      <c r="C38" s="13">
        <f>J38/I38</f>
        <v>0.025194961007798441</v>
      </c>
      <c r="D38" s="14">
        <v>3</v>
      </c>
      <c r="E38" s="14">
        <v>2</v>
      </c>
      <c r="F38" s="14"/>
      <c r="G38" s="14">
        <v>3</v>
      </c>
      <c r="H38" s="14">
        <v>2</v>
      </c>
      <c r="I38" s="14">
        <v>1667</v>
      </c>
      <c r="J38" s="20">
        <v>42</v>
      </c>
      <c r="K38" s="21"/>
      <c r="L38" s="21"/>
      <c r="M38" s="22">
        <v>2007</v>
      </c>
    </row>
    <row r="39" spans="1:13">
      <c r="A39" s="8" t="s">
        <v>37</v>
      </c>
      <c r="B39" s="8"/>
      <c r="C39" s="8">
        <f>SUM(C40:C52)</f>
        <v>3.8936999999999995</v>
      </c>
      <c r="D39" s="8"/>
      <c r="E39" s="8"/>
      <c r="F39" s="8"/>
      <c r="G39" s="8"/>
      <c r="H39" s="8"/>
      <c r="I39" s="8"/>
      <c r="J39" s="25">
        <f>SUM(J40:J52)</f>
        <v>33222.004399999998</v>
      </c>
      <c r="K39" s="9"/>
      <c r="L39" s="9"/>
      <c r="M39" s="10"/>
    </row>
    <row r="40" spans="1:13" ht="27.6">
      <c r="A40" s="11" t="s">
        <v>37</v>
      </c>
      <c r="B40" s="26" t="s">
        <v>33</v>
      </c>
      <c r="C40" s="11">
        <f>J40/I40</f>
        <v>0.496</v>
      </c>
      <c r="D40" s="11">
        <v>1</v>
      </c>
      <c r="E40" s="11">
        <v>41</v>
      </c>
      <c r="F40" s="11" t="s">
        <v>38</v>
      </c>
      <c r="G40" s="11">
        <v>1.3</v>
      </c>
      <c r="H40" s="11">
        <v>1</v>
      </c>
      <c r="I40" s="27">
        <v>7692</v>
      </c>
      <c r="J40" s="28">
        <v>3815.232</v>
      </c>
      <c r="K40" s="29">
        <v>95</v>
      </c>
      <c r="L40" s="30" t="s">
        <v>39</v>
      </c>
      <c r="M40" s="16">
        <v>2020</v>
      </c>
    </row>
    <row r="41" spans="1:13" ht="27.6">
      <c r="A41" s="11" t="s">
        <v>37</v>
      </c>
      <c r="B41" s="26" t="s">
        <v>25</v>
      </c>
      <c r="C41" s="11">
        <f>J41/I41</f>
        <v>0.185</v>
      </c>
      <c r="D41" s="11">
        <v>2</v>
      </c>
      <c r="E41" s="11">
        <v>9</v>
      </c>
      <c r="F41" s="11" t="inlineStr">
        <is>
          <t>42 to 50</t>
        </is>
      </c>
      <c r="G41" s="11">
        <v>1.3</v>
      </c>
      <c r="H41" s="11">
        <v>0.75</v>
      </c>
      <c r="I41" s="27">
        <v>10256</v>
      </c>
      <c r="J41" s="28">
        <v>1897.3599999999999</v>
      </c>
      <c r="K41" s="29">
        <v>777</v>
      </c>
      <c r="L41" s="30" t="s">
        <v>40</v>
      </c>
      <c r="M41" s="16"/>
    </row>
    <row r="42" spans="1:13" ht="27.6">
      <c r="A42" s="11" t="s">
        <v>37</v>
      </c>
      <c r="B42" s="26" t="s">
        <v>25</v>
      </c>
      <c r="C42" s="11">
        <f>J42/I42</f>
        <v>0.187</v>
      </c>
      <c r="D42" s="11">
        <v>3</v>
      </c>
      <c r="E42" s="11">
        <v>8</v>
      </c>
      <c r="F42" s="11" t="inlineStr">
        <is>
          <t>51 to 58</t>
        </is>
      </c>
      <c r="G42" s="11">
        <v>1.3</v>
      </c>
      <c r="H42" s="11">
        <v>0.75</v>
      </c>
      <c r="I42" s="27">
        <v>10256</v>
      </c>
      <c r="J42" s="28">
        <v>1917.8720000000001</v>
      </c>
      <c r="K42" s="29">
        <v>115</v>
      </c>
      <c r="L42" s="30" t="s">
        <v>40</v>
      </c>
      <c r="M42" s="16"/>
    </row>
    <row r="43" spans="1:13">
      <c r="A43" s="11" t="s">
        <v>37</v>
      </c>
      <c r="B43" s="26" t="s">
        <v>33</v>
      </c>
      <c r="C43" s="11">
        <f>J43/I43</f>
        <v>1.3420000000000001</v>
      </c>
      <c r="D43" s="11">
        <v>4</v>
      </c>
      <c r="E43" s="11">
        <v>60</v>
      </c>
      <c r="F43" s="11" t="inlineStr">
        <is>
          <t>59 to 118</t>
        </is>
      </c>
      <c r="G43" s="11">
        <v>1.3</v>
      </c>
      <c r="H43" s="11">
        <v>1</v>
      </c>
      <c r="I43" s="27">
        <v>7692</v>
      </c>
      <c r="J43" s="28">
        <v>10322.664000000001</v>
      </c>
      <c r="K43" s="29" t="s">
        <v>35</v>
      </c>
      <c r="L43" s="30" t="s">
        <v>41</v>
      </c>
      <c r="M43" s="16">
        <v>2020</v>
      </c>
    </row>
    <row r="44" spans="1:13" ht="27.6">
      <c r="A44" s="11" t="s">
        <v>37</v>
      </c>
      <c r="B44" s="26" t="s">
        <v>33</v>
      </c>
      <c r="C44" s="11">
        <f>J44/I44</f>
        <v>0.29499999999999998</v>
      </c>
      <c r="D44" s="11">
        <v>5</v>
      </c>
      <c r="E44" s="11">
        <v>17</v>
      </c>
      <c r="F44" s="11" t="inlineStr">
        <is>
          <t>119 to 135</t>
        </is>
      </c>
      <c r="G44" s="11">
        <v>1.3</v>
      </c>
      <c r="H44" s="11">
        <v>1</v>
      </c>
      <c r="I44" s="27">
        <v>7692</v>
      </c>
      <c r="J44" s="28">
        <v>2269.1399999999999</v>
      </c>
      <c r="K44" s="29">
        <v>96</v>
      </c>
      <c r="L44" s="30" t="s">
        <v>39</v>
      </c>
      <c r="M44" s="16" t="inlineStr">
        <is>
          <t>2021/2021</t>
        </is>
      </c>
    </row>
    <row r="45" spans="1:13" ht="27.6">
      <c r="A45" s="11" t="s">
        <v>37</v>
      </c>
      <c r="B45" s="26" t="s">
        <v>33</v>
      </c>
      <c r="C45" s="11">
        <f>J45/I45</f>
        <v>0.32300000000000001</v>
      </c>
      <c r="D45" s="11">
        <v>6</v>
      </c>
      <c r="E45" s="11">
        <v>23</v>
      </c>
      <c r="F45" s="11" t="inlineStr">
        <is>
          <t>136 to 155</t>
        </is>
      </c>
      <c r="G45" s="11">
        <v>1.3</v>
      </c>
      <c r="H45" s="11">
        <v>1</v>
      </c>
      <c r="I45" s="27">
        <v>7692</v>
      </c>
      <c r="J45" s="28">
        <v>2484.5160000000001</v>
      </c>
      <c r="K45" s="29">
        <v>277</v>
      </c>
      <c r="L45" s="30" t="s">
        <v>39</v>
      </c>
      <c r="M45" s="16" t="inlineStr">
        <is>
          <t>2021/2022</t>
        </is>
      </c>
    </row>
    <row r="46" spans="1:13" ht="27.6">
      <c r="A46" s="11" t="s">
        <v>37</v>
      </c>
      <c r="B46" s="26" t="s">
        <v>25</v>
      </c>
      <c r="C46" s="11">
        <f>J46/I46</f>
        <v>0.20100000000000001</v>
      </c>
      <c r="D46" s="11">
        <v>7</v>
      </c>
      <c r="E46" s="11">
        <v>30</v>
      </c>
      <c r="F46" s="11" t="inlineStr">
        <is>
          <t>156 to 188</t>
        </is>
      </c>
      <c r="G46" s="11">
        <v>1.3</v>
      </c>
      <c r="H46" s="11">
        <v>0.75</v>
      </c>
      <c r="I46" s="27">
        <v>10256</v>
      </c>
      <c r="J46" s="28">
        <v>2061.4560000000001</v>
      </c>
      <c r="K46" s="29" t="s">
        <v>26</v>
      </c>
      <c r="L46" s="30" t="s">
        <v>40</v>
      </c>
      <c r="M46" s="16">
        <v>2022</v>
      </c>
    </row>
    <row r="47" spans="1:13" ht="27.6">
      <c r="A47" s="11" t="s">
        <v>37</v>
      </c>
      <c r="B47" s="26" t="s">
        <v>25</v>
      </c>
      <c r="C47" s="11">
        <f>J47/I47</f>
        <v>0.047699999999999999</v>
      </c>
      <c r="D47" s="11">
        <v>8</v>
      </c>
      <c r="E47" s="11">
        <v>12</v>
      </c>
      <c r="F47" s="11" t="inlineStr">
        <is>
          <t>189 to 200</t>
        </is>
      </c>
      <c r="G47" s="11">
        <v>1.3</v>
      </c>
      <c r="H47" s="11">
        <v>0.75</v>
      </c>
      <c r="I47" s="27">
        <v>7692</v>
      </c>
      <c r="J47" s="28">
        <v>366.90839999999997</v>
      </c>
      <c r="K47" s="29" t="s">
        <v>42</v>
      </c>
      <c r="L47" s="30" t="s">
        <v>40</v>
      </c>
      <c r="M47" s="16"/>
    </row>
    <row r="48" spans="1:13" ht="27.6">
      <c r="A48" s="11" t="s">
        <v>37</v>
      </c>
      <c r="B48" s="26" t="s">
        <v>25</v>
      </c>
      <c r="C48" s="11">
        <f>J48/I48</f>
        <v>0.053999999999999992</v>
      </c>
      <c r="D48" s="11">
        <v>9</v>
      </c>
      <c r="E48" s="11">
        <v>18</v>
      </c>
      <c r="F48" s="11" t="inlineStr">
        <is>
          <t>201 to 218</t>
        </is>
      </c>
      <c r="G48" s="11">
        <v>1.3</v>
      </c>
      <c r="H48" s="11">
        <v>0.75</v>
      </c>
      <c r="I48" s="27">
        <v>10256</v>
      </c>
      <c r="J48" s="28">
        <v>553.82399999999996</v>
      </c>
      <c r="K48" s="29">
        <v>386</v>
      </c>
      <c r="L48" s="30" t="inlineStr">
        <is>
          <t>Kerfuffle</t>
        </is>
      </c>
      <c r="M48" s="16">
        <v>2022</v>
      </c>
    </row>
    <row r="49" spans="1:13" ht="27.6">
      <c r="A49" s="11" t="s">
        <v>37</v>
      </c>
      <c r="B49" s="26" t="s">
        <v>33</v>
      </c>
      <c r="C49" s="11">
        <f>J49/I49</f>
        <v>0.114</v>
      </c>
      <c r="D49" s="11">
        <v>10</v>
      </c>
      <c r="E49" s="11">
        <v>19</v>
      </c>
      <c r="F49" s="11" t="s">
        <v>7</v>
      </c>
      <c r="G49" s="11">
        <v>1.3</v>
      </c>
      <c r="H49" s="11">
        <v>1</v>
      </c>
      <c r="I49" s="27">
        <v>7692</v>
      </c>
      <c r="J49" s="28">
        <v>876.88800000000003</v>
      </c>
      <c r="K49" s="29">
        <v>95</v>
      </c>
      <c r="L49" s="30" t="inlineStr">
        <is>
          <t>Vic Pt/ARM</t>
        </is>
      </c>
      <c r="M49" s="16" t="inlineStr">
        <is>
          <t>2020/2022</t>
        </is>
      </c>
    </row>
    <row r="50" spans="1:13" ht="27.6">
      <c r="A50" s="11" t="s">
        <v>37</v>
      </c>
      <c r="B50" s="26" t="s">
        <v>25</v>
      </c>
      <c r="C50" s="11">
        <f>J50/I50</f>
        <v>0.10400000000000001</v>
      </c>
      <c r="D50" s="11">
        <v>11</v>
      </c>
      <c r="E50" s="11">
        <v>10</v>
      </c>
      <c r="F50" s="11" t="s">
        <v>43</v>
      </c>
      <c r="G50" s="11">
        <v>1.3</v>
      </c>
      <c r="H50" s="11">
        <v>0.75</v>
      </c>
      <c r="I50" s="27">
        <v>10256</v>
      </c>
      <c r="J50" s="28">
        <v>1066.624</v>
      </c>
      <c r="K50" s="29">
        <v>115</v>
      </c>
      <c r="L50" s="30" t="s">
        <v>39</v>
      </c>
      <c r="M50" s="16">
        <v>2021</v>
      </c>
    </row>
    <row r="51" spans="1:13" ht="27.6">
      <c r="A51" s="11" t="s">
        <v>37</v>
      </c>
      <c r="B51" s="26" t="s">
        <v>25</v>
      </c>
      <c r="C51" s="11">
        <f>J51/I51</f>
        <v>0.11000000000000001</v>
      </c>
      <c r="D51" s="11">
        <v>12</v>
      </c>
      <c r="E51" s="11">
        <v>9</v>
      </c>
      <c r="F51" s="11" t="s">
        <v>44</v>
      </c>
      <c r="G51" s="11">
        <v>1.3</v>
      </c>
      <c r="H51" s="11">
        <v>0.75</v>
      </c>
      <c r="I51" s="27">
        <v>10256</v>
      </c>
      <c r="J51" s="28">
        <v>1128.1600000000001</v>
      </c>
      <c r="K51" s="29">
        <v>777</v>
      </c>
      <c r="L51" s="30" t="s">
        <v>39</v>
      </c>
      <c r="M51" s="16">
        <v>2021</v>
      </c>
    </row>
    <row r="52" spans="1:13">
      <c r="A52" s="11" t="s">
        <v>37</v>
      </c>
      <c r="B52" s="26" t="s">
        <v>33</v>
      </c>
      <c r="C52" s="11">
        <f>J52/I52</f>
        <v>0.43499999999999994</v>
      </c>
      <c r="D52" s="11">
        <v>13</v>
      </c>
      <c r="E52" s="11">
        <v>37</v>
      </c>
      <c r="F52" s="11" t="inlineStr">
        <is>
          <t>1 to 37</t>
        </is>
      </c>
      <c r="G52" s="11">
        <v>1.3</v>
      </c>
      <c r="H52" s="11">
        <v>1</v>
      </c>
      <c r="I52" s="27">
        <v>10256</v>
      </c>
      <c r="J52" s="28">
        <v>4461.3599999999997</v>
      </c>
      <c r="K52" s="29" t="s">
        <v>35</v>
      </c>
      <c r="L52" s="30" t="s">
        <v>41</v>
      </c>
      <c r="M52" s="16">
        <v>2020</v>
      </c>
    </row>
    <row r="53" spans="1:13">
      <c r="A53" s="8" t="s">
        <v>45</v>
      </c>
      <c r="B53" s="8"/>
      <c r="C53" s="8">
        <f>SUM(C54:C59)</f>
        <v>5.1336000000000004</v>
      </c>
      <c r="D53" s="8"/>
      <c r="E53" s="8"/>
      <c r="F53" s="8"/>
      <c r="G53" s="8"/>
      <c r="H53" s="8"/>
      <c r="I53" s="8"/>
      <c r="J53" s="8">
        <f>SUM(J54:J59)</f>
        <v>22899</v>
      </c>
      <c r="K53" s="9"/>
      <c r="L53" s="9"/>
      <c r="M53" s="10"/>
    </row>
    <row r="54" spans="1:13">
      <c r="A54" s="11" t="s">
        <v>45</v>
      </c>
      <c r="B54" s="12" t="s">
        <v>33</v>
      </c>
      <c r="C54" s="13">
        <f>J54/I54</f>
        <v>0.66300000000000003</v>
      </c>
      <c r="D54" s="31" t="inlineStr">
        <is>
          <t>B11-Chard</t>
        </is>
      </c>
      <c r="E54" s="14">
        <v>46</v>
      </c>
      <c r="F54" s="14" t="inlineStr">
        <is>
          <t>1 to 45</t>
        </is>
      </c>
      <c r="G54" s="14">
        <v>2</v>
      </c>
      <c r="H54" s="14">
        <v>1</v>
      </c>
      <c r="I54" s="32">
        <f>10000/G54/H54</f>
        <v>5000</v>
      </c>
      <c r="J54" s="20">
        <v>3315</v>
      </c>
      <c r="K54" s="21" t="s">
        <v>35</v>
      </c>
      <c r="L54" s="21" t="s">
        <v>21</v>
      </c>
      <c r="M54" s="33"/>
    </row>
    <row r="55" spans="1:13">
      <c r="A55" s="11" t="s">
        <v>45</v>
      </c>
      <c r="B55" s="12" t="s">
        <v>33</v>
      </c>
      <c r="C55" s="13">
        <f>J55/I55</f>
        <v>1.1477999999999999</v>
      </c>
      <c r="D55" s="31" t="inlineStr">
        <is>
          <t>B12-Chard</t>
        </is>
      </c>
      <c r="E55" s="14">
        <v>41</v>
      </c>
      <c r="F55" s="14" t="s">
        <v>38</v>
      </c>
      <c r="G55" s="14">
        <v>2</v>
      </c>
      <c r="H55" s="14">
        <v>1</v>
      </c>
      <c r="I55" s="32">
        <f>10000/G55/H55</f>
        <v>5000</v>
      </c>
      <c r="J55" s="20">
        <v>5739</v>
      </c>
      <c r="K55" s="21" t="s">
        <v>35</v>
      </c>
      <c r="L55" s="21" t="s">
        <v>21</v>
      </c>
      <c r="M55" s="33"/>
    </row>
    <row r="56" spans="1:13" ht="24.6">
      <c r="A56" s="11" t="s">
        <v>45</v>
      </c>
      <c r="B56" s="12" t="s">
        <v>14</v>
      </c>
      <c r="C56" s="13">
        <f>J56/I56</f>
        <v>1.30704</v>
      </c>
      <c r="D56" s="31" t="inlineStr">
        <is>
          <t>B17-Cab Sauv</t>
        </is>
      </c>
      <c r="E56" s="14">
        <v>58</v>
      </c>
      <c r="F56" s="14" t="inlineStr">
        <is>
          <t>1 to 58</t>
        </is>
      </c>
      <c r="G56" s="14">
        <v>2</v>
      </c>
      <c r="H56" s="14">
        <v>1.2</v>
      </c>
      <c r="I56" s="32">
        <f>10000/G56/H56</f>
        <v>4166.666666666667</v>
      </c>
      <c r="J56" s="20">
        <v>5446</v>
      </c>
      <c r="K56" s="21">
        <v>337</v>
      </c>
      <c r="L56" s="21" t="s">
        <v>21</v>
      </c>
      <c r="M56" s="33"/>
    </row>
    <row r="57" spans="1:13" ht="24.6">
      <c r="A57" s="11" t="s">
        <v>45</v>
      </c>
      <c r="B57" s="12" t="s">
        <v>29</v>
      </c>
      <c r="C57" s="13">
        <f>J57/I57</f>
        <v>0.51311999999999991</v>
      </c>
      <c r="D57" s="31" t="inlineStr">
        <is>
          <t>B17-Cab Franc</t>
        </is>
      </c>
      <c r="E57" s="14">
        <v>38</v>
      </c>
      <c r="F57" s="14" t="inlineStr">
        <is>
          <t>59 - 95</t>
        </is>
      </c>
      <c r="G57" s="14">
        <v>2</v>
      </c>
      <c r="H57" s="14">
        <v>1.2</v>
      </c>
      <c r="I57" s="32">
        <f>10000/G57/H57</f>
        <v>4166.666666666667</v>
      </c>
      <c r="J57" s="20">
        <v>2138</v>
      </c>
      <c r="K57" s="21">
        <v>214</v>
      </c>
      <c r="L57" s="21" t="s">
        <v>21</v>
      </c>
      <c r="M57" s="33"/>
    </row>
    <row r="58" spans="1:13">
      <c r="A58" s="11" t="s">
        <v>45</v>
      </c>
      <c r="B58" s="12" t="s">
        <v>4</v>
      </c>
      <c r="C58" s="13">
        <f>J58/I58</f>
        <v>0.88535999999999992</v>
      </c>
      <c r="D58" s="31" t="inlineStr">
        <is>
          <t>B18-Merlot</t>
        </is>
      </c>
      <c r="E58" s="14">
        <v>49</v>
      </c>
      <c r="F58" s="14" t="s">
        <v>46</v>
      </c>
      <c r="G58" s="14">
        <v>2</v>
      </c>
      <c r="H58" s="14">
        <v>1.2</v>
      </c>
      <c r="I58" s="32">
        <f>10000/G58/H58</f>
        <v>4166.666666666667</v>
      </c>
      <c r="J58" s="20">
        <v>3689</v>
      </c>
      <c r="K58" s="21">
        <v>181</v>
      </c>
      <c r="L58" s="21" t="s">
        <v>21</v>
      </c>
      <c r="M58" s="33"/>
    </row>
    <row r="59" spans="1:13" ht="24.6">
      <c r="A59" s="11" t="s">
        <v>45</v>
      </c>
      <c r="B59" s="12" t="s">
        <v>14</v>
      </c>
      <c r="C59" s="13">
        <f>J59/I59</f>
        <v>0.61727999999999994</v>
      </c>
      <c r="D59" s="31" t="inlineStr">
        <is>
          <t>B18-Cab Sauv</t>
        </is>
      </c>
      <c r="E59" s="14">
        <v>49</v>
      </c>
      <c r="F59" s="14" t="inlineStr">
        <is>
          <t>50 - 99</t>
        </is>
      </c>
      <c r="G59" s="14">
        <v>2</v>
      </c>
      <c r="H59" s="14">
        <v>1.2</v>
      </c>
      <c r="I59" s="32">
        <f>10000/G59/H59</f>
        <v>4166.666666666667</v>
      </c>
      <c r="J59" s="20">
        <v>2572</v>
      </c>
      <c r="K59" s="21">
        <v>337</v>
      </c>
      <c r="L59" s="21" t="s">
        <v>21</v>
      </c>
      <c r="M59" s="33"/>
    </row>
    <row r="60" spans="1:13">
      <c r="A60" s="8" t="s">
        <v>47</v>
      </c>
      <c r="B60" s="8"/>
      <c r="C60" s="8">
        <f>SUM(C61:C62)</f>
        <v>0.14397120575884825</v>
      </c>
      <c r="D60" s="8"/>
      <c r="E60" s="8"/>
      <c r="F60" s="8"/>
      <c r="G60" s="8"/>
      <c r="H60" s="8"/>
      <c r="I60" s="8"/>
      <c r="J60" s="8">
        <f>SUM(J61:J62)</f>
        <v>240</v>
      </c>
      <c r="K60" s="9"/>
      <c r="L60" s="9"/>
      <c r="M60" s="10"/>
    </row>
    <row r="61" spans="1:13">
      <c r="A61" s="11" t="s">
        <v>47</v>
      </c>
      <c r="B61" s="34" t="s">
        <v>4</v>
      </c>
      <c r="C61" s="13">
        <f>J61/I61</f>
        <v>0.04799040191961608</v>
      </c>
      <c r="D61" s="14">
        <v>2</v>
      </c>
      <c r="E61" s="14"/>
      <c r="F61" s="14"/>
      <c r="G61" s="14">
        <v>3</v>
      </c>
      <c r="H61" s="14">
        <v>2</v>
      </c>
      <c r="I61" s="14">
        <v>1667</v>
      </c>
      <c r="J61" s="28">
        <v>80</v>
      </c>
      <c r="K61" s="21"/>
      <c r="L61" s="21"/>
      <c r="M61" s="22"/>
    </row>
    <row r="62" spans="1:13">
      <c r="A62" s="35" t="s">
        <v>47</v>
      </c>
      <c r="B62" s="34" t="s">
        <v>14</v>
      </c>
      <c r="C62" s="13">
        <f>J62/I62</f>
        <v>0.095980803839232159</v>
      </c>
      <c r="D62" s="36">
        <v>1</v>
      </c>
      <c r="E62" s="36"/>
      <c r="F62" s="36"/>
      <c r="G62" s="36">
        <v>3</v>
      </c>
      <c r="H62" s="36">
        <v>2</v>
      </c>
      <c r="I62" s="36">
        <v>1667</v>
      </c>
      <c r="J62" s="37">
        <v>160</v>
      </c>
      <c r="K62" s="23"/>
      <c r="L62" s="23"/>
      <c r="M62" s="24"/>
    </row>
    <row r="63" spans="1:13" ht="27.6">
      <c r="A63" s="8" t="inlineStr">
        <is>
          <t>Chapman Creek/Yelverton</t>
        </is>
      </c>
      <c r="B63" s="8"/>
      <c r="C63" s="8">
        <f>SUM(C64:C78)</f>
        <v>20.148863023172737</v>
      </c>
      <c r="D63" s="8"/>
      <c r="E63" s="8"/>
      <c r="F63" s="17">
        <f>+C73+C74+C75+C78</f>
        <v>7.5569999999999986</v>
      </c>
      <c r="G63" s="8"/>
      <c r="H63" s="8"/>
      <c r="I63" s="8"/>
      <c r="J63" s="18">
        <f>SUM(J64:J78)</f>
        <v>44474</v>
      </c>
      <c r="K63" s="9"/>
      <c r="L63" s="9"/>
      <c r="M63" s="10"/>
    </row>
    <row r="64" spans="1:13">
      <c r="A64" s="11" t="s">
        <v>48</v>
      </c>
      <c r="B64" s="12" t="s">
        <v>29</v>
      </c>
      <c r="C64" s="13">
        <f>J64/I64</f>
        <v>0.34743474347434744</v>
      </c>
      <c r="D64" s="14">
        <v>1</v>
      </c>
      <c r="E64" s="14">
        <v>19</v>
      </c>
      <c r="F64" s="38" t="s">
        <v>7</v>
      </c>
      <c r="G64" s="14">
        <v>3</v>
      </c>
      <c r="H64" s="14">
        <v>1.5</v>
      </c>
      <c r="I64" s="14">
        <v>2222</v>
      </c>
      <c r="J64" s="20">
        <v>772</v>
      </c>
      <c r="K64" s="21"/>
      <c r="L64" s="21"/>
      <c r="M64" s="33"/>
    </row>
    <row r="65" spans="1:13">
      <c r="A65" s="11" t="s">
        <v>48</v>
      </c>
      <c r="B65" s="12" t="s">
        <v>6</v>
      </c>
      <c r="C65" s="13">
        <f>J65/I65</f>
        <v>0.9846269216347957</v>
      </c>
      <c r="D65" s="14" t="s">
        <v>49</v>
      </c>
      <c r="E65" s="14">
        <v>19</v>
      </c>
      <c r="F65" s="14" t="s">
        <v>7</v>
      </c>
      <c r="G65" s="14">
        <v>2.5</v>
      </c>
      <c r="H65" s="14">
        <v>1.5</v>
      </c>
      <c r="I65" s="14">
        <v>2667</v>
      </c>
      <c r="J65" s="20">
        <v>2626</v>
      </c>
      <c r="K65" s="21"/>
      <c r="L65" s="21"/>
      <c r="M65" s="33"/>
    </row>
    <row r="66" spans="1:13" ht="27.6">
      <c r="A66" s="11" t="s">
        <v>48</v>
      </c>
      <c r="B66" s="12" t="inlineStr">
        <is>
          <t>Chardonnay (New)</t>
        </is>
      </c>
      <c r="C66" s="13">
        <f>J66/I66</f>
        <v>1.0678665166854142</v>
      </c>
      <c r="D66" s="14" t="s">
        <v>50</v>
      </c>
      <c r="E66" s="14">
        <v>20</v>
      </c>
      <c r="F66" s="14" t="s">
        <v>51</v>
      </c>
      <c r="G66" s="14">
        <v>2.5</v>
      </c>
      <c r="H66" s="14">
        <v>1.5</v>
      </c>
      <c r="I66" s="14">
        <v>2667</v>
      </c>
      <c r="J66" s="20">
        <v>2848</v>
      </c>
      <c r="K66" s="21" t="s">
        <v>35</v>
      </c>
      <c r="L66" s="21" t="s">
        <v>41</v>
      </c>
      <c r="M66" s="33">
        <v>2020</v>
      </c>
    </row>
    <row r="67" spans="1:13">
      <c r="A67" s="11" t="s">
        <v>48</v>
      </c>
      <c r="B67" s="12" t="s">
        <v>33</v>
      </c>
      <c r="C67" s="13">
        <f>J67/I67</f>
        <v>1.5500562429696287</v>
      </c>
      <c r="D67" s="14">
        <v>3</v>
      </c>
      <c r="E67" s="14">
        <v>39</v>
      </c>
      <c r="F67" s="14" t="s">
        <v>52</v>
      </c>
      <c r="G67" s="14">
        <v>2.5</v>
      </c>
      <c r="H67" s="14">
        <v>1.5</v>
      </c>
      <c r="I67" s="14">
        <v>2667</v>
      </c>
      <c r="J67" s="20">
        <v>4134</v>
      </c>
      <c r="K67" s="21"/>
      <c r="L67" s="21"/>
      <c r="M67" s="33"/>
    </row>
    <row r="68" spans="1:13">
      <c r="A68" s="11" t="s">
        <v>48</v>
      </c>
      <c r="B68" s="12" t="s">
        <v>33</v>
      </c>
      <c r="C68" s="13">
        <f>J68/I68</f>
        <v>2.1184851893513312</v>
      </c>
      <c r="D68" s="14">
        <v>4</v>
      </c>
      <c r="E68" s="14">
        <v>50</v>
      </c>
      <c r="F68" s="14" t="inlineStr">
        <is>
          <t>40 to 89</t>
        </is>
      </c>
      <c r="G68" s="14">
        <v>2.5</v>
      </c>
      <c r="H68" s="14">
        <v>1.5</v>
      </c>
      <c r="I68" s="14">
        <v>2667</v>
      </c>
      <c r="J68" s="20">
        <v>5650</v>
      </c>
      <c r="K68" s="21"/>
      <c r="L68" s="21"/>
      <c r="M68" s="33"/>
    </row>
    <row r="69" spans="1:13">
      <c r="A69" s="11" t="s">
        <v>48</v>
      </c>
      <c r="B69" s="12" t="s">
        <v>4</v>
      </c>
      <c r="C69" s="13">
        <f>J69/I69</f>
        <v>0.95950506186726658</v>
      </c>
      <c r="D69" s="14">
        <v>5</v>
      </c>
      <c r="E69" s="14">
        <v>27</v>
      </c>
      <c r="F69" s="14" t="s">
        <v>53</v>
      </c>
      <c r="G69" s="14">
        <v>2.5</v>
      </c>
      <c r="H69" s="14">
        <v>1.5</v>
      </c>
      <c r="I69" s="14">
        <v>2667</v>
      </c>
      <c r="J69" s="20">
        <v>2559</v>
      </c>
      <c r="K69" s="21"/>
      <c r="L69" s="21"/>
      <c r="M69" s="33"/>
    </row>
    <row r="70" spans="1:13">
      <c r="A70" s="11" t="s">
        <v>48</v>
      </c>
      <c r="B70" s="12" t="s">
        <v>14</v>
      </c>
      <c r="C70" s="13">
        <f>J70/I70</f>
        <v>1.9392575928008999</v>
      </c>
      <c r="D70" s="14">
        <v>6</v>
      </c>
      <c r="E70" s="14">
        <v>63</v>
      </c>
      <c r="F70" s="14" t="inlineStr">
        <is>
          <t>1 to 63</t>
        </is>
      </c>
      <c r="G70" s="14">
        <v>2.5</v>
      </c>
      <c r="H70" s="14">
        <v>1.5</v>
      </c>
      <c r="I70" s="14">
        <v>2667</v>
      </c>
      <c r="J70" s="20">
        <v>5172</v>
      </c>
      <c r="K70" s="21"/>
      <c r="L70" s="21"/>
      <c r="M70" s="33"/>
    </row>
    <row r="71" spans="1:13">
      <c r="A71" s="11" t="s">
        <v>48</v>
      </c>
      <c r="B71" s="12" t="s">
        <v>54</v>
      </c>
      <c r="C71" s="13">
        <f>J71/I71</f>
        <v>0.58980127484064493</v>
      </c>
      <c r="D71" s="14">
        <v>7</v>
      </c>
      <c r="E71" s="14">
        <v>9</v>
      </c>
      <c r="F71" s="14" t="s">
        <v>44</v>
      </c>
      <c r="G71" s="14">
        <v>2.5</v>
      </c>
      <c r="H71" s="14">
        <v>1.5</v>
      </c>
      <c r="I71" s="14">
        <v>2667</v>
      </c>
      <c r="J71" s="20">
        <v>1573</v>
      </c>
      <c r="K71" s="21"/>
      <c r="L71" s="21"/>
      <c r="M71" s="33"/>
    </row>
    <row r="72" spans="1:13">
      <c r="A72" s="11" t="s">
        <v>48</v>
      </c>
      <c r="B72" s="12" t="s">
        <v>8</v>
      </c>
      <c r="C72" s="13">
        <f>J72/I72</f>
        <v>1.485939257592801</v>
      </c>
      <c r="D72" s="14">
        <v>8</v>
      </c>
      <c r="E72" s="14">
        <v>29</v>
      </c>
      <c r="F72" s="14" t="inlineStr">
        <is>
          <t>1 to 29</t>
        </is>
      </c>
      <c r="G72" s="14">
        <v>2.5</v>
      </c>
      <c r="H72" s="14">
        <v>1.5</v>
      </c>
      <c r="I72" s="14">
        <v>2667</v>
      </c>
      <c r="J72" s="20">
        <v>3963</v>
      </c>
      <c r="K72" s="21"/>
      <c r="L72" s="21"/>
      <c r="M72" s="33"/>
    </row>
    <row r="73" spans="1:13" ht="27.6">
      <c r="A73" s="11" t="s">
        <v>55</v>
      </c>
      <c r="B73" s="12" t="s">
        <v>33</v>
      </c>
      <c r="C73" s="13">
        <f>J73/I73</f>
        <v>2.5991999999999997</v>
      </c>
      <c r="D73" s="14">
        <v>9</v>
      </c>
      <c r="E73" s="14">
        <v>55</v>
      </c>
      <c r="F73" s="14" t="inlineStr">
        <is>
          <t>1-11,1-44</t>
        </is>
      </c>
      <c r="G73" s="14">
        <v>3</v>
      </c>
      <c r="H73" s="14">
        <v>2</v>
      </c>
      <c r="I73" s="20">
        <v>1666.6666666666667</v>
      </c>
      <c r="J73" s="20">
        <v>4332</v>
      </c>
      <c r="K73" s="39"/>
      <c r="L73" s="39"/>
      <c r="M73" s="40"/>
    </row>
    <row r="74" spans="1:13" ht="27.6">
      <c r="A74" s="11" t="s">
        <v>55</v>
      </c>
      <c r="B74" s="12" t="s">
        <v>14</v>
      </c>
      <c r="C74" s="13">
        <f>J74/I74</f>
        <v>2.0693999999999999</v>
      </c>
      <c r="D74" s="14">
        <v>10</v>
      </c>
      <c r="E74" s="14">
        <v>35</v>
      </c>
      <c r="F74" s="14" t="inlineStr">
        <is>
          <t>1 to 35</t>
        </is>
      </c>
      <c r="G74" s="14">
        <v>3</v>
      </c>
      <c r="H74" s="14">
        <v>2</v>
      </c>
      <c r="I74" s="20">
        <v>1666.6666666666667</v>
      </c>
      <c r="J74" s="20">
        <v>3449</v>
      </c>
      <c r="K74" s="39"/>
      <c r="L74" s="39"/>
      <c r="M74" s="40"/>
    </row>
    <row r="75" spans="1:13" ht="27.6">
      <c r="A75" s="11" t="s">
        <v>55</v>
      </c>
      <c r="B75" s="12" t="s">
        <v>8</v>
      </c>
      <c r="C75" s="13">
        <f>J75/I75</f>
        <v>1.6092</v>
      </c>
      <c r="D75" s="14">
        <v>11</v>
      </c>
      <c r="E75" s="14">
        <v>24</v>
      </c>
      <c r="F75" s="14" t="s">
        <v>5</v>
      </c>
      <c r="G75" s="14">
        <v>3</v>
      </c>
      <c r="H75" s="14">
        <v>2</v>
      </c>
      <c r="I75" s="20">
        <v>1666.6666666666667</v>
      </c>
      <c r="J75" s="20">
        <v>2682</v>
      </c>
      <c r="K75" s="39"/>
      <c r="L75" s="39"/>
      <c r="M75" s="40"/>
    </row>
    <row r="76" spans="1:13" ht="28.8">
      <c r="A76" s="11" t="s">
        <v>55</v>
      </c>
      <c r="B76" s="12" t="s">
        <v>32</v>
      </c>
      <c r="C76" s="13">
        <f>J76/I76</f>
        <v>1.5488902219556089</v>
      </c>
      <c r="D76" s="14">
        <v>12</v>
      </c>
      <c r="E76" s="14">
        <v>20</v>
      </c>
      <c r="F76" s="14" t="s">
        <v>51</v>
      </c>
      <c r="G76" s="14">
        <v>3</v>
      </c>
      <c r="H76" s="14">
        <v>2</v>
      </c>
      <c r="I76" s="20">
        <v>1667</v>
      </c>
      <c r="J76" s="20">
        <v>2582</v>
      </c>
      <c r="K76" s="39"/>
      <c r="L76" s="39" t="s">
        <v>39</v>
      </c>
      <c r="M76" s="40">
        <v>2018</v>
      </c>
    </row>
    <row r="77" spans="1:13" ht="27.6">
      <c r="A77" s="11" t="s">
        <v>55</v>
      </c>
      <c r="B77" s="12" t="s">
        <v>56</v>
      </c>
      <c r="C77" s="13">
        <f>J77/I77</f>
        <v>0</v>
      </c>
      <c r="D77" s="14">
        <v>13</v>
      </c>
      <c r="E77" s="14">
        <v>20</v>
      </c>
      <c r="F77" s="14" t="s">
        <v>51</v>
      </c>
      <c r="G77" s="14">
        <v>3</v>
      </c>
      <c r="H77" s="14">
        <v>2</v>
      </c>
      <c r="I77" s="20">
        <v>1666.6666666666667</v>
      </c>
      <c r="J77" s="20"/>
      <c r="K77" s="39"/>
      <c r="L77" s="39"/>
      <c r="M77" s="40"/>
    </row>
    <row r="78" spans="1:13" ht="27.6">
      <c r="A78" s="11" t="s">
        <v>55</v>
      </c>
      <c r="B78" s="12" t="s">
        <v>10</v>
      </c>
      <c r="C78" s="13">
        <f>J78/I78</f>
        <v>1.2791999999999999</v>
      </c>
      <c r="D78" s="14">
        <v>14</v>
      </c>
      <c r="E78" s="14">
        <v>24</v>
      </c>
      <c r="F78" s="14" t="s">
        <v>5</v>
      </c>
      <c r="G78" s="14">
        <v>3</v>
      </c>
      <c r="H78" s="14">
        <v>2</v>
      </c>
      <c r="I78" s="20">
        <v>1666.6666666666667</v>
      </c>
      <c r="J78" s="20">
        <v>2132</v>
      </c>
      <c r="K78" s="39"/>
      <c r="L78" s="39"/>
      <c r="M78" s="40"/>
    </row>
    <row r="79" spans="1:13">
      <c r="A79" s="8" t="s">
        <v>57</v>
      </c>
      <c r="B79" s="8"/>
      <c r="C79" s="17">
        <f>SUM(C80)</f>
        <v>10.209958008398321</v>
      </c>
      <c r="D79" s="8"/>
      <c r="E79" s="8"/>
      <c r="F79" s="8"/>
      <c r="G79" s="8"/>
      <c r="H79" s="8"/>
      <c r="I79" s="8"/>
      <c r="J79" s="18">
        <f>SUM(J80)</f>
        <v>17020</v>
      </c>
      <c r="K79" s="9"/>
      <c r="L79" s="9"/>
      <c r="M79" s="10"/>
    </row>
    <row r="80" spans="1:13">
      <c r="A80" s="11" t="s">
        <v>57</v>
      </c>
      <c r="B80" s="12" t="s">
        <v>8</v>
      </c>
      <c r="C80" s="13">
        <f>J80/I80</f>
        <v>10.209958008398321</v>
      </c>
      <c r="D80" s="14">
        <v>1</v>
      </c>
      <c r="E80" s="14">
        <v>85</v>
      </c>
      <c r="F80" s="14" t="inlineStr">
        <is>
          <t>1 to 85</t>
        </is>
      </c>
      <c r="G80" s="14">
        <v>3</v>
      </c>
      <c r="H80" s="14">
        <v>2</v>
      </c>
      <c r="I80" s="14">
        <v>1667</v>
      </c>
      <c r="J80" s="20">
        <v>17020</v>
      </c>
      <c r="K80" s="21"/>
      <c r="L80" s="21"/>
      <c r="M80" s="22"/>
    </row>
    <row r="81" spans="1:13">
      <c r="A81" s="8" t="s">
        <v>58</v>
      </c>
      <c r="B81" s="8"/>
      <c r="C81" s="17">
        <f>SUM(C82:C83)</f>
        <v>1.5900000000000001</v>
      </c>
      <c r="D81" s="8"/>
      <c r="E81" s="8"/>
      <c r="F81" s="8"/>
      <c r="G81" s="8"/>
      <c r="H81" s="8"/>
      <c r="I81" s="8"/>
      <c r="J81" s="18">
        <f>SUM(J82:J83)</f>
        <v>2541</v>
      </c>
      <c r="K81" s="9"/>
      <c r="L81" s="9"/>
      <c r="M81" s="10"/>
    </row>
    <row r="82" spans="1:13" ht="15.6">
      <c r="A82" s="16" t="s">
        <v>58</v>
      </c>
      <c r="B82" s="41" t="inlineStr">
        <is>
          <t>Chardonnay (grafts)</t>
        </is>
      </c>
      <c r="C82" s="16">
        <v>0.79000000000000004</v>
      </c>
      <c r="D82" s="42" t="s">
        <v>59</v>
      </c>
      <c r="E82" s="42">
        <v>12</v>
      </c>
      <c r="F82" s="42" t="s">
        <v>60</v>
      </c>
      <c r="G82" s="16">
        <v>3.2999999999999998</v>
      </c>
      <c r="H82" s="16">
        <v>1.8</v>
      </c>
      <c r="I82" s="22">
        <v>1684</v>
      </c>
      <c r="J82" s="43">
        <v>1200</v>
      </c>
      <c r="K82" s="44" t="s">
        <v>35</v>
      </c>
      <c r="L82" s="30" t="s">
        <v>41</v>
      </c>
      <c r="M82" s="43"/>
    </row>
    <row r="83" spans="1:13" ht="27.6">
      <c r="A83" s="16" t="s">
        <v>58</v>
      </c>
      <c r="B83" s="45" t="s">
        <v>33</v>
      </c>
      <c r="C83" s="16">
        <v>0.80000000000000004</v>
      </c>
      <c r="D83" s="42" t="s">
        <v>61</v>
      </c>
      <c r="E83" s="42">
        <v>24</v>
      </c>
      <c r="F83" s="42" t="inlineStr">
        <is>
          <t>13 to 36</t>
        </is>
      </c>
      <c r="G83" s="16">
        <v>3.2999999999999998</v>
      </c>
      <c r="H83" s="16">
        <v>1.8</v>
      </c>
      <c r="I83" s="16">
        <v>1684</v>
      </c>
      <c r="J83" s="43">
        <v>1341</v>
      </c>
      <c r="K83" s="44" t="s">
        <v>35</v>
      </c>
      <c r="L83" s="30" t="inlineStr">
        <is>
          <t>Cullens- Treeton</t>
        </is>
      </c>
      <c r="M83" s="43">
        <v>2019</v>
      </c>
    </row>
    <row r="84" spans="1:13">
      <c r="A84" s="8" t="inlineStr">
        <is>
          <t>Hannaford</t>
        </is>
      </c>
      <c r="B84" s="8"/>
      <c r="C84" s="17">
        <f>SUM(C85:C86)</f>
        <v>1.8699369936993699</v>
      </c>
      <c r="D84" s="8"/>
      <c r="E84" s="8"/>
      <c r="F84" s="8"/>
      <c r="G84" s="8"/>
      <c r="H84" s="8"/>
      <c r="I84" s="8"/>
      <c r="J84" s="18">
        <f>SUM(J85:J86)</f>
        <v>4155</v>
      </c>
      <c r="K84" s="9"/>
      <c r="L84" s="9"/>
      <c r="M84" s="10"/>
    </row>
    <row r="85" spans="1:13">
      <c r="A85" s="11" t="s">
        <v>62</v>
      </c>
      <c r="B85" s="34" t="s">
        <v>14</v>
      </c>
      <c r="C85" s="13">
        <f>J85/I85</f>
        <v>0.94014401440144013</v>
      </c>
      <c r="D85" s="14" t="inlineStr">
        <is>
          <t>1 east</t>
        </is>
      </c>
      <c r="E85" s="14">
        <v>21</v>
      </c>
      <c r="F85" s="14" t="s">
        <v>63</v>
      </c>
      <c r="G85" s="14">
        <v>2.7999999999999998</v>
      </c>
      <c r="H85" s="14">
        <v>1.6000000000000001</v>
      </c>
      <c r="I85" s="14">
        <v>2222</v>
      </c>
      <c r="J85" s="28">
        <v>2089</v>
      </c>
      <c r="K85" s="21"/>
      <c r="L85" s="21"/>
      <c r="M85" s="33">
        <v>1996</v>
      </c>
    </row>
    <row r="86" spans="1:13">
      <c r="A86" s="11" t="s">
        <v>62</v>
      </c>
      <c r="B86" s="34" t="s">
        <v>14</v>
      </c>
      <c r="C86" s="13">
        <f>J86/I86</f>
        <v>0.92979297929792981</v>
      </c>
      <c r="D86" s="14" t="inlineStr">
        <is>
          <t>2 west</t>
        </is>
      </c>
      <c r="E86" s="14">
        <v>23</v>
      </c>
      <c r="F86" s="14" t="s">
        <v>64</v>
      </c>
      <c r="G86" s="14">
        <v>2.7999999999999998</v>
      </c>
      <c r="H86" s="14">
        <v>1.6000000000000001</v>
      </c>
      <c r="I86" s="14">
        <v>2222</v>
      </c>
      <c r="J86" s="28">
        <v>2066</v>
      </c>
      <c r="K86" s="21"/>
      <c r="L86" s="21"/>
      <c r="M86" s="33">
        <v>2012</v>
      </c>
    </row>
    <row r="87" spans="1:13">
      <c r="A87" s="8" t="s">
        <v>65</v>
      </c>
      <c r="B87" s="8"/>
      <c r="C87" s="17">
        <f>SUM(C88:C91)</f>
        <v>6.2012625485961124</v>
      </c>
      <c r="D87" s="8"/>
      <c r="E87" s="8"/>
      <c r="F87" s="8"/>
      <c r="G87" s="8"/>
      <c r="H87" s="8"/>
      <c r="I87" s="8"/>
      <c r="J87" s="18">
        <f>SUM(J88:J91)</f>
        <v>11916.6</v>
      </c>
      <c r="K87" s="9"/>
      <c r="L87" s="9"/>
      <c r="M87" s="10"/>
    </row>
    <row r="88" spans="1:13">
      <c r="A88" s="11" t="s">
        <v>65</v>
      </c>
      <c r="B88" s="12" t="s">
        <v>14</v>
      </c>
      <c r="C88" s="13">
        <f>J88/I88</f>
        <v>4.5499999999999998</v>
      </c>
      <c r="D88" s="14">
        <v>1</v>
      </c>
      <c r="E88" s="14">
        <v>67</v>
      </c>
      <c r="F88" s="14" t="inlineStr">
        <is>
          <t>1 to 67</t>
        </is>
      </c>
      <c r="G88" s="14">
        <v>3</v>
      </c>
      <c r="H88" s="14">
        <v>1.8</v>
      </c>
      <c r="I88" s="14">
        <v>1852</v>
      </c>
      <c r="J88" s="27">
        <v>8426.6000000000004</v>
      </c>
      <c r="K88" s="21"/>
      <c r="L88" s="21"/>
      <c r="M88" s="33">
        <v>2002</v>
      </c>
    </row>
    <row r="89" spans="1:13">
      <c r="A89" s="11" t="s">
        <v>65</v>
      </c>
      <c r="B89" s="12" t="s">
        <v>33</v>
      </c>
      <c r="C89" s="13">
        <f>J89/I89</f>
        <v>0.93312000000000006</v>
      </c>
      <c r="D89" s="14">
        <v>2</v>
      </c>
      <c r="E89" s="14">
        <v>15</v>
      </c>
      <c r="F89" s="14" t="inlineStr">
        <is>
          <t>68 to 82</t>
        </is>
      </c>
      <c r="G89" s="14">
        <v>3</v>
      </c>
      <c r="H89" s="14">
        <v>1.4399999999999999</v>
      </c>
      <c r="I89" s="20">
        <f>10000/1.4399999999999999/3</f>
        <v>2314.8148148148148</v>
      </c>
      <c r="J89" s="20">
        <v>2160</v>
      </c>
      <c r="K89" s="21" t="s">
        <v>35</v>
      </c>
      <c r="L89" s="21" t="s">
        <v>41</v>
      </c>
      <c r="M89" s="33">
        <v>2022</v>
      </c>
    </row>
    <row r="90" spans="1:13" ht="27.6">
      <c r="A90" s="11" t="s">
        <v>65</v>
      </c>
      <c r="B90" s="12" t="s">
        <v>14</v>
      </c>
      <c r="C90" s="13">
        <f>J90/I90</f>
        <v>0.38930885529157666</v>
      </c>
      <c r="D90" s="14" t="inlineStr">
        <is>
          <t>3a</t>
        </is>
      </c>
      <c r="E90" s="14">
        <v>7</v>
      </c>
      <c r="F90" s="14" t="inlineStr">
        <is>
          <t>83 to 90</t>
        </is>
      </c>
      <c r="G90" s="14">
        <v>3</v>
      </c>
      <c r="H90" s="14">
        <v>1.8</v>
      </c>
      <c r="I90" s="14">
        <v>1852</v>
      </c>
      <c r="J90" s="20">
        <v>721</v>
      </c>
      <c r="K90" s="21" t="s">
        <v>66</v>
      </c>
      <c r="L90" s="21" t="s">
        <v>67</v>
      </c>
      <c r="M90" s="33">
        <v>2019</v>
      </c>
    </row>
    <row r="91" spans="1:13" ht="27.6">
      <c r="A91" s="11" t="s">
        <v>65</v>
      </c>
      <c r="B91" s="12" t="s">
        <v>56</v>
      </c>
      <c r="C91" s="13">
        <f>J91/I91</f>
        <v>0.32883369330453566</v>
      </c>
      <c r="D91" s="14" t="inlineStr">
        <is>
          <t>3b</t>
        </is>
      </c>
      <c r="E91" s="14">
        <v>9</v>
      </c>
      <c r="F91" s="14" t="inlineStr">
        <is>
          <t>91 to 99</t>
        </is>
      </c>
      <c r="G91" s="14">
        <v>3</v>
      </c>
      <c r="H91" s="14">
        <v>1.8</v>
      </c>
      <c r="I91" s="14">
        <v>1852</v>
      </c>
      <c r="J91" s="20">
        <v>609</v>
      </c>
      <c r="K91" s="21" t="s">
        <v>66</v>
      </c>
      <c r="L91" s="21" t="s">
        <v>67</v>
      </c>
      <c r="M91" s="33">
        <v>2020</v>
      </c>
    </row>
    <row r="92" spans="1:13">
      <c r="A92" s="8" t="inlineStr">
        <is>
          <t>Krek Mueller (Peccavi)</t>
        </is>
      </c>
      <c r="B92" s="8"/>
      <c r="C92" s="17">
        <f>SUM(C93:C106)</f>
        <v>16.532741391827141</v>
      </c>
      <c r="D92" s="8"/>
      <c r="E92" s="8"/>
      <c r="F92" s="8"/>
      <c r="G92" s="8"/>
      <c r="H92" s="8"/>
      <c r="I92" s="8"/>
      <c r="J92" s="18">
        <f>SUM(J93:J106)</f>
        <v>26400</v>
      </c>
      <c r="K92" s="9"/>
      <c r="L92" s="9"/>
      <c r="M92" s="10"/>
    </row>
    <row r="93" spans="1:13">
      <c r="A93" s="11" t="s">
        <v>68</v>
      </c>
      <c r="B93" s="12" t="s">
        <v>33</v>
      </c>
      <c r="C93" s="13">
        <f>J93/I93</f>
        <v>1.5402379286214136</v>
      </c>
      <c r="D93" s="14" t="s">
        <v>69</v>
      </c>
      <c r="E93" s="14">
        <v>16</v>
      </c>
      <c r="F93" s="14" t="s">
        <v>11</v>
      </c>
      <c r="G93" s="14">
        <v>3.5</v>
      </c>
      <c r="H93" s="14">
        <v>2</v>
      </c>
      <c r="I93" s="14">
        <v>1429</v>
      </c>
      <c r="J93" s="20">
        <v>2201</v>
      </c>
      <c r="K93" s="21" t="s">
        <v>35</v>
      </c>
      <c r="L93" s="21" t="s">
        <v>35</v>
      </c>
      <c r="M93" s="33">
        <v>1998</v>
      </c>
    </row>
    <row r="94" spans="1:13">
      <c r="A94" s="11" t="s">
        <v>68</v>
      </c>
      <c r="B94" s="12" t="s">
        <v>33</v>
      </c>
      <c r="C94" s="13">
        <f>J94/I94</f>
        <v>0.61590145576707722</v>
      </c>
      <c r="D94" s="14" t="s">
        <v>70</v>
      </c>
      <c r="E94" s="14">
        <v>5</v>
      </c>
      <c r="F94" s="14" t="s">
        <v>71</v>
      </c>
      <c r="G94" s="14">
        <v>3.5</v>
      </c>
      <c r="H94" s="14">
        <v>1.6000000000000001</v>
      </c>
      <c r="I94" s="14">
        <v>1786</v>
      </c>
      <c r="J94" s="20">
        <v>1100</v>
      </c>
      <c r="K94" s="21" t="s">
        <v>35</v>
      </c>
      <c r="L94" s="21" t="s">
        <v>35</v>
      </c>
      <c r="M94" s="33">
        <v>2018</v>
      </c>
    </row>
    <row r="95" spans="1:13">
      <c r="A95" s="11" t="s">
        <v>68</v>
      </c>
      <c r="B95" s="12" t="s">
        <v>33</v>
      </c>
      <c r="C95" s="13">
        <f>J95/I95</f>
        <v>1.6798655211057154</v>
      </c>
      <c r="D95" s="14" t="s">
        <v>70</v>
      </c>
      <c r="E95" s="14">
        <v>8</v>
      </c>
      <c r="F95" s="14" t="inlineStr">
        <is>
          <t>6 to 21</t>
        </is>
      </c>
      <c r="G95" s="14">
        <v>2.7999999999999998</v>
      </c>
      <c r="H95" s="14">
        <v>1.3300000000000001</v>
      </c>
      <c r="I95" s="14">
        <v>2677</v>
      </c>
      <c r="J95" s="20">
        <v>4497</v>
      </c>
      <c r="K95" s="21"/>
      <c r="L95" s="21"/>
      <c r="M95" s="33"/>
    </row>
    <row r="96" spans="1:13">
      <c r="A96" s="11" t="s">
        <v>68</v>
      </c>
      <c r="B96" s="12" t="inlineStr">
        <is>
          <t>Cab Sauv - west</t>
        </is>
      </c>
      <c r="C96" s="13">
        <f>J96/I96</f>
        <v>1.6473058082575227</v>
      </c>
      <c r="D96" s="14">
        <v>3</v>
      </c>
      <c r="E96" s="14">
        <v>25</v>
      </c>
      <c r="F96" s="14" t="s">
        <v>72</v>
      </c>
      <c r="G96" s="14">
        <v>3.5</v>
      </c>
      <c r="H96" s="14">
        <v>2</v>
      </c>
      <c r="I96" s="14">
        <v>1429</v>
      </c>
      <c r="J96" s="20">
        <v>2354</v>
      </c>
      <c r="K96" s="21">
        <v>126</v>
      </c>
      <c r="L96" s="21">
        <v>126</v>
      </c>
      <c r="M96" s="33">
        <v>1998</v>
      </c>
    </row>
    <row r="97" spans="1:13">
      <c r="A97" s="11" t="s">
        <v>68</v>
      </c>
      <c r="B97" s="46" t="inlineStr">
        <is>
          <t>Cab Sauv - east</t>
        </is>
      </c>
      <c r="C97" s="13">
        <f>J97/I97</f>
        <v>1.7851644506648006</v>
      </c>
      <c r="D97" s="14">
        <v>4</v>
      </c>
      <c r="E97" s="14">
        <v>49</v>
      </c>
      <c r="F97" s="14" t="s">
        <v>46</v>
      </c>
      <c r="G97" s="14">
        <v>3.5</v>
      </c>
      <c r="H97" s="14">
        <v>2</v>
      </c>
      <c r="I97" s="14">
        <v>1429</v>
      </c>
      <c r="J97" s="20">
        <v>2551</v>
      </c>
      <c r="K97" s="21">
        <v>126</v>
      </c>
      <c r="L97" s="21">
        <v>126</v>
      </c>
      <c r="M97" s="33">
        <v>1998</v>
      </c>
    </row>
    <row r="98" spans="1:13">
      <c r="A98" s="11" t="s">
        <v>68</v>
      </c>
      <c r="B98" s="12" t="s">
        <v>8</v>
      </c>
      <c r="C98" s="13">
        <f>J98/I98</f>
        <v>2.5997200839748076</v>
      </c>
      <c r="D98" s="14">
        <v>5</v>
      </c>
      <c r="E98" s="14">
        <v>22</v>
      </c>
      <c r="F98" s="14" t="inlineStr">
        <is>
          <t>15 to 36</t>
        </is>
      </c>
      <c r="G98" s="14">
        <v>3.5</v>
      </c>
      <c r="H98" s="14">
        <v>2</v>
      </c>
      <c r="I98" s="14">
        <v>1429</v>
      </c>
      <c r="J98" s="20">
        <v>3715</v>
      </c>
      <c r="K98" s="21"/>
      <c r="L98" s="21"/>
      <c r="M98" s="33">
        <v>1998</v>
      </c>
    </row>
    <row r="99" spans="1:13" ht="27.6">
      <c r="A99" s="11" t="s">
        <v>68</v>
      </c>
      <c r="B99" s="46" t="s">
        <v>14</v>
      </c>
      <c r="C99" s="13">
        <f>J99/I99</f>
        <v>1.079776067179846</v>
      </c>
      <c r="D99" s="14">
        <v>6</v>
      </c>
      <c r="E99" s="14">
        <v>14</v>
      </c>
      <c r="F99" s="14" t="s">
        <v>73</v>
      </c>
      <c r="G99" s="14">
        <v>3.5</v>
      </c>
      <c r="H99" s="14">
        <v>2</v>
      </c>
      <c r="I99" s="14">
        <v>1429</v>
      </c>
      <c r="J99" s="20">
        <v>1543</v>
      </c>
      <c r="K99" s="21" t="s">
        <v>74</v>
      </c>
      <c r="L99" s="21" t="s">
        <v>74</v>
      </c>
      <c r="M99" s="33">
        <v>1998</v>
      </c>
    </row>
    <row r="100" spans="1:13" ht="27.6">
      <c r="A100" s="11" t="s">
        <v>68</v>
      </c>
      <c r="B100" s="46" t="inlineStr">
        <is>
          <t>Merlot Bottom and Top</t>
        </is>
      </c>
      <c r="C100" s="13">
        <f>J100/I100</f>
        <v>0.7914625612316305</v>
      </c>
      <c r="D100" s="14">
        <v>7</v>
      </c>
      <c r="E100" s="14">
        <v>20</v>
      </c>
      <c r="F100" s="14" t="s">
        <v>51</v>
      </c>
      <c r="G100" s="14">
        <v>3.5</v>
      </c>
      <c r="H100" s="14">
        <v>2</v>
      </c>
      <c r="I100" s="14">
        <v>1429</v>
      </c>
      <c r="J100" s="20">
        <v>1131</v>
      </c>
      <c r="K100" s="21">
        <v>181</v>
      </c>
      <c r="L100" s="21">
        <v>181</v>
      </c>
      <c r="M100" s="33">
        <v>1998</v>
      </c>
    </row>
    <row r="101" spans="1:13">
      <c r="A101" s="11" t="s">
        <v>68</v>
      </c>
      <c r="B101" s="46" t="inlineStr">
        <is>
          <t>Merlot (Grafts)</t>
        </is>
      </c>
      <c r="C101" s="13">
        <f>J101/I101</f>
        <v>0.67179846046186142</v>
      </c>
      <c r="D101" s="14">
        <v>8</v>
      </c>
      <c r="E101" s="14">
        <v>12</v>
      </c>
      <c r="F101" s="14" t="inlineStr">
        <is>
          <t>21 to 32 </t>
        </is>
      </c>
      <c r="G101" s="14">
        <v>3.5</v>
      </c>
      <c r="H101" s="14">
        <v>2</v>
      </c>
      <c r="I101" s="14">
        <v>1429</v>
      </c>
      <c r="J101" s="20">
        <v>960</v>
      </c>
      <c r="K101" s="21" t="s">
        <v>75</v>
      </c>
      <c r="L101" s="21" t="s">
        <v>75</v>
      </c>
      <c r="M101" s="33">
        <v>2016</v>
      </c>
    </row>
    <row r="102" spans="1:13">
      <c r="A102" s="11" t="s">
        <v>68</v>
      </c>
      <c r="B102" s="12" t="s">
        <v>2</v>
      </c>
      <c r="C102" s="13">
        <f>J102/I102</f>
        <v>2.1189643107067879</v>
      </c>
      <c r="D102" s="14">
        <v>9</v>
      </c>
      <c r="E102" s="14">
        <v>42</v>
      </c>
      <c r="F102" s="14" t="inlineStr">
        <is>
          <t>1 to 42</t>
        </is>
      </c>
      <c r="G102" s="14">
        <v>3.5</v>
      </c>
      <c r="H102" s="14">
        <v>2</v>
      </c>
      <c r="I102" s="14">
        <v>1429</v>
      </c>
      <c r="J102" s="20">
        <v>3028</v>
      </c>
      <c r="K102" s="21"/>
      <c r="L102" s="21"/>
      <c r="M102" s="33">
        <v>2020</v>
      </c>
    </row>
    <row r="103" spans="1:13">
      <c r="A103" s="11" t="s">
        <v>68</v>
      </c>
      <c r="B103" s="12" t="inlineStr">
        <is>
          <t>Cab Sauv (New)</t>
        </is>
      </c>
      <c r="C103" s="13">
        <f>J103/I103</f>
        <v>0.51063829787234039</v>
      </c>
      <c r="D103" s="14">
        <v>10</v>
      </c>
      <c r="E103" s="14">
        <v>7</v>
      </c>
      <c r="F103" s="14" t="inlineStr">
        <is>
          <t>43 to 49</t>
        </is>
      </c>
      <c r="G103" s="14">
        <v>3.5</v>
      </c>
      <c r="H103" s="14">
        <v>1.6000000000000001</v>
      </c>
      <c r="I103" s="20">
        <v>1786</v>
      </c>
      <c r="J103" s="20">
        <v>912</v>
      </c>
      <c r="K103" s="21" t="s">
        <v>76</v>
      </c>
      <c r="L103" s="21" t="s">
        <v>76</v>
      </c>
      <c r="M103" s="33">
        <v>2016</v>
      </c>
    </row>
    <row r="104" spans="1:13">
      <c r="A104" s="11" t="s">
        <v>68</v>
      </c>
      <c r="B104" s="12" t="inlineStr">
        <is>
          <t>Malbec (New)</t>
        </is>
      </c>
      <c r="C104" s="13">
        <f>J104/I104</f>
        <v>0.50034989503149052</v>
      </c>
      <c r="D104" s="14">
        <v>11</v>
      </c>
      <c r="E104" s="14">
        <v>7</v>
      </c>
      <c r="F104" s="14" t="inlineStr">
        <is>
          <t>50 to 57</t>
        </is>
      </c>
      <c r="G104" s="14">
        <v>3.5</v>
      </c>
      <c r="H104" s="14">
        <v>2</v>
      </c>
      <c r="I104" s="14">
        <v>1429</v>
      </c>
      <c r="J104" s="20">
        <v>715</v>
      </c>
      <c r="K104" s="21" t="s">
        <v>76</v>
      </c>
      <c r="L104" s="21" t="s">
        <v>76</v>
      </c>
      <c r="M104" s="33">
        <v>2016</v>
      </c>
    </row>
    <row r="105" spans="1:13">
      <c r="A105" s="11" t="s">
        <v>68</v>
      </c>
      <c r="B105" s="12" t="s">
        <v>54</v>
      </c>
      <c r="C105" s="13">
        <f>J105/I105</f>
        <v>0.77155655095184772</v>
      </c>
      <c r="D105" s="14">
        <v>12</v>
      </c>
      <c r="E105" s="14">
        <v>16</v>
      </c>
      <c r="F105" s="14" t="inlineStr">
        <is>
          <t>58 to 73 </t>
        </is>
      </c>
      <c r="G105" s="14">
        <v>3.5</v>
      </c>
      <c r="H105" s="14">
        <v>1.6000000000000001</v>
      </c>
      <c r="I105" s="20">
        <v>1786</v>
      </c>
      <c r="J105" s="20">
        <v>1378</v>
      </c>
      <c r="K105" s="21">
        <v>233</v>
      </c>
      <c r="L105" s="21">
        <v>233</v>
      </c>
      <c r="M105" s="33">
        <v>2012</v>
      </c>
    </row>
    <row r="106" spans="1:13">
      <c r="A106" s="11" t="s">
        <v>68</v>
      </c>
      <c r="B106" s="12" t="s">
        <v>27</v>
      </c>
      <c r="C106" s="14">
        <v>0.22</v>
      </c>
      <c r="D106" s="14">
        <v>13</v>
      </c>
      <c r="E106" s="14">
        <v>10</v>
      </c>
      <c r="F106" s="14" t="inlineStr">
        <is>
          <t>74 to 83</t>
        </is>
      </c>
      <c r="G106" s="14">
        <v>3.5</v>
      </c>
      <c r="H106" s="14">
        <v>2</v>
      </c>
      <c r="I106" s="20">
        <v>1428.5714285714287</v>
      </c>
      <c r="J106" s="20">
        <v>315</v>
      </c>
      <c r="K106" s="21">
        <v>233</v>
      </c>
      <c r="L106" s="21">
        <v>233</v>
      </c>
      <c r="M106" s="33">
        <v>2012</v>
      </c>
    </row>
    <row r="107" spans="1:13">
      <c r="A107" s="8" t="s">
        <v>77</v>
      </c>
      <c r="B107" s="8"/>
      <c r="C107" s="17">
        <f>SUM(C108)</f>
        <v>0.29983792544570503</v>
      </c>
      <c r="D107" s="8"/>
      <c r="E107" s="8"/>
      <c r="F107" s="8"/>
      <c r="G107" s="8"/>
      <c r="H107" s="8"/>
      <c r="I107" s="8"/>
      <c r="J107" s="18">
        <f>SUM(J108)</f>
        <v>555</v>
      </c>
      <c r="K107" s="9"/>
      <c r="L107" s="9"/>
      <c r="M107" s="10"/>
    </row>
    <row r="108" spans="1:13">
      <c r="A108" s="11" t="s">
        <v>77</v>
      </c>
      <c r="B108" s="26" t="s">
        <v>14</v>
      </c>
      <c r="C108" s="47">
        <f>J108/I108</f>
        <v>0.29983792544570503</v>
      </c>
      <c r="D108" s="11"/>
      <c r="E108" s="11">
        <v>17</v>
      </c>
      <c r="F108" s="11" t="s">
        <v>3</v>
      </c>
      <c r="G108" s="11">
        <v>3</v>
      </c>
      <c r="H108" s="11">
        <v>1.8</v>
      </c>
      <c r="I108" s="11">
        <v>1851</v>
      </c>
      <c r="J108" s="48">
        <v>555</v>
      </c>
      <c r="K108" s="30"/>
      <c r="L108" s="30"/>
      <c r="M108" s="16"/>
    </row>
    <row r="109" spans="1:13">
      <c r="A109" s="8" t="s">
        <v>78</v>
      </c>
      <c r="B109" s="8"/>
      <c r="C109" s="17">
        <f>SUM(C110:C113)</f>
        <v>5.3104948767222249</v>
      </c>
      <c r="D109" s="8"/>
      <c r="E109" s="8"/>
      <c r="F109" s="8"/>
      <c r="G109" s="8"/>
      <c r="H109" s="8"/>
      <c r="I109" s="8"/>
      <c r="J109" s="18">
        <f>SUM(J110)</f>
        <v>2515</v>
      </c>
      <c r="K109" s="9"/>
      <c r="L109" s="9"/>
      <c r="M109" s="10"/>
    </row>
    <row r="110" spans="1:13">
      <c r="A110" s="11" t="s">
        <v>78</v>
      </c>
      <c r="B110" s="34" t="s">
        <v>2</v>
      </c>
      <c r="C110" s="13">
        <f>J110/I110</f>
        <v>1.1318631863186319</v>
      </c>
      <c r="D110" s="14" t="s">
        <v>59</v>
      </c>
      <c r="E110" s="14">
        <v>31</v>
      </c>
      <c r="F110" s="14" t="inlineStr">
        <is>
          <t>1 to 31</t>
        </is>
      </c>
      <c r="G110" s="14">
        <v>3</v>
      </c>
      <c r="H110" s="14">
        <v>1.5</v>
      </c>
      <c r="I110" s="14">
        <v>2222</v>
      </c>
      <c r="J110" s="28">
        <v>2515</v>
      </c>
      <c r="K110" s="21"/>
      <c r="L110" s="21"/>
      <c r="M110" s="22">
        <v>2000</v>
      </c>
    </row>
    <row r="111" spans="1:13">
      <c r="A111" s="11" t="s">
        <v>78</v>
      </c>
      <c r="B111" s="34" t="s">
        <v>14</v>
      </c>
      <c r="C111" s="13">
        <f>J111/I111</f>
        <v>2.0580558055805582</v>
      </c>
      <c r="D111" s="14" t="s">
        <v>61</v>
      </c>
      <c r="E111" s="14">
        <v>39</v>
      </c>
      <c r="F111" s="14" t="s">
        <v>52</v>
      </c>
      <c r="G111" s="14">
        <v>3</v>
      </c>
      <c r="H111" s="14">
        <v>1.5</v>
      </c>
      <c r="I111" s="14">
        <v>2222</v>
      </c>
      <c r="J111" s="28">
        <v>4573</v>
      </c>
      <c r="K111" s="21"/>
      <c r="L111" s="21"/>
      <c r="M111" s="22">
        <v>2000</v>
      </c>
    </row>
    <row r="112" spans="1:13">
      <c r="A112" s="11" t="s">
        <v>78</v>
      </c>
      <c r="B112" s="34" t="s">
        <v>33</v>
      </c>
      <c r="C112" s="13">
        <f>J112/I112</f>
        <v>1.0857828434313137</v>
      </c>
      <c r="D112" s="14" t="s">
        <v>79</v>
      </c>
      <c r="E112" s="14">
        <v>21</v>
      </c>
      <c r="F112" s="14" t="s">
        <v>63</v>
      </c>
      <c r="G112" s="14">
        <v>3</v>
      </c>
      <c r="H112" s="14">
        <v>2</v>
      </c>
      <c r="I112" s="14">
        <v>1667</v>
      </c>
      <c r="J112" s="28">
        <v>1810</v>
      </c>
      <c r="K112" s="21"/>
      <c r="L112" s="21"/>
      <c r="M112" s="22">
        <v>2007</v>
      </c>
    </row>
    <row r="113" spans="1:13">
      <c r="A113" s="11" t="s">
        <v>78</v>
      </c>
      <c r="B113" s="34" t="s">
        <v>8</v>
      </c>
      <c r="C113" s="13">
        <f>J113/I113</f>
        <v>1.0347930413917217</v>
      </c>
      <c r="D113" s="14" t="inlineStr">
        <is>
          <t>MU 4</t>
        </is>
      </c>
      <c r="E113" s="14">
        <v>15</v>
      </c>
      <c r="F113" s="14" t="inlineStr">
        <is>
          <t>1 to 15</t>
        </is>
      </c>
      <c r="G113" s="14">
        <v>3</v>
      </c>
      <c r="H113" s="14">
        <v>2</v>
      </c>
      <c r="I113" s="14">
        <v>1667</v>
      </c>
      <c r="J113" s="28">
        <v>1725</v>
      </c>
      <c r="K113" s="21"/>
      <c r="L113" s="21"/>
      <c r="M113" s="22">
        <v>2007</v>
      </c>
    </row>
    <row r="114" spans="1:13">
      <c r="A114" s="8" t="s">
        <v>80</v>
      </c>
      <c r="B114" s="8"/>
      <c r="C114" s="17">
        <f>SUM(C115:C118)</f>
        <v>6.4632056451612909</v>
      </c>
      <c r="D114" s="8"/>
      <c r="E114" s="8"/>
      <c r="F114" s="8"/>
      <c r="G114" s="8"/>
      <c r="H114" s="8"/>
      <c r="I114" s="8"/>
      <c r="J114" s="18">
        <f>SUM(J115:J118)</f>
        <v>12823</v>
      </c>
      <c r="K114" s="9"/>
      <c r="L114" s="9"/>
      <c r="M114" s="10"/>
    </row>
    <row r="115" spans="1:13">
      <c r="A115" s="11" t="s">
        <v>80</v>
      </c>
      <c r="B115" s="12" t="s">
        <v>81</v>
      </c>
      <c r="C115" s="13">
        <f>J115/I115</f>
        <v>1.5902217741935485</v>
      </c>
      <c r="D115" s="14">
        <v>1</v>
      </c>
      <c r="E115" s="14">
        <v>32</v>
      </c>
      <c r="F115" s="14" t="inlineStr">
        <is>
          <t>1 to 32</t>
        </is>
      </c>
      <c r="G115" s="14">
        <v>2.7999999999999998</v>
      </c>
      <c r="H115" s="14">
        <v>1.8</v>
      </c>
      <c r="I115" s="14">
        <v>1984</v>
      </c>
      <c r="J115" s="20">
        <v>3155</v>
      </c>
      <c r="K115" s="21"/>
      <c r="L115" s="21"/>
      <c r="M115" s="33"/>
    </row>
    <row r="116" spans="1:13">
      <c r="A116" s="11" t="s">
        <v>80</v>
      </c>
      <c r="B116" s="12" t="s">
        <v>81</v>
      </c>
      <c r="C116" s="13">
        <f>J116/I116</f>
        <v>1.5997983870967742</v>
      </c>
      <c r="D116" s="14">
        <v>1</v>
      </c>
      <c r="E116" s="14">
        <f>83-32</f>
        <v>51</v>
      </c>
      <c r="F116" s="14" t="inlineStr">
        <is>
          <t>33 to 83</t>
        </is>
      </c>
      <c r="G116" s="14">
        <v>2.7999999999999998</v>
      </c>
      <c r="H116" s="14">
        <v>1.8</v>
      </c>
      <c r="I116" s="14">
        <v>1984</v>
      </c>
      <c r="J116" s="20">
        <v>3174</v>
      </c>
      <c r="K116" s="21"/>
      <c r="L116" s="21"/>
      <c r="M116" s="33"/>
    </row>
    <row r="117" spans="1:13">
      <c r="A117" s="11" t="s">
        <v>80</v>
      </c>
      <c r="B117" s="12" t="s">
        <v>33</v>
      </c>
      <c r="C117" s="13">
        <f>J117/I117</f>
        <v>2.253024193548387</v>
      </c>
      <c r="D117" s="14">
        <v>2</v>
      </c>
      <c r="E117" s="14">
        <v>63</v>
      </c>
      <c r="F117" s="14" t="inlineStr">
        <is>
          <t>1 to 63 </t>
        </is>
      </c>
      <c r="G117" s="14">
        <v>2.7999999999999998</v>
      </c>
      <c r="H117" s="14">
        <v>1.8</v>
      </c>
      <c r="I117" s="14">
        <v>1984</v>
      </c>
      <c r="J117" s="20">
        <v>4470</v>
      </c>
      <c r="K117" s="21"/>
      <c r="L117" s="21"/>
      <c r="M117" s="33"/>
    </row>
    <row r="118" spans="1:13">
      <c r="A118" s="11" t="s">
        <v>80</v>
      </c>
      <c r="B118" s="12" t="s">
        <v>14</v>
      </c>
      <c r="C118" s="13">
        <f>J118/I118</f>
        <v>1.0201612903225807</v>
      </c>
      <c r="D118" s="14">
        <v>3</v>
      </c>
      <c r="E118" s="14">
        <v>12</v>
      </c>
      <c r="F118" s="14" t="s">
        <v>60</v>
      </c>
      <c r="G118" s="14">
        <v>2.7999999999999998</v>
      </c>
      <c r="H118" s="14">
        <v>1.8</v>
      </c>
      <c r="I118" s="14">
        <v>1984</v>
      </c>
      <c r="J118" s="20">
        <v>2024</v>
      </c>
      <c r="K118" s="21"/>
      <c r="L118" s="21"/>
      <c r="M118" s="22"/>
    </row>
    <row r="119" spans="1:13">
      <c r="A119" s="8" t="inlineStr">
        <is>
          <t>Roje (Firetail)</t>
        </is>
      </c>
      <c r="B119" s="8"/>
      <c r="C119" s="17">
        <f>SUM(C120:C127)</f>
        <v>4.6352726755130833</v>
      </c>
      <c r="D119" s="8"/>
      <c r="E119" s="8"/>
      <c r="F119" s="8"/>
      <c r="G119" s="8"/>
      <c r="H119" s="8"/>
      <c r="I119" s="8"/>
      <c r="J119" s="18">
        <f>SUM(J120:J127)</f>
        <v>9197</v>
      </c>
      <c r="K119" s="9"/>
      <c r="L119" s="9"/>
      <c r="M119" s="10"/>
    </row>
    <row r="120" spans="1:13" ht="27.6">
      <c r="A120" s="11" t="s">
        <v>82</v>
      </c>
      <c r="B120" s="34" t="s">
        <v>32</v>
      </c>
      <c r="C120" s="13">
        <f>J120/I120</f>
        <v>0.22522499999999998</v>
      </c>
      <c r="D120" s="14" t="s">
        <v>70</v>
      </c>
      <c r="E120" s="14">
        <v>8</v>
      </c>
      <c r="F120" s="14" t="inlineStr">
        <is>
          <t>1 to 8</t>
        </is>
      </c>
      <c r="G120" s="14">
        <v>3</v>
      </c>
      <c r="H120" s="14">
        <v>1.75</v>
      </c>
      <c r="I120" s="20">
        <f>10000/G120/H120</f>
        <v>1904.7619047619048</v>
      </c>
      <c r="J120" s="28">
        <v>429</v>
      </c>
      <c r="K120" s="21" t="inlineStr">
        <is>
          <t>Sauv Blanc rootstock</t>
        </is>
      </c>
      <c r="L120" s="21"/>
      <c r="M120" s="22"/>
    </row>
    <row r="121" spans="1:13">
      <c r="A121" s="11" t="s">
        <v>82</v>
      </c>
      <c r="B121" s="26" t="s">
        <v>8</v>
      </c>
      <c r="C121" s="13">
        <f>J121/I121</f>
        <v>0.92977500000000002</v>
      </c>
      <c r="D121" s="11" t="s">
        <v>69</v>
      </c>
      <c r="E121" s="11">
        <v>18</v>
      </c>
      <c r="F121" s="11" t="s">
        <v>9</v>
      </c>
      <c r="G121" s="14">
        <v>3</v>
      </c>
      <c r="H121" s="14">
        <v>1.75</v>
      </c>
      <c r="I121" s="20">
        <f>10000/G121/H121</f>
        <v>1904.7619047619048</v>
      </c>
      <c r="J121" s="48">
        <v>1771</v>
      </c>
      <c r="K121" s="30"/>
      <c r="L121" s="30"/>
      <c r="M121" s="22"/>
    </row>
    <row r="122" spans="1:13">
      <c r="A122" s="11" t="s">
        <v>82</v>
      </c>
      <c r="B122" s="26" t="inlineStr">
        <is>
          <t>Sémillon</t>
        </is>
      </c>
      <c r="C122" s="13">
        <f>J122/I122</f>
        <v>0.59324999999999994</v>
      </c>
      <c r="D122" s="11" t="s">
        <v>49</v>
      </c>
      <c r="E122" s="11">
        <v>10</v>
      </c>
      <c r="F122" s="11" t="s">
        <v>43</v>
      </c>
      <c r="G122" s="14">
        <v>3</v>
      </c>
      <c r="H122" s="14">
        <v>1.75</v>
      </c>
      <c r="I122" s="20">
        <f>10000/G122/H122</f>
        <v>1904.7619047619048</v>
      </c>
      <c r="J122" s="28">
        <v>1130</v>
      </c>
      <c r="K122" s="30"/>
      <c r="L122" s="30"/>
      <c r="M122" s="22"/>
    </row>
    <row r="123" spans="1:13">
      <c r="A123" s="11" t="s">
        <v>82</v>
      </c>
      <c r="B123" s="26" t="s">
        <v>32</v>
      </c>
      <c r="C123" s="13">
        <f>J123/I123</f>
        <v>0.238875</v>
      </c>
      <c r="D123" s="11" t="s">
        <v>50</v>
      </c>
      <c r="E123" s="11">
        <v>4</v>
      </c>
      <c r="F123" s="11" t="inlineStr">
        <is>
          <t>11 to 14</t>
        </is>
      </c>
      <c r="G123" s="14">
        <v>3</v>
      </c>
      <c r="H123" s="14">
        <v>1.75</v>
      </c>
      <c r="I123" s="20">
        <f>10000/G123/H123</f>
        <v>1904.7619047619048</v>
      </c>
      <c r="J123" s="28">
        <v>455</v>
      </c>
      <c r="K123" s="30"/>
      <c r="L123" s="30"/>
      <c r="M123" s="22">
        <v>2019</v>
      </c>
    </row>
    <row r="124" spans="1:13">
      <c r="A124" s="11" t="s">
        <v>82</v>
      </c>
      <c r="B124" s="26" t="s">
        <v>56</v>
      </c>
      <c r="C124" s="13">
        <f>J124/I124</f>
        <v>0.327075</v>
      </c>
      <c r="D124" s="11" t="inlineStr">
        <is>
          <t>2c</t>
        </is>
      </c>
      <c r="E124" s="11">
        <v>6</v>
      </c>
      <c r="F124" s="11" t="inlineStr">
        <is>
          <t>15 to 20</t>
        </is>
      </c>
      <c r="G124" s="14">
        <v>3</v>
      </c>
      <c r="H124" s="14">
        <v>1.75</v>
      </c>
      <c r="I124" s="20">
        <f>10000/G124/H124</f>
        <v>1904.7619047619048</v>
      </c>
      <c r="J124" s="28">
        <v>623</v>
      </c>
      <c r="K124" s="30"/>
      <c r="L124" s="30"/>
      <c r="M124" s="22"/>
    </row>
    <row r="125" spans="1:13">
      <c r="A125" s="11" t="s">
        <v>82</v>
      </c>
      <c r="B125" s="26" t="s">
        <v>14</v>
      </c>
      <c r="C125" s="13">
        <f>J125/I125</f>
        <v>0.83552055993000873</v>
      </c>
      <c r="D125" s="11" t="s">
        <v>79</v>
      </c>
      <c r="E125" s="11">
        <v>9</v>
      </c>
      <c r="F125" s="11" t="s">
        <v>44</v>
      </c>
      <c r="G125" s="14">
        <v>5</v>
      </c>
      <c r="H125" s="14">
        <v>1.75</v>
      </c>
      <c r="I125" s="14">
        <v>2286</v>
      </c>
      <c r="J125" s="28">
        <v>1910</v>
      </c>
      <c r="K125" s="30"/>
      <c r="L125" s="30"/>
      <c r="M125" s="22"/>
    </row>
    <row r="126" spans="1:13" ht="27.6">
      <c r="A126" s="11" t="s">
        <v>82</v>
      </c>
      <c r="B126" s="26" t="s">
        <v>33</v>
      </c>
      <c r="C126" s="13">
        <f>J126/I126</f>
        <v>1.0810113519091846</v>
      </c>
      <c r="D126" s="11">
        <v>4</v>
      </c>
      <c r="E126" s="11">
        <v>31</v>
      </c>
      <c r="F126" s="11" t="inlineStr">
        <is>
          <t>1-18, 1-13</t>
        </is>
      </c>
      <c r="G126" s="14">
        <v>3</v>
      </c>
      <c r="H126" s="14">
        <v>1.72</v>
      </c>
      <c r="I126" s="14">
        <v>1938</v>
      </c>
      <c r="J126" s="28">
        <v>2095</v>
      </c>
      <c r="K126" s="30">
        <v>277</v>
      </c>
      <c r="L126" s="30"/>
      <c r="M126" s="22">
        <v>2007</v>
      </c>
    </row>
    <row r="127" spans="1:13">
      <c r="A127" s="11" t="s">
        <v>82</v>
      </c>
      <c r="B127" s="34" t="inlineStr">
        <is>
          <t>young chard</t>
        </is>
      </c>
      <c r="C127" s="13">
        <f>J127/I127</f>
        <v>0.40454076367389064</v>
      </c>
      <c r="D127" s="14" t="inlineStr">
        <is>
          <t>MU 7</t>
        </is>
      </c>
      <c r="E127" s="14">
        <v>15</v>
      </c>
      <c r="F127" s="14" t="inlineStr">
        <is>
          <t>14-28</t>
        </is>
      </c>
      <c r="G127" s="14">
        <v>3</v>
      </c>
      <c r="H127" s="14">
        <v>1.72</v>
      </c>
      <c r="I127" s="14">
        <v>1938</v>
      </c>
      <c r="J127" s="28">
        <v>784</v>
      </c>
      <c r="K127" s="21"/>
      <c r="L127" s="21"/>
      <c r="M127" s="22">
        <v>2007</v>
      </c>
    </row>
    <row r="128" spans="1:13">
      <c r="A128" s="8" t="inlineStr">
        <is>
          <t>Rosa Park (Manju)</t>
        </is>
      </c>
      <c r="B128" s="8"/>
      <c r="C128" s="17">
        <f>SUM(C129:C142)</f>
        <v>17.103677999999999</v>
      </c>
      <c r="D128" s="8"/>
      <c r="E128" s="8"/>
      <c r="F128" s="8"/>
      <c r="G128" s="8"/>
      <c r="H128" s="17">
        <f>+C128-C129-C134-C135-C139</f>
        <v>13.681244999999999</v>
      </c>
      <c r="I128" s="8"/>
      <c r="J128" s="18">
        <f>SUM(J129:J142)</f>
        <v>34450</v>
      </c>
      <c r="K128" s="9"/>
      <c r="L128" s="9"/>
      <c r="M128" s="10"/>
    </row>
    <row r="129" spans="1:13">
      <c r="A129" s="11" t="s">
        <v>83</v>
      </c>
      <c r="B129" s="34" t="s">
        <v>14</v>
      </c>
      <c r="C129" s="13">
        <f>+J129/I129</f>
        <v>1.2798</v>
      </c>
      <c r="D129" s="14">
        <v>1</v>
      </c>
      <c r="E129" s="14">
        <v>23</v>
      </c>
      <c r="F129" s="14" t="s">
        <v>64</v>
      </c>
      <c r="G129" s="14">
        <v>3.6000000000000001</v>
      </c>
      <c r="H129" s="14">
        <v>1.8</v>
      </c>
      <c r="I129" s="20">
        <f>10000/G129/H129</f>
        <v>1543.2098765432099</v>
      </c>
      <c r="J129" s="28">
        <v>1975</v>
      </c>
      <c r="K129" s="21" t="s">
        <v>84</v>
      </c>
      <c r="L129" s="21"/>
      <c r="M129" s="22">
        <v>1976</v>
      </c>
    </row>
    <row r="130" spans="1:13">
      <c r="A130" s="11" t="s">
        <v>83</v>
      </c>
      <c r="B130" s="34" t="s">
        <v>8</v>
      </c>
      <c r="C130" s="13">
        <f>+J130/I130</f>
        <v>1.5097499999999999</v>
      </c>
      <c r="D130" s="14">
        <v>2</v>
      </c>
      <c r="E130" s="14">
        <v>28</v>
      </c>
      <c r="F130" s="14" t="s">
        <v>13</v>
      </c>
      <c r="G130" s="14">
        <v>3</v>
      </c>
      <c r="H130" s="14">
        <v>1.5</v>
      </c>
      <c r="I130" s="20">
        <f>10000/G130/H130</f>
        <v>2222.2222222222222</v>
      </c>
      <c r="J130" s="28">
        <v>3355</v>
      </c>
      <c r="K130" s="21"/>
      <c r="L130" s="21"/>
      <c r="M130" s="22">
        <v>2001</v>
      </c>
    </row>
    <row r="131" spans="1:13" ht="27.6">
      <c r="A131" s="11" t="s">
        <v>83</v>
      </c>
      <c r="B131" s="34" t="s">
        <v>33</v>
      </c>
      <c r="C131" s="13">
        <f>+J131/I131</f>
        <v>2.0092650000000001</v>
      </c>
      <c r="D131" s="14">
        <v>3</v>
      </c>
      <c r="E131" s="14">
        <v>40</v>
      </c>
      <c r="F131" s="14" t="s">
        <v>12</v>
      </c>
      <c r="G131" s="14">
        <v>2.8999999999999999</v>
      </c>
      <c r="H131" s="14">
        <v>1.5</v>
      </c>
      <c r="I131" s="20">
        <f>10000/G131/H131</f>
        <v>2298.8505747126437</v>
      </c>
      <c r="J131" s="28">
        <v>4619</v>
      </c>
      <c r="K131" s="21" t="inlineStr">
        <is>
          <t>Mixed (gingin and Davis 5)</t>
        </is>
      </c>
      <c r="L131" s="21" t="inlineStr">
        <is>
          <t>Mixed</t>
        </is>
      </c>
      <c r="M131" s="22">
        <v>2008</v>
      </c>
    </row>
    <row r="132" spans="1:13">
      <c r="A132" s="11" t="s">
        <v>83</v>
      </c>
      <c r="B132" s="34" t="s">
        <v>14</v>
      </c>
      <c r="C132" s="13">
        <f>+J132/I132</f>
        <v>1.9399500000000001</v>
      </c>
      <c r="D132" s="14" t="inlineStr">
        <is>
          <t>4a</t>
        </is>
      </c>
      <c r="E132" s="14">
        <v>27</v>
      </c>
      <c r="F132" s="14" t="s">
        <v>53</v>
      </c>
      <c r="G132" s="14">
        <v>3</v>
      </c>
      <c r="H132" s="14">
        <v>1.5</v>
      </c>
      <c r="I132" s="20">
        <f>10000/G132/H132</f>
        <v>2222.2222222222222</v>
      </c>
      <c r="J132" s="28">
        <v>4311</v>
      </c>
      <c r="K132" s="21" t="s">
        <v>84</v>
      </c>
      <c r="L132" s="21"/>
      <c r="M132" s="22">
        <v>2001</v>
      </c>
    </row>
    <row r="133" spans="1:13">
      <c r="A133" s="11" t="s">
        <v>83</v>
      </c>
      <c r="B133" s="34" t="s">
        <v>2</v>
      </c>
      <c r="C133" s="13">
        <f>+J133/I133</f>
        <v>0.99990000000000001</v>
      </c>
      <c r="D133" s="14" t="inlineStr">
        <is>
          <t>4b</t>
        </is>
      </c>
      <c r="E133" s="14">
        <v>27</v>
      </c>
      <c r="F133" s="14" t="s">
        <v>53</v>
      </c>
      <c r="G133" s="14">
        <v>3</v>
      </c>
      <c r="H133" s="14">
        <v>1.5</v>
      </c>
      <c r="I133" s="20">
        <f>10000/G133/H133</f>
        <v>2222.2222222222222</v>
      </c>
      <c r="J133" s="28">
        <v>2222</v>
      </c>
      <c r="K133" s="21"/>
      <c r="L133" s="21"/>
      <c r="M133" s="22">
        <v>2001</v>
      </c>
    </row>
    <row r="134" spans="1:13">
      <c r="A134" s="11" t="s">
        <v>83</v>
      </c>
      <c r="B134" s="34" t="s">
        <v>2</v>
      </c>
      <c r="C134" s="13">
        <f>+J134/I134</f>
        <v>0.6804</v>
      </c>
      <c r="D134" s="14" t="s">
        <v>85</v>
      </c>
      <c r="E134" s="14">
        <v>14</v>
      </c>
      <c r="F134" s="14" t="s">
        <v>73</v>
      </c>
      <c r="G134" s="14">
        <v>3.6000000000000001</v>
      </c>
      <c r="H134" s="14">
        <v>1.8</v>
      </c>
      <c r="I134" s="20">
        <f>10000/G134/H134</f>
        <v>1543.2098765432099</v>
      </c>
      <c r="J134" s="28">
        <v>1050</v>
      </c>
      <c r="K134" s="21"/>
      <c r="L134" s="21"/>
      <c r="M134" s="22">
        <v>1976</v>
      </c>
    </row>
    <row r="135" spans="1:13">
      <c r="A135" s="11" t="s">
        <v>83</v>
      </c>
      <c r="B135" s="34" t="s">
        <v>14</v>
      </c>
      <c r="C135" s="13">
        <f>+J135/I135</f>
        <v>0.71020799999999995</v>
      </c>
      <c r="D135" s="14" t="inlineStr">
        <is>
          <t>5b</t>
        </is>
      </c>
      <c r="E135" s="14">
        <v>13</v>
      </c>
      <c r="F135" s="14" t="s">
        <v>86</v>
      </c>
      <c r="G135" s="14">
        <v>3.6000000000000001</v>
      </c>
      <c r="H135" s="14">
        <v>1.8</v>
      </c>
      <c r="I135" s="20">
        <f>10000/G135/H135</f>
        <v>1543.2098765432099</v>
      </c>
      <c r="J135" s="28">
        <v>1096</v>
      </c>
      <c r="K135" s="21" t="s">
        <v>84</v>
      </c>
      <c r="L135" s="21"/>
      <c r="M135" s="22">
        <v>1976</v>
      </c>
    </row>
    <row r="136" spans="1:13">
      <c r="A136" s="11" t="s">
        <v>83</v>
      </c>
      <c r="B136" s="34" t="s">
        <v>4</v>
      </c>
      <c r="C136" s="13">
        <f>+J136/I136</f>
        <v>0.96975</v>
      </c>
      <c r="D136" s="14">
        <v>7</v>
      </c>
      <c r="E136" s="14">
        <v>20</v>
      </c>
      <c r="F136" s="14" t="s">
        <v>51</v>
      </c>
      <c r="G136" s="14">
        <v>3</v>
      </c>
      <c r="H136" s="14">
        <v>1.5</v>
      </c>
      <c r="I136" s="20">
        <f>10000/G136/H136</f>
        <v>2222.2222222222222</v>
      </c>
      <c r="J136" s="28">
        <v>2155</v>
      </c>
      <c r="K136" s="21"/>
      <c r="L136" s="21"/>
      <c r="M136" s="22">
        <v>2001</v>
      </c>
    </row>
    <row r="137" spans="1:13">
      <c r="A137" s="11" t="s">
        <v>83</v>
      </c>
      <c r="B137" s="49" t="s">
        <v>29</v>
      </c>
      <c r="C137" s="13">
        <f>+J137/I137</f>
        <v>0.40005000000000002</v>
      </c>
      <c r="D137" s="14" t="inlineStr">
        <is>
          <t>8a</t>
        </is>
      </c>
      <c r="E137" s="14">
        <v>14</v>
      </c>
      <c r="F137" s="14" t="s">
        <v>73</v>
      </c>
      <c r="G137" s="14">
        <v>3</v>
      </c>
      <c r="H137" s="14">
        <v>1.5</v>
      </c>
      <c r="I137" s="20">
        <f>10000/G137/H137</f>
        <v>2222.2222222222222</v>
      </c>
      <c r="J137" s="28">
        <v>889</v>
      </c>
      <c r="K137" s="21"/>
      <c r="L137" s="21"/>
      <c r="M137" s="22">
        <v>2001</v>
      </c>
    </row>
    <row r="138" spans="1:13" ht="27.6">
      <c r="A138" s="14" t="s">
        <v>83</v>
      </c>
      <c r="B138" s="34" t="s">
        <v>10</v>
      </c>
      <c r="C138" s="13">
        <f>+J138/I138</f>
        <v>0.96074999999999999</v>
      </c>
      <c r="D138" s="14" t="inlineStr">
        <is>
          <t>8b</t>
        </is>
      </c>
      <c r="E138" s="14">
        <v>12</v>
      </c>
      <c r="F138" s="14" t="inlineStr">
        <is>
          <t>1 to 10,     1 to 2</t>
        </is>
      </c>
      <c r="G138" s="14">
        <v>3</v>
      </c>
      <c r="H138" s="14">
        <v>1.5</v>
      </c>
      <c r="I138" s="20">
        <f>10000/G138/H138</f>
        <v>2222.2222222222222</v>
      </c>
      <c r="J138" s="28">
        <v>2135</v>
      </c>
      <c r="K138" s="21"/>
      <c r="L138" s="21"/>
      <c r="M138" s="22">
        <v>2001</v>
      </c>
    </row>
    <row r="139" spans="1:13">
      <c r="A139" s="11" t="s">
        <v>83</v>
      </c>
      <c r="B139" s="34" t="s">
        <v>56</v>
      </c>
      <c r="C139" s="13">
        <v>0.75202500000000005</v>
      </c>
      <c r="D139" s="14"/>
      <c r="E139" s="14">
        <v>10</v>
      </c>
      <c r="F139" s="50" t="inlineStr">
        <is>
          <t>3 to 12</t>
        </is>
      </c>
      <c r="G139" s="14">
        <v>3</v>
      </c>
      <c r="H139" s="14">
        <v>1.5</v>
      </c>
      <c r="I139" s="20">
        <f>10000/G139/H139</f>
        <v>2222.2222222222222</v>
      </c>
      <c r="J139" s="28"/>
      <c r="K139" s="21"/>
      <c r="L139" s="21"/>
      <c r="M139" s="22"/>
    </row>
    <row r="140" spans="1:13" ht="27.6">
      <c r="A140" s="11" t="s">
        <v>83</v>
      </c>
      <c r="B140" s="34" t="s">
        <v>33</v>
      </c>
      <c r="C140" s="13">
        <f>+J140/I140</f>
        <v>0.67230000000000001</v>
      </c>
      <c r="D140" s="14" t="inlineStr">
        <is>
          <t>8c</t>
        </is>
      </c>
      <c r="E140" s="14">
        <v>9</v>
      </c>
      <c r="F140" s="14" t="inlineStr">
        <is>
          <t>13 to 21</t>
        </is>
      </c>
      <c r="G140" s="14">
        <v>3</v>
      </c>
      <c r="H140" s="14">
        <v>1.5</v>
      </c>
      <c r="I140" s="20">
        <f>10000/G140/H140</f>
        <v>2222.2222222222222</v>
      </c>
      <c r="J140" s="28">
        <v>1494</v>
      </c>
      <c r="K140" s="21" t="s">
        <v>35</v>
      </c>
      <c r="L140" s="21" t="inlineStr">
        <is>
          <t>Own Block 8e</t>
        </is>
      </c>
      <c r="M140" s="22">
        <v>2018</v>
      </c>
    </row>
    <row r="141" spans="1:13">
      <c r="A141" s="11" t="s">
        <v>83</v>
      </c>
      <c r="B141" s="34" t="s">
        <v>33</v>
      </c>
      <c r="C141" s="13">
        <f>+J141/I141</f>
        <v>1.6396799999999998</v>
      </c>
      <c r="D141" s="14" t="inlineStr">
        <is>
          <t>8d&amp;e</t>
        </is>
      </c>
      <c r="E141" s="14">
        <v>19</v>
      </c>
      <c r="F141" s="14" t="inlineStr">
        <is>
          <t>1-4&amp;1-15</t>
        </is>
      </c>
      <c r="G141" s="14">
        <v>3</v>
      </c>
      <c r="H141" s="14">
        <v>1.6000000000000001</v>
      </c>
      <c r="I141" s="20">
        <f>10000/G141/H141</f>
        <v>2083.3333333333335</v>
      </c>
      <c r="J141" s="28">
        <v>3416</v>
      </c>
      <c r="K141" s="21" t="s">
        <v>87</v>
      </c>
      <c r="L141" s="21" t="s">
        <v>87</v>
      </c>
      <c r="M141" s="22">
        <v>2001</v>
      </c>
    </row>
    <row r="142" spans="1:13" ht="27.6">
      <c r="A142" s="11" t="s">
        <v>83</v>
      </c>
      <c r="B142" s="34" t="s">
        <v>14</v>
      </c>
      <c r="C142" s="13">
        <f>+J142/I142</f>
        <v>2.57985</v>
      </c>
      <c r="D142" s="14">
        <v>9</v>
      </c>
      <c r="E142" s="14">
        <v>56</v>
      </c>
      <c r="F142" s="14" t="inlineStr">
        <is>
          <t>1 to 26,      1 to 30</t>
        </is>
      </c>
      <c r="G142" s="14">
        <v>3</v>
      </c>
      <c r="H142" s="14">
        <v>1.5</v>
      </c>
      <c r="I142" s="20">
        <f>10000/G142/H142</f>
        <v>2222.2222222222222</v>
      </c>
      <c r="J142" s="28">
        <v>5733</v>
      </c>
      <c r="K142" s="21" t="s">
        <v>84</v>
      </c>
      <c r="L142" s="21"/>
      <c r="M142" s="22">
        <v>2001</v>
      </c>
    </row>
    <row r="143" spans="1:13">
      <c r="A143" s="8" t="s">
        <v>88</v>
      </c>
      <c r="B143" s="8"/>
      <c r="C143" s="17">
        <f>SUM(C144:C149)</f>
        <v>7.8348599999999999</v>
      </c>
      <c r="D143" s="8"/>
      <c r="E143" s="8"/>
      <c r="F143" s="8"/>
      <c r="G143" s="8"/>
      <c r="H143" s="8"/>
      <c r="I143" s="8"/>
      <c r="J143" s="18">
        <f>SUM(J144:J149)</f>
        <v>14215</v>
      </c>
      <c r="K143" s="9"/>
      <c r="L143" s="9"/>
      <c r="M143" s="51"/>
    </row>
    <row r="144" spans="1:13">
      <c r="A144" s="14" t="s">
        <v>88</v>
      </c>
      <c r="B144" s="12" t="s">
        <v>33</v>
      </c>
      <c r="C144" s="13">
        <f>J144/I144</f>
        <v>1.0400399999999999</v>
      </c>
      <c r="D144" s="14">
        <v>1</v>
      </c>
      <c r="E144" s="14">
        <v>12</v>
      </c>
      <c r="F144" s="14" t="inlineStr">
        <is>
          <t>14 to 25</t>
        </is>
      </c>
      <c r="G144" s="14">
        <v>3.6000000000000001</v>
      </c>
      <c r="H144" s="14">
        <v>1.5</v>
      </c>
      <c r="I144" s="20">
        <f>10000/G144/H144</f>
        <v>1851.851851851852</v>
      </c>
      <c r="J144" s="20">
        <v>1926</v>
      </c>
      <c r="K144" s="21"/>
      <c r="L144" s="21"/>
      <c r="M144" s="33">
        <v>1996</v>
      </c>
    </row>
    <row r="145" spans="1:13">
      <c r="A145" s="14" t="s">
        <v>88</v>
      </c>
      <c r="B145" s="12" t="s">
        <v>8</v>
      </c>
      <c r="C145" s="13">
        <f>J145/I145</f>
        <v>1.02762</v>
      </c>
      <c r="D145" s="14">
        <v>2</v>
      </c>
      <c r="E145" s="14">
        <v>13</v>
      </c>
      <c r="F145" s="14" t="s">
        <v>86</v>
      </c>
      <c r="G145" s="14">
        <v>3.6000000000000001</v>
      </c>
      <c r="H145" s="14">
        <v>1.5</v>
      </c>
      <c r="I145" s="20">
        <f>10000/G145/H145</f>
        <v>1851.851851851852</v>
      </c>
      <c r="J145" s="20">
        <v>1903</v>
      </c>
      <c r="K145" s="21"/>
      <c r="L145" s="21"/>
      <c r="M145" s="33">
        <v>1996</v>
      </c>
    </row>
    <row r="146" spans="1:13">
      <c r="A146" s="14" t="s">
        <v>88</v>
      </c>
      <c r="B146" s="12" t="s">
        <v>89</v>
      </c>
      <c r="C146" s="13">
        <f>J146/I146</f>
        <v>0.77759999999999996</v>
      </c>
      <c r="D146" s="14">
        <v>3</v>
      </c>
      <c r="E146" s="14">
        <v>18</v>
      </c>
      <c r="F146" s="14" t="s">
        <v>9</v>
      </c>
      <c r="G146" s="14">
        <v>3</v>
      </c>
      <c r="H146" s="14">
        <v>1.6000000000000001</v>
      </c>
      <c r="I146" s="20">
        <f>10000/G146/H146</f>
        <v>2083.3333333333335</v>
      </c>
      <c r="J146" s="20">
        <v>1620</v>
      </c>
      <c r="K146" s="21"/>
      <c r="L146" s="21"/>
      <c r="M146" s="33">
        <v>1996</v>
      </c>
    </row>
    <row r="147" spans="1:13">
      <c r="A147" s="14" t="s">
        <v>88</v>
      </c>
      <c r="B147" s="12" t="s">
        <v>89</v>
      </c>
      <c r="C147" s="13">
        <f>J147/I147</f>
        <v>1.0799999999999998</v>
      </c>
      <c r="D147" s="14">
        <v>4</v>
      </c>
      <c r="E147" s="14">
        <v>18</v>
      </c>
      <c r="F147" s="14" t="s">
        <v>9</v>
      </c>
      <c r="G147" s="14">
        <v>3</v>
      </c>
      <c r="H147" s="14">
        <v>1.6000000000000001</v>
      </c>
      <c r="I147" s="20">
        <f>10000/G147/H147</f>
        <v>2083.3333333333335</v>
      </c>
      <c r="J147" s="20">
        <v>2250</v>
      </c>
      <c r="K147" s="21"/>
      <c r="L147" s="21"/>
      <c r="M147" s="33">
        <v>1996</v>
      </c>
    </row>
    <row r="148" spans="1:13">
      <c r="A148" s="14" t="s">
        <v>88</v>
      </c>
      <c r="B148" s="12" t="s">
        <v>8</v>
      </c>
      <c r="C148" s="13">
        <f>J148/I148</f>
        <v>1.7795999999999998</v>
      </c>
      <c r="D148" s="14">
        <v>5</v>
      </c>
      <c r="E148" s="14">
        <v>39</v>
      </c>
      <c r="F148" s="14" t="s">
        <v>90</v>
      </c>
      <c r="G148" s="14">
        <v>3</v>
      </c>
      <c r="H148" s="14">
        <v>2</v>
      </c>
      <c r="I148" s="20">
        <f>10000/G148/H148</f>
        <v>1666.6666666666667</v>
      </c>
      <c r="J148" s="27">
        <v>2966</v>
      </c>
      <c r="K148" s="21"/>
      <c r="L148" s="21"/>
      <c r="M148" s="33">
        <v>1996</v>
      </c>
    </row>
    <row r="149" spans="1:13">
      <c r="A149" s="14" t="inlineStr">
        <is>
          <t>Stellar Ridge </t>
        </is>
      </c>
      <c r="B149" s="12" t="s">
        <v>33</v>
      </c>
      <c r="C149" s="14">
        <f>J149/I149</f>
        <v>2.1299999999999999</v>
      </c>
      <c r="D149" s="14">
        <v>6</v>
      </c>
      <c r="E149" s="14">
        <v>11</v>
      </c>
      <c r="F149" s="14" t="s">
        <v>90</v>
      </c>
      <c r="G149" s="14">
        <v>3</v>
      </c>
      <c r="H149" s="14">
        <v>2</v>
      </c>
      <c r="I149" s="20">
        <f>10000/G149/H149</f>
        <v>1666.6666666666667</v>
      </c>
      <c r="J149" s="27">
        <v>3550</v>
      </c>
      <c r="K149" s="21"/>
      <c r="L149" s="21"/>
      <c r="M149" s="33">
        <v>1996</v>
      </c>
    </row>
    <row r="150" spans="1:13">
      <c r="A150" s="8" t="s">
        <v>91</v>
      </c>
      <c r="B150" s="8"/>
      <c r="C150" s="17">
        <f>SUM(C151:C162)</f>
        <v>13.9635</v>
      </c>
      <c r="D150" s="8"/>
      <c r="E150" s="8"/>
      <c r="F150" s="8"/>
      <c r="G150" s="8"/>
      <c r="H150" s="8"/>
      <c r="I150" s="8"/>
      <c r="J150" s="17">
        <f>SUM(J151:J162)</f>
        <v>41819</v>
      </c>
      <c r="K150" s="9"/>
      <c r="L150" s="9"/>
      <c r="M150" s="51"/>
    </row>
    <row r="151" spans="1:13">
      <c r="A151" s="11" t="s">
        <v>91</v>
      </c>
      <c r="B151" s="31" t="s">
        <v>92</v>
      </c>
      <c r="C151" s="52">
        <f>J151/I151</f>
        <v>1.2150000000000001</v>
      </c>
      <c r="D151" s="31">
        <v>1</v>
      </c>
      <c r="E151" s="31">
        <v>36</v>
      </c>
      <c r="F151" s="53" t="s">
        <v>93</v>
      </c>
      <c r="G151" s="14">
        <v>2.5</v>
      </c>
      <c r="H151" s="14">
        <v>1</v>
      </c>
      <c r="I151" s="20">
        <v>4000</v>
      </c>
      <c r="J151" s="54">
        <v>4860</v>
      </c>
      <c r="K151" s="55" t="s">
        <v>35</v>
      </c>
      <c r="L151" s="56"/>
      <c r="M151" s="33">
        <v>1997</v>
      </c>
    </row>
    <row r="152" spans="1:13">
      <c r="A152" s="11" t="s">
        <v>91</v>
      </c>
      <c r="B152" s="31" t="s">
        <v>92</v>
      </c>
      <c r="C152" s="52">
        <f>J152/I152</f>
        <v>1.1639999999999999</v>
      </c>
      <c r="D152" s="31">
        <v>2</v>
      </c>
      <c r="E152" s="31">
        <v>36</v>
      </c>
      <c r="F152" s="53" t="s">
        <v>93</v>
      </c>
      <c r="G152" s="14">
        <v>2.5</v>
      </c>
      <c r="H152" s="14">
        <v>1</v>
      </c>
      <c r="I152" s="20">
        <v>4000</v>
      </c>
      <c r="J152" s="54">
        <v>4656</v>
      </c>
      <c r="K152" s="55" t="s">
        <v>35</v>
      </c>
      <c r="L152" s="56"/>
      <c r="M152" s="33">
        <v>1997</v>
      </c>
    </row>
    <row r="153" spans="1:13">
      <c r="A153" s="11" t="s">
        <v>91</v>
      </c>
      <c r="B153" s="31" t="inlineStr">
        <is>
          <t>semillon</t>
        </is>
      </c>
      <c r="C153" s="52">
        <f>J153/I153</f>
        <v>1.2150000000000001</v>
      </c>
      <c r="D153" s="31">
        <v>3</v>
      </c>
      <c r="E153" s="31">
        <v>18</v>
      </c>
      <c r="F153" s="31" t="s">
        <v>9</v>
      </c>
      <c r="G153" s="14">
        <v>2.5</v>
      </c>
      <c r="H153" s="14">
        <v>2</v>
      </c>
      <c r="I153" s="20">
        <v>2000</v>
      </c>
      <c r="J153" s="54">
        <v>2430</v>
      </c>
      <c r="K153" s="55"/>
      <c r="L153" s="55"/>
      <c r="M153" s="33">
        <v>1997</v>
      </c>
    </row>
    <row r="154" spans="1:13">
      <c r="A154" s="11" t="s">
        <v>91</v>
      </c>
      <c r="B154" s="31" t="inlineStr">
        <is>
          <t>malbec</t>
        </is>
      </c>
      <c r="C154" s="52">
        <f>J154/I154</f>
        <v>1.2150000000000001</v>
      </c>
      <c r="D154" s="31">
        <v>4</v>
      </c>
      <c r="E154" s="31">
        <v>18</v>
      </c>
      <c r="F154" s="31" t="s">
        <v>9</v>
      </c>
      <c r="G154" s="14">
        <v>2.5</v>
      </c>
      <c r="H154" s="14">
        <v>2</v>
      </c>
      <c r="I154" s="20">
        <v>2000</v>
      </c>
      <c r="J154" s="54">
        <v>2430</v>
      </c>
      <c r="K154" s="55"/>
      <c r="L154" s="55"/>
      <c r="M154" s="33">
        <v>1997</v>
      </c>
    </row>
    <row r="155" spans="1:13">
      <c r="A155" s="11" t="s">
        <v>91</v>
      </c>
      <c r="B155" s="31" t="inlineStr">
        <is>
          <t>pinot noir</t>
        </is>
      </c>
      <c r="C155" s="52">
        <f>J155/I155</f>
        <v>1.1639999999999999</v>
      </c>
      <c r="D155" s="31">
        <v>5</v>
      </c>
      <c r="E155" s="31">
        <v>36</v>
      </c>
      <c r="F155" s="31" t="s">
        <v>93</v>
      </c>
      <c r="G155" s="14">
        <v>2.5</v>
      </c>
      <c r="H155" s="14">
        <v>1</v>
      </c>
      <c r="I155" s="20">
        <v>4000</v>
      </c>
      <c r="J155" s="54">
        <v>4656</v>
      </c>
      <c r="K155" s="55" t="s">
        <v>42</v>
      </c>
      <c r="L155" s="55"/>
      <c r="M155" s="33">
        <v>1997</v>
      </c>
    </row>
    <row r="156" spans="1:13">
      <c r="A156" s="11" t="s">
        <v>91</v>
      </c>
      <c r="B156" s="34" t="s">
        <v>14</v>
      </c>
      <c r="C156" s="52">
        <f>J156/I156</f>
        <v>2.6804999999999999</v>
      </c>
      <c r="D156" s="31">
        <v>6</v>
      </c>
      <c r="E156" s="31">
        <v>86</v>
      </c>
      <c r="F156" s="31" t="inlineStr">
        <is>
          <t>1 to 86</t>
        </is>
      </c>
      <c r="G156" s="14">
        <v>2.5</v>
      </c>
      <c r="H156" s="14">
        <v>2</v>
      </c>
      <c r="I156" s="20">
        <v>2000</v>
      </c>
      <c r="J156" s="54">
        <v>5361</v>
      </c>
      <c r="K156" s="55" t="s">
        <v>84</v>
      </c>
      <c r="L156" s="55"/>
      <c r="M156" s="33">
        <v>1998</v>
      </c>
    </row>
    <row r="157" spans="1:13">
      <c r="A157" s="11" t="s">
        <v>91</v>
      </c>
      <c r="B157" s="34" t="s">
        <v>14</v>
      </c>
      <c r="C157" s="52">
        <f>J157/I157</f>
        <v>1.0395000000000001</v>
      </c>
      <c r="D157" s="31">
        <v>7</v>
      </c>
      <c r="E157" s="31">
        <v>33</v>
      </c>
      <c r="F157" s="31" t="s">
        <v>94</v>
      </c>
      <c r="G157" s="14">
        <v>2.5</v>
      </c>
      <c r="H157" s="14">
        <v>1</v>
      </c>
      <c r="I157" s="20">
        <v>4000</v>
      </c>
      <c r="J157" s="54">
        <v>4158</v>
      </c>
      <c r="K157" s="55" t="s">
        <v>84</v>
      </c>
      <c r="L157" s="55"/>
      <c r="M157" s="33">
        <v>1998</v>
      </c>
    </row>
    <row r="158" spans="1:13">
      <c r="A158" s="11" t="s">
        <v>91</v>
      </c>
      <c r="B158" s="31" t="inlineStr">
        <is>
          <t>cabernet franc</t>
        </is>
      </c>
      <c r="C158" s="52">
        <f>J158/I158</f>
        <v>0.85050000000000003</v>
      </c>
      <c r="D158" s="31">
        <v>8</v>
      </c>
      <c r="E158" s="31">
        <v>27</v>
      </c>
      <c r="F158" s="31" t="s">
        <v>53</v>
      </c>
      <c r="G158" s="14">
        <v>2.5</v>
      </c>
      <c r="H158" s="14">
        <v>1</v>
      </c>
      <c r="I158" s="20">
        <v>4000</v>
      </c>
      <c r="J158" s="54">
        <v>3402</v>
      </c>
      <c r="K158" s="55"/>
      <c r="L158" s="55"/>
      <c r="M158" s="33">
        <v>1998</v>
      </c>
    </row>
    <row r="159" spans="1:13">
      <c r="A159" s="11" t="s">
        <v>91</v>
      </c>
      <c r="B159" s="31" t="inlineStr">
        <is>
          <t>merlot</t>
        </is>
      </c>
      <c r="C159" s="52">
        <f>J159/I159</f>
        <v>0.5595</v>
      </c>
      <c r="D159" s="31">
        <v>9</v>
      </c>
      <c r="E159" s="31">
        <v>19</v>
      </c>
      <c r="F159" s="31" t="s">
        <v>7</v>
      </c>
      <c r="G159" s="14">
        <v>2.5</v>
      </c>
      <c r="H159" s="14">
        <v>1</v>
      </c>
      <c r="I159" s="20">
        <v>4000</v>
      </c>
      <c r="J159" s="54">
        <v>2238</v>
      </c>
      <c r="K159" s="55"/>
      <c r="L159" s="55"/>
      <c r="M159" s="33">
        <v>1998</v>
      </c>
    </row>
    <row r="160" spans="1:13">
      <c r="A160" s="11" t="s">
        <v>91</v>
      </c>
      <c r="B160" s="31" t="s">
        <v>92</v>
      </c>
      <c r="C160" s="52">
        <f>J160/I160</f>
        <v>1.413375</v>
      </c>
      <c r="D160" s="31">
        <v>10</v>
      </c>
      <c r="E160" s="31">
        <v>48</v>
      </c>
      <c r="F160" s="31" t="inlineStr">
        <is>
          <t>1 to 48</t>
        </is>
      </c>
      <c r="G160" s="14">
        <v>2.5</v>
      </c>
      <c r="H160" s="14">
        <v>1.5</v>
      </c>
      <c r="I160" s="20">
        <v>2666.6666666666665</v>
      </c>
      <c r="J160" s="54">
        <v>3769</v>
      </c>
      <c r="K160" s="55" t="inlineStr">
        <is>
          <t>Dijon</t>
        </is>
      </c>
      <c r="L160" s="55"/>
      <c r="M160" s="33">
        <v>2005</v>
      </c>
    </row>
    <row r="161" spans="1:13">
      <c r="A161" s="11" t="s">
        <v>91</v>
      </c>
      <c r="B161" s="34" t="s">
        <v>14</v>
      </c>
      <c r="C161" s="52">
        <f>J161/I161</f>
        <v>0.94800000000000006</v>
      </c>
      <c r="D161" s="31">
        <v>11</v>
      </c>
      <c r="E161" s="31">
        <v>34</v>
      </c>
      <c r="F161" s="52" t="s">
        <v>95</v>
      </c>
      <c r="G161" s="14">
        <v>2.5</v>
      </c>
      <c r="H161" s="14">
        <v>1.5</v>
      </c>
      <c r="I161" s="20">
        <v>2666.6666666666665</v>
      </c>
      <c r="J161" s="28">
        <v>2528</v>
      </c>
      <c r="K161" s="55" t="s">
        <v>84</v>
      </c>
      <c r="L161" s="55"/>
      <c r="M161" s="33">
        <v>2006</v>
      </c>
    </row>
    <row r="162" spans="1:13">
      <c r="A162" s="11" t="s">
        <v>91</v>
      </c>
      <c r="B162" s="34" t="s">
        <v>14</v>
      </c>
      <c r="C162" s="52">
        <f>J162/I162</f>
        <v>0.49912500000000004</v>
      </c>
      <c r="D162" s="31">
        <v>12</v>
      </c>
      <c r="E162" s="31">
        <v>22</v>
      </c>
      <c r="F162" s="52" t="s">
        <v>96</v>
      </c>
      <c r="G162" s="14">
        <v>2.5</v>
      </c>
      <c r="H162" s="14">
        <v>1.5</v>
      </c>
      <c r="I162" s="20">
        <v>2666.6666666666665</v>
      </c>
      <c r="J162" s="28">
        <v>1331</v>
      </c>
      <c r="K162" s="55" t="s">
        <v>84</v>
      </c>
      <c r="L162" s="55"/>
      <c r="M162" s="33">
        <v>2006</v>
      </c>
    </row>
    <row r="163" spans="1:13" ht="27.6">
      <c r="A163" s="8" t="s">
        <v>97</v>
      </c>
      <c r="B163" s="8"/>
      <c r="C163" s="17">
        <f>SUM(C164:C171)</f>
        <v>18.738374459913587</v>
      </c>
      <c r="D163" s="8"/>
      <c r="E163" s="8"/>
      <c r="F163" s="8"/>
      <c r="G163" s="8"/>
      <c r="H163" s="8"/>
      <c r="I163" s="8"/>
      <c r="J163" s="17">
        <f>SUM(J164:J171)</f>
        <v>31788.666666666668</v>
      </c>
      <c r="K163" s="9"/>
      <c r="L163" s="9"/>
      <c r="M163" s="51"/>
    </row>
    <row r="164" spans="1:13" ht="27.6">
      <c r="A164" s="11" t="s">
        <v>97</v>
      </c>
      <c r="B164" s="31" t="s">
        <v>4</v>
      </c>
      <c r="C164" s="52">
        <f>J164/I164</f>
        <v>1.6200000000000001</v>
      </c>
      <c r="D164" s="31">
        <v>3</v>
      </c>
      <c r="E164" s="31">
        <v>25</v>
      </c>
      <c r="F164" s="53" t="inlineStr">
        <is>
          <t>55 to 79</t>
        </is>
      </c>
      <c r="G164" s="14">
        <v>3</v>
      </c>
      <c r="H164" s="14">
        <v>2</v>
      </c>
      <c r="I164" s="20">
        <f>10000/3/2</f>
        <v>1666.6666666666667</v>
      </c>
      <c r="J164" s="28">
        <v>2700.0000000000005</v>
      </c>
      <c r="K164" s="55"/>
      <c r="L164" s="56"/>
      <c r="M164" s="33">
        <v>1996</v>
      </c>
    </row>
    <row r="165" spans="1:13" ht="27.6">
      <c r="A165" s="11" t="s">
        <v>97</v>
      </c>
      <c r="B165" s="31" t="s">
        <v>14</v>
      </c>
      <c r="C165" s="52">
        <f>J165/I165</f>
        <v>2.5649999999999999</v>
      </c>
      <c r="D165" s="31" t="inlineStr">
        <is>
          <t>4 &amp; 5</t>
        </is>
      </c>
      <c r="E165" s="31">
        <v>44</v>
      </c>
      <c r="F165" s="31" t="inlineStr">
        <is>
          <t>80 to 101</t>
        </is>
      </c>
      <c r="G165" s="14">
        <v>3</v>
      </c>
      <c r="H165" s="14">
        <v>2</v>
      </c>
      <c r="I165" s="20">
        <f>10000/3/2</f>
        <v>1666.6666666666667</v>
      </c>
      <c r="J165" s="28">
        <v>4275</v>
      </c>
      <c r="K165" s="55"/>
      <c r="L165" s="55"/>
      <c r="M165" s="33" t="inlineStr">
        <is>
          <t>1996 and 1995</t>
        </is>
      </c>
    </row>
    <row r="166" spans="1:13" ht="27.6">
      <c r="A166" s="11" t="s">
        <v>97</v>
      </c>
      <c r="B166" s="31" t="s">
        <v>2</v>
      </c>
      <c r="C166" s="52">
        <f>J166/I166</f>
        <v>2.9329999999999998</v>
      </c>
      <c r="D166" s="31" t="inlineStr">
        <is>
          <t>6 &amp; 7 </t>
        </is>
      </c>
      <c r="E166" s="31">
        <v>51</v>
      </c>
      <c r="F166" s="31" t="inlineStr">
        <is>
          <t>102 to 130</t>
        </is>
      </c>
      <c r="G166" s="14">
        <v>3</v>
      </c>
      <c r="H166" s="14">
        <v>2</v>
      </c>
      <c r="I166" s="20">
        <f>10000/3/2</f>
        <v>1666.6666666666667</v>
      </c>
      <c r="J166" s="28">
        <v>4888.333333333333</v>
      </c>
      <c r="K166" s="55"/>
      <c r="L166" s="55"/>
      <c r="M166" s="33" t="s">
        <v>98</v>
      </c>
    </row>
    <row r="167" spans="1:13" ht="27.6">
      <c r="A167" s="11" t="s">
        <v>97</v>
      </c>
      <c r="B167" s="31" t="s">
        <v>2</v>
      </c>
      <c r="C167" s="52">
        <f>J167/I167</f>
        <v>2.3700000000000001</v>
      </c>
      <c r="D167" s="31" t="inlineStr">
        <is>
          <t>8 &amp;9</t>
        </is>
      </c>
      <c r="E167" s="31">
        <v>49</v>
      </c>
      <c r="F167" s="31" t="inlineStr">
        <is>
          <t>131 to 151</t>
        </is>
      </c>
      <c r="G167" s="14">
        <v>3</v>
      </c>
      <c r="H167" s="14">
        <v>2</v>
      </c>
      <c r="I167" s="20">
        <f>10000/3/2</f>
        <v>1666.6666666666667</v>
      </c>
      <c r="J167" s="28">
        <v>3950.0000000000005</v>
      </c>
      <c r="K167" s="55"/>
      <c r="L167" s="55"/>
      <c r="M167" s="33">
        <v>1997</v>
      </c>
    </row>
    <row r="168" spans="1:13" ht="27.6">
      <c r="A168" s="11" t="s">
        <v>97</v>
      </c>
      <c r="B168" s="31" t="s">
        <v>8</v>
      </c>
      <c r="C168" s="52">
        <f>J168/I168</f>
        <v>1.3899999999999999</v>
      </c>
      <c r="D168" s="31">
        <v>10</v>
      </c>
      <c r="E168" s="31">
        <v>30</v>
      </c>
      <c r="F168" s="31" t="inlineStr">
        <is>
          <t>152 to 185</t>
        </is>
      </c>
      <c r="G168" s="14">
        <v>3</v>
      </c>
      <c r="H168" s="14">
        <v>2</v>
      </c>
      <c r="I168" s="20">
        <f>10000/3/2</f>
        <v>1666.6666666666667</v>
      </c>
      <c r="J168" s="28">
        <v>2316.6666666666665</v>
      </c>
      <c r="K168" s="55"/>
      <c r="L168" s="55"/>
      <c r="M168" s="33">
        <v>1996</v>
      </c>
    </row>
    <row r="169" spans="1:13" ht="27.6">
      <c r="A169" s="11" t="s">
        <v>97</v>
      </c>
      <c r="B169" s="34" t="s">
        <v>33</v>
      </c>
      <c r="C169" s="52">
        <f>J169/I169</f>
        <v>5.8799999999999999</v>
      </c>
      <c r="D169" s="31" t="inlineStr">
        <is>
          <t>11&amp; 12&amp; 13</t>
        </is>
      </c>
      <c r="E169" s="31">
        <v>61</v>
      </c>
      <c r="F169" s="31" t="inlineStr">
        <is>
          <t>182 to 243</t>
        </is>
      </c>
      <c r="G169" s="14">
        <v>3</v>
      </c>
      <c r="H169" s="14">
        <v>2</v>
      </c>
      <c r="I169" s="20">
        <f>10000/3/2</f>
        <v>1666.6666666666667</v>
      </c>
      <c r="J169" s="28">
        <v>9800</v>
      </c>
      <c r="K169" s="55"/>
      <c r="L169" s="55"/>
      <c r="M169" s="33" t="s">
        <v>98</v>
      </c>
    </row>
    <row r="170" spans="1:13" ht="27.6">
      <c r="A170" s="11" t="s">
        <v>97</v>
      </c>
      <c r="B170" s="34" t="inlineStr">
        <is>
          <t>Fallow Chard</t>
        </is>
      </c>
      <c r="C170" s="52">
        <f>J170/I170</f>
        <v>1.3403744599135863</v>
      </c>
      <c r="D170" s="31">
        <v>14</v>
      </c>
      <c r="E170" s="31">
        <v>19</v>
      </c>
      <c r="F170" s="31" t="inlineStr">
        <is>
          <t>244 to 262</t>
        </is>
      </c>
      <c r="G170" s="14">
        <v>3</v>
      </c>
      <c r="H170" s="14">
        <v>1.6000000000000001</v>
      </c>
      <c r="I170" s="20">
        <v>2083</v>
      </c>
      <c r="J170" s="28">
        <v>2792</v>
      </c>
      <c r="K170" s="55"/>
      <c r="L170" s="55"/>
      <c r="M170" s="33"/>
    </row>
    <row r="171" spans="1:13" ht="27.6">
      <c r="A171" s="11" t="s">
        <v>97</v>
      </c>
      <c r="B171" s="31" t="s">
        <v>10</v>
      </c>
      <c r="C171" s="52">
        <f>J171/I171</f>
        <v>0.64000000000000001</v>
      </c>
      <c r="D171" s="31">
        <v>15</v>
      </c>
      <c r="E171" s="31">
        <v>12</v>
      </c>
      <c r="F171" s="31" t="inlineStr">
        <is>
          <t>263 to 274</t>
        </is>
      </c>
      <c r="G171" s="14">
        <v>3</v>
      </c>
      <c r="H171" s="14">
        <v>2</v>
      </c>
      <c r="I171" s="20">
        <f>10000/3/2</f>
        <v>1666.6666666666667</v>
      </c>
      <c r="J171" s="28">
        <v>1066.6666666666667</v>
      </c>
      <c r="K171" s="55"/>
      <c r="L171" s="55"/>
      <c r="M171" s="33">
        <v>1998</v>
      </c>
    </row>
    <row r="172" spans="1:13">
      <c r="A172" s="8" t="s">
        <v>99</v>
      </c>
      <c r="B172" s="8"/>
      <c r="C172" s="17">
        <f>SUM(C173:C174)</f>
        <v>3.2555999999999998</v>
      </c>
      <c r="D172" s="8"/>
      <c r="E172" s="8"/>
      <c r="F172" s="8"/>
      <c r="G172" s="8"/>
      <c r="H172" s="8"/>
      <c r="I172" s="8"/>
      <c r="J172" s="17">
        <f>SUM(J173)</f>
        <v>2754</v>
      </c>
      <c r="K172" s="9"/>
      <c r="L172" s="9"/>
      <c r="M172" s="51"/>
    </row>
    <row r="173" spans="1:13">
      <c r="A173" s="11" t="s">
        <v>99</v>
      </c>
      <c r="B173" s="31" t="s">
        <v>14</v>
      </c>
      <c r="C173" s="52">
        <f>J173/I173</f>
        <v>1.6523999999999999</v>
      </c>
      <c r="D173" s="31">
        <v>1</v>
      </c>
      <c r="E173" s="31">
        <v>25</v>
      </c>
      <c r="F173" s="31" t="s">
        <v>72</v>
      </c>
      <c r="G173" s="14">
        <v>3</v>
      </c>
      <c r="H173" s="14">
        <v>2</v>
      </c>
      <c r="I173" s="20">
        <f>10000/3/2</f>
        <v>1666.6666666666667</v>
      </c>
      <c r="J173" s="28">
        <v>2754</v>
      </c>
      <c r="K173" s="55" t="s">
        <v>84</v>
      </c>
      <c r="L173" s="55"/>
      <c r="M173" s="33">
        <v>1998</v>
      </c>
    </row>
    <row r="174" spans="1:13">
      <c r="A174" s="11" t="s">
        <v>99</v>
      </c>
      <c r="B174" s="31" t="s">
        <v>14</v>
      </c>
      <c r="C174" s="52">
        <f>J174/I174</f>
        <v>1.6032</v>
      </c>
      <c r="D174" s="31">
        <v>2</v>
      </c>
      <c r="E174" s="31">
        <v>29</v>
      </c>
      <c r="F174" s="31" t="inlineStr">
        <is>
          <t>26 to 54</t>
        </is>
      </c>
      <c r="G174" s="14">
        <v>3</v>
      </c>
      <c r="H174" s="14">
        <v>2</v>
      </c>
      <c r="I174" s="20">
        <f>10000/3/2</f>
        <v>1666.6666666666667</v>
      </c>
      <c r="J174" s="28">
        <v>2672</v>
      </c>
      <c r="K174" s="55" t="s">
        <v>84</v>
      </c>
      <c r="L174" s="55"/>
      <c r="M174" s="33">
        <v>1998</v>
      </c>
    </row>
    <row r="175" spans="1:13">
      <c r="A175" s="8" t="s">
        <v>39</v>
      </c>
      <c r="B175" s="8"/>
      <c r="C175" s="17">
        <f>SUM(C176:C187)</f>
        <v>13.764499999999998</v>
      </c>
      <c r="D175" s="8"/>
      <c r="E175" s="8"/>
      <c r="F175" s="8"/>
      <c r="G175" s="8"/>
      <c r="H175" s="8"/>
      <c r="I175" s="8"/>
      <c r="J175" s="18">
        <f>SUM(J176:J186)</f>
        <v>23269</v>
      </c>
      <c r="K175" s="9"/>
      <c r="L175" s="9"/>
      <c r="M175" s="51"/>
    </row>
    <row r="176" spans="1:13" ht="20.4">
      <c r="A176" s="11" t="s">
        <v>100</v>
      </c>
      <c r="B176" s="31" t="s">
        <v>30</v>
      </c>
      <c r="C176" s="52">
        <f>J176/I176</f>
        <v>2.1970000000000001</v>
      </c>
      <c r="D176" s="31">
        <v>1</v>
      </c>
      <c r="E176" s="31">
        <v>57</v>
      </c>
      <c r="F176" s="53" t="inlineStr">
        <is>
          <t>1 to 57</t>
        </is>
      </c>
      <c r="G176" s="14">
        <v>2.5</v>
      </c>
      <c r="H176" s="14">
        <v>2</v>
      </c>
      <c r="I176" s="14">
        <v>2000</v>
      </c>
      <c r="J176" s="54">
        <v>4394</v>
      </c>
      <c r="K176" s="55" t="s">
        <v>101</v>
      </c>
      <c r="L176" s="56" t="s">
        <v>102</v>
      </c>
      <c r="M176" s="33">
        <v>2000</v>
      </c>
    </row>
    <row r="177" spans="1:13" ht="20.4">
      <c r="A177" s="11" t="s">
        <v>100</v>
      </c>
      <c r="B177" s="31" t="s">
        <v>14</v>
      </c>
      <c r="C177" s="52">
        <f>J177/I177</f>
        <v>2.3239999999999998</v>
      </c>
      <c r="D177" s="31">
        <v>2</v>
      </c>
      <c r="E177" s="31">
        <f>112-57</f>
        <v>55</v>
      </c>
      <c r="F177" s="31" t="inlineStr">
        <is>
          <t>58-112</t>
        </is>
      </c>
      <c r="G177" s="14">
        <v>2.5</v>
      </c>
      <c r="H177" s="14">
        <v>2</v>
      </c>
      <c r="I177" s="14">
        <v>2000</v>
      </c>
      <c r="J177" s="54">
        <v>4648</v>
      </c>
      <c r="K177" s="55" t="s">
        <v>101</v>
      </c>
      <c r="L177" s="55" t="s">
        <v>102</v>
      </c>
      <c r="M177" s="33">
        <v>2000</v>
      </c>
    </row>
    <row r="178" spans="1:13" ht="20.4">
      <c r="A178" s="11" t="s">
        <v>100</v>
      </c>
      <c r="B178" s="31" t="s">
        <v>14</v>
      </c>
      <c r="C178" s="52">
        <f>J178/I178</f>
        <v>1.702</v>
      </c>
      <c r="D178" s="31">
        <v>3</v>
      </c>
      <c r="E178" s="31">
        <f>151-112</f>
        <v>39</v>
      </c>
      <c r="F178" s="31" t="inlineStr">
        <is>
          <t>113-151</t>
        </is>
      </c>
      <c r="G178" s="14">
        <v>2.5</v>
      </c>
      <c r="H178" s="14">
        <v>2</v>
      </c>
      <c r="I178" s="14">
        <v>2000</v>
      </c>
      <c r="J178" s="54">
        <v>3404</v>
      </c>
      <c r="K178" s="55" t="s">
        <v>101</v>
      </c>
      <c r="L178" s="55" t="inlineStr">
        <is>
          <t>MossW </t>
        </is>
      </c>
      <c r="M178" s="33">
        <v>2000</v>
      </c>
    </row>
    <row r="179" spans="1:13">
      <c r="A179" s="11" t="s">
        <v>100</v>
      </c>
      <c r="B179" s="31" t="s">
        <v>14</v>
      </c>
      <c r="C179" s="52">
        <f>J179/I179</f>
        <v>0</v>
      </c>
      <c r="D179" s="31">
        <v>4</v>
      </c>
      <c r="E179" s="31">
        <v>10</v>
      </c>
      <c r="F179" s="31" t="inlineStr">
        <is>
          <t>70-79</t>
        </is>
      </c>
      <c r="G179" s="14">
        <v>2.5</v>
      </c>
      <c r="H179" s="14">
        <v>2</v>
      </c>
      <c r="I179" s="14">
        <v>2000</v>
      </c>
      <c r="J179" s="54"/>
      <c r="K179" s="55">
        <v>337</v>
      </c>
      <c r="L179" s="55">
        <v>337</v>
      </c>
      <c r="M179" s="33">
        <v>2000</v>
      </c>
    </row>
    <row r="180" spans="1:13">
      <c r="A180" s="11" t="s">
        <v>100</v>
      </c>
      <c r="B180" s="31" t="s">
        <v>32</v>
      </c>
      <c r="C180" s="52">
        <f>J180/I180</f>
        <v>0.80300000000000005</v>
      </c>
      <c r="D180" s="31">
        <v>4</v>
      </c>
      <c r="E180" s="31">
        <v>11</v>
      </c>
      <c r="F180" s="31" t="inlineStr">
        <is>
          <t>59-69</t>
        </is>
      </c>
      <c r="G180" s="14">
        <v>2.5</v>
      </c>
      <c r="H180" s="14">
        <v>2</v>
      </c>
      <c r="I180" s="14">
        <v>2000</v>
      </c>
      <c r="J180" s="54">
        <v>1606</v>
      </c>
      <c r="K180" s="55"/>
      <c r="L180" s="55" t="inlineStr">
        <is>
          <t>Own</t>
        </is>
      </c>
      <c r="M180" s="33">
        <v>2016</v>
      </c>
    </row>
    <row r="181" spans="1:13">
      <c r="A181" s="11" t="s">
        <v>100</v>
      </c>
      <c r="B181" s="31" t="s">
        <v>32</v>
      </c>
      <c r="C181" s="52">
        <f>J181/I181</f>
        <v>0.48449999999999999</v>
      </c>
      <c r="D181" s="31">
        <v>5</v>
      </c>
      <c r="E181" s="31">
        <v>8</v>
      </c>
      <c r="F181" s="31" t="inlineStr">
        <is>
          <t>51-58</t>
        </is>
      </c>
      <c r="G181" s="14">
        <v>2.5</v>
      </c>
      <c r="H181" s="14">
        <v>2</v>
      </c>
      <c r="I181" s="14">
        <v>2000</v>
      </c>
      <c r="J181" s="54">
        <v>969</v>
      </c>
      <c r="K181" s="55"/>
      <c r="L181" s="55" t="s">
        <v>103</v>
      </c>
      <c r="M181" s="33">
        <v>2000</v>
      </c>
    </row>
    <row r="182" spans="1:13">
      <c r="A182" s="11" t="s">
        <v>100</v>
      </c>
      <c r="B182" s="31" t="s">
        <v>27</v>
      </c>
      <c r="C182" s="52">
        <f>J182/I182</f>
        <v>0.72899999999999998</v>
      </c>
      <c r="D182" s="31">
        <v>6</v>
      </c>
      <c r="E182" s="31">
        <f>50-31</f>
        <v>19</v>
      </c>
      <c r="F182" s="31" t="inlineStr">
        <is>
          <t>32-50</t>
        </is>
      </c>
      <c r="G182" s="14">
        <v>2.5</v>
      </c>
      <c r="H182" s="14">
        <v>2</v>
      </c>
      <c r="I182" s="14">
        <v>2000</v>
      </c>
      <c r="J182" s="54">
        <v>1458</v>
      </c>
      <c r="K182" s="55" t="s">
        <v>103</v>
      </c>
      <c r="L182" s="55" t="s">
        <v>103</v>
      </c>
      <c r="M182" s="33">
        <v>2000</v>
      </c>
    </row>
    <row r="183" spans="1:13">
      <c r="A183" s="11" t="s">
        <v>100</v>
      </c>
      <c r="B183" s="31" t="inlineStr">
        <is>
          <t>Malbec (Graft)</t>
        </is>
      </c>
      <c r="C183" s="52">
        <f>J183/I183</f>
        <v>0.39550000000000002</v>
      </c>
      <c r="D183" s="31">
        <v>5</v>
      </c>
      <c r="E183" s="31">
        <f>31-21</f>
        <v>10</v>
      </c>
      <c r="F183" s="31" t="inlineStr">
        <is>
          <t>22-31</t>
        </is>
      </c>
      <c r="G183" s="14">
        <v>2.5</v>
      </c>
      <c r="H183" s="14">
        <v>2</v>
      </c>
      <c r="I183" s="14">
        <v>2000</v>
      </c>
      <c r="J183" s="54">
        <v>791</v>
      </c>
      <c r="K183" s="55" t="s">
        <v>103</v>
      </c>
      <c r="L183" s="55" t="s">
        <v>103</v>
      </c>
      <c r="M183" s="33">
        <v>2000</v>
      </c>
    </row>
    <row r="184" spans="1:13">
      <c r="A184" s="11" t="s">
        <v>100</v>
      </c>
      <c r="B184" s="31" t="s">
        <v>29</v>
      </c>
      <c r="C184" s="52">
        <f>J184/I184</f>
        <v>0.51400000000000001</v>
      </c>
      <c r="D184" s="31">
        <v>7</v>
      </c>
      <c r="E184" s="57">
        <v>21</v>
      </c>
      <c r="F184" s="52" t="s">
        <v>63</v>
      </c>
      <c r="G184" s="14">
        <v>2.5</v>
      </c>
      <c r="H184" s="14">
        <v>2</v>
      </c>
      <c r="I184" s="14">
        <v>2000</v>
      </c>
      <c r="J184" s="54">
        <v>1028</v>
      </c>
      <c r="K184" s="55" t="s">
        <v>103</v>
      </c>
      <c r="L184" s="55" t="s">
        <v>103</v>
      </c>
      <c r="M184" s="33">
        <v>2000</v>
      </c>
    </row>
    <row r="185" spans="1:13">
      <c r="A185" s="11" t="s">
        <v>100</v>
      </c>
      <c r="B185" s="31" t="s">
        <v>33</v>
      </c>
      <c r="C185" s="52">
        <f>J185/I185</f>
        <v>2.0659999999999998</v>
      </c>
      <c r="D185" s="31">
        <v>8</v>
      </c>
      <c r="E185" s="31">
        <v>73</v>
      </c>
      <c r="F185" s="31" t="s">
        <v>96</v>
      </c>
      <c r="G185" s="14">
        <v>2.5</v>
      </c>
      <c r="H185" s="14">
        <v>2</v>
      </c>
      <c r="I185" s="14">
        <v>2000</v>
      </c>
      <c r="J185" s="54">
        <v>4132</v>
      </c>
      <c r="K185" s="58">
        <v>76</v>
      </c>
      <c r="L185" s="58">
        <v>76</v>
      </c>
      <c r="M185" s="33">
        <v>2000</v>
      </c>
    </row>
    <row r="186" spans="1:13">
      <c r="A186" s="11" t="s">
        <v>100</v>
      </c>
      <c r="B186" s="31" t="s">
        <v>25</v>
      </c>
      <c r="C186" s="52">
        <f>J186/I186</f>
        <v>0.41949999999999998</v>
      </c>
      <c r="D186" s="31">
        <v>9</v>
      </c>
      <c r="E186" s="31">
        <f>84-73</f>
        <v>11</v>
      </c>
      <c r="F186" s="31" t="inlineStr">
        <is>
          <t>74 to 84</t>
        </is>
      </c>
      <c r="G186" s="14">
        <v>2.5</v>
      </c>
      <c r="H186" s="14">
        <v>2</v>
      </c>
      <c r="I186" s="14">
        <v>2000</v>
      </c>
      <c r="J186" s="54">
        <v>839</v>
      </c>
      <c r="K186" s="55" t="s">
        <v>103</v>
      </c>
      <c r="L186" s="55" t="s">
        <v>103</v>
      </c>
      <c r="M186" s="33">
        <v>2000</v>
      </c>
    </row>
    <row r="187" spans="1:13">
      <c r="A187" s="11" t="s">
        <v>100</v>
      </c>
      <c r="B187" s="31" t="s">
        <v>33</v>
      </c>
      <c r="C187" s="52">
        <f>J187/I187</f>
        <v>2.1299999999999999</v>
      </c>
      <c r="D187" s="31">
        <v>15</v>
      </c>
      <c r="E187" s="31">
        <v>43</v>
      </c>
      <c r="F187" s="31" t="inlineStr">
        <is>
          <t>85 to 127</t>
        </is>
      </c>
      <c r="G187" s="14">
        <v>2.5</v>
      </c>
      <c r="H187" s="14">
        <v>2</v>
      </c>
      <c r="I187" s="14">
        <v>2000</v>
      </c>
      <c r="J187" s="54">
        <v>4260</v>
      </c>
      <c r="K187" s="55" t="s">
        <v>35</v>
      </c>
      <c r="L187" s="55" t="s">
        <v>35</v>
      </c>
      <c r="M187" s="33">
        <v>2000</v>
      </c>
    </row>
    <row r="188" spans="1:13" ht="27.6">
      <c r="A188" s="8" t="inlineStr">
        <is>
          <t>Vintage Unit (Maggies Farm)</t>
        </is>
      </c>
      <c r="B188" s="8"/>
      <c r="C188" s="17">
        <f>SUM(C189:C191)</f>
        <v>9.220788466707468</v>
      </c>
      <c r="D188" s="8"/>
      <c r="E188" s="8"/>
      <c r="F188" s="8"/>
      <c r="G188" s="8"/>
      <c r="H188" s="8"/>
      <c r="I188" s="8"/>
      <c r="J188" s="18">
        <f>SUM(J189:J191)</f>
        <v>14081</v>
      </c>
      <c r="K188" s="9"/>
      <c r="L188" s="9"/>
      <c r="M188" s="10"/>
    </row>
    <row r="189" spans="1:13">
      <c r="A189" s="11" t="s">
        <v>104</v>
      </c>
      <c r="B189" s="34" t="s">
        <v>8</v>
      </c>
      <c r="C189" s="13">
        <f>J189/I189</f>
        <v>2.9587123862841147</v>
      </c>
      <c r="D189" s="14">
        <v>1</v>
      </c>
      <c r="E189" s="14">
        <v>56</v>
      </c>
      <c r="F189" s="14" t="inlineStr">
        <is>
          <t>1 to 56</t>
        </is>
      </c>
      <c r="G189" s="14">
        <v>3.5</v>
      </c>
      <c r="H189" s="14">
        <v>2</v>
      </c>
      <c r="I189" s="14">
        <v>1429</v>
      </c>
      <c r="J189" s="28">
        <v>4228</v>
      </c>
      <c r="K189" s="21"/>
      <c r="L189" s="21"/>
      <c r="M189" s="22">
        <v>1996</v>
      </c>
    </row>
    <row r="190" spans="1:13">
      <c r="A190" s="11" t="s">
        <v>104</v>
      </c>
      <c r="B190" s="34" t="s">
        <v>2</v>
      </c>
      <c r="C190" s="13">
        <f>J190/I190</f>
        <v>3.728481455563331</v>
      </c>
      <c r="D190" s="14">
        <v>2</v>
      </c>
      <c r="E190" s="14">
        <v>50</v>
      </c>
      <c r="F190" s="14" t="inlineStr">
        <is>
          <t>1 to 50</t>
        </is>
      </c>
      <c r="G190" s="14">
        <v>3.5</v>
      </c>
      <c r="H190" s="14">
        <v>2</v>
      </c>
      <c r="I190" s="14">
        <v>1429</v>
      </c>
      <c r="J190" s="28">
        <v>5328</v>
      </c>
      <c r="K190" s="21"/>
      <c r="L190" s="21"/>
      <c r="M190" s="22">
        <v>1996</v>
      </c>
    </row>
    <row r="191" spans="1:13" ht="41.4">
      <c r="A191" s="11" t="s">
        <v>104</v>
      </c>
      <c r="B191" s="34" t="s">
        <v>33</v>
      </c>
      <c r="C191" s="13">
        <f>J191/I191</f>
        <v>2.5335946248600223</v>
      </c>
      <c r="D191" s="14">
        <v>3</v>
      </c>
      <c r="E191" s="14">
        <v>62</v>
      </c>
      <c r="F191" s="14" t="inlineStr">
        <is>
          <t>1 to 62</t>
        </is>
      </c>
      <c r="G191" s="14">
        <v>3.5</v>
      </c>
      <c r="H191" s="14">
        <v>1.6000000000000001</v>
      </c>
      <c r="I191" s="14">
        <v>1786</v>
      </c>
      <c r="J191" s="28">
        <v>4525</v>
      </c>
      <c r="K191" s="21" t="s">
        <v>35</v>
      </c>
      <c r="L191" s="21" t="inlineStr">
        <is>
          <t>Cullens- Treeton/ ARM</t>
        </is>
      </c>
      <c r="M191" s="22">
        <v>2019</v>
      </c>
    </row>
    <row r="192" spans="1:13">
      <c r="A192" s="8" t="s">
        <v>18</v>
      </c>
      <c r="B192" s="8"/>
      <c r="C192" s="17">
        <f>SUM(C193:C199)</f>
        <v>4.1860799999999996</v>
      </c>
      <c r="D192" s="8"/>
      <c r="E192" s="8"/>
      <c r="F192" s="8"/>
      <c r="G192" s="8"/>
      <c r="H192" s="8"/>
      <c r="I192" s="8"/>
      <c r="J192" s="18">
        <f>SUM(J193:J199)</f>
        <v>7351</v>
      </c>
      <c r="K192" s="9"/>
      <c r="L192" s="9"/>
      <c r="M192" s="51"/>
    </row>
    <row r="193" spans="1:13">
      <c r="A193" s="11" t="s">
        <v>18</v>
      </c>
      <c r="B193" s="14" t="s">
        <v>32</v>
      </c>
      <c r="C193" s="13">
        <f>J193/I193</f>
        <v>0.15479999999999999</v>
      </c>
      <c r="D193" s="14">
        <v>1</v>
      </c>
      <c r="E193" s="14">
        <v>5</v>
      </c>
      <c r="F193" s="14" t="s">
        <v>71</v>
      </c>
      <c r="G193" s="14">
        <v>3</v>
      </c>
      <c r="H193" s="14">
        <v>2</v>
      </c>
      <c r="I193" s="20">
        <f>10000/G193/H193</f>
        <v>1666.6666666666667</v>
      </c>
      <c r="J193" s="14">
        <v>258</v>
      </c>
      <c r="K193" s="59"/>
      <c r="L193" s="59"/>
      <c r="M193" s="60">
        <v>1998</v>
      </c>
    </row>
    <row r="194" spans="1:13">
      <c r="A194" s="11" t="s">
        <v>18</v>
      </c>
      <c r="B194" s="14" t="s">
        <v>29</v>
      </c>
      <c r="C194" s="13">
        <f>J194/I194</f>
        <v>0.15359999999999999</v>
      </c>
      <c r="D194" s="14">
        <v>2</v>
      </c>
      <c r="E194" s="14">
        <v>5</v>
      </c>
      <c r="F194" s="14" t="inlineStr">
        <is>
          <t>6 to 10</t>
        </is>
      </c>
      <c r="G194" s="14">
        <v>3</v>
      </c>
      <c r="H194" s="14">
        <v>2</v>
      </c>
      <c r="I194" s="20">
        <f>10000/G194/H194</f>
        <v>1666.6666666666667</v>
      </c>
      <c r="J194" s="14">
        <v>256</v>
      </c>
      <c r="K194" s="59"/>
      <c r="L194" s="59"/>
      <c r="M194" s="60">
        <v>1998</v>
      </c>
    </row>
    <row r="195" spans="1:13" ht="41.4">
      <c r="A195" s="11" t="s">
        <v>18</v>
      </c>
      <c r="B195" s="14" t="s">
        <v>14</v>
      </c>
      <c r="C195" s="13">
        <f>J195/I195</f>
        <v>0.98819999999999997</v>
      </c>
      <c r="D195" s="14" t="inlineStr">
        <is>
          <t>3, 6 and 6</t>
        </is>
      </c>
      <c r="E195" s="14">
        <v>50</v>
      </c>
      <c r="F195" s="14" t="inlineStr">
        <is>
          <t>11 to 33 &amp; 41 to 67</t>
        </is>
      </c>
      <c r="G195" s="14">
        <v>3</v>
      </c>
      <c r="H195" s="14">
        <v>2</v>
      </c>
      <c r="I195" s="20">
        <f>10000/G195/H195</f>
        <v>1666.6666666666667</v>
      </c>
      <c r="J195" s="14">
        <v>1647</v>
      </c>
      <c r="K195" s="59"/>
      <c r="L195" s="59"/>
      <c r="M195" s="60">
        <v>1998</v>
      </c>
    </row>
    <row r="196" spans="1:13">
      <c r="A196" s="11" t="s">
        <v>18</v>
      </c>
      <c r="B196" s="14" t="s">
        <v>27</v>
      </c>
      <c r="C196" s="13">
        <f>J196/I196</f>
        <v>0.14579999999999999</v>
      </c>
      <c r="D196" s="14">
        <v>4</v>
      </c>
      <c r="E196" s="14">
        <v>7</v>
      </c>
      <c r="F196" s="14" t="inlineStr">
        <is>
          <t>34 to 40</t>
        </is>
      </c>
      <c r="G196" s="14">
        <v>3</v>
      </c>
      <c r="H196" s="14">
        <v>2</v>
      </c>
      <c r="I196" s="20">
        <f>10000/G196/H196</f>
        <v>1666.6666666666667</v>
      </c>
      <c r="J196" s="14">
        <v>243</v>
      </c>
      <c r="K196" s="59"/>
      <c r="L196" s="59"/>
      <c r="M196" s="60">
        <v>1998</v>
      </c>
    </row>
    <row r="197" spans="1:13">
      <c r="A197" s="11" t="s">
        <v>18</v>
      </c>
      <c r="B197" s="14" t="s">
        <v>14</v>
      </c>
      <c r="C197" s="13">
        <f>J197/I197</f>
        <v>1.3901999999999999</v>
      </c>
      <c r="D197" s="14" t="inlineStr">
        <is>
          <t>7 &amp;8</t>
        </is>
      </c>
      <c r="E197" s="14">
        <v>34</v>
      </c>
      <c r="F197" s="14" t="s">
        <v>95</v>
      </c>
      <c r="G197" s="14">
        <v>3</v>
      </c>
      <c r="H197" s="14">
        <v>2</v>
      </c>
      <c r="I197" s="20">
        <f>10000/G197/H197</f>
        <v>1666.6666666666667</v>
      </c>
      <c r="J197" s="14">
        <v>2317</v>
      </c>
      <c r="K197" s="59"/>
      <c r="L197" s="59"/>
      <c r="M197" s="60">
        <v>1998</v>
      </c>
    </row>
    <row r="198" spans="1:13">
      <c r="A198" s="11" t="s">
        <v>18</v>
      </c>
      <c r="B198" s="14" t="s">
        <v>4</v>
      </c>
      <c r="C198" s="13">
        <f>J198/I198</f>
        <v>0.45539999999999997</v>
      </c>
      <c r="D198" s="14">
        <v>9</v>
      </c>
      <c r="E198" s="14">
        <v>12</v>
      </c>
      <c r="F198" s="14" t="inlineStr">
        <is>
          <t>35 to 46</t>
        </is>
      </c>
      <c r="G198" s="14">
        <v>3</v>
      </c>
      <c r="H198" s="14">
        <v>2</v>
      </c>
      <c r="I198" s="20">
        <f>10000/G198/H198</f>
        <v>1666.6666666666667</v>
      </c>
      <c r="J198" s="11">
        <v>759</v>
      </c>
      <c r="K198" s="59"/>
      <c r="L198" s="59"/>
      <c r="M198" s="60">
        <v>1998</v>
      </c>
    </row>
    <row r="199" spans="1:13">
      <c r="A199" s="11" t="s">
        <v>18</v>
      </c>
      <c r="B199" s="14" t="s">
        <v>33</v>
      </c>
      <c r="C199" s="13">
        <f>J199/I199</f>
        <v>0.89807999999999999</v>
      </c>
      <c r="D199" s="14">
        <v>10</v>
      </c>
      <c r="E199" s="14">
        <v>23</v>
      </c>
      <c r="F199" s="14" t="inlineStr">
        <is>
          <t>47 to 69</t>
        </is>
      </c>
      <c r="G199" s="14">
        <v>3</v>
      </c>
      <c r="H199" s="14">
        <v>1.6000000000000001</v>
      </c>
      <c r="I199" s="20">
        <f>10000/G199/H199</f>
        <v>2083.3333333333335</v>
      </c>
      <c r="J199" s="14">
        <v>1871</v>
      </c>
      <c r="K199" s="59"/>
      <c r="L199" s="59"/>
      <c r="M199" s="60">
        <v>1998</v>
      </c>
    </row>
    <row r="200" spans="1:13" ht="41.4">
      <c r="A200" s="8" t="inlineStr">
        <is>
          <t>Wilyabrup Investments (Di Latte/ Cheeky Monkey)</t>
        </is>
      </c>
      <c r="B200" s="8"/>
      <c r="C200" s="8">
        <f>SUM(C201:C202)</f>
        <v>3.7800000000000002</v>
      </c>
      <c r="D200" s="8"/>
      <c r="E200" s="8"/>
      <c r="F200" s="8"/>
      <c r="G200" s="8"/>
      <c r="H200" s="8"/>
      <c r="I200" s="8"/>
      <c r="J200" s="8">
        <f>SUM(J201:J202)</f>
        <v>7499.5200000000004</v>
      </c>
      <c r="K200" s="9"/>
      <c r="L200" s="9"/>
      <c r="M200" s="10"/>
    </row>
    <row r="201" spans="1:13">
      <c r="A201" s="11" t="s">
        <v>105</v>
      </c>
      <c r="B201" s="34" t="s">
        <v>14</v>
      </c>
      <c r="C201" s="13">
        <v>3.1200000000000001</v>
      </c>
      <c r="D201" s="14">
        <v>1</v>
      </c>
      <c r="E201" s="14"/>
      <c r="F201" s="14"/>
      <c r="G201" s="14">
        <v>2.7999999999999998</v>
      </c>
      <c r="H201" s="14">
        <v>1.8</v>
      </c>
      <c r="I201" s="14">
        <v>1984</v>
      </c>
      <c r="J201" s="28">
        <f>C201*I201</f>
        <v>6190.0799999999999</v>
      </c>
      <c r="K201" s="21"/>
      <c r="L201" s="21"/>
      <c r="M201" s="22"/>
    </row>
    <row r="202" spans="1:13">
      <c r="A202" s="11" t="s">
        <v>105</v>
      </c>
      <c r="B202" s="34" t="s">
        <v>33</v>
      </c>
      <c r="C202" s="13">
        <v>0.66000000000000003</v>
      </c>
      <c r="D202" s="36">
        <v>2</v>
      </c>
      <c r="E202" s="36"/>
      <c r="F202" s="36"/>
      <c r="G202" s="36">
        <v>3</v>
      </c>
      <c r="H202" s="36">
        <v>2</v>
      </c>
      <c r="I202" s="14">
        <v>1984</v>
      </c>
      <c r="J202" s="28">
        <f>C202*I202</f>
        <v>1309.4400000000001</v>
      </c>
      <c r="K202" s="23"/>
      <c r="L202" s="23"/>
      <c r="M202" s="24"/>
    </row>
    <row r="203" spans="1:13">
      <c r="A203" s="8" t="s">
        <v>106</v>
      </c>
      <c r="B203" s="8"/>
      <c r="C203" s="17">
        <f>SUM(C204:C218)</f>
        <v>9.4100000000000001</v>
      </c>
      <c r="D203" s="8"/>
      <c r="E203" s="8"/>
      <c r="F203" s="8"/>
      <c r="G203" s="8"/>
      <c r="H203" s="8"/>
      <c r="I203" s="8"/>
      <c r="J203" s="18">
        <f>SUM(J204:J218)</f>
        <v>16642</v>
      </c>
      <c r="K203" s="9"/>
      <c r="L203" s="9"/>
      <c r="M203" s="51"/>
    </row>
    <row r="204" spans="1:13">
      <c r="A204" s="11" t="s">
        <v>106</v>
      </c>
      <c r="B204" s="34" t="s">
        <v>14</v>
      </c>
      <c r="C204" s="61">
        <v>1.3100000000000001</v>
      </c>
      <c r="D204" s="62">
        <v>1</v>
      </c>
      <c r="E204" s="63">
        <v>44</v>
      </c>
      <c r="F204" s="63" t="inlineStr">
        <is>
          <t>1-44</t>
        </is>
      </c>
      <c r="G204" s="62">
        <v>3.2999999999999998</v>
      </c>
      <c r="H204" s="62">
        <v>2</v>
      </c>
      <c r="I204" s="20">
        <f>10000/G204/H204</f>
        <v>1515.1515151515152</v>
      </c>
      <c r="J204" s="61">
        <v>2216</v>
      </c>
      <c r="K204" s="21"/>
      <c r="L204" s="21"/>
      <c r="M204" s="22"/>
    </row>
    <row r="205" spans="1:13">
      <c r="A205" s="11" t="s">
        <v>106</v>
      </c>
      <c r="B205" s="34" t="s">
        <v>29</v>
      </c>
      <c r="C205" s="61">
        <v>0.39000000000000001</v>
      </c>
      <c r="D205" s="62">
        <v>2</v>
      </c>
      <c r="E205" s="63">
        <v>6</v>
      </c>
      <c r="F205" s="63" t="inlineStr">
        <is>
          <t>1-6</t>
        </is>
      </c>
      <c r="G205" s="62">
        <v>3.2999999999999998</v>
      </c>
      <c r="H205" s="62">
        <v>2</v>
      </c>
      <c r="I205" s="20">
        <f>10000/G205/H205</f>
        <v>1515.1515151515152</v>
      </c>
      <c r="J205" s="61">
        <v>307</v>
      </c>
      <c r="K205" s="21"/>
      <c r="L205" s="21"/>
      <c r="M205" s="22"/>
    </row>
    <row r="206" spans="1:13">
      <c r="A206" s="11" t="s">
        <v>106</v>
      </c>
      <c r="B206" s="34" t="s">
        <v>14</v>
      </c>
      <c r="C206" s="61">
        <v>0.45000000000000001</v>
      </c>
      <c r="D206" s="62">
        <v>3</v>
      </c>
      <c r="E206" s="63">
        <v>12</v>
      </c>
      <c r="F206" s="63" t="inlineStr">
        <is>
          <t>7-18</t>
        </is>
      </c>
      <c r="G206" s="62">
        <v>3.2999999999999998</v>
      </c>
      <c r="H206" s="62">
        <v>2</v>
      </c>
      <c r="I206" s="20">
        <f>10000/G206/H206</f>
        <v>1515.1515151515152</v>
      </c>
      <c r="J206" s="61">
        <v>720</v>
      </c>
      <c r="K206" s="21"/>
      <c r="L206" s="21"/>
      <c r="M206" s="22"/>
    </row>
    <row r="207" spans="1:13">
      <c r="A207" s="11" t="s">
        <v>106</v>
      </c>
      <c r="B207" s="34" t="s">
        <v>4</v>
      </c>
      <c r="C207" s="61">
        <v>0.14999999999999999</v>
      </c>
      <c r="D207" s="62">
        <v>4</v>
      </c>
      <c r="E207" s="63">
        <v>4</v>
      </c>
      <c r="F207" s="63" t="inlineStr">
        <is>
          <t>19-22</t>
        </is>
      </c>
      <c r="G207" s="62">
        <v>3.2999999999999998</v>
      </c>
      <c r="H207" s="62">
        <v>2</v>
      </c>
      <c r="I207" s="20">
        <f>10000/G207/H207</f>
        <v>1515.1515151515152</v>
      </c>
      <c r="J207" s="61">
        <v>240</v>
      </c>
      <c r="K207" s="21"/>
      <c r="L207" s="21"/>
      <c r="M207" s="22"/>
    </row>
    <row r="208" spans="1:13">
      <c r="A208" s="11" t="s">
        <v>106</v>
      </c>
      <c r="B208" s="34" t="s">
        <v>33</v>
      </c>
      <c r="C208" s="61">
        <v>0.080000000000000002</v>
      </c>
      <c r="D208" s="62">
        <v>5</v>
      </c>
      <c r="E208" s="63">
        <v>2</v>
      </c>
      <c r="F208" s="63" t="inlineStr">
        <is>
          <t>23-24</t>
        </is>
      </c>
      <c r="G208" s="62">
        <v>3.2999999999999998</v>
      </c>
      <c r="H208" s="62">
        <v>2</v>
      </c>
      <c r="I208" s="20">
        <f>10000/G208/H208</f>
        <v>1515.1515151515152</v>
      </c>
      <c r="J208" s="61">
        <v>120</v>
      </c>
      <c r="K208" s="21"/>
      <c r="L208" s="21"/>
      <c r="M208" s="22"/>
    </row>
    <row r="209" spans="1:13">
      <c r="A209" s="11" t="s">
        <v>106</v>
      </c>
      <c r="B209" s="34" t="s">
        <v>4</v>
      </c>
      <c r="C209" s="61">
        <v>0.14999999999999999</v>
      </c>
      <c r="D209" s="62">
        <v>6</v>
      </c>
      <c r="E209" s="63">
        <v>4</v>
      </c>
      <c r="F209" s="63" t="inlineStr">
        <is>
          <t>25-28</t>
        </is>
      </c>
      <c r="G209" s="62">
        <v>3.2999999999999998</v>
      </c>
      <c r="H209" s="62">
        <v>2</v>
      </c>
      <c r="I209" s="20">
        <f>10000/G209/H209</f>
        <v>1515.1515151515152</v>
      </c>
      <c r="J209" s="61">
        <v>240</v>
      </c>
      <c r="K209" s="21"/>
      <c r="L209" s="21"/>
      <c r="M209" s="22"/>
    </row>
    <row r="210" spans="1:13">
      <c r="A210" s="11" t="s">
        <v>106</v>
      </c>
      <c r="B210" s="34" t="s">
        <v>25</v>
      </c>
      <c r="C210" s="61">
        <v>0.14999999999999999</v>
      </c>
      <c r="D210" s="62">
        <v>7</v>
      </c>
      <c r="E210" s="63">
        <v>4</v>
      </c>
      <c r="F210" s="63" t="inlineStr">
        <is>
          <t>29-32</t>
        </is>
      </c>
      <c r="G210" s="62">
        <v>3.2999999999999998</v>
      </c>
      <c r="H210" s="62">
        <v>2</v>
      </c>
      <c r="I210" s="20">
        <f>10000/G210/H210</f>
        <v>1515.1515151515152</v>
      </c>
      <c r="J210" s="61">
        <v>240</v>
      </c>
      <c r="K210" s="21"/>
      <c r="L210" s="21"/>
      <c r="M210" s="22"/>
    </row>
    <row r="211" spans="1:13">
      <c r="A211" s="11" t="s">
        <v>106</v>
      </c>
      <c r="B211" s="34" t="s">
        <v>32</v>
      </c>
      <c r="C211" s="61">
        <v>0.23000000000000001</v>
      </c>
      <c r="D211" s="62">
        <v>8</v>
      </c>
      <c r="E211" s="63">
        <v>8</v>
      </c>
      <c r="F211" s="63" t="inlineStr">
        <is>
          <t>33-40</t>
        </is>
      </c>
      <c r="G211" s="62">
        <v>3.2999999999999998</v>
      </c>
      <c r="H211" s="62">
        <v>2</v>
      </c>
      <c r="I211" s="20">
        <f>10000/G211/H211</f>
        <v>1515.1515151515152</v>
      </c>
      <c r="J211" s="61">
        <v>480</v>
      </c>
      <c r="K211" s="21"/>
      <c r="L211" s="21"/>
      <c r="M211" s="22"/>
    </row>
    <row r="212" spans="1:13">
      <c r="A212" s="11" t="s">
        <v>106</v>
      </c>
      <c r="B212" s="34" t="s">
        <v>14</v>
      </c>
      <c r="C212" s="61">
        <v>0.52000000000000002</v>
      </c>
      <c r="D212" s="62">
        <v>9</v>
      </c>
      <c r="E212" s="63">
        <v>16</v>
      </c>
      <c r="F212" s="63" t="inlineStr">
        <is>
          <t>41-56</t>
        </is>
      </c>
      <c r="G212" s="62">
        <v>3.2999999999999998</v>
      </c>
      <c r="H212" s="62">
        <v>2</v>
      </c>
      <c r="I212" s="20">
        <f>10000/G212/H212</f>
        <v>1515.1515151515152</v>
      </c>
      <c r="J212" s="61">
        <v>838</v>
      </c>
      <c r="K212" s="21"/>
      <c r="L212" s="21"/>
      <c r="M212" s="22"/>
    </row>
    <row r="213" spans="1:13">
      <c r="A213" s="11" t="s">
        <v>106</v>
      </c>
      <c r="B213" s="34" t="s">
        <v>33</v>
      </c>
      <c r="C213" s="61">
        <v>0.47999999999999998</v>
      </c>
      <c r="D213" s="62">
        <v>10</v>
      </c>
      <c r="E213" s="63">
        <v>37</v>
      </c>
      <c r="F213" s="63" t="inlineStr">
        <is>
          <t>1-37</t>
        </is>
      </c>
      <c r="G213" s="62">
        <v>3.2999999999999998</v>
      </c>
      <c r="H213" s="62">
        <v>1.2</v>
      </c>
      <c r="I213" s="20">
        <f>10000/G213/H213</f>
        <v>2525.2525252525256</v>
      </c>
      <c r="J213" s="61">
        <v>1090</v>
      </c>
      <c r="K213" s="21"/>
      <c r="L213" s="21"/>
      <c r="M213" s="22"/>
    </row>
    <row r="214" spans="1:13">
      <c r="A214" s="11" t="s">
        <v>106</v>
      </c>
      <c r="B214" s="34" t="s">
        <v>14</v>
      </c>
      <c r="C214" s="61">
        <v>0.60999999999999999</v>
      </c>
      <c r="D214" s="62">
        <v>11</v>
      </c>
      <c r="E214" s="63">
        <v>22</v>
      </c>
      <c r="F214" s="63" t="inlineStr">
        <is>
          <t>38-59</t>
        </is>
      </c>
      <c r="G214" s="62">
        <v>3.2999999999999998</v>
      </c>
      <c r="H214" s="62">
        <v>1.2</v>
      </c>
      <c r="I214" s="20">
        <f>10000/G214/H214</f>
        <v>2525.2525252525256</v>
      </c>
      <c r="J214" s="61">
        <v>1436</v>
      </c>
      <c r="K214" s="21"/>
      <c r="L214" s="21"/>
      <c r="M214" s="22"/>
    </row>
    <row r="215" spans="1:13">
      <c r="A215" s="11" t="s">
        <v>106</v>
      </c>
      <c r="B215" s="34" t="s">
        <v>32</v>
      </c>
      <c r="C215" s="61">
        <v>0.60999999999999999</v>
      </c>
      <c r="D215" s="62">
        <v>12</v>
      </c>
      <c r="E215" s="63">
        <v>10</v>
      </c>
      <c r="F215" s="63" t="inlineStr">
        <is>
          <t>1-10</t>
        </is>
      </c>
      <c r="G215" s="62">
        <v>3.5</v>
      </c>
      <c r="H215" s="62">
        <v>1.8</v>
      </c>
      <c r="I215" s="20">
        <f>10000/G215/H215</f>
        <v>1587.3015873015875</v>
      </c>
      <c r="J215" s="61">
        <v>1215</v>
      </c>
      <c r="K215" s="21"/>
      <c r="L215" s="21"/>
      <c r="M215" s="22"/>
    </row>
    <row r="216" spans="1:13">
      <c r="A216" s="11" t="s">
        <v>106</v>
      </c>
      <c r="B216" s="34" t="s">
        <v>4</v>
      </c>
      <c r="C216" s="61">
        <v>0.60999999999999999</v>
      </c>
      <c r="D216" s="62">
        <v>13</v>
      </c>
      <c r="E216" s="63">
        <v>7</v>
      </c>
      <c r="F216" s="63" t="inlineStr">
        <is>
          <t>11-17</t>
        </is>
      </c>
      <c r="G216" s="62">
        <v>3.5</v>
      </c>
      <c r="H216" s="62">
        <v>1.8</v>
      </c>
      <c r="I216" s="20">
        <f>10000/G216/H216</f>
        <v>1587.3015873015875</v>
      </c>
      <c r="J216" s="61">
        <v>763</v>
      </c>
      <c r="K216" s="21"/>
      <c r="L216" s="21"/>
      <c r="M216" s="22"/>
    </row>
    <row r="217" spans="1:13">
      <c r="A217" s="11" t="s">
        <v>106</v>
      </c>
      <c r="B217" s="34" t="s">
        <v>27</v>
      </c>
      <c r="C217" s="61">
        <v>0.080000000000000002</v>
      </c>
      <c r="D217" s="62">
        <v>14</v>
      </c>
      <c r="E217" s="63">
        <v>3</v>
      </c>
      <c r="F217" s="63" t="inlineStr">
        <is>
          <t>18-20</t>
        </is>
      </c>
      <c r="G217" s="62">
        <v>3.5</v>
      </c>
      <c r="H217" s="62">
        <v>1.8</v>
      </c>
      <c r="I217" s="20">
        <f>10000/G217/H217</f>
        <v>1587.3015873015875</v>
      </c>
      <c r="J217" s="61">
        <v>80</v>
      </c>
      <c r="K217" s="21"/>
      <c r="L217" s="21"/>
      <c r="M217" s="22"/>
    </row>
    <row r="218" spans="1:13">
      <c r="A218" s="11" t="s">
        <v>106</v>
      </c>
      <c r="B218" s="34" t="s">
        <v>14</v>
      </c>
      <c r="C218" s="61">
        <v>3.5899999999999999</v>
      </c>
      <c r="D218" s="62">
        <v>15</v>
      </c>
      <c r="E218" s="63">
        <v>64</v>
      </c>
      <c r="F218" s="63" t="inlineStr">
        <is>
          <t>1-64</t>
        </is>
      </c>
      <c r="G218" s="62">
        <v>3</v>
      </c>
      <c r="H218" s="62">
        <v>1.8</v>
      </c>
      <c r="I218" s="20">
        <f>10000/G218/H218</f>
        <v>1851.851851851852</v>
      </c>
      <c r="J218" s="61">
        <v>6657</v>
      </c>
      <c r="K218" s="21"/>
      <c r="L218" s="21"/>
      <c r="M218" s="22"/>
    </row>
    <row r="219" spans="1:13">
      <c r="A219" s="8" t="s">
        <v>107</v>
      </c>
      <c r="B219" s="8"/>
      <c r="C219" s="17">
        <f>SUM(C220:C224)</f>
        <v>16.640000000000001</v>
      </c>
      <c r="D219" s="8"/>
      <c r="E219" s="8"/>
      <c r="F219" s="8"/>
      <c r="G219" s="8"/>
      <c r="H219" s="8"/>
      <c r="I219" s="8"/>
      <c r="J219" s="18">
        <f>SUM(J220:J224)</f>
        <v>61588</v>
      </c>
      <c r="K219" s="9"/>
      <c r="L219" s="9"/>
      <c r="M219" s="51"/>
    </row>
    <row r="220" spans="1:13">
      <c r="A220" s="11" t="s">
        <v>107</v>
      </c>
      <c r="B220" s="34" t="s">
        <v>33</v>
      </c>
      <c r="C220" s="13">
        <v>6.9000000000000004</v>
      </c>
      <c r="D220" s="64" t="s">
        <v>43</v>
      </c>
      <c r="E220" s="14"/>
      <c r="F220" s="14"/>
      <c r="G220" s="14">
        <v>2</v>
      </c>
      <c r="H220" s="14">
        <v>1</v>
      </c>
      <c r="I220" s="14">
        <v>5000</v>
      </c>
      <c r="J220" s="20">
        <v>34500</v>
      </c>
      <c r="K220" s="21"/>
      <c r="L220" s="21"/>
      <c r="M220" s="33"/>
    </row>
    <row r="221" spans="1:13">
      <c r="A221" s="11" t="s">
        <v>107</v>
      </c>
      <c r="B221" s="34" t="s">
        <v>4</v>
      </c>
      <c r="C221" s="13">
        <v>2.5299999999999998</v>
      </c>
      <c r="D221" s="63">
        <v>11</v>
      </c>
      <c r="E221" s="14"/>
      <c r="F221" s="14"/>
      <c r="G221" s="14">
        <v>2</v>
      </c>
      <c r="H221" s="14">
        <v>1.5</v>
      </c>
      <c r="I221" s="14">
        <v>3333</v>
      </c>
      <c r="J221" s="20">
        <v>8433</v>
      </c>
      <c r="K221" s="21"/>
      <c r="L221" s="21"/>
      <c r="M221" s="33"/>
    </row>
    <row r="222" spans="1:13">
      <c r="A222" s="11" t="s">
        <v>107</v>
      </c>
      <c r="B222" s="34" t="inlineStr">
        <is>
          <t>Cabernet Franc</t>
        </is>
      </c>
      <c r="C222" s="13">
        <v>0.84999999999999998</v>
      </c>
      <c r="D222" s="63">
        <v>12</v>
      </c>
      <c r="E222" s="14"/>
      <c r="F222" s="14"/>
      <c r="G222" s="14">
        <v>2</v>
      </c>
      <c r="H222" s="14">
        <v>1.5</v>
      </c>
      <c r="I222" s="14">
        <v>3333</v>
      </c>
      <c r="J222" s="20">
        <v>2833</v>
      </c>
      <c r="K222" s="21"/>
      <c r="L222" s="21"/>
      <c r="M222" s="33"/>
    </row>
    <row r="223" spans="1:13">
      <c r="A223" s="11" t="s">
        <v>107</v>
      </c>
      <c r="B223" s="34" t="s">
        <v>32</v>
      </c>
      <c r="C223" s="13">
        <v>1.52</v>
      </c>
      <c r="D223" s="63" t="inlineStr">
        <is>
          <t>13 &amp; 14</t>
        </is>
      </c>
      <c r="E223" s="14"/>
      <c r="F223" s="14"/>
      <c r="G223" s="14">
        <v>2</v>
      </c>
      <c r="H223" s="14">
        <v>1.5</v>
      </c>
      <c r="I223" s="14">
        <v>3333</v>
      </c>
      <c r="J223" s="20">
        <v>5067</v>
      </c>
      <c r="K223" s="21"/>
      <c r="L223" s="21"/>
      <c r="M223" s="33"/>
    </row>
    <row r="224" spans="1:13">
      <c r="A224" s="11" t="s">
        <v>107</v>
      </c>
      <c r="B224" s="34" t="s">
        <v>14</v>
      </c>
      <c r="C224" s="13">
        <v>4.8399999999999999</v>
      </c>
      <c r="D224" s="63">
        <v>15</v>
      </c>
      <c r="E224" s="14"/>
      <c r="F224" s="14"/>
      <c r="G224" s="14">
        <v>3</v>
      </c>
      <c r="H224" s="14">
        <v>1.5</v>
      </c>
      <c r="I224" s="14">
        <v>2222</v>
      </c>
      <c r="J224" s="20">
        <v>10755</v>
      </c>
      <c r="K224" s="21"/>
      <c r="L224" s="21"/>
      <c r="M224" s="33"/>
    </row>
    <row r="225" spans="1:13">
      <c r="A225" s="8" t="s">
        <v>108</v>
      </c>
      <c r="B225" s="8"/>
      <c r="C225" s="17">
        <f>SUM(C226:C235)</f>
        <v>24.379999999999999</v>
      </c>
      <c r="D225" s="8"/>
      <c r="E225" s="8"/>
      <c r="F225" s="8"/>
      <c r="G225" s="8"/>
      <c r="H225" s="8"/>
      <c r="I225" s="8"/>
      <c r="J225" s="18">
        <f>SUM(J226:J235)</f>
        <v>54468.549999999996</v>
      </c>
      <c r="K225" s="9"/>
      <c r="L225" s="9"/>
      <c r="M225" s="51"/>
    </row>
    <row r="226" spans="1:13">
      <c r="A226" s="11" t="s">
        <v>108</v>
      </c>
      <c r="B226" s="34" t="s">
        <v>14</v>
      </c>
      <c r="C226" s="14">
        <v>1.03</v>
      </c>
      <c r="D226" s="14">
        <v>1</v>
      </c>
      <c r="E226" s="14"/>
      <c r="F226" s="14"/>
      <c r="G226" s="14">
        <v>3</v>
      </c>
      <c r="H226" s="14">
        <v>1.6000000000000001</v>
      </c>
      <c r="I226" s="14">
        <v>2083</v>
      </c>
      <c r="J226" s="28">
        <f>C226*I226</f>
        <v>2145.4900000000002</v>
      </c>
      <c r="K226" s="21"/>
      <c r="L226" s="21"/>
      <c r="M226" s="33">
        <v>1998</v>
      </c>
    </row>
    <row r="227" spans="1:13">
      <c r="A227" s="11" t="s">
        <v>108</v>
      </c>
      <c r="B227" s="34" t="s">
        <v>10</v>
      </c>
      <c r="C227" s="14">
        <v>2.9100000000000001</v>
      </c>
      <c r="D227" s="14">
        <v>2</v>
      </c>
      <c r="E227" s="14"/>
      <c r="F227" s="14"/>
      <c r="G227" s="14">
        <v>3</v>
      </c>
      <c r="H227" s="14">
        <v>1.6000000000000001</v>
      </c>
      <c r="I227" s="14">
        <v>2083</v>
      </c>
      <c r="J227" s="28">
        <v>6071</v>
      </c>
      <c r="K227" s="21"/>
      <c r="L227" s="21"/>
      <c r="M227" s="33">
        <v>1998</v>
      </c>
    </row>
    <row r="228" spans="1:13">
      <c r="A228" s="11" t="s">
        <v>108</v>
      </c>
      <c r="B228" s="34" t="s">
        <v>33</v>
      </c>
      <c r="C228" s="14">
        <v>2.6200000000000001</v>
      </c>
      <c r="D228" s="14">
        <v>3</v>
      </c>
      <c r="E228" s="14"/>
      <c r="F228" s="14"/>
      <c r="G228" s="14">
        <v>3</v>
      </c>
      <c r="H228" s="14">
        <v>1.6000000000000001</v>
      </c>
      <c r="I228" s="14">
        <v>2083</v>
      </c>
      <c r="J228" s="28">
        <v>5458</v>
      </c>
      <c r="K228" s="21"/>
      <c r="L228" s="21"/>
      <c r="M228" s="33">
        <v>1998</v>
      </c>
    </row>
    <row r="229" spans="1:13">
      <c r="A229" s="11" t="s">
        <v>108</v>
      </c>
      <c r="B229" s="34" t="s">
        <v>14</v>
      </c>
      <c r="C229" s="14">
        <v>3.8199999999999998</v>
      </c>
      <c r="D229" s="14">
        <v>4</v>
      </c>
      <c r="E229" s="14"/>
      <c r="F229" s="14"/>
      <c r="G229" s="14">
        <v>3</v>
      </c>
      <c r="H229" s="14">
        <v>1.6000000000000001</v>
      </c>
      <c r="I229" s="14">
        <v>2083</v>
      </c>
      <c r="J229" s="28">
        <f>C229*I229</f>
        <v>7957.0599999999995</v>
      </c>
      <c r="K229" s="21"/>
      <c r="L229" s="21"/>
      <c r="M229" s="33">
        <v>1998</v>
      </c>
    </row>
    <row r="230" spans="1:13">
      <c r="A230" s="11" t="s">
        <v>108</v>
      </c>
      <c r="B230" s="34" t="s">
        <v>33</v>
      </c>
      <c r="C230" s="14">
        <v>2.1099999999999999</v>
      </c>
      <c r="D230" s="14">
        <v>5</v>
      </c>
      <c r="E230" s="14"/>
      <c r="F230" s="14"/>
      <c r="G230" s="14">
        <v>3</v>
      </c>
      <c r="H230" s="14">
        <v>1.6000000000000001</v>
      </c>
      <c r="I230" s="14">
        <v>2083</v>
      </c>
      <c r="J230" s="28">
        <f>C230*I230</f>
        <v>4395.1300000000001</v>
      </c>
      <c r="K230" s="21"/>
      <c r="L230" s="21"/>
      <c r="M230" s="33">
        <v>1998</v>
      </c>
    </row>
    <row r="231" spans="1:13">
      <c r="A231" s="11" t="s">
        <v>108</v>
      </c>
      <c r="B231" s="34" t="s">
        <v>14</v>
      </c>
      <c r="C231" s="14">
        <v>3.0299999999999998</v>
      </c>
      <c r="D231" s="14">
        <v>6</v>
      </c>
      <c r="E231" s="14"/>
      <c r="F231" s="14"/>
      <c r="G231" s="14">
        <v>3</v>
      </c>
      <c r="H231" s="14">
        <v>1.6000000000000001</v>
      </c>
      <c r="I231" s="14">
        <v>2083</v>
      </c>
      <c r="J231" s="28">
        <f>C231*I231</f>
        <v>6311.4899999999998</v>
      </c>
      <c r="K231" s="21"/>
      <c r="L231" s="21"/>
      <c r="M231" s="33">
        <v>1998</v>
      </c>
    </row>
    <row r="232" spans="1:13">
      <c r="A232" s="11" t="s">
        <v>108</v>
      </c>
      <c r="B232" s="34" t="s">
        <v>14</v>
      </c>
      <c r="C232" s="14">
        <v>0.28000000000000003</v>
      </c>
      <c r="D232" s="14">
        <v>7</v>
      </c>
      <c r="E232" s="14"/>
      <c r="F232" s="14"/>
      <c r="G232" s="14">
        <v>3</v>
      </c>
      <c r="H232" s="14">
        <v>1.6000000000000001</v>
      </c>
      <c r="I232" s="14">
        <v>2083</v>
      </c>
      <c r="J232" s="28">
        <f>C232*I232</f>
        <v>583.24000000000001</v>
      </c>
      <c r="K232" s="21"/>
      <c r="L232" s="21"/>
      <c r="M232" s="33">
        <v>1978</v>
      </c>
    </row>
    <row r="233" spans="1:13">
      <c r="A233" s="11" t="s">
        <v>108</v>
      </c>
      <c r="B233" s="34" t="s">
        <v>2</v>
      </c>
      <c r="C233" s="14">
        <v>3.0099999999999998</v>
      </c>
      <c r="D233" s="14">
        <v>8</v>
      </c>
      <c r="E233" s="14"/>
      <c r="F233" s="14"/>
      <c r="G233" s="14">
        <v>3</v>
      </c>
      <c r="H233" s="14">
        <v>1.6000000000000001</v>
      </c>
      <c r="I233" s="14">
        <v>2083</v>
      </c>
      <c r="J233" s="28">
        <f>C233*I233</f>
        <v>6269.8299999999999</v>
      </c>
      <c r="K233" s="21"/>
      <c r="L233" s="21"/>
      <c r="M233" s="33">
        <v>1998</v>
      </c>
    </row>
    <row r="234" spans="1:13">
      <c r="A234" s="11" t="s">
        <v>108</v>
      </c>
      <c r="B234" s="34" t="s">
        <v>33</v>
      </c>
      <c r="C234" s="14">
        <v>2.9399999999999999</v>
      </c>
      <c r="D234" s="14">
        <v>9</v>
      </c>
      <c r="E234" s="14"/>
      <c r="F234" s="14"/>
      <c r="G234" s="14">
        <v>3</v>
      </c>
      <c r="H234" s="14">
        <v>1</v>
      </c>
      <c r="I234" s="14">
        <v>3333</v>
      </c>
      <c r="J234" s="28">
        <f>C234*I234</f>
        <v>9799.0200000000004</v>
      </c>
      <c r="K234" s="21"/>
      <c r="L234" s="21"/>
      <c r="M234" s="33">
        <v>1998</v>
      </c>
    </row>
    <row r="235" spans="1:13">
      <c r="A235" s="65" t="s">
        <v>108</v>
      </c>
      <c r="B235" s="66" t="s">
        <v>8</v>
      </c>
      <c r="C235" s="14">
        <v>2.6299999999999999</v>
      </c>
      <c r="D235" s="67">
        <v>10</v>
      </c>
      <c r="E235" s="67"/>
      <c r="F235" s="67"/>
      <c r="G235" s="67">
        <v>3</v>
      </c>
      <c r="H235" s="67">
        <v>1.6000000000000001</v>
      </c>
      <c r="I235" s="67">
        <v>2083</v>
      </c>
      <c r="J235" s="28">
        <f>C235*I235</f>
        <v>5478.29</v>
      </c>
      <c r="K235" s="59"/>
      <c r="L235" s="59"/>
      <c r="M235" s="60">
        <v>1998</v>
      </c>
    </row>
    <row r="236" spans="1:13" ht="27.6">
      <c r="A236" s="8" t="inlineStr">
        <is>
          <t>Wood Sea (Osmington RD)</t>
        </is>
      </c>
      <c r="B236" s="8"/>
      <c r="C236" s="17">
        <v>12.16</v>
      </c>
      <c r="D236" s="8"/>
      <c r="E236" s="8"/>
      <c r="F236" s="8"/>
      <c r="G236" s="8"/>
      <c r="H236" s="8"/>
      <c r="I236" s="8"/>
      <c r="J236" s="18">
        <v>22517</v>
      </c>
      <c r="K236" s="9"/>
      <c r="L236" s="9"/>
      <c r="M236" s="10"/>
    </row>
    <row r="237" spans="1:13">
      <c r="A237" s="11" t="s">
        <v>109</v>
      </c>
      <c r="B237" s="34" t="s">
        <v>110</v>
      </c>
      <c r="C237" s="13">
        <f>J237/I237</f>
        <v>2.4778617710583153</v>
      </c>
      <c r="D237" s="14">
        <v>1</v>
      </c>
      <c r="E237" s="14">
        <v>54</v>
      </c>
      <c r="F237" s="14" t="inlineStr">
        <is>
          <t>20 to 53</t>
        </is>
      </c>
      <c r="G237" s="14">
        <v>3</v>
      </c>
      <c r="H237" s="14">
        <v>1.8</v>
      </c>
      <c r="I237" s="14">
        <v>1852</v>
      </c>
      <c r="J237" s="28">
        <v>4589</v>
      </c>
      <c r="K237" s="21"/>
      <c r="L237" s="21"/>
      <c r="M237" s="22"/>
    </row>
    <row r="238" spans="1:13">
      <c r="A238" s="11" t="s">
        <v>109</v>
      </c>
      <c r="B238" s="34" t="inlineStr">
        <is>
          <t>sauvignon blanc</t>
        </is>
      </c>
      <c r="C238" s="13">
        <f>J238/I238</f>
        <v>4.4254859611231101</v>
      </c>
      <c r="D238" s="14">
        <v>2</v>
      </c>
      <c r="E238" s="14">
        <v>121</v>
      </c>
      <c r="F238" s="14" t="inlineStr">
        <is>
          <t>1 to 121</t>
        </is>
      </c>
      <c r="G238" s="14">
        <v>3</v>
      </c>
      <c r="H238" s="14">
        <v>1.8</v>
      </c>
      <c r="I238" s="14">
        <v>1852</v>
      </c>
      <c r="J238" s="28">
        <v>8196</v>
      </c>
      <c r="K238" s="21"/>
      <c r="L238" s="21"/>
      <c r="M238" s="22"/>
    </row>
    <row r="239" spans="1:13">
      <c r="A239" s="11" t="s">
        <v>109</v>
      </c>
      <c r="B239" s="34" t="s">
        <v>92</v>
      </c>
      <c r="C239" s="13">
        <f>J239/I239</f>
        <v>0.86177105831533474</v>
      </c>
      <c r="D239" s="14">
        <v>3</v>
      </c>
      <c r="E239" s="14">
        <v>16</v>
      </c>
      <c r="F239" s="14" t="s">
        <v>7</v>
      </c>
      <c r="G239" s="14">
        <v>3</v>
      </c>
      <c r="H239" s="14">
        <v>1.8</v>
      </c>
      <c r="I239" s="14">
        <v>1852</v>
      </c>
      <c r="J239" s="28">
        <v>1596</v>
      </c>
      <c r="K239" s="21" t="inlineStr">
        <is>
          <t>174 &amp; 470</t>
        </is>
      </c>
      <c r="L239" s="21"/>
      <c r="M239" s="22"/>
    </row>
    <row r="240" spans="1:13">
      <c r="A240" s="11" t="s">
        <v>109</v>
      </c>
      <c r="B240" s="34" t="s">
        <v>110</v>
      </c>
      <c r="C240" s="13">
        <v>0</v>
      </c>
      <c r="D240" s="14">
        <v>4</v>
      </c>
      <c r="E240" s="14">
        <v>49</v>
      </c>
      <c r="F240" s="14" t="s">
        <v>46</v>
      </c>
      <c r="G240" s="14">
        <v>3</v>
      </c>
      <c r="H240" s="14">
        <v>1.8</v>
      </c>
      <c r="I240" s="14">
        <v>1852</v>
      </c>
      <c r="J240" s="28">
        <v>5026</v>
      </c>
      <c r="K240" s="21"/>
      <c r="L240" s="21"/>
      <c r="M240" s="22"/>
    </row>
    <row r="241" spans="1:13">
      <c r="A241" s="11" t="s">
        <v>109</v>
      </c>
      <c r="B241" s="34" t="s">
        <v>92</v>
      </c>
      <c r="C241" s="13">
        <f>J241/I241</f>
        <v>1.6792656587473003</v>
      </c>
      <c r="D241" s="14">
        <v>5</v>
      </c>
      <c r="E241" s="14">
        <v>46</v>
      </c>
      <c r="F241" s="14" t="inlineStr">
        <is>
          <t>1 to 46</t>
        </is>
      </c>
      <c r="G241" s="14">
        <v>3</v>
      </c>
      <c r="H241" s="14">
        <v>1.8</v>
      </c>
      <c r="I241" s="14">
        <v>1852</v>
      </c>
      <c r="J241" s="28">
        <v>3110</v>
      </c>
      <c r="K241" s="21"/>
      <c r="L241" s="21"/>
      <c r="M241" s="22"/>
    </row>
    <row r="242" spans="1:13">
      <c r="A242" s="8" t="s">
        <v>111</v>
      </c>
      <c r="B242" s="8"/>
      <c r="C242" s="17">
        <f>SUM(C243:C247)</f>
        <v>8.8778927634045743</v>
      </c>
      <c r="D242" s="8"/>
      <c r="E242" s="8"/>
      <c r="F242" s="8"/>
      <c r="G242" s="8"/>
      <c r="H242" s="8"/>
      <c r="I242" s="8"/>
      <c r="J242" s="18">
        <f>SUM(J243:J247)</f>
        <v>19662</v>
      </c>
      <c r="K242" s="9"/>
      <c r="L242" s="9"/>
      <c r="M242" s="51"/>
    </row>
    <row r="243" spans="1:13">
      <c r="A243" s="11" t="s">
        <v>111</v>
      </c>
      <c r="B243" s="26" t="s">
        <v>8</v>
      </c>
      <c r="C243" s="13">
        <f>J243/I243</f>
        <v>2.3100000000000001</v>
      </c>
      <c r="D243" s="11">
        <v>1</v>
      </c>
      <c r="E243" s="67">
        <v>33</v>
      </c>
      <c r="F243" s="67" t="s">
        <v>94</v>
      </c>
      <c r="G243" s="67">
        <v>2.5</v>
      </c>
      <c r="H243" s="67">
        <v>2</v>
      </c>
      <c r="I243" s="67">
        <v>2000</v>
      </c>
      <c r="J243" s="68">
        <v>4620</v>
      </c>
      <c r="K243" s="59"/>
      <c r="L243" s="59"/>
      <c r="M243" s="60"/>
    </row>
    <row r="244" spans="1:13">
      <c r="A244" s="11" t="s">
        <v>111</v>
      </c>
      <c r="B244" s="26" t="s">
        <v>33</v>
      </c>
      <c r="C244" s="13">
        <f>J244/I244</f>
        <v>2.1199850018747655</v>
      </c>
      <c r="D244" s="11" t="s">
        <v>49</v>
      </c>
      <c r="E244" s="67">
        <v>27</v>
      </c>
      <c r="F244" s="67" t="s">
        <v>53</v>
      </c>
      <c r="G244" s="67">
        <v>2.5</v>
      </c>
      <c r="H244" s="67">
        <v>1.5</v>
      </c>
      <c r="I244" s="67">
        <v>2667</v>
      </c>
      <c r="J244" s="68">
        <v>5654</v>
      </c>
      <c r="K244" s="59"/>
      <c r="L244" s="59"/>
      <c r="M244" s="60"/>
    </row>
    <row r="245" spans="1:13">
      <c r="A245" s="11" t="s">
        <v>111</v>
      </c>
      <c r="B245" s="26" t="inlineStr">
        <is>
          <t>Cabernet</t>
        </is>
      </c>
      <c r="C245" s="13">
        <f>J245/I245</f>
        <v>1.79</v>
      </c>
      <c r="D245" s="11">
        <v>3</v>
      </c>
      <c r="E245" s="67">
        <v>41</v>
      </c>
      <c r="F245" s="67" t="s">
        <v>38</v>
      </c>
      <c r="G245" s="67">
        <v>2.5</v>
      </c>
      <c r="H245" s="67">
        <v>2</v>
      </c>
      <c r="I245" s="67">
        <v>2000</v>
      </c>
      <c r="J245" s="68">
        <v>3580</v>
      </c>
      <c r="K245" s="59"/>
      <c r="L245" s="59"/>
      <c r="M245" s="60"/>
    </row>
    <row r="246" spans="1:13">
      <c r="A246" s="65" t="s">
        <v>111</v>
      </c>
      <c r="B246" s="69" t="s">
        <v>10</v>
      </c>
      <c r="C246" s="13">
        <f>J246/I246</f>
        <v>1.9199999999999999</v>
      </c>
      <c r="D246" s="65">
        <v>4</v>
      </c>
      <c r="E246" s="67">
        <v>43</v>
      </c>
      <c r="F246" s="67" t="s">
        <v>15</v>
      </c>
      <c r="G246" s="67">
        <v>2.5</v>
      </c>
      <c r="H246" s="67">
        <v>2</v>
      </c>
      <c r="I246" s="67">
        <v>2000</v>
      </c>
      <c r="J246" s="70">
        <v>3840</v>
      </c>
      <c r="K246" s="59"/>
      <c r="L246" s="59"/>
      <c r="M246" s="60"/>
    </row>
    <row r="247" spans="1:13">
      <c r="A247" s="65" t="s">
        <v>111</v>
      </c>
      <c r="B247" s="26" t="inlineStr">
        <is>
          <t>Heritage</t>
        </is>
      </c>
      <c r="C247" s="13">
        <f>J247/I247</f>
        <v>0.73790776152980875</v>
      </c>
      <c r="D247" s="11" t="s">
        <v>85</v>
      </c>
      <c r="E247" s="14">
        <v>7</v>
      </c>
      <c r="F247" s="14" t="inlineStr">
        <is>
          <t>1 to 7 </t>
        </is>
      </c>
      <c r="G247" s="14">
        <v>2.5</v>
      </c>
      <c r="H247" s="14">
        <v>1.5</v>
      </c>
      <c r="I247" s="14">
        <v>2667</v>
      </c>
      <c r="J247" s="20">
        <v>1968</v>
      </c>
      <c r="K247" s="21"/>
      <c r="L247" s="21"/>
      <c r="M247" s="33"/>
    </row>
    <row r="248" spans="1:13">
      <c r="A248" s="71" t="inlineStr">
        <is>
          <t>Totals:</t>
        </is>
      </c>
      <c r="B248" s="72" t="s">
        <v>0</v>
      </c>
      <c r="C248" s="73">
        <f>SUM(C2:C247)/2</f>
        <v>268.89653420942807</v>
      </c>
    </row>
    <row r="249" spans="1:13">
      <c r="J249" s="74"/>
    </row>
    <row r="250" spans="1:13">
      <c r="J250" s="7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1.1256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Colin Bell</cp:lastModifiedBy>
  <dcterms:modified xsi:type="dcterms:W3CDTF">2025-06-19T06:23:29Z</dcterms:modified>
  <dcterms:created xsi:type="dcterms:W3CDTF">2025-06-19T06:18:36Z</dcterms:created>
  <dc:creator>Colin Bell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