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hah\Desktop\EDM\Project\"/>
    </mc:Choice>
  </mc:AlternateContent>
  <bookViews>
    <workbookView xWindow="0" yWindow="0" windowWidth="23040" windowHeight="8772" tabRatio="856" activeTab="1"/>
  </bookViews>
  <sheets>
    <sheet name="TEAM " sheetId="26" r:id="rId1"/>
    <sheet name="INVESTMENT COST" sheetId="13" r:id="rId2"/>
    <sheet name="SALES VOLUME" sheetId="1" r:id="rId3"/>
    <sheet name="REVENUE GENERATED FROM SALES" sheetId="14" r:id="rId4"/>
    <sheet name="PROJECT FUNDING" sheetId="8" r:id="rId5"/>
    <sheet name="DEPRECIATION" sheetId="11" r:id="rId6"/>
    <sheet name="ALTERNATIVE 1 CF" sheetId="15" r:id="rId7"/>
    <sheet name="Linear Regression (ALT 1)" sheetId="57" state="hidden" r:id="rId8"/>
    <sheet name="ALTERNATIVE 1 (ATCF)" sheetId="9" r:id="rId9"/>
    <sheet name="MARR vs PW (ALT 1)" sheetId="20" r:id="rId10"/>
    <sheet name="ALTERNATIVE 2 CF" sheetId="17" r:id="rId11"/>
    <sheet name="ALTERNATIVE 2 (ATCF)" sheetId="19" r:id="rId12"/>
    <sheet name="MARR vs PW (ALT 2) " sheetId="22" r:id="rId13"/>
    <sheet name="ALTERNATIVE 3 CF" sheetId="16" r:id="rId14"/>
    <sheet name="ALTERNATIVE 3 (ATCF)" sheetId="18" r:id="rId15"/>
    <sheet name="MARR vs PW (ALT 3)" sheetId="21" r:id="rId16"/>
    <sheet name="PW ANALYSIS" sheetId="23" r:id="rId17"/>
    <sheet name="AHP METHOD" sheetId="24" r:id="rId18"/>
    <sheet name="AHP ANALYSIS" sheetId="34" r:id="rId19"/>
    <sheet name="@RISK ANALYSIS" sheetId="28" r:id="rId20"/>
    <sheet name="COST-BENEFIT ANALYSIS" sheetId="12" state="hidden" r:id="rId21"/>
    <sheet name="RiskSerializationData" sheetId="33" state="hidden" r:id="rId22"/>
    <sheet name="@RISK PW" sheetId="50" r:id="rId23"/>
    <sheet name="@RISK FW" sheetId="51" r:id="rId24"/>
    <sheet name="@RISK IRR" sheetId="52" r:id="rId25"/>
    <sheet name="Output Results" sheetId="53" r:id="rId26"/>
    <sheet name="Output Data" sheetId="54" r:id="rId27"/>
    <sheet name="rsklibSimData" sheetId="55" state="hidden" r:id="rId28"/>
    <sheet name="SUMMARY" sheetId="35" r:id="rId2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2053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2053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"JEU621M34ET2M266ELXLUD5G"</definedName>
    <definedName name="PalisadeReportWorksheetCreatedBy" localSheetId="23">"AtRisk"</definedName>
    <definedName name="PalisadeReportWorksheetCreatedBy" localSheetId="24">"AtRisk"</definedName>
    <definedName name="PalisadeReportWorksheetCreatedBy" localSheetId="22">"AtRisk"</definedName>
    <definedName name="PalisadeReportWorksheetCreatedBy" localSheetId="26">"AtRisk"</definedName>
    <definedName name="PalisadeReportWorksheetCreatedBy" localSheetId="25">"AtRisk"</definedName>
    <definedName name="_xlnm.Print_Area" localSheetId="23">'@RISK FW'!$A$1:$J$55</definedName>
    <definedName name="_xlnm.Print_Area" localSheetId="24">'@RISK IRR'!$A$1:$J$55</definedName>
    <definedName name="_xlnm.Print_Area" localSheetId="22">'@RISK PW'!$A$1:$J$55</definedName>
    <definedName name="_xlnm.Print_Titles" localSheetId="23">'@RISK FW'!$1:$3</definedName>
    <definedName name="_xlnm.Print_Titles" localSheetId="24">'@RISK IRR'!$1:$3</definedName>
    <definedName name="_xlnm.Print_Titles" localSheetId="22">'@RISK PW'!$1:$3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"$B$6"</definedName>
    <definedName name="RiskSelectedNameCell1" hidden="1">"$A$5"</definedName>
    <definedName name="RiskSelectedNameCell2" hidden="1">"$A$6"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9" l="1"/>
  <c r="I9" i="8"/>
  <c r="I14" i="8"/>
  <c r="I12" i="8"/>
  <c r="I15" i="8"/>
  <c r="I16" i="8"/>
  <c r="I17" i="8"/>
  <c r="B12" i="8"/>
  <c r="C50" i="9"/>
  <c r="C51" i="9"/>
  <c r="C52" i="9"/>
  <c r="C53" i="9"/>
  <c r="C54" i="9"/>
  <c r="C55" i="9"/>
  <c r="C56" i="9"/>
  <c r="C57" i="9"/>
  <c r="C42" i="18"/>
  <c r="C43" i="18"/>
  <c r="C44" i="18"/>
  <c r="C45" i="18"/>
  <c r="C46" i="18"/>
  <c r="AN3" i="33"/>
  <c r="B6" i="28"/>
  <c r="F6" i="28"/>
  <c r="B7" i="28"/>
  <c r="B8" i="28"/>
  <c r="F15" i="28"/>
  <c r="B9" i="28"/>
  <c r="J4" i="34"/>
  <c r="I7" i="34"/>
  <c r="C2" i="15"/>
  <c r="C5" i="15"/>
  <c r="E11" i="14"/>
  <c r="B11" i="14"/>
  <c r="G14" i="13"/>
  <c r="C1" i="16"/>
  <c r="B11" i="16"/>
  <c r="E14" i="13"/>
  <c r="C5" i="18"/>
  <c r="C6" i="18"/>
  <c r="E49" i="19"/>
  <c r="E50" i="19"/>
  <c r="E51" i="19"/>
  <c r="E52" i="19"/>
  <c r="I8" i="19"/>
  <c r="H7" i="19"/>
  <c r="H8" i="19"/>
  <c r="I4" i="19"/>
  <c r="H3" i="19"/>
  <c r="H4" i="19"/>
  <c r="G18" i="9"/>
  <c r="G19" i="9"/>
  <c r="G20" i="9"/>
  <c r="G21" i="9"/>
  <c r="G22" i="9"/>
  <c r="F18" i="9"/>
  <c r="F19" i="9"/>
  <c r="F20" i="9"/>
  <c r="F21" i="9"/>
  <c r="F22" i="9"/>
  <c r="M3" i="11"/>
  <c r="M4" i="11"/>
  <c r="H3" i="11"/>
  <c r="H4" i="11"/>
  <c r="C3" i="11"/>
  <c r="N4" i="11"/>
  <c r="I4" i="11"/>
  <c r="B14" i="8"/>
  <c r="F3" i="8"/>
  <c r="F14" i="13"/>
  <c r="E12" i="14"/>
  <c r="B12" i="14"/>
  <c r="B13" i="14"/>
  <c r="J5" i="1"/>
  <c r="J9" i="1"/>
  <c r="H7" i="14"/>
  <c r="H12" i="14"/>
  <c r="F5" i="1"/>
  <c r="F9" i="1"/>
  <c r="B5" i="1"/>
  <c r="B9" i="1"/>
  <c r="D14" i="13"/>
  <c r="E17" i="13"/>
  <c r="C14" i="13"/>
  <c r="B14" i="13"/>
  <c r="B7" i="34"/>
  <c r="B10" i="34"/>
  <c r="C23" i="34"/>
  <c r="C26" i="34"/>
  <c r="I10" i="34"/>
  <c r="K5" i="34"/>
  <c r="J7" i="34"/>
  <c r="K4" i="34"/>
  <c r="I26" i="34"/>
  <c r="K24" i="34"/>
  <c r="K23" i="34"/>
  <c r="K26" i="34"/>
  <c r="J23" i="34"/>
  <c r="B26" i="34"/>
  <c r="D24" i="34"/>
  <c r="D23" i="34"/>
  <c r="D5" i="34"/>
  <c r="D4" i="34"/>
  <c r="C4" i="34"/>
  <c r="C7" i="34"/>
  <c r="G21" i="24"/>
  <c r="G22" i="24"/>
  <c r="G23" i="24"/>
  <c r="G20" i="24"/>
  <c r="F21" i="24"/>
  <c r="F22" i="24"/>
  <c r="F23" i="24"/>
  <c r="F20" i="24"/>
  <c r="C24" i="24"/>
  <c r="D24" i="24"/>
  <c r="E24" i="24"/>
  <c r="B24" i="24"/>
  <c r="E6" i="24"/>
  <c r="E5" i="24"/>
  <c r="E4" i="24"/>
  <c r="E8" i="24"/>
  <c r="E14" i="24"/>
  <c r="D5" i="24"/>
  <c r="D4" i="24"/>
  <c r="D8" i="24"/>
  <c r="D15" i="24"/>
  <c r="C4" i="24"/>
  <c r="E7" i="12"/>
  <c r="C8" i="24"/>
  <c r="B8" i="24"/>
  <c r="B14" i="24"/>
  <c r="C6" i="19"/>
  <c r="C5" i="19"/>
  <c r="C6" i="9"/>
  <c r="C5" i="9"/>
  <c r="C5" i="17"/>
  <c r="C5" i="16"/>
  <c r="D4" i="11"/>
  <c r="G5" i="8"/>
  <c r="G4" i="8"/>
  <c r="G3" i="8"/>
  <c r="K33" i="12"/>
  <c r="H33" i="12"/>
  <c r="E33" i="12"/>
  <c r="H42" i="12"/>
  <c r="B33" i="12"/>
  <c r="C4" i="11"/>
  <c r="F14" i="9"/>
  <c r="F17" i="9"/>
  <c r="G16" i="9"/>
  <c r="G13" i="9"/>
  <c r="G17" i="9"/>
  <c r="F15" i="9"/>
  <c r="G15" i="9"/>
  <c r="G14" i="9"/>
  <c r="F16" i="9"/>
  <c r="H11" i="12"/>
  <c r="E12" i="12"/>
  <c r="K7" i="12"/>
  <c r="K12" i="12"/>
  <c r="B7" i="12"/>
  <c r="B12" i="12"/>
  <c r="H6" i="12"/>
  <c r="E13" i="14"/>
  <c r="E8" i="14"/>
  <c r="E16" i="14"/>
  <c r="I10" i="17"/>
  <c r="I11" i="17"/>
  <c r="I12" i="17"/>
  <c r="I13" i="17"/>
  <c r="I14" i="17"/>
  <c r="I15" i="17"/>
  <c r="I16" i="17"/>
  <c r="H12" i="12"/>
  <c r="H7" i="12"/>
  <c r="B8" i="14"/>
  <c r="B16" i="14"/>
  <c r="I10" i="15"/>
  <c r="B30" i="34"/>
  <c r="I29" i="34"/>
  <c r="B29" i="34"/>
  <c r="B9" i="8"/>
  <c r="B26" i="16"/>
  <c r="G17" i="13"/>
  <c r="B12" i="16"/>
  <c r="E9" i="8"/>
  <c r="E9" i="17"/>
  <c r="F31" i="17"/>
  <c r="C2" i="18"/>
  <c r="B12" i="18"/>
  <c r="C12" i="18"/>
  <c r="J12" i="18"/>
  <c r="C2" i="19"/>
  <c r="B12" i="19"/>
  <c r="C2" i="17"/>
  <c r="C2" i="16"/>
  <c r="K7" i="34"/>
  <c r="K12" i="34"/>
  <c r="I12" i="34"/>
  <c r="J12" i="34"/>
  <c r="L12" i="34"/>
  <c r="M12" i="34"/>
  <c r="C43" i="34"/>
  <c r="K11" i="34"/>
  <c r="I31" i="34"/>
  <c r="I30" i="34"/>
  <c r="B12" i="34"/>
  <c r="B11" i="34"/>
  <c r="E25" i="17"/>
  <c r="C11" i="34"/>
  <c r="J31" i="34"/>
  <c r="C29" i="34"/>
  <c r="J11" i="34"/>
  <c r="C12" i="9"/>
  <c r="C15" i="9"/>
  <c r="C38" i="15"/>
  <c r="C9" i="16"/>
  <c r="D10" i="16"/>
  <c r="C25" i="17"/>
  <c r="C9" i="15"/>
  <c r="D17" i="15"/>
  <c r="C9" i="17"/>
  <c r="D19" i="18"/>
  <c r="C12" i="19"/>
  <c r="C25" i="16"/>
  <c r="D14" i="24"/>
  <c r="D12" i="24"/>
  <c r="E15" i="24"/>
  <c r="E12" i="24"/>
  <c r="F18" i="19"/>
  <c r="F22" i="19"/>
  <c r="F20" i="19"/>
  <c r="G18" i="19"/>
  <c r="G13" i="19"/>
  <c r="G16" i="19"/>
  <c r="G17" i="19"/>
  <c r="G20" i="19"/>
  <c r="F18" i="17"/>
  <c r="F19" i="17"/>
  <c r="F13" i="17"/>
  <c r="F30" i="17"/>
  <c r="J19" i="15"/>
  <c r="E13" i="24"/>
  <c r="J10" i="34"/>
  <c r="C2" i="9"/>
  <c r="B12" i="9"/>
  <c r="J12" i="9"/>
  <c r="K12" i="9"/>
  <c r="C10" i="34"/>
  <c r="B31" i="16"/>
  <c r="J35" i="17"/>
  <c r="B15" i="16"/>
  <c r="B29" i="16"/>
  <c r="I11" i="34"/>
  <c r="G14" i="18"/>
  <c r="G15" i="18"/>
  <c r="G16" i="18"/>
  <c r="G17" i="18"/>
  <c r="G19" i="18"/>
  <c r="G20" i="18"/>
  <c r="G21" i="18"/>
  <c r="G22" i="18"/>
  <c r="G18" i="18"/>
  <c r="G13" i="18"/>
  <c r="F22" i="18"/>
  <c r="F18" i="18"/>
  <c r="F13" i="18"/>
  <c r="F14" i="18"/>
  <c r="F15" i="18"/>
  <c r="F16" i="18"/>
  <c r="F17" i="18"/>
  <c r="F19" i="18"/>
  <c r="F20" i="18"/>
  <c r="F21" i="18"/>
  <c r="D16" i="17"/>
  <c r="D11" i="17"/>
  <c r="D15" i="18"/>
  <c r="D27" i="17"/>
  <c r="D43" i="15"/>
  <c r="D45" i="15"/>
  <c r="B11" i="12"/>
  <c r="B13" i="12"/>
  <c r="H13" i="12"/>
  <c r="H35" i="12"/>
  <c r="E6" i="12"/>
  <c r="J10" i="1"/>
  <c r="I32" i="34"/>
  <c r="I13" i="34"/>
  <c r="D10" i="15"/>
  <c r="D15" i="15"/>
  <c r="C20" i="19"/>
  <c r="D17" i="16"/>
  <c r="C19" i="18"/>
  <c r="D13" i="18"/>
  <c r="D47" i="15"/>
  <c r="D20" i="18"/>
  <c r="D18" i="16"/>
  <c r="D21" i="18"/>
  <c r="C15" i="18"/>
  <c r="D14" i="18"/>
  <c r="D22" i="18"/>
  <c r="D16" i="18"/>
  <c r="C22" i="18"/>
  <c r="C17" i="18"/>
  <c r="C13" i="18"/>
  <c r="C18" i="18"/>
  <c r="C16" i="18"/>
  <c r="D13" i="15"/>
  <c r="D19" i="15"/>
  <c r="D22" i="9"/>
  <c r="D11" i="15"/>
  <c r="D13" i="19"/>
  <c r="D19" i="19"/>
  <c r="D14" i="15"/>
  <c r="C21" i="19"/>
  <c r="I17" i="17"/>
  <c r="I18" i="17"/>
  <c r="I19" i="17"/>
  <c r="D20" i="9"/>
  <c r="D27" i="16"/>
  <c r="D31" i="16"/>
  <c r="C14" i="9"/>
  <c r="C18" i="19"/>
  <c r="C22" i="19"/>
  <c r="D18" i="19"/>
  <c r="C19" i="9"/>
  <c r="D14" i="9"/>
  <c r="C20" i="9"/>
  <c r="C22" i="9"/>
  <c r="C20" i="18"/>
  <c r="D17" i="18"/>
  <c r="C14" i="18"/>
  <c r="C21" i="18"/>
  <c r="D18" i="18"/>
  <c r="D15" i="9"/>
  <c r="G9" i="16"/>
  <c r="G25" i="16"/>
  <c r="G38" i="15"/>
  <c r="G25" i="17"/>
  <c r="G9" i="17"/>
  <c r="G9" i="15"/>
  <c r="F5" i="8"/>
  <c r="D19" i="9"/>
  <c r="C18" i="9"/>
  <c r="D12" i="15"/>
  <c r="D18" i="15"/>
  <c r="D16" i="15"/>
  <c r="C13" i="9"/>
  <c r="D30" i="17"/>
  <c r="D35" i="17"/>
  <c r="D29" i="17"/>
  <c r="E16" i="24"/>
  <c r="D16" i="16"/>
  <c r="D12" i="16"/>
  <c r="D42" i="15"/>
  <c r="D39" i="15"/>
  <c r="D16" i="9"/>
  <c r="D18" i="9"/>
  <c r="D17" i="9"/>
  <c r="C16" i="9"/>
  <c r="D21" i="9"/>
  <c r="D13" i="9"/>
  <c r="C21" i="9"/>
  <c r="C17" i="9"/>
  <c r="H10" i="16"/>
  <c r="E13" i="18"/>
  <c r="H10" i="15"/>
  <c r="E13" i="9"/>
  <c r="H11" i="16"/>
  <c r="E14" i="18"/>
  <c r="H17" i="17"/>
  <c r="H33" i="17"/>
  <c r="H48" i="15"/>
  <c r="H13" i="16"/>
  <c r="E16" i="18"/>
  <c r="H18" i="17"/>
  <c r="H18" i="15"/>
  <c r="E21" i="9"/>
  <c r="H26" i="16"/>
  <c r="H26" i="17"/>
  <c r="H30" i="17"/>
  <c r="H15" i="16"/>
  <c r="E18" i="18"/>
  <c r="H19" i="17"/>
  <c r="H27" i="16"/>
  <c r="H28" i="17"/>
  <c r="H32" i="17"/>
  <c r="H19" i="16"/>
  <c r="E22" i="18"/>
  <c r="H18" i="16"/>
  <c r="E21" i="18"/>
  <c r="H29" i="16"/>
  <c r="H40" i="15"/>
  <c r="H27" i="17"/>
  <c r="H12" i="16"/>
  <c r="E15" i="18"/>
  <c r="H13" i="15"/>
  <c r="H30" i="16"/>
  <c r="H41" i="15"/>
  <c r="H29" i="17"/>
  <c r="H16" i="15"/>
  <c r="E19" i="9"/>
  <c r="H47" i="15"/>
  <c r="H28" i="16"/>
  <c r="H10" i="17"/>
  <c r="H16" i="17"/>
  <c r="H17" i="16"/>
  <c r="E20" i="18"/>
  <c r="H16" i="16"/>
  <c r="E19" i="18"/>
  <c r="H11" i="17"/>
  <c r="H31" i="16"/>
  <c r="H42" i="15"/>
  <c r="H13" i="17"/>
  <c r="E16" i="19"/>
  <c r="H12" i="15"/>
  <c r="E15" i="9"/>
  <c r="H33" i="16"/>
  <c r="H44" i="15"/>
  <c r="H35" i="16"/>
  <c r="H31" i="17"/>
  <c r="H35" i="17"/>
  <c r="H12" i="17"/>
  <c r="E15" i="19"/>
  <c r="H11" i="15"/>
  <c r="E14" i="9"/>
  <c r="H15" i="15"/>
  <c r="H32" i="16"/>
  <c r="H43" i="15"/>
  <c r="H14" i="17"/>
  <c r="E17" i="19"/>
  <c r="H14" i="15"/>
  <c r="H17" i="15"/>
  <c r="H34" i="16"/>
  <c r="H45" i="15"/>
  <c r="H15" i="17"/>
  <c r="E18" i="19"/>
  <c r="H46" i="15"/>
  <c r="H19" i="15"/>
  <c r="H14" i="16"/>
  <c r="E17" i="18"/>
  <c r="H34" i="17"/>
  <c r="E14" i="19"/>
  <c r="E19" i="19"/>
  <c r="E21" i="19"/>
  <c r="E13" i="19"/>
  <c r="E18" i="9"/>
  <c r="E22" i="9"/>
  <c r="E20" i="9"/>
  <c r="E20" i="19"/>
  <c r="E22" i="19"/>
  <c r="E16" i="9"/>
  <c r="E17" i="9"/>
  <c r="D7" i="34"/>
  <c r="D11" i="34"/>
  <c r="E11" i="34"/>
  <c r="F11" i="34"/>
  <c r="B42" i="34"/>
  <c r="C17" i="13"/>
  <c r="C1" i="15"/>
  <c r="C1" i="9"/>
  <c r="K11" i="12"/>
  <c r="K13" i="12"/>
  <c r="F10" i="1"/>
  <c r="E8" i="12"/>
  <c r="I39" i="15"/>
  <c r="I40" i="15"/>
  <c r="I41" i="15"/>
  <c r="I42" i="15"/>
  <c r="I43" i="15"/>
  <c r="I44" i="15"/>
  <c r="I45" i="15"/>
  <c r="I46" i="15"/>
  <c r="I47" i="15"/>
  <c r="I48" i="15"/>
  <c r="I11" i="15"/>
  <c r="I12" i="15"/>
  <c r="I13" i="15"/>
  <c r="I14" i="15"/>
  <c r="I15" i="15"/>
  <c r="I16" i="15"/>
  <c r="I17" i="15"/>
  <c r="I18" i="15"/>
  <c r="I19" i="15"/>
  <c r="B35" i="12"/>
  <c r="K35" i="12"/>
  <c r="D26" i="34"/>
  <c r="D30" i="34"/>
  <c r="C30" i="34"/>
  <c r="E30" i="34"/>
  <c r="F30" i="34"/>
  <c r="D42" i="34"/>
  <c r="B13" i="34"/>
  <c r="I26" i="17"/>
  <c r="I27" i="17"/>
  <c r="I28" i="17"/>
  <c r="I29" i="17"/>
  <c r="I30" i="17"/>
  <c r="I31" i="17"/>
  <c r="I32" i="17"/>
  <c r="I33" i="17"/>
  <c r="I34" i="17"/>
  <c r="I35" i="17"/>
  <c r="K6" i="12"/>
  <c r="K8" i="12"/>
  <c r="D30" i="16"/>
  <c r="D28" i="16"/>
  <c r="D34" i="16"/>
  <c r="D32" i="16"/>
  <c r="D33" i="16"/>
  <c r="D26" i="16"/>
  <c r="D29" i="16"/>
  <c r="D35" i="16"/>
  <c r="D28" i="17"/>
  <c r="D26" i="17"/>
  <c r="D34" i="17"/>
  <c r="D33" i="17"/>
  <c r="K25" i="17"/>
  <c r="D31" i="17"/>
  <c r="D32" i="17"/>
  <c r="C31" i="34"/>
  <c r="C32" i="34"/>
  <c r="K12" i="18"/>
  <c r="D10" i="34"/>
  <c r="E10" i="34"/>
  <c r="F13" i="19"/>
  <c r="F17" i="19"/>
  <c r="F19" i="19"/>
  <c r="F14" i="19"/>
  <c r="F21" i="19"/>
  <c r="F15" i="19"/>
  <c r="F16" i="19"/>
  <c r="B16" i="16"/>
  <c r="B35" i="16"/>
  <c r="B34" i="16"/>
  <c r="B32" i="16"/>
  <c r="B17" i="16"/>
  <c r="B30" i="16"/>
  <c r="B13" i="16"/>
  <c r="B28" i="16"/>
  <c r="B27" i="16"/>
  <c r="B10" i="16"/>
  <c r="B18" i="16"/>
  <c r="B19" i="16"/>
  <c r="B14" i="16"/>
  <c r="B33" i="16"/>
  <c r="L11" i="34"/>
  <c r="M11" i="34"/>
  <c r="C42" i="34"/>
  <c r="D12" i="17"/>
  <c r="D10" i="17"/>
  <c r="D18" i="17"/>
  <c r="D19" i="17"/>
  <c r="D13" i="17"/>
  <c r="D15" i="17"/>
  <c r="D17" i="17"/>
  <c r="K9" i="17"/>
  <c r="D14" i="17"/>
  <c r="F17" i="17"/>
  <c r="F32" i="17"/>
  <c r="F10" i="17"/>
  <c r="F26" i="17"/>
  <c r="F33" i="17"/>
  <c r="F35" i="17"/>
  <c r="F11" i="17"/>
  <c r="F27" i="17"/>
  <c r="F12" i="17"/>
  <c r="F16" i="17"/>
  <c r="F34" i="17"/>
  <c r="F29" i="17"/>
  <c r="F15" i="17"/>
  <c r="F28" i="17"/>
  <c r="F14" i="17"/>
  <c r="D13" i="16"/>
  <c r="D14" i="16"/>
  <c r="D19" i="16"/>
  <c r="D11" i="16"/>
  <c r="D15" i="16"/>
  <c r="D14" i="19"/>
  <c r="D21" i="19"/>
  <c r="C15" i="19"/>
  <c r="D15" i="19"/>
  <c r="C17" i="19"/>
  <c r="C14" i="19"/>
  <c r="D22" i="19"/>
  <c r="C13" i="19"/>
  <c r="C16" i="19"/>
  <c r="C19" i="19"/>
  <c r="D16" i="19"/>
  <c r="D20" i="19"/>
  <c r="D17" i="19"/>
  <c r="C14" i="24"/>
  <c r="F14" i="24"/>
  <c r="G14" i="24"/>
  <c r="C13" i="24"/>
  <c r="C15" i="24"/>
  <c r="J13" i="34"/>
  <c r="J12" i="19"/>
  <c r="E25" i="16"/>
  <c r="K25" i="16"/>
  <c r="E14" i="8"/>
  <c r="F4" i="8"/>
  <c r="E38" i="15"/>
  <c r="E9" i="16"/>
  <c r="H8" i="12"/>
  <c r="C12" i="24"/>
  <c r="D13" i="24"/>
  <c r="D16" i="24"/>
  <c r="J30" i="34"/>
  <c r="C12" i="34"/>
  <c r="C13" i="34"/>
  <c r="J26" i="34"/>
  <c r="J29" i="34"/>
  <c r="G15" i="19"/>
  <c r="G21" i="19"/>
  <c r="G19" i="19"/>
  <c r="G14" i="19"/>
  <c r="G22" i="19"/>
  <c r="D44" i="15"/>
  <c r="D48" i="15"/>
  <c r="D41" i="15"/>
  <c r="D40" i="15"/>
  <c r="K38" i="15"/>
  <c r="D46" i="15"/>
  <c r="E9" i="15"/>
  <c r="J48" i="15"/>
  <c r="J19" i="16"/>
  <c r="J19" i="17"/>
  <c r="J35" i="16"/>
  <c r="B12" i="24"/>
  <c r="B15" i="24"/>
  <c r="B13" i="24"/>
  <c r="F13" i="24"/>
  <c r="G13" i="24"/>
  <c r="K10" i="34"/>
  <c r="B6" i="12"/>
  <c r="B8" i="12"/>
  <c r="B10" i="1"/>
  <c r="E11" i="12"/>
  <c r="E13" i="12"/>
  <c r="H6" i="14"/>
  <c r="B31" i="34"/>
  <c r="B32" i="34"/>
  <c r="C1" i="17"/>
  <c r="C1" i="19"/>
  <c r="F10" i="34"/>
  <c r="B16" i="24"/>
  <c r="F12" i="24"/>
  <c r="H11" i="14"/>
  <c r="H13" i="14"/>
  <c r="H8" i="14"/>
  <c r="K13" i="34"/>
  <c r="L13" i="34"/>
  <c r="L10" i="34"/>
  <c r="F14" i="15"/>
  <c r="F11" i="15"/>
  <c r="F44" i="15"/>
  <c r="F39" i="15"/>
  <c r="F47" i="15"/>
  <c r="F46" i="15"/>
  <c r="K9" i="15"/>
  <c r="F12" i="15"/>
  <c r="F43" i="15"/>
  <c r="F42" i="15"/>
  <c r="F10" i="15"/>
  <c r="F19" i="15"/>
  <c r="F41" i="15"/>
  <c r="F45" i="15"/>
  <c r="F48" i="15"/>
  <c r="F16" i="15"/>
  <c r="F17" i="15"/>
  <c r="F13" i="15"/>
  <c r="F40" i="15"/>
  <c r="F18" i="15"/>
  <c r="F15" i="15"/>
  <c r="D29" i="34"/>
  <c r="K29" i="34"/>
  <c r="D31" i="34"/>
  <c r="K31" i="34"/>
  <c r="L31" i="34"/>
  <c r="M31" i="34"/>
  <c r="E43" i="34"/>
  <c r="D12" i="34"/>
  <c r="K30" i="34"/>
  <c r="L30" i="34"/>
  <c r="M30" i="34"/>
  <c r="E42" i="34"/>
  <c r="F42" i="34"/>
  <c r="C8" i="35"/>
  <c r="H39" i="12"/>
  <c r="E12" i="34"/>
  <c r="F12" i="34"/>
  <c r="B43" i="34"/>
  <c r="F16" i="16"/>
  <c r="F13" i="16"/>
  <c r="F32" i="16"/>
  <c r="F26" i="16"/>
  <c r="F15" i="16"/>
  <c r="K9" i="16"/>
  <c r="F33" i="16"/>
  <c r="F31" i="16"/>
  <c r="F10" i="16"/>
  <c r="F34" i="16"/>
  <c r="F29" i="16"/>
  <c r="F28" i="16"/>
  <c r="F30" i="16"/>
  <c r="F19" i="16"/>
  <c r="F35" i="16"/>
  <c r="F17" i="16"/>
  <c r="F27" i="16"/>
  <c r="F18" i="16"/>
  <c r="F12" i="16"/>
  <c r="F11" i="16"/>
  <c r="F14" i="16"/>
  <c r="K12" i="19"/>
  <c r="D13" i="34"/>
  <c r="B33" i="17"/>
  <c r="K33" i="17"/>
  <c r="B35" i="17"/>
  <c r="K35" i="17"/>
  <c r="B10" i="17"/>
  <c r="B30" i="17"/>
  <c r="K30" i="17"/>
  <c r="B13" i="17"/>
  <c r="B14" i="17"/>
  <c r="B34" i="17"/>
  <c r="K34" i="17"/>
  <c r="B32" i="17"/>
  <c r="K32" i="17"/>
  <c r="B11" i="17"/>
  <c r="B18" i="17"/>
  <c r="B16" i="17"/>
  <c r="B19" i="17"/>
  <c r="B15" i="17"/>
  <c r="B27" i="17"/>
  <c r="K27" i="17"/>
  <c r="B26" i="17"/>
  <c r="K26" i="17"/>
  <c r="B31" i="17"/>
  <c r="K31" i="17"/>
  <c r="B28" i="17"/>
  <c r="K28" i="17"/>
  <c r="B29" i="17"/>
  <c r="K29" i="17"/>
  <c r="B12" i="17"/>
  <c r="B17" i="17"/>
  <c r="E35" i="12"/>
  <c r="H43" i="12"/>
  <c r="H41" i="12"/>
  <c r="C16" i="24"/>
  <c r="E31" i="34"/>
  <c r="F31" i="34"/>
  <c r="D43" i="34"/>
  <c r="F15" i="24"/>
  <c r="G15" i="24"/>
  <c r="J32" i="34"/>
  <c r="L29" i="34"/>
  <c r="B17" i="15"/>
  <c r="B18" i="15"/>
  <c r="B15" i="15"/>
  <c r="B12" i="15"/>
  <c r="B13" i="15"/>
  <c r="B14" i="15"/>
  <c r="B46" i="15"/>
  <c r="K46" i="15"/>
  <c r="B11" i="15"/>
  <c r="B40" i="15"/>
  <c r="K40" i="15"/>
  <c r="B44" i="15"/>
  <c r="K44" i="15"/>
  <c r="B16" i="15"/>
  <c r="B48" i="15"/>
  <c r="K48" i="15"/>
  <c r="B41" i="15"/>
  <c r="K41" i="15"/>
  <c r="B10" i="15"/>
  <c r="B47" i="15"/>
  <c r="B43" i="15"/>
  <c r="B39" i="15"/>
  <c r="K39" i="15"/>
  <c r="B42" i="15"/>
  <c r="K42" i="15"/>
  <c r="B45" i="15"/>
  <c r="K45" i="15"/>
  <c r="B19" i="15"/>
  <c r="B15" i="9"/>
  <c r="K12" i="15"/>
  <c r="K17" i="17"/>
  <c r="B20" i="19"/>
  <c r="M10" i="34"/>
  <c r="I15" i="34"/>
  <c r="I16" i="34"/>
  <c r="I18" i="34"/>
  <c r="G12" i="24"/>
  <c r="B26" i="24"/>
  <c r="B27" i="24"/>
  <c r="B29" i="24"/>
  <c r="B15" i="34"/>
  <c r="B16" i="34"/>
  <c r="B18" i="34"/>
  <c r="K13" i="15"/>
  <c r="B16" i="9"/>
  <c r="B20" i="9"/>
  <c r="K17" i="15"/>
  <c r="K11" i="17"/>
  <c r="B14" i="19"/>
  <c r="B16" i="19"/>
  <c r="K13" i="17"/>
  <c r="K19" i="15"/>
  <c r="B22" i="9"/>
  <c r="K43" i="15"/>
  <c r="B14" i="9"/>
  <c r="K11" i="15"/>
  <c r="B22" i="19"/>
  <c r="K19" i="17"/>
  <c r="K47" i="15"/>
  <c r="K16" i="15"/>
  <c r="B19" i="9"/>
  <c r="B18" i="9"/>
  <c r="K15" i="15"/>
  <c r="B15" i="19"/>
  <c r="K12" i="17"/>
  <c r="B19" i="19"/>
  <c r="K16" i="17"/>
  <c r="B13" i="19"/>
  <c r="K10" i="17"/>
  <c r="F43" i="34"/>
  <c r="D8" i="35"/>
  <c r="K32" i="34"/>
  <c r="F16" i="24"/>
  <c r="G16" i="24"/>
  <c r="E13" i="34"/>
  <c r="I34" i="34"/>
  <c r="I35" i="34"/>
  <c r="I37" i="34"/>
  <c r="M29" i="34"/>
  <c r="L32" i="34"/>
  <c r="B18" i="19"/>
  <c r="K15" i="17"/>
  <c r="B13" i="9"/>
  <c r="K10" i="15"/>
  <c r="B17" i="9"/>
  <c r="K14" i="15"/>
  <c r="B21" i="9"/>
  <c r="K18" i="15"/>
  <c r="K18" i="17"/>
  <c r="B21" i="19"/>
  <c r="K14" i="17"/>
  <c r="B17" i="19"/>
  <c r="D32" i="34"/>
  <c r="E29" i="34"/>
  <c r="H16" i="14"/>
  <c r="I10" i="16"/>
  <c r="F13" i="34"/>
  <c r="B41" i="34"/>
  <c r="H22" i="9"/>
  <c r="H21" i="19"/>
  <c r="H14" i="19"/>
  <c r="H16" i="9"/>
  <c r="M13" i="34"/>
  <c r="C41" i="34"/>
  <c r="H15" i="9"/>
  <c r="H19" i="19"/>
  <c r="H22" i="19"/>
  <c r="H16" i="19"/>
  <c r="H20" i="9"/>
  <c r="H21" i="9"/>
  <c r="H13" i="9"/>
  <c r="I13" i="9"/>
  <c r="J13" i="9"/>
  <c r="H18" i="19"/>
  <c r="H13" i="19"/>
  <c r="I13" i="19"/>
  <c r="J13" i="19"/>
  <c r="H15" i="19"/>
  <c r="H14" i="9"/>
  <c r="H20" i="19"/>
  <c r="I11" i="16"/>
  <c r="I26" i="16"/>
  <c r="B13" i="18"/>
  <c r="K10" i="16"/>
  <c r="E41" i="34"/>
  <c r="M32" i="34"/>
  <c r="H19" i="9"/>
  <c r="E32" i="34"/>
  <c r="B34" i="34"/>
  <c r="B35" i="34"/>
  <c r="B37" i="34"/>
  <c r="F29" i="34"/>
  <c r="H17" i="19"/>
  <c r="H17" i="9"/>
  <c r="H18" i="9"/>
  <c r="K13" i="9"/>
  <c r="I27" i="16"/>
  <c r="K26" i="16"/>
  <c r="K13" i="19"/>
  <c r="I12" i="16"/>
  <c r="K11" i="16"/>
  <c r="B14" i="18"/>
  <c r="D41" i="34"/>
  <c r="F41" i="34"/>
  <c r="B8" i="35"/>
  <c r="F32" i="34"/>
  <c r="H13" i="18"/>
  <c r="I13" i="18"/>
  <c r="J13" i="18"/>
  <c r="I13" i="16"/>
  <c r="B15" i="18"/>
  <c r="K12" i="16"/>
  <c r="K13" i="18"/>
  <c r="I28" i="16"/>
  <c r="K27" i="16"/>
  <c r="H14" i="18"/>
  <c r="I29" i="16"/>
  <c r="K28" i="16"/>
  <c r="H15" i="18"/>
  <c r="I14" i="16"/>
  <c r="K13" i="16"/>
  <c r="B16" i="18"/>
  <c r="H16" i="18"/>
  <c r="I15" i="16"/>
  <c r="B17" i="18"/>
  <c r="K14" i="16"/>
  <c r="I30" i="16"/>
  <c r="K29" i="16"/>
  <c r="I31" i="16"/>
  <c r="K30" i="16"/>
  <c r="I16" i="16"/>
  <c r="B18" i="18"/>
  <c r="K15" i="16"/>
  <c r="H17" i="18"/>
  <c r="I17" i="16"/>
  <c r="K16" i="16"/>
  <c r="B19" i="18"/>
  <c r="H18" i="18"/>
  <c r="I32" i="16"/>
  <c r="K31" i="16"/>
  <c r="I18" i="16"/>
  <c r="B20" i="18"/>
  <c r="K17" i="16"/>
  <c r="H19" i="18"/>
  <c r="I33" i="16"/>
  <c r="K32" i="16"/>
  <c r="H20" i="18"/>
  <c r="I19" i="16"/>
  <c r="K18" i="16"/>
  <c r="B21" i="18"/>
  <c r="I34" i="16"/>
  <c r="K33" i="16"/>
  <c r="K19" i="16"/>
  <c r="B22" i="18"/>
  <c r="I35" i="16"/>
  <c r="K35" i="16"/>
  <c r="K34" i="16"/>
  <c r="H21" i="18"/>
  <c r="H22" i="18"/>
  <c r="AV3" i="33"/>
  <c r="AG3" i="33"/>
  <c r="AO3" i="33"/>
  <c r="A3" i="33"/>
  <c r="C14" i="28"/>
  <c r="D14" i="28"/>
  <c r="E14" i="28"/>
  <c r="F14" i="28"/>
  <c r="F7" i="28"/>
  <c r="G7" i="28"/>
  <c r="G15" i="28"/>
  <c r="K15" i="28"/>
  <c r="H15" i="28"/>
  <c r="I15" i="28"/>
  <c r="C15" i="28"/>
  <c r="E6" i="28"/>
  <c r="G6" i="28"/>
  <c r="F8" i="28"/>
  <c r="D15" i="28"/>
  <c r="E15" i="28"/>
  <c r="B13" i="28"/>
  <c r="B16" i="28"/>
  <c r="J15" i="28"/>
  <c r="L15" i="28"/>
  <c r="C16" i="28"/>
  <c r="E7" i="28"/>
  <c r="E16" i="28"/>
  <c r="D16" i="28"/>
  <c r="F16" i="28"/>
  <c r="G14" i="28"/>
  <c r="E8" i="28"/>
  <c r="G8" i="28"/>
  <c r="H14" i="28"/>
  <c r="G16" i="28"/>
  <c r="B21" i="28"/>
  <c r="B19" i="28"/>
  <c r="I14" i="28"/>
  <c r="H16" i="28"/>
  <c r="J14" i="28"/>
  <c r="I16" i="28"/>
  <c r="B20" i="28"/>
  <c r="J16" i="28"/>
  <c r="K14" i="28"/>
  <c r="L14" i="28"/>
  <c r="L16" i="28"/>
  <c r="K16" i="28"/>
  <c r="H3" i="8"/>
  <c r="J4" i="8"/>
  <c r="C4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D28" i="18"/>
  <c r="D30" i="18"/>
  <c r="D4" i="35"/>
  <c r="D29" i="18"/>
  <c r="D3" i="35"/>
  <c r="D12" i="23"/>
  <c r="D3" i="23"/>
  <c r="B4" i="21"/>
  <c r="B13" i="21"/>
  <c r="B19" i="21"/>
  <c r="B2" i="21"/>
  <c r="B12" i="21"/>
  <c r="B11" i="21"/>
  <c r="D18" i="23"/>
  <c r="D14" i="23"/>
  <c r="B8" i="21"/>
  <c r="D15" i="23"/>
  <c r="D13" i="23"/>
  <c r="D5" i="23"/>
  <c r="D22" i="23"/>
  <c r="D8" i="23"/>
  <c r="D17" i="23"/>
  <c r="B7" i="21"/>
  <c r="B15" i="21"/>
  <c r="B18" i="21"/>
  <c r="D6" i="23"/>
  <c r="D19" i="23"/>
  <c r="B14" i="21"/>
  <c r="B21" i="21"/>
  <c r="D9" i="23"/>
  <c r="B9" i="21"/>
  <c r="D7" i="23"/>
  <c r="D4" i="23"/>
  <c r="B6" i="21"/>
  <c r="D16" i="23"/>
  <c r="B3" i="21"/>
  <c r="B20" i="21"/>
  <c r="B17" i="21"/>
  <c r="B22" i="21"/>
  <c r="B5" i="21"/>
  <c r="D20" i="23"/>
  <c r="D21" i="23"/>
  <c r="B16" i="21"/>
  <c r="D10" i="23"/>
  <c r="B10" i="21"/>
  <c r="D11" i="23"/>
  <c r="D2" i="23"/>
  <c r="D31" i="18"/>
  <c r="D5" i="35"/>
  <c r="D32" i="18"/>
  <c r="D6" i="35"/>
  <c r="K14" i="18"/>
  <c r="K15" i="18"/>
  <c r="K16" i="18"/>
  <c r="K17" i="18"/>
  <c r="K18" i="18"/>
  <c r="K19" i="18"/>
  <c r="K20" i="18"/>
  <c r="K21" i="18"/>
  <c r="K22" i="18"/>
  <c r="C4" i="16"/>
  <c r="K36" i="16"/>
  <c r="K20" i="16"/>
  <c r="C4" i="9"/>
  <c r="I14" i="9"/>
  <c r="J14" i="9"/>
  <c r="K14" i="9"/>
  <c r="I15" i="9"/>
  <c r="J15" i="9"/>
  <c r="K15" i="9"/>
  <c r="I16" i="9"/>
  <c r="J16" i="9"/>
  <c r="K16" i="9"/>
  <c r="I17" i="9"/>
  <c r="J17" i="9"/>
  <c r="K17" i="9"/>
  <c r="I18" i="9"/>
  <c r="J18" i="9"/>
  <c r="K18" i="9"/>
  <c r="I19" i="9"/>
  <c r="J19" i="9"/>
  <c r="K19" i="9"/>
  <c r="I20" i="9"/>
  <c r="J20" i="9"/>
  <c r="K20" i="9"/>
  <c r="I21" i="9"/>
  <c r="J21" i="9"/>
  <c r="K21" i="9"/>
  <c r="H40" i="9"/>
  <c r="I22" i="9"/>
  <c r="J22" i="9"/>
  <c r="K22" i="9"/>
  <c r="H41" i="9"/>
  <c r="G43" i="9"/>
  <c r="B7" i="35"/>
  <c r="H29" i="18"/>
  <c r="H30" i="18"/>
  <c r="G32" i="18"/>
  <c r="D7" i="35"/>
  <c r="C4" i="19"/>
  <c r="I14" i="19"/>
  <c r="J14" i="19"/>
  <c r="K14" i="19"/>
  <c r="I15" i="19"/>
  <c r="J15" i="19"/>
  <c r="K15" i="19"/>
  <c r="I16" i="19"/>
  <c r="J16" i="19"/>
  <c r="K16" i="19"/>
  <c r="I17" i="19"/>
  <c r="J17" i="19"/>
  <c r="K17" i="19"/>
  <c r="I18" i="19"/>
  <c r="J18" i="19"/>
  <c r="K18" i="19"/>
  <c r="I19" i="19"/>
  <c r="J19" i="19"/>
  <c r="K19" i="19"/>
  <c r="I20" i="19"/>
  <c r="J20" i="19"/>
  <c r="K20" i="19"/>
  <c r="I21" i="19"/>
  <c r="J21" i="19"/>
  <c r="K21" i="19"/>
  <c r="I22" i="19"/>
  <c r="J22" i="19"/>
  <c r="K22" i="19"/>
  <c r="I33" i="19"/>
  <c r="I34" i="19"/>
  <c r="H36" i="19"/>
  <c r="C7" i="35"/>
  <c r="D39" i="9"/>
  <c r="D41" i="9"/>
  <c r="B4" i="35"/>
  <c r="D40" i="9"/>
  <c r="B3" i="35"/>
  <c r="B2" i="35"/>
  <c r="F34" i="19"/>
  <c r="F35" i="19"/>
  <c r="C3" i="35"/>
  <c r="F36" i="19"/>
  <c r="C4" i="35"/>
  <c r="C2" i="35"/>
  <c r="F38" i="19"/>
  <c r="C6" i="35"/>
  <c r="F37" i="19"/>
  <c r="C5" i="35"/>
  <c r="C4" i="23"/>
  <c r="C8" i="23"/>
  <c r="B3" i="22"/>
  <c r="C5" i="23"/>
  <c r="C20" i="23"/>
  <c r="B7" i="22"/>
  <c r="C18" i="23"/>
  <c r="C15" i="23"/>
  <c r="B6" i="22"/>
  <c r="B4" i="22"/>
  <c r="C6" i="23"/>
  <c r="C19" i="23"/>
  <c r="B9" i="22"/>
  <c r="C13" i="23"/>
  <c r="B8" i="22"/>
  <c r="B21" i="22"/>
  <c r="C21" i="23"/>
  <c r="C12" i="23"/>
  <c r="B10" i="22"/>
  <c r="B19" i="22"/>
  <c r="C2" i="23"/>
  <c r="B5" i="22"/>
  <c r="B20" i="22"/>
  <c r="C3" i="23"/>
  <c r="C17" i="23"/>
  <c r="C11" i="23"/>
  <c r="B2" i="22"/>
  <c r="C9" i="23"/>
  <c r="B16" i="22"/>
  <c r="C22" i="23"/>
  <c r="B18" i="22"/>
  <c r="B17" i="22"/>
  <c r="B12" i="22"/>
  <c r="C16" i="23"/>
  <c r="B22" i="22"/>
  <c r="B14" i="22"/>
  <c r="B15" i="22"/>
  <c r="B13" i="22"/>
  <c r="C10" i="23"/>
  <c r="C7" i="23"/>
  <c r="B11" i="22"/>
  <c r="C14" i="23"/>
  <c r="D43" i="9"/>
  <c r="B6" i="35"/>
  <c r="B2" i="23"/>
  <c r="B22" i="23"/>
  <c r="B4" i="23"/>
  <c r="B8" i="20"/>
  <c r="B6" i="20"/>
  <c r="B4" i="20"/>
  <c r="B16" i="23"/>
  <c r="B21" i="20"/>
  <c r="B15" i="20"/>
  <c r="B17" i="20"/>
  <c r="B11" i="23"/>
  <c r="B10" i="23"/>
  <c r="B19" i="20"/>
  <c r="B3" i="23"/>
  <c r="B7" i="20"/>
  <c r="B19" i="23"/>
  <c r="B9" i="20"/>
  <c r="B18" i="20"/>
  <c r="B12" i="20"/>
  <c r="B5" i="23"/>
  <c r="B12" i="23"/>
  <c r="B13" i="23"/>
  <c r="B9" i="23"/>
  <c r="B21" i="23"/>
  <c r="B18" i="23"/>
  <c r="B10" i="20"/>
  <c r="B2" i="20"/>
  <c r="B14" i="20"/>
  <c r="B3" i="20"/>
  <c r="B8" i="23"/>
  <c r="B5" i="20"/>
  <c r="B11" i="20"/>
  <c r="D42" i="9"/>
  <c r="B5" i="35"/>
  <c r="B6" i="23"/>
  <c r="B20" i="23"/>
  <c r="B14" i="23"/>
  <c r="B15" i="23"/>
  <c r="B16" i="20"/>
  <c r="B7" i="23"/>
  <c r="B17" i="23"/>
  <c r="B20" i="20"/>
  <c r="B22" i="20"/>
  <c r="B13" i="20"/>
  <c r="C4" i="17"/>
  <c r="K38" i="17"/>
  <c r="K21" i="17"/>
  <c r="C4" i="15"/>
  <c r="K22" i="15"/>
  <c r="K52" i="15"/>
  <c r="D2" i="35"/>
</calcChain>
</file>

<file path=xl/sharedStrings.xml><?xml version="1.0" encoding="utf-8"?>
<sst xmlns="http://schemas.openxmlformats.org/spreadsheetml/2006/main" count="961" uniqueCount="327">
  <si>
    <t>Price</t>
  </si>
  <si>
    <t>EXPENSES</t>
  </si>
  <si>
    <t>Advertising expense</t>
  </si>
  <si>
    <t>Cleaning supplies</t>
  </si>
  <si>
    <t>Electricity bill</t>
  </si>
  <si>
    <t>Furnitures</t>
  </si>
  <si>
    <t>Computers (Laptops)</t>
  </si>
  <si>
    <t>Cash Registers</t>
  </si>
  <si>
    <t>Gas bill</t>
  </si>
  <si>
    <t>Insurance</t>
  </si>
  <si>
    <t>Internet bill</t>
  </si>
  <si>
    <t>Laundry expense</t>
  </si>
  <si>
    <t>Payroll expense</t>
  </si>
  <si>
    <t>Telephone &amp; Fax bill</t>
  </si>
  <si>
    <t>Trash Removal</t>
  </si>
  <si>
    <t>Uniforms</t>
  </si>
  <si>
    <t>Oven</t>
  </si>
  <si>
    <t xml:space="preserve">Refrigerator </t>
  </si>
  <si>
    <t>SALES</t>
  </si>
  <si>
    <t>Food</t>
  </si>
  <si>
    <t>Beverages</t>
  </si>
  <si>
    <t>TOTAL SALES</t>
  </si>
  <si>
    <t>COST OF SALES</t>
  </si>
  <si>
    <t>TOTAL COST OF SALES</t>
  </si>
  <si>
    <t>TOTAL EXPENSES</t>
  </si>
  <si>
    <t xml:space="preserve">Total Projected Profit and Loss </t>
  </si>
  <si>
    <t>ALTERNATIVE 1</t>
  </si>
  <si>
    <t>ALTERNATIVE 2</t>
  </si>
  <si>
    <t>ALTERNATIVE 3</t>
  </si>
  <si>
    <t>Total (A)</t>
  </si>
  <si>
    <t>Total (B)</t>
  </si>
  <si>
    <t>EOY</t>
  </si>
  <si>
    <t>Source</t>
  </si>
  <si>
    <t>TOTAL O&amp;M COST</t>
  </si>
  <si>
    <t>1 YEAR IN DEPTH COST - BENEFIT ANALYSIS</t>
  </si>
  <si>
    <t>FUNDING</t>
  </si>
  <si>
    <t>PROPERTY NAME</t>
  </si>
  <si>
    <t>SALVAGE VALUE</t>
  </si>
  <si>
    <t>TOTAL</t>
  </si>
  <si>
    <t>COST</t>
  </si>
  <si>
    <t>BTCF</t>
  </si>
  <si>
    <t>TAXABLE INCOME</t>
  </si>
  <si>
    <t>TAX AMOUNT</t>
  </si>
  <si>
    <t>ATCF</t>
  </si>
  <si>
    <t>IPMT</t>
  </si>
  <si>
    <t>PPMT</t>
  </si>
  <si>
    <t>Loan Amount</t>
  </si>
  <si>
    <t>Interest Rate</t>
  </si>
  <si>
    <t>Tax Rate</t>
  </si>
  <si>
    <t>MARR</t>
  </si>
  <si>
    <t>Total Investment</t>
  </si>
  <si>
    <t>PW</t>
  </si>
  <si>
    <t>FW</t>
  </si>
  <si>
    <t>AW</t>
  </si>
  <si>
    <t>IRR</t>
  </si>
  <si>
    <t>PER YEAR</t>
  </si>
  <si>
    <t>TOTAL O&amp;M Cost</t>
  </si>
  <si>
    <t>Rent</t>
  </si>
  <si>
    <t>From January 01, 2018 to December 31, 2019</t>
  </si>
  <si>
    <t>One-Shot Investment</t>
  </si>
  <si>
    <t>Yearly Investment</t>
  </si>
  <si>
    <t>TOTAL COST</t>
  </si>
  <si>
    <t>REVENUE</t>
  </si>
  <si>
    <t>Bonds</t>
  </si>
  <si>
    <t>Required Investment</t>
    <phoneticPr fontId="3" type="noConversion"/>
  </si>
  <si>
    <t>Factors</t>
    <phoneticPr fontId="3" type="noConversion"/>
  </si>
  <si>
    <t>Values</t>
    <phoneticPr fontId="3" type="noConversion"/>
  </si>
  <si>
    <t>Weight</t>
    <phoneticPr fontId="3" type="noConversion"/>
  </si>
  <si>
    <t>WACC</t>
    <phoneticPr fontId="3" type="noConversion"/>
  </si>
  <si>
    <t>Kl</t>
    <phoneticPr fontId="3" type="noConversion"/>
  </si>
  <si>
    <t>Kb</t>
    <phoneticPr fontId="3" type="noConversion"/>
  </si>
  <si>
    <t>Bond Amount</t>
    <phoneticPr fontId="3" type="noConversion"/>
  </si>
  <si>
    <t>Bond Price</t>
    <phoneticPr fontId="3" type="noConversion"/>
  </si>
  <si>
    <t>Bond Selling Price</t>
    <phoneticPr fontId="3" type="noConversion"/>
  </si>
  <si>
    <t>Interest Rate</t>
    <phoneticPr fontId="3" type="noConversion"/>
  </si>
  <si>
    <t>Interest per year</t>
  </si>
  <si>
    <t>Ib</t>
    <phoneticPr fontId="3" type="noConversion"/>
  </si>
  <si>
    <t>Tax rate</t>
    <phoneticPr fontId="3" type="noConversion"/>
  </si>
  <si>
    <t>Percentage from Loan</t>
  </si>
  <si>
    <t>Percentage from Bonds</t>
  </si>
  <si>
    <t>N</t>
  </si>
  <si>
    <t>Effective Interets Rate</t>
  </si>
  <si>
    <t>Percentage from Stocks</t>
  </si>
  <si>
    <t>Stocks</t>
  </si>
  <si>
    <t>Stock Value</t>
  </si>
  <si>
    <t>Annual Dividend</t>
  </si>
  <si>
    <t>Brokerage Fee per share</t>
  </si>
  <si>
    <t>Eps</t>
  </si>
  <si>
    <t>Stock</t>
  </si>
  <si>
    <t>Loan</t>
  </si>
  <si>
    <t>LOAN</t>
  </si>
  <si>
    <t>STOCKS</t>
  </si>
  <si>
    <t>BONDS</t>
  </si>
  <si>
    <t>Alternative 1</t>
  </si>
  <si>
    <t>Alternative 3</t>
  </si>
  <si>
    <t>Alternative 2</t>
  </si>
  <si>
    <t>TYPE</t>
  </si>
  <si>
    <t>Loan Payment</t>
  </si>
  <si>
    <t>Stock Repayment</t>
  </si>
  <si>
    <t>Bond</t>
  </si>
  <si>
    <t>Bond Repayment</t>
  </si>
  <si>
    <t>Revenue</t>
  </si>
  <si>
    <t>Salvage</t>
  </si>
  <si>
    <t>Net Cash Flow</t>
  </si>
  <si>
    <t>NPV</t>
  </si>
  <si>
    <t>METHOD 1: PAY INTEREST EACH YEAR AND PAY OF THE PRINCIPAL AT THE END</t>
  </si>
  <si>
    <t>REVENUE CALCULATIONS</t>
  </si>
  <si>
    <t>INVESTMENT DISTRIBUTION</t>
  </si>
  <si>
    <t>`</t>
  </si>
  <si>
    <t>DWO ELECTORNICS (DB)</t>
  </si>
  <si>
    <t>DWO FURNITURE (SLN)</t>
  </si>
  <si>
    <t>Present Worth</t>
  </si>
  <si>
    <t>SUM</t>
  </si>
  <si>
    <t>Step1: Pair Wise Comparission</t>
  </si>
  <si>
    <t>Step2: Normalization</t>
  </si>
  <si>
    <t>CHECKSUM</t>
  </si>
  <si>
    <t>CI</t>
  </si>
  <si>
    <t>RI</t>
  </si>
  <si>
    <t>CR</t>
  </si>
  <si>
    <t>Average</t>
  </si>
  <si>
    <t>Sum</t>
  </si>
  <si>
    <t>Step3: Consistency Analysis</t>
  </si>
  <si>
    <t>Cumulative CF</t>
  </si>
  <si>
    <t>Cash Flow (X)</t>
  </si>
  <si>
    <t>Using Interpolation Method</t>
  </si>
  <si>
    <t>Period in years (Y)</t>
  </si>
  <si>
    <t>ECONOMIC ANALYSIS</t>
  </si>
  <si>
    <t>REGRESSION ANALYSIS</t>
  </si>
  <si>
    <t>YEAR</t>
  </si>
  <si>
    <t>ATCF Values</t>
  </si>
  <si>
    <t>Known Inputs</t>
  </si>
  <si>
    <t>Uncertain Inputs</t>
  </si>
  <si>
    <t>Investment Cost</t>
  </si>
  <si>
    <t>Revenue per year</t>
  </si>
  <si>
    <t>Yearly O&amp;M Cost</t>
  </si>
  <si>
    <t>Annual Savings Growth Rate</t>
  </si>
  <si>
    <t>Cash Flow Calculations</t>
  </si>
  <si>
    <t>Year</t>
  </si>
  <si>
    <t>O&amp;M Cost</t>
  </si>
  <si>
    <t>Cash Flow</t>
  </si>
  <si>
    <t>Outputs</t>
  </si>
  <si>
    <t>Future Worth</t>
  </si>
  <si>
    <t>Distribution</t>
  </si>
  <si>
    <t>Parameter 1</t>
  </si>
  <si>
    <t>Parameter 2</t>
  </si>
  <si>
    <t>Parameter 3</t>
  </si>
  <si>
    <t>Traingular</t>
  </si>
  <si>
    <t>Normal</t>
  </si>
  <si>
    <t>PARAMETERS OF DISTRIBUTION</t>
  </si>
  <si>
    <t xml:space="preserve">@RISK Output Report for Present Worth B19 </t>
  </si>
  <si>
    <t>Simulation Summary Information</t>
  </si>
  <si>
    <t>Workbook Name</t>
  </si>
  <si>
    <t xml:space="preserve"> </t>
  </si>
  <si>
    <t>Number of Simulations</t>
  </si>
  <si>
    <t>Number of Iterations</t>
  </si>
  <si>
    <t>Number of Inputs</t>
  </si>
  <si>
    <t>Number of Outputs</t>
  </si>
  <si>
    <t>Sampling Type</t>
  </si>
  <si>
    <t>Latin Hypercube</t>
  </si>
  <si>
    <t>Simulation Start Time</t>
  </si>
  <si>
    <t>Simulation Duration</t>
  </si>
  <si>
    <t>Random # Generator</t>
  </si>
  <si>
    <t>Mersenne Twister</t>
  </si>
  <si>
    <t>Random Seed</t>
  </si>
  <si>
    <t>Summary Statistics for Present Worth</t>
  </si>
  <si>
    <t>Statistics</t>
  </si>
  <si>
    <t>Percentile</t>
  </si>
  <si>
    <t>Minimum</t>
  </si>
  <si>
    <t>Maximum</t>
  </si>
  <si>
    <t>Mean</t>
  </si>
  <si>
    <t>Std Dev</t>
  </si>
  <si>
    <t>Variance</t>
  </si>
  <si>
    <t>Skewness</t>
  </si>
  <si>
    <t>Kurtosis</t>
  </si>
  <si>
    <t>Median</t>
  </si>
  <si>
    <t>Mode</t>
  </si>
  <si>
    <t>Left X</t>
  </si>
  <si>
    <t>Left P</t>
  </si>
  <si>
    <t>Right X</t>
  </si>
  <si>
    <t>Right P</t>
  </si>
  <si>
    <t>Diff X</t>
  </si>
  <si>
    <t>Diff P</t>
  </si>
  <si>
    <t>#Errors</t>
  </si>
  <si>
    <t>Filter Min</t>
  </si>
  <si>
    <t>Off</t>
  </si>
  <si>
    <t>Filter Max</t>
  </si>
  <si>
    <t>#Filtered</t>
  </si>
  <si>
    <t>Change in Output Statistic for Present Worth</t>
  </si>
  <si>
    <t>Rank</t>
  </si>
  <si>
    <t>Name</t>
  </si>
  <si>
    <t>Lower</t>
  </si>
  <si>
    <t>Upper</t>
  </si>
  <si>
    <t>Revenue per year / Uncertain Inputs</t>
  </si>
  <si>
    <t>Yearly O&amp;M Cost / Uncertain Inputs</t>
  </si>
  <si>
    <t>Investment Cost / Uncertain Inputs</t>
  </si>
  <si>
    <t xml:space="preserve">@RISK Output Report for Future Worth B20 </t>
  </si>
  <si>
    <t>Summary Statistics for Future Worth</t>
  </si>
  <si>
    <t>Change in Output Statistic for Future Worth</t>
  </si>
  <si>
    <t xml:space="preserve">@RISK Output Report for IRR B21 </t>
  </si>
  <si>
    <t>Summary Statistics for IRR</t>
  </si>
  <si>
    <t>Change in Output Statistic for IRR</t>
  </si>
  <si>
    <t>Pay Back Period Analysis</t>
  </si>
  <si>
    <t>METHOD 3: MAKE EQUAL END OF PERIOD PAYEMENTS OVER THE LOAN PERIOD</t>
  </si>
  <si>
    <t>Score</t>
  </si>
  <si>
    <t>% Weight</t>
  </si>
  <si>
    <t>Y Max</t>
  </si>
  <si>
    <t>Number of Criteria</t>
  </si>
  <si>
    <t>Number of Alternatives</t>
  </si>
  <si>
    <t>BOND</t>
  </si>
  <si>
    <t>Probability of Sales</t>
  </si>
  <si>
    <t>NUID</t>
  </si>
  <si>
    <t>Last Name</t>
  </si>
  <si>
    <t>First Name</t>
  </si>
  <si>
    <t>Alternatives</t>
  </si>
  <si>
    <t>SUMMARY</t>
  </si>
  <si>
    <t>Factors</t>
  </si>
  <si>
    <t>Annual Worth</t>
  </si>
  <si>
    <t>ERR</t>
  </si>
  <si>
    <t>Pay Back Period</t>
  </si>
  <si>
    <t>AHP % Weight</t>
  </si>
  <si>
    <t>Equipment Cost</t>
  </si>
  <si>
    <t>Prototype Development</t>
  </si>
  <si>
    <t xml:space="preserve">Market Testing </t>
  </si>
  <si>
    <t>FDA Approval Cost</t>
  </si>
  <si>
    <t>Product Development Cost</t>
  </si>
  <si>
    <t xml:space="preserve">Product Marketing </t>
  </si>
  <si>
    <t>Product Launch Cost</t>
  </si>
  <si>
    <t xml:space="preserve">Cancer Medicine </t>
  </si>
  <si>
    <t xml:space="preserve">Anti-Biotic </t>
  </si>
  <si>
    <t>Research Cost</t>
  </si>
  <si>
    <t xml:space="preserve">Capsule </t>
  </si>
  <si>
    <t>Total Number</t>
  </si>
  <si>
    <t xml:space="preserve">Per Capsule </t>
  </si>
  <si>
    <t>Injection</t>
  </si>
  <si>
    <t>Capsule</t>
  </si>
  <si>
    <t>Lab Infrastructure Cost</t>
  </si>
  <si>
    <t xml:space="preserve">Equipments </t>
  </si>
  <si>
    <t>Infrastructure</t>
  </si>
  <si>
    <t xml:space="preserve">Lab Infrastructure </t>
  </si>
  <si>
    <t xml:space="preserve">Lab Equipments </t>
  </si>
  <si>
    <t>Total</t>
  </si>
  <si>
    <t>DWO EQUIPMENTS (DB)</t>
  </si>
  <si>
    <t>DWO LAB INFRASTRUCTURE(SLN)</t>
  </si>
  <si>
    <t>DWO Equipments (DB)</t>
  </si>
  <si>
    <t>DWO Infrastructure (SLN)</t>
  </si>
  <si>
    <t>Target Population</t>
  </si>
  <si>
    <t xml:space="preserve">Research Effort </t>
  </si>
  <si>
    <t>EDM Project -GRP 9 risk .xlsx</t>
  </si>
  <si>
    <t>@RISK Output Data</t>
  </si>
  <si>
    <t xml:space="preserve">Output </t>
  </si>
  <si>
    <t>$B$19</t>
  </si>
  <si>
    <t>$B$20</t>
  </si>
  <si>
    <t>$B$21</t>
  </si>
  <si>
    <t>Description</t>
  </si>
  <si>
    <t>Iteration / Cell</t>
  </si>
  <si>
    <t>Dhruvan</t>
  </si>
  <si>
    <t>Patel</t>
  </si>
  <si>
    <t>Dong</t>
  </si>
  <si>
    <t>Li</t>
  </si>
  <si>
    <t>Shah</t>
  </si>
  <si>
    <t xml:space="preserve">Sagar </t>
  </si>
  <si>
    <t>Kamra</t>
  </si>
  <si>
    <t>001273963</t>
  </si>
  <si>
    <t>001888576</t>
  </si>
  <si>
    <t>001893098</t>
  </si>
  <si>
    <t>001761056</t>
  </si>
  <si>
    <t>Harsh</t>
  </si>
  <si>
    <t>Research Effort</t>
  </si>
  <si>
    <t>Matrix Multiplication (Y-MAX)</t>
  </si>
  <si>
    <t>Consistency Rartio (CR)</t>
  </si>
  <si>
    <t>Consistency Index (CI)</t>
  </si>
  <si>
    <t>Random-like Matrix (RI)</t>
  </si>
  <si>
    <r>
      <t>Performed By:</t>
    </r>
    <r>
      <rPr>
        <sz val="8"/>
        <color theme="1"/>
        <rFont val="Tahoma"/>
        <family val="2"/>
      </rPr>
      <t xml:space="preserve"> hshah</t>
    </r>
  </si>
  <si>
    <t>@RISK Output Results</t>
  </si>
  <si>
    <t>Cell</t>
  </si>
  <si>
    <t>Graph</t>
  </si>
  <si>
    <t>Min</t>
  </si>
  <si>
    <t>Max</t>
  </si>
  <si>
    <t>Errors</t>
  </si>
  <si>
    <t>B19</t>
  </si>
  <si>
    <t>B20</t>
  </si>
  <si>
    <t>B21</t>
  </si>
  <si>
    <r>
      <t>Date:</t>
    </r>
    <r>
      <rPr>
        <sz val="8"/>
        <color theme="1"/>
        <rFont val="Tahoma"/>
        <family val="2"/>
      </rPr>
      <t xml:space="preserve"> Saturday, April 21, 2018 2:53:33 PM</t>
    </r>
  </si>
  <si>
    <r>
      <t>Date:</t>
    </r>
    <r>
      <rPr>
        <sz val="8"/>
        <color theme="1"/>
        <rFont val="Tahoma"/>
        <family val="2"/>
      </rPr>
      <t xml:space="preserve"> Saturday, April 21, 2018 2:53:40 PM</t>
    </r>
  </si>
  <si>
    <r>
      <t>Date:</t>
    </r>
    <r>
      <rPr>
        <sz val="8"/>
        <color theme="1"/>
        <rFont val="Tahoma"/>
        <family val="2"/>
      </rPr>
      <t xml:space="preserve"> Saturday, April 21, 2018 2:53:47 PM</t>
    </r>
  </si>
  <si>
    <r>
      <t>Date:</t>
    </r>
    <r>
      <rPr>
        <sz val="8"/>
        <color theme="1"/>
        <rFont val="Tahoma"/>
        <family val="2"/>
      </rPr>
      <t xml:space="preserve"> Saturday, April 21, 2018 2:53:54 PM</t>
    </r>
  </si>
  <si>
    <r>
      <t>Date:</t>
    </r>
    <r>
      <rPr>
        <sz val="8"/>
        <color theme="1"/>
        <rFont val="Tahoma"/>
        <family val="2"/>
      </rPr>
      <t xml:space="preserve"> Saturday, April 21, 2018 2:53:57 PM</t>
    </r>
  </si>
  <si>
    <t>21fd77a071c33eb9e5b1004562c1ad6a_x0004__x0005_ÐÏ_x0011_à¡±_x001A_á_x0004__x0004__x0004__x0004__x0004__x0004__x0004__x0004__x0004__x0004__x0004__x0004__x0004__x0004__x0004__x0004_&gt;_x0004__x0003__x0004_þÿ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þ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ñÿô¢Ù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é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0003_²Á}{jAø;ÂöiA;ØSõjñjAL__x0010_]iA_x001C_AZ½AhAÎ#'ÀæhAvÏþ-hA__x0001_i_x001C_	_x001B_kA_x0012_ã}_x000F_åGjAr¼* Ö_x0016_hA_x0010_Õ@~_x0003__x0006_hAhU_x0008_ßÞÍhAí_x0019__x001F_#w:hAÜGÅ5ÏfiAñTÍs_x0011_÷hAØÇ,$8iAQäfÔ'iA_x0015_ÀDxlhAà´¿Á¤.iAKÓ	W[iA_x0002_w9BiA_x0002_@ÒíhbiA^_x0003_R^kAûè_x001D_ôdgA]Êº#ÚhAÈ]ÉÏµiA_ff·ìMiAÚ³_x0002__x0003_wokAÊ¬!xgAëJ®7	jADÄF@¼iA»_x0001_){¥mhA:~zM´ÖiAz@'+(iA·Ø¢µ@íjA=çYUiAîmMÓW+gA_x000B_¸]hiAã_x0015_Mµ_x001E_ÝiA3_x0001__x0019_ÖjAÈq8_x0010_qhAy{eÍè»hA_x001B_öÖ¡ÑhA³B#µTjA}_x0002_t²ÂjA»_x0019__x001B_©)ÝhA}_x0003_gp_x0001_njAVý½ÆA­iAçÂB¨Q_x000D_jA¯U÷[è²hA_x000D_ÔXègA6_x0011_3_x001B__x001D_ iA·_x0003__x0001_c"kAC;Ä?hA§4x_x000C__x0006_pjA ¿Dû|iANã)P-_x000E_kAÇW"§hA2éø3ü#iA_x0005__x0007_#x&lt;F¬!iA"_x0006_fÚþ_x0005_jA®í¨UúkA#¶æ°|!iA_x000F_¦ÑÜ)hA_x0001__x0005__x0005_ÛZÛZ_x0001__x0005__x0005__x0005__x0001__x0005__x0005__x0005_è_x0003__x0005__x0005_è_x0003__x0005__x0005_è_x0003__x0005__x0005__x0003__x0005__x0005__x0005__x0002__x0005__x0005__x0005__x0004__x0005__x0005__x0005__x0005__x0005__x0005__x0005__x0004__x0005__x0005__x0005__x0003__x0005__x0005__x0005_Ôîu_x0001__x0005__x0005__x0005__x0005__x0005__x0005__x0005__x0005__x0005__x0005__x0005_h~¬#_x0001_mAõÕB5?åoA_x0018_(_x0017_'/àpAqiñ_x000E_pAv_x000E_´×imAàªfT|hpA_x0001_¼®'_x0019_pAÀU7oA!nsÕw&amp;pA7M_x0012__x000F_`mAeV§ pA(Ë!së´pAÊMÁWÄ#pA Øbgù+nAtKm_x001B_[JpAÉÄ_x0011__x001B_\nA]_x0001_8hpA¼Ç_x001B__x0001__x0002_f=nAü_x0018__x0002_4¡_x0019_qAä_x000F_È_x0016_õ¶nA«Á|_x0002_÷àoA_x000B_pBÐèdpA_x0012_ë_x000F_CöoA*c×¿¼unAìü1í=LoA¬ÁúGpA¾_x001E_ª0[nAXª¦ãYpAªÝ³_x0007_ªmpAïI_x0003_¶3pAM¾@íy_x0014_nAé?_x001C_yÁ¾oAÏ_x000E_{«¯ÂpAÖ4¢_x0004_¾qpAÌQ¸'&amp;oAåúó»pAÏMÙ_x0015_jµoAI¯­½kXnA&amp;º±KÈmmAA©^:oAÄX}k_x001E_oA.5_x0010_¤«_x0005_qAË´3©F_x000D_pA	_x001D_©_x000F_òvpAvFåäíônAûâF&lt;pAú%_x0008_?ænAå#[MPpAxÌ?½Z_x0006_pA_x0003__x0005_PH_x0001_+¼_x0005_pAß}B¡ÏdmA.¾`mqpAY4_x0005__x001F_nATE_x0005_f_x001B_pAðQ[ÚÉpA¢ÃDôv2nA_x0013_Jå½_x0004_oAí¶Ã-pAM¿6QälAÊT_x0012_GÀMoA¾_x0018_ÎOÑpA_x0010__x0007_÷Õ CoAmÚ_x0002_§µImA|%À¡(ËoA·@_x0011_4&gt;pA_x000B_îÜiX$pA$Ø$e!ÜoA(9¤¤_x0012_×oA_x0005_i_x0017_:pAÆáÖ2WpA©ðf)óoA&lt;¤ÆO/òoA¢"ÂopA¿MiUÍ]qAF_x0012_N`ïpAWwWå5oAJ0²1²nAðvQJoA´_x000E_Z+.#pAI³Tkå_x0019_pAfäE_x0005__x0008_etnAZ!}¤/îmAÅ«_x0014_øWoA03Þ_x001E_ìoA._x0006__x000F_ßnA!ì_x0006__x0006_GnA_x001A_øËá_x0004_~qA_x0010_.{ _x0003_nAço_x0011_7_x0008_xpA_x0008_úÊY"ÄpA©u¯_x0017_.oAê¥)mAkÉ¢#pA#aÆ¬pAsµk_x0008__x0014_EmAñ£Í©fpAzHÂ_x000E_WpAá®N=ÏòpA­~f¢Û³pA_x001C_É_x0007_¶pAKy¶ÒÄÄnAN_x000C_w(ª¹nA=±_x000B_ÉÉnAT$XÞönA°_x001D_g}3pA_x0014_²_x0019_æ¥IpAõ=Y_x0001_¬pAõª¹_x0007_ò'oAá.Ä¶ß_x0006_nAÃø	2GÖoAÁQ{É_x0002_pA_x0010_ÁBÐañpA_x0001__x0005_SË¼_x0001_ôlA_x0003_¶_x0008_(UpA)_x0006_ôÀ/mAã_x0003_5g=¸pA(ìB_x0002_õ_x0019_nAä¿à-_x0017_pAD__x001E_`JæpAý­XD­OoAä«-àWoAÊú]1ùnAC×ëozpApîuBümA¹A_x001A_æÄ:pAqZàªpOpA63u®ÄDoA_x0002_7T{u_x0010_qA4ºèkÂoA­æÃ_x001D_i¶nA©=ÁÀ=pA}0ÅzÚpAU!ætnAâB·ß&lt;pA!Ê=_x0002__x0019_ÁoAÎ¿Ñ_x0004_æ_x0015_pA#y®XTpAh_x000F_â_x0012_vûpA÷vN÷[pA_x001A_eÓLxoA%Ç3BÊ_x001C_nA_x0018_KäX*qA´¯^c8ãmA·+g_x0001__x0003_¤úoA707_x0015_¶_x0016_nAÛÓl0¶ËpA`&lt;ÄáÝlAÎFþô×mA_x001F_EYLkanAhÐm_x000D__x000B_pA3iß`JònA2Wím]rmA3|ÃMtqAV=_x0004__x000D_TnAÈ_x000F_é_x0002_[_x0008_pA_x001F_A'·7äpAA?iÀr«pA²_x000E_u7pA³4Í	_x0008_oA_x0015_m	¹+ÕpAî¢­.	nAäø=ÙpAE_x0002_¿p^oAþ¶àAQpA9¤{_x000B_Ñ_x0018_oA_x001D_0_x0013_¾ÝYmA5³âÄómAÑ[;_¨pA&gt;cI.¼ÜoAÈM,nuoAv³Ê,SpABî,²QôpA3£6÷_x001B_ÝmA48P`ýapA_vú]ÅÎoA_x0003__x0006__x0002_Ù(Î0noA­-Q_x0004_ mnA_x0016_ð¡ÕÙÏoA_x0014_ú°v_x0018__x0013_pA¡87_x0011_ñèpAÖ/ç0pA"ÝsAênA_x000D_4.k_x0006_¿pA~Ý¿¥_x0005_ÄmAÐÂNÒ@nAÖ4_x0017_ÑÛpA	_x0002_£_x000C_pATt¤¾ÌpAW·M²ù·pA;2_x0001_Æ_qAù_x0013_ÿl_x001F_ pA$Ôd_x0013_åÚnAÆ&gt;¤¾_x0019_êoAÑÈa-ØZpA\ØÌnÚïoAe¹{+pA¶9¬pA6É]ÞoA0`ñ2qAÌ_x0012_xDpA27êpÀpA:_x0003__x0011_}¥8pA_x0002_Ã2_x000F_{mAª/Ûã_x001B_¹oA7IkªÊoA.¸y3C_x001D_qAî_x001E__x0002_(_x0003__x0004_·òmAxsë­³¥pAÑ,ºÝ0¯oAææ\êº'qA¦Ôø=_x000E_qANâ_x0002__x0010_¡ènA{_x001F_pñgpAà©+öö_x0011_oA_x001B_r¡ñèômA×7q`=moA7&lt;û=°_x001E_pAd¬rî_x0008_oA#_³z_x0001_pA`Ï_x0016_þìupABY_x0019__x0011_	_x0001_qAä63ßxoA^÷yUÁ_x001E_qA1G'GpA¼gÕÖ_x001F_pA­ë÷­_x000B_XpAð¢xà4nAçHµP_x0012_¢pA#_x0015_[&lt;bÃpAý5.3¯pAaQ_x001F__x0008_8oA_x0016_í¿_x0012_FoA&lt;ðí_x000F_pA_x0011_gU¾ùoA_x001A__x000F_CLw¿nAÊÛ#öºpAbAìsnAèûa¥_x0006_oA_x0003__x0004_â'þ6RoAÀ2hanA`,Ýö_îoAå_x0004_çl.pAÜ©0À_x0010_oA¿©ÿí¡pA[_x001B_Ü&lt;gpAÍÛÜoA2x²}_x0004_oA×Uk¸6pA[_x0003_ä _pA_x001B_Éêw_x000B__x0003_pAl§_x0013_ÆApAÐÅ_x0016_rÑoA8«bUþ_pA	I_x0002_·_x0001_oAZlmåÿ¬nAîÎÚÕ_x0001_0pAÐ_x000B_'@'ãnA¼A_x001B_á3£pAK`àÏA0oAT¶·_x0013_úçoAzJ_x0010_Y/nA_x0007__x001C_ÏQmA¿÷#_x0014_J·mA¤PúpA'ÌÕ^WBpA28æaPnA	OÛòËànAÏ.ÏP©oAy_x0001_)Y[ðpAgå8Ð_x0003__x0004_·[oAÖAÇ&lt;oA*_x001D_ÙÊpAmÜ_ÉpA_x0008_PÈÈÐmAõò@VýôoA_x0001_BØ'oAL_x0015_¾:]înAÄå4!«nAç8êß_x0015_pA_x001F__x000F_kR£nA_x0015_J0æmA_x001F_Æ"#_x000D_UoACvöZ_x0002_àpAR¢£EÆnA_x0016_ú°¾_x000B_*pAÀ*°oAÿ(D0boAñ­V_x0006_pA¯xgº¯HpAûK±7êOqAäÀÀÙ¨ÌoA^5¯¾¥¤mA Þ_x0007__x0005_+nAó_x0008_L]ïñnAë_x001C_TÜ_x0008__x0008_qAtG_x0007_P±pAçs¬ÏûoAÿry®Q»oA®"±¡zpAÇ9CòebpAJZÑýpA_x0004__x0005_*ccÏnoA©Îñ_x0004_°§pA5ú17._x0010_pA:_x0001_Ð_x0019_wpAßP¿â_x001D_pA_x0018_Õ_x0005_Q]oA07TÃinAD8f¥dÄoA0&amp;ªdqA}¦n¾ömA^[_x0010_&lt;@pA_x001D_ñ¤w_x0014_HpAbÖMIpAÉjÕ_x0007_~nA7_x001A_WäæmAnÔè8%nAþ"@Y_x001B_oAÚ_x000B_&amp;	_x001C__x0002_pAÔk$ZmAÈeÿÃnAÜ®ÌâoAyf%é/HoA.Yù"fëoA1ô_x0017_k_x0004_NmA¢nY_x0011_]oAGò{,oAìSAJç8oA´_x0012_YìnA@cf_x0006_FqAº~I·ÿnA_x0003_e*o_x001A_pAg&lt;³_x0001__x0002__x0007_nA_x001F_50poAbÚJOOpA_x000F_ËÆ	%_x000E_mAZÇÇvÕoAú_x0013_Ò?ãìmAË_x0018_F+¡¨mA2V_x0008__x000F_oA_x0014_Î_x0006__x0019_pAÿ_x0005_-A&lt;pA_x0006_j_x0002_ë&lt;ÁpAL_x001C_Æý¨%oAÌµspAâj?_x0016_@pAp_x0011_±×ÇQqAe_x000B_À¼`pAúúÒ­wÆpAw98­oA2=X8GoAÀ(B_x000D_ÞìoA- _x0008_pAÄÛäâÕmA&lt;Quc_x0006_qAn~V._x001F_ËpA¾;ÐþoAÎ¶öyânAÜçXpAfòþQpA|ô_x0002_¦RÒoA_x0006_S:ÛLÌoA_x0004_Ãõ_x000E__x0006_pAÛÃ?_x0012_%ÜnA_x0001__x0003_fmÛV/oAE_x0017_Ö&lt;_x000D_nAK\½ _x001D_¥nAôZÄ¼pAÝ_x0012_Ö¦ªpA7_x000C_Ð²ýHmA_x0002_¾qÄOoAÞ.´¤Ë_x001B_qAÏ_x0014_._x001C_\ànA}Ù(e^eoA¸&gt;u_x0014__x0001_ oA)îèÐÜoAä_x0006_¥Ã__x0014_oAËüÎá_x0013_pAö¯	ã_x000D_FpA¢T?2]ÚnAs_x0001_9_x0011__x001E__x0015_oAGçã¨z.oAxR_x0014__x0014_&amp;ãpA_x001E_ÖßÚ_x0005_oA`}ë´_x0015_qAvBÒ_x001C_ípA_x0012__`ÄÁmAçÈD^!qAàª:²ypAÜi_x0004__x0015_ÅoAªJ_x001D_;á_x0011_pA4'ø¶èoA@_x0017_mëpA&gt;rù'#oAÕdcÙ(qAÛó'_x0003__x0004_}ÇoAØ_x0006_rÓ|)nAº_x0008_s¯wmATP$_x0008_ÿmA|Áq°Ý:oA_x0018_s¦èqYpAº Â	³pAEü_x0018_*pA_x0012_ÊYóÃúnA$×DÊónA _x001F_Ý]e|oAÊSØ~½_x0015_pAVR.álqAâVÚ= pA¿íÝw¸RoAn_x000D_úzÍíoA6!?|ªmA\!øXrpAe1³BæÓnA_x001C_M«`¤pA&amp;Ob$ÿpAµ(Éî_x000C_oA_x0003_Àß_x001F_Õ_x0014_qA_x001E__x0001_ÛåîroA_x0002_áö¡7nA±¯Ãá_x001A_nAmQ¼_x0005__x001D_0pA´|sÿ­ðoAKá_x001D_é:÷mA_x0002_,_x0004_ ØpA_x0005__x0014_£7kpAj_x0014_¸8´´pA_x0003__x0004_EÕ6Î_x0015_åoAÖ9§? oA^¹45tcoA_x0010_É·\:\pA¿_x001E_A_x0017_qATIt¿BpAXîèñônAæ«Êô_x0016_oA;	£§#ÈoA¿K0!_x0004_!nA_x0001_¯Ì,èpA^ã+ºH_x0012_mAçÂ_x0007_XlpAø&lt;¤_x0002_oA»'ZwoAß76ÎnAá"}°yIqAgäÄÆu_x001F_pA@³G(xnA¦»åß pAél6L_x0012_ÑnAÄº¬Ìè_x000F_nAùrÑË_nA_x0006_ý*_x0018_OVpA &lt;y=oAa©&gt;ipADa"ã êoAI6Cd_x001E_pA&lt;ºÎ@oA:Í?_x0008_ááoAx7iÍ_x0010_½oA_x0013_0 _x0003__x0004_¨ºoAÓÈ  FpA}_x0019_W¦_x0016_oAÖöcu(pAKÛÏÙTpA± uMâoAMLV}ÿlAÓ-«®ÎnA_x0004_Ó",oA¤&amp;¶cHpAû¤s-GnAõ²Í_x0010_¹ænAÍºÚJDÀnA__x0010_µ_x0019_\mAø,&amp;zÂoA9WJ_x0001_nA8gFF°vnA_x0014_uÑ*óooAX_x0008_MpA)í·Íd_x0008_nAø_x000E_[dpA'½³hu_x000E_pA_x0002_h½¸_x001C_pA±×éûoALÌ_x0007_ñ_x000B_qAX/È¬ÁÄpA(_x000F_ºg!CqAÚ_x0017_n_x0017_£PoAeN_x0003_?pA1(8)énAr£_x000D_1oAûô_x0019_LpA_x0003__x0004_[«)[oAõS÷·oAüe_x0002_2_x000E__x0013_nAØ½Aü=#qAt-ÅÿæoA_x001E_]lpWoAÒÀ~éì_x0005_pAª1/_x001C__x001A_;qAÖ:W©Ñ¥nA9ËFÛª6oAF_x0008_;p=ÑlA71øë_x0018_¢nAf[¦õÊmA_x0003_ùù{ËsoAvdýGl_x0012_pA¼­/¼½pAñÌë`~oAÐNî¸q"oA[êvÚâpA_x0018_	ô]à»oA_x001D_TÛÍ,ÜpA^=¯þÝpA%©_x000C_Þ@_x001C_pAúÉ¼¶½nA_x0002_V´ìp3pAP#ýhKïnA_x0006_!	°µ;pA7+ËU3SnA(ð°xæpAêo¥ë_x0019_@nAØ_x0001_îÆoAiç÷_x0001__x0001__x0006_XzoA^_x0002_®éQàmA~z4_x0011_pnAí'&lt;Zº¹oA_x0015_£,\/qA ¬sî7ÐpAÀ	e³ÄmA_x0007_-(©røoA¿Z~=Æ	qAp§4]hCnA}'E	³ØpA_x0012_è1_ÿnAd¨¾'}nAÔ_x0001_ÓW_x0017_8nA_x0015_L¶oA_x001E__x0006_Þu6qAKDYÌÃ|oAYQ«__x000F_*oAÍ÷À{&gt;pA_x001B_µäÀï_x0004_pA_x000C_©¿ùý+oAýèm_x0005_OápAÂýD¤oAdW}_x0003_¢×nA¨9à6smAµ/S¿HóoA¬f&gt;)×_x0008_pAáÀâ7pA6s{SFópAÑònqänA2~üemA°5*°pA_x0001__x0004_ô¿#_x0013__x0002_MpAø1_x000E_+ÚoA]öm!ënA1EµNÝzoAI)G_x000B_é	pAù¨¤_x0012_Ã7mA'Kê_x0003_'nAFå_MÃ_oA_x001F_è´¼8ÐoAÃ6DÅÁ2pA5ÑH­_x000B_oA«ï_x0006_Ó,qAEe¡$pAy&amp;`ÒÕnASÏ¬dqoA2éeÈÈpA"½TÙêpAn .£foA_ï0²Ï±pAdÁ°1_x0002_pA$üê_x001A_(pAmxä§pAi_x0001_ýDnA,é )¨jpAû?DÇ¢MpAËÍp!pA3ÿ_x000D_ï½oAÌãú`Ù#nAîòIÑ_x001B__x001B_qA×A?ÈmAÌc_x0016_Ã_x0014_]pA$p_x0013_Î_x0001__x0002_¯õoA`Üîò­ÇnAb¶å¡oAdl_x0008__x0001_fñoA'1îÒ^pA$`ú?0©pA|çÇ¯oØnA_x0016__x000E_ã~pA_x001F_w_x0007_þpA§B­_x0010_D)pA þÊDénAF¬¤öWoAÕ}_x001B_²n­pAYõ°á°pA¼;×_x000B_&amp;mA&amp;GPwToA_x001E_ç}]epA"®	9 _x0003_pAçÛ_x0017_´_x000C_ÐnA¶t.º_x000F_pAÏD_x001E_¼oA_x0012_Z¿ÜºioAì%ùs5mAèH_x001A_'Î*pAâb7ÌL¶pAÝ«iÜØoA_x001B__x0006_PTqfpAù¤&lt;_x0017_ÍnAª/yupA-¿âÛ_x0001_oAxWµ cpAë3Y_x0019_«FpA_x0001__x0002_ä_x000C_bY÷oAqÅÂ"UnAÌ Ùku_x000C_pAúÝ,_x0017_jdnAKïp_x0008_XoAX*bTï¢oA¬_x0003_¢_x001D__x0014_fpAª¡_x0015__x001E_ÝoALöÓI_x000F__x000E_oA_x0016_êßI(ÓpAXâiná]nAgÏÁ8¥pAGÐ_x000F_ýöpA _x0016__x001B_IÔpA×_x001B__x001E_gÊwoA²µÓM/nAó÷_x0008_Ï.pA-&amp;©_x001C_qßoAjSû_x001C_íÒoAÏ\_x001B__x0007__x0011_pA©_x0013_ÊönAËé;ù ²oAm¡QÊðnA.ýÎR,"nARQ;Û¨ÏpAiru·h_x0013_qA_x0016_Ô_x0019_mAéFÀã~oA&gt;ìf¨"pA Âí;y?oA0èì°é_x0018_pA¨ë_x0003__x0004_4oA_x0004_ÁÐ9_x000D_øoAÛù_x0004_&lt;+ßmA_x0010_åóãCþnA;Ý¡PõpAÂ?_x000C_E¦9pAmrY_x0001_önA:hJ_x001B__x0008_¤pAê¤_x0013_ÙÕmA~_x0016_ÌiAoANãÈUIÕnA³®kCpA,_x0018_t$_x001F_´oA9_x0008_¶wÚ°oAJícá{nA_x0005_\kc_x0006_BqAÐ¥¥_x0014_pA¹%»[4nAzÙY±ÁnA?sø7+mA­_x0016_ñbnA_x0010_îZ_x0002_pA=ML_x0012_8pA_x0017_´Ýê_x001F__x0014_pA×iÏK_x000C__x001A_pAày_x000D_-½cpAQ/s8ô_x0003_pAl ¼+O´nAÊïßDD	pA¸_dTYÌmAc¼&lt;ÄñýoAÍBmjdpA_x0002__x0006_õ=·ÕôXpA_¤bà_x000F_ønAÛLÑ¬D¦oAÏn8ÄjoA`_x0008_BD÷ünAz++y_x0014_npA_x001E_`ãÚ_x001D_oA_x001C_êQ`_x0007_pA©Õ¯¢%ypAhëvoAI3_x0010_S0qA6_x001A__dÄãoA¡2Ò_x000F_goA7h7_x0016_,pAæOîk_x0016_pAõP}6_x0013_pA_x0004_® _x000C_ë§nAû07K_x0003_ÉoAc¥-sõæoAÍ©b_x0014_3oA×_x0007_IJ_x0005_«oAmdçÀSmA^_x000E_wß_x0017__x0004_oA¼Ìî»_x0019_nA_x0008_ë¼s½¯oAÙÔ#Ü¬oAaÀ?oA+8Ö_x0008__x001A_§oAPâ_x0001_Ó|]pAÞ| ©©pAêðø4NpA_x0001_åFe_x0002__x0003_ÞÞpA.S_x0015__x0008_¦)pA_x0001__x000E_ ½9%pA+zË]EcpA_x0011_Ë_x0005_¤ÂoAá9ðb_x000B_nA_x0010_S¢YSpAÃ@Ä¢_mA¶_x0011_7$_x000E_kpAô}«\ÒpAAè[Í_x000E_^pAÐ»±t¬ÉnAªmkØUpA¥Ûµ ÍoA®Qò³þ pA_x0005_¹^CpA_x0007_È®&gt;_x0017_oA]v[Qþ5mA·_x0018_þ;koAÅ_x0019_æa_x0014_ÇpAØ4±ÈÊÝnA_x0002_(;0'onA}8e&lt;AïmAÂèÉî°HnAä£1{¶nAs¦¥_x0014_pAQgÝ;nA_x0016_ ë¨òpA_x0001_K9¼_x000E_pAÕÊz­ÊtoA_x0011_õë»«&amp;pA æ_x0008_·oA_x0002__x000E__x000D_Ê¸ð_x0004__x001B_oA'&lt;,?qADêî_x000C_qAp_x0016_Ãµ)oA¦®Ü£î#oAhÁDÆ oA@_x0005__x0017_uA_x0019_oA_x0018_ÀÁ³ö	pAIØóþ*_x001C_pAK_x000B__x000E_kC_x0012_nAå#6O©nA{ÕìdÈ_x000D_pA2õ¹à³mA_)ÌlpA¢[yPnA_x000F_Å7ùÚ_x0004_qAÑB0bæ_x0001_qAk_x001A_þFg³oAs{P»i¼nA§úÊ¢&amp;yoAÑd_x0016_xMnA­ã¶,_x0018_pAÛ_x001E_ÒUÍ%qA_x0016_&amp;_x0008_'ÊJpA\_x0007_s_x000C_pA_x0003_´0_x0004_*BoAPÆ½ø&gt;pAY¾ýfõ8qAÎ_x0016_`_x0006_ã_x001A_pAVÒãÊò:nA_x0002_wFÔ_x0014_±mAöF^_x0016__x0001__x0003_{¢oA_x0011_C{W#=pAî¼¤=oAº=_x0014_øÔnA(íñ_x0014_SYqANÑÚÇdznA_x0004_çíÿ_x0010_¿mAüÜã}¦pAÄ¹%[ÚùmAk÷\"_x000C_nA¢æ_x0010_Ñº_x0011_pAC¹&amp;tmAfb_x0016_mOpA_x0019_&gt;{Ú_x000B_knA°V_x0003_Ò5pAæ`eÛ¹ÕpA_x0004_/ÛAspAzwûÝÚUoALôÖQ¤oA[èL_x0013_oAÛÐ_x0017_ú;oAI7Ë_x0010_ØnA­tOe°ÿmAW_x000D_Ü=noA¾A#äñfnA´ýú_x0012__x000B_pA®_x000B_CxçJnA&lt;zt£ppAðâ7jÉnA_x0002_ôí¶pAì|ípA$y¹ºíépA_x0001__x0003__x0015__x0014_?_x0019_VpA.3_x001A__x0016_ÀpA4Súñi2pA_x0011_W_x001C_ÍØÅpA&amp;fb_x0015_v_x000E_oAµwò.JpA,ùÑ¹_x001A_roAø~y{_ªnAÿY_x000F_Ë nA8ÊkSç4pAÙñ_x0015_nA*î©&gt;oA_x0010_6%_x001D_ÀoAáÁLËD,pA|i¥_x0004_9oASÁkàWSpAgã ¬ê­pA0ø_x000D_qnA_x0003_Zg¸="pA_x000B_Àa_x001F_ºmAÑ_x000D_ê_x000C_ÞÓoAV²`¿\ýoA9´°ôÎpAQ ©´/4pAê¬úÙoAÖMøäTÔoA&gt;vd_x0018_QÿoA_x001D_òÚloA _x0002__x0013_®-pApúØ!ã¶pA¾_x000C_b&lt;ÅrpA êag_x0001__x0003__x0012_×pAÒ9ø_x0017_1pA«-y_x0005__x001F_êmAì%ï©­opA¡)i_x0004_=ÀoA~¹òpC[pAR¯_x000B__x0011__x001D_}pANã_x0010__x001E_9pA_x0012_¶ÕDapAé_x0019_8$_x0001__x000C_pA´W,ù¨'pAúÚëpAF«Îi]oA_x0002_Ã~_x000C_6oAhéÁßJoA/J¿ö®nAã_x0004_ÜîÉnA¨þhF{pAaöÃ.ÂnAFrÞt_x0013_oAÑ¸%koAP|"_x000B_pAÔÍ_ãM¨oAëUº_x0019_ìpAþ­_x000F_dÔ_pA Wà¹ÑYoAÍEaoAßÅÄ#¹pAæ¹PiKoAZÌÂØÆ1pA²Ê_x000E_ÄoAêó¤.õ¬pA_x0001__x0002_VýÜ7xtpA@ü3Ç'5pAñ_izôPpAÕà©ÖLxpA_x000F__x001F_+spAud4_x0006_¬oA¨S%_x0007_pAlXSÊùOpAs¶ùh5ØpA9ªðÀ"ÞoAJ_x0011_íºEmAC}Ø,N oAÎ¨_x000F__x0006__x000D_nA¿K¢_x000D_JmA{_x001D_®³WnA}Ä= _x0012_/pAÎ)üÜ_x0011_qAxö±_x0015_loAÔ¯@þ}pAý³ÎS´KpA_x0014_ì§³µæoA_x0006_Ô«,_x0001_tpAS+G*¬mA^_x000D_ÅvËnAj'_x0003_´ÃoAÉZ_x0016_ConA¿Q!Õç5pAãr_x000E_ûípA~óåPTqA£k_x0004_ÅÜ¥oA·_x001C_c/6°mAÀ¿_x0019_*_x0001__x0002_?_x0004_pA'¦®VØboA/Ýa4PnAÓ"&lt;qA+rCýÑpAé÷U ¡_x0017_pA×\óT°FnA´¦ÓEÚmASC9ZEpAvIÔ_x0015_khoAïFÝßoA®û¢T:önA4Á_x0003_³nA°·¦ÒnAíaz×_x0011_.nAÙB«LpA-qËßOMqAÎGY¡)4qAO#	½_x0017_pAï¸`\|DoAñ_x0018_m²ènpAhe[åû{pAáì¨ï!nAÚô¹_x0016_ZpA:±Ð¨¿oA'_x0018_Ä$5oAZzMæ²DpAÓ_x0011_F_x0007__x000D_;pA_x0004_IÅ	7pAãu&gt;_x0001_¼mA_x0013_8ójºpAÍ:NA]'pA_x0003__x0005_ÄH_x0005_*Ù|pAÛõ¼Õ»pA&gt;*ÜipAMÂ_x000E__x0017_¬LoA â©ÞÌ`oAâ_x0003_n?_x000E__x000E_pA	ð,ÔîoAè)/dpAÕ_x001E_í3_x0004_qpAåÿ_x0006_|QnAÖn¸²oA`·c®7¾pABù¥_x0005_V_x001C_oAà_x000B_®N®×oAc_x0012_ÂÕaøpADòÉ#qAa¨pÑÿ¸nA_x001A_-¥_x0010_pAfbô_x0002_nAÃï_x0001_mA4þ)nØ_x001C_mA§_x000F_vpAÝøÚzHünA@ê /?mAT ¼ÚoA;Ð¿ù#®oAÓü_x0014_%pA6Âwn_x0003_pAÑÕ_x000D_08ÎmA¤¬_x0010_ùpAÜ¯!üpAwÿkf_x0006__x0007__x000E_nAgdÄLªoAß	8#¬@pA9_x0015_ìô»nAV_x000C_Ô_x0007_:_x0015_pA"LÝ_x000B_qA^(E_x000E_ApAÚã`RpAØ©1_x0002_qAA­ø_x0006_mAC_x0001_È`5¤oAûH~µÍpA67Å_x0001_pARöFK_x0005_£mA±_x0016_*LnAÌÙcm_x001D_pA`Ï Z:pA	æ_x001D_doAãª _x000C_NNpAN)l«_x0003_pA_x0017_E(·eÓmAFê_x001F_­HoAþlr0_x0005_pA¯NôBsåpA Dò_x001D_inA_x0014_{_x000E_J"_x000B_oA%~¦ø¦_x0004_pA`Ö&amp;&amp;Ç®nA_x0003_h»wÌÉoA_x0006__x0004_±nAÎ±$!pA8|Å+ê,pA_x0002__x0003_ÄÊåðenA-±%µ_x0005_oA×Èî¬mvpANÌYõnõpA=_x0008_u_x001A_3oA0ü»Ø_x001A_pAz_x0017_SWs)hA&lt;Nµßö_x0010_iA_x0011_(SÎ|_x0012_jA_x0013_²pu3SiAÌ_x0015__x0004_MG&gt;iAôF÷ø§iAm¾á_x0001_BhA²éý`¾jA¾{õï_jA¤_x0016_GfViA þômciA_x001C_³¹[jhAÒËÔ­;gAÀ¨&lt;xiA_x0004_giÔ|çhA_x001B_øb+jA*µ×_x0015_ejAáÕ®9þ_x0003_hA_x0008_ù`_x0012_ÏiAgÐ_x0003_=°fhAîUýì¡jA&amp;×_x0001_èQhAýwZè4iA_x0018_Trd5+iAÏ©È^&amp;ÎjA©,óP_x0002__x0003__x0005_ÃgAºåÛÊ¬jA `¼9jAÂüµ_x0006_uªiAøêº_x0017_kA d4±bhA_x0001_,ÎÑájAÄ®_x000D_mãgA_x000E_ÒT_x0012_&amp;åhAÁ+øsJajAùùLhV_x0010_jALL÷UjAx+øe¥iADÑÄ:ÉiA½_x0013_ou÷hAÃÏ_x0006_gjAÚô¹M_x001E_hAA_x000B_;_x0003_p_x0003_jA|-ziAi¿·liA_¬_Y"_x001C_jAË ÙåOhAøÓGàiA_x001A_;ò_x0019_jAÁùÜa]øiAp²N¬áhjAî_x0010_Ï¤÷hAÿéÉH_x000C_jA¤5O#hA$R?ÒC@iA}´0_x0018_)_x0005_iA¸L¿e\kA_x0002__x0003_ý¼ï·WhAÏ½'è@kA_x0008_§_x000F_Õ·jA ª_x000C_&amp;wjAû5d[bjA«x_x000E_h7iAÜ0Ø^gAÆ2õÎ«hA°·÷a»iA[Ü._x0013_ÊhAÔ_x000C_¿n]gA{êyHD`iAv_x0014_*ÖD-iAX _x0005_TïÜgA}~w¿AjAó_x001E_Z=ÜiA}sûÔ½qjA  òÒÁqhA	36TÀgAý&lt;ºSiAÆTÒÁiASU'_x0004_QjAÕ&gt;_x000D_G_x0019_gAMqþ$TkA_x0018_T_x001C_	_x0008_hAÍXc°iAò_x0011__x0018_~jAÒ½_x0015_FtiAÙÂÎ"§ZiA^_x001E__x0001__x001E_hA*_x0002_·KjAïo-_x0005__x0006_0vgA4pè0ßhAæ8Çz_x0011_?hAt¬®è¦kA´Þë8UdkAq_x0014_}Û×	kA_x0008_9}©I_x0003_kA_x000D_õ_x001E_÷¥hA»ÛtmúthAÎÐ,_x0001__x0004_iAÜ@¹_x0017_ógA=pÖ³M}iA~Ó_x001F_n³ÄjA_x0010_'Ö_x0010_QiAºµ$ÀiA»S¦YòÚjA³÷å_x001A_yjAcó'_x001D_ú´iA(Ø%¬_x0003_gAd&lt;K¦dmiA¢7Ï­_x001E_jAÖ_Öî_x000E_&gt;kA3,±_x000E__x000E_hA³_x0006_ÁÚÊiAUËRhá,kAc6ÎQ!jAP¦òÆ_x0004_fiAê]ýFÔiA²ç'_x0011_iAT·åhA~0_x0002_vãjA°_x001B_8o_x0012_ûgA_x0002__x0007_2KÒý_x0019_ÓhAé}p6_x0004_iA³â_x0013_L)ÅiAê:_x0010_CjAÍÿCP¡iAìEãñúhAµ_x0016_PîëiAp_x001F_G_x0001_·¨iAõHH8IwjAÕ^mLiA2ð§ÿBhA|Ëp_x001E_Ç,hA_x001E_0_x001C_YEgA{ÈÝ·Î_x0012_gA_x0014_f¹¢ àhA_x0005_¸Ñ&lt;ÚgiA½)á_x0008_00kAî&amp;ÇÜjAYü"_x0006_ôçgA-Y3_x000B_ä&lt;iA_x000B__x0013_¥_x001C_[_x0019_jA¿¡(m_óhA¨±_x000D_ò3ØgAó_x0006_¸_x0014_Ç_x0015_iA*øXW_x0003_iAÑ5nq%kA¾ÈÏþiAF²ÿÛ³åiAÀ_x001B_ñS_x0012_kA8%ÜvÀjA_x0002__x000B__x0010_ïD_x000F_iA»â/]_x0004__x0005__x0005_ÊhA_x001F_Sèld#iA]j Þ_x000D_¥jA`ÂÃTiA³ç´õgAE4Ã{¹*jA¬¡^_x001A_E;iA_x000B__x0001_ jA¼_x0005_y%ÏHhAÒ@B'ÑgAÌ_x001D_7_x0002_òKhA_x0014_eÚ_x000E_3\jA_x0016_eúEjA\¬gÁÝjA_x0016_ü}iAR^Ë½OiAWöF)aiA_x000F_s8®QiA t¤nÁiAáºíPiA1±ÌV¡jA(xySê_x000B_iA®Ü_x0003_hRÈhAiwä7]_x0019_kA¼#çiAí®Ò SójA	_x0001_÷DÿËhA©[/§àjA¥û9¬iA*J3@9iA©.bÔ_x001B_ÑiAú¬zÝhhA_x0002__x0003__x0012__x0004_³×7thAÔ_x000E_Õ_x001F_·jAüOlCziAh:ËiAãLHYMkAáÕÈKYiAî°1;_x0003_jA_x0016_YÔÈZjArEé_x0008_9jA¾ÿ6x¹'hA_x000E_&lt;çCÄiA3%VÔ«_x001A_hAB+×â_x0005_kAÏ;_x0019__x001D_'kAÊÒ(Î_x0013_hAÔb×&gt;ÇiAÃe¼_x001D_hA_x001A__x0016_ùÉNiA&gt;å&amp;éÜ iAÙJLkj&gt;jA:[(_x001B_ßjA_x001A_mdÏ2hAyÝµpÐäiA¯­?ì¯iAÓ+5gÙ¯hA"Ñ·7¤iABl½'"ÚjA_x0004_9Ä_x000F_±ÿhAÚ_x000C_Ke·¸iAä#¿âhA_x000D_ç_x0008_^&lt;khAZ_x0001_Q_x0001__x0002_k½jAàé°·¢¹hA£_x0008_-VÂhAµFáæjA´Õg_x001E_hRhAC_x0019__x000B_#&lt;±iAÔÚ6liA"_x001A_ÆUëhAHÜ¤ðN3jAQýÜ_x001E_:kAÐc_x0019_ÃîgA¤üÐO_x0001_hA_x001A_ÎëS¯/iA_x001E_ÁÄS~¶gAl_x0017_%íìgA0Ò#4®õiAä8N_x0018_²+iA6e_x0018_µÙiAäc'Ø7iA_x0019_×_x000E_ÿIiA_x001B_Ël,²jAlì@\ÐiAýµcjAñÓ(\iATj6G*kA_x000C_[yº§iARô_x0013_Î_x001E_jAÐ]ómËÕhA,_x000F__x0003_QWµhA	Ü]#_x0001_jAß	¦?kgAôýmªþÅhA_x0001__x0005_ní«fGkA[àÄíÒjA^_x0019_övê¬gA_x0013_½HàÿbgAØýRáHkA§Ëv_x001B_£ýjA¤ö_x0002_-}jA_x000B_³(L¨îjA|ªóPÛiAZ^ß6ï_x0011_iA'ØTä©hAZÅ¹Å¿×hAº_x000B_Þ_x0001__x000B_iA¶pò®hA´åìÝiA_x001A_K_x001B_hA}¡=ÅÏjA_x0012_âc_x0004_cSjAÖRJÞ0hAQ´0¾jA_x0003_j^N&lt;hAâÖÛÜ/&amp;hA@Ü_x0006_ ¥¬iAÈ´_x0013_íÙ;iAL®h´kAÎ_x000C_O;FiAÎôJ£¾_x000B_hAÙ@UHÏEhAÖOYÌ;¨jAÔmV&gt;Y8iA_x0011_±¾F_x0011__x0014_iA7-_x0002__x0003_HihA_x0008_5+¶GgA_x000D_±½jXjAï ~Ú¹¯iA_x000F_Öã ÈjA¢ÿ&lt;ñÀýhAFÇ#_x0013_UhAÌ4Â¿_x0012__x000B_iAÑÏ¬ùÿiAhÛ=xuøjA_x000E_±ª*kAIÙyTWkAI=#ïiA]îÊ_x0001_ÞiA2öltßvhA¶!_x0003_¤é¨hAV_x0003_DB¬rkAX¶ù­_x0006_:hAµ6+å,ÜgA¢:?ª¡iA_x0006_ª4,½ujAQØØùgA0gÂ³ jA_x0015_m_x0014_·¿iA¦Ö ´hA=Xxi»gA#T&amp;_x000C_XiA_x001D_²´hAÁ5M~ØjA_x0002_;_x0019_­\iA?1~jjA`í_x0014_³Ü3iA_x0001__x0003_÷B.jgA_x0011_ _x0002_¥Q`kA·íq"hA´_x000E_ÝW7hA«[z!¢hAþ_x001E_4~×áhA{s¬ä÷}gA(h«PÔjAýM­ùôjA_x0014__x0008_#{cgiA_x000E_Ø¹ÝA5jAxöWºç5iA¼3[Í¥hA:Ö¸ÓjAr_x0008__x0002__x001F_pÊhA#ìó[´_x0018_iAô¹þ;VÔhAè¡ò¼ÏhA_x001C_,,çAiAo_~«_x0012_hAs­_x000C_	g¤jA¯_x0005_®{ÝviAÄ_x001B__x0004_ÀôgA_x001A_Ø04ÔYiA_x0016_@ñw(jAÀ·&gt;/iA(ôÀòÐjAy¢MÛ&lt;sjA_x001D_vi_x0002_0jAÜe¸ÛNjA«7ô&gt;íVgAð¿T®_x0002__x0003_C²hA¦¥pÞF5hAs&amp;ËÜ¬0iA_x0002_Wr?¢jAluËSeiAì_x0019_cø9iA_x0011_¬r_x0005_ÄiA3«¥2jAZþôÕ@oiAÛâQ«diAE¸½J_x0008_ÄhAì®)o#TiA}|ËDÛhA¨äÉN@_x0003_iAÒN¹MêjA{çÏ_x0012_³piAÁ9t½¢jA_x000C_eµ¯}&lt;jA6f¢KßiA7_x001B_ã_x0010_üiAû\_x0015_jAÖEß_x0001_ÖhA"±J_x000B_ÍhAÜÎ©ÿ9¹gAØæSPhA_x001F_~_x0011_fGÃgAÒo¬_x000D_iA7	c´¶¡hA2Ù2ÖÉiA¬½«&lt;,iAdî`é©iAéF³T%hA_x0001__x0003_7;1(ÚiA;Ö[3_x0015__x000B_kA_x001D_+QÛvyhA'tú_x0002_(hA0j-¨_x0001_iA2/ïÐÚJiAx_x0016_	_x001C_~#jAE¶nÝ°èhAp-&amp;«"jA_x001D_òÀ8kjAÚÝ_x001D_6	iAø'+eorjAÜ_x001B_iASª¥¥jA§FÖÇ_x0004_jA`JFì|_iA¤ûd½¼IhAJWxkA_x0015_kI7v¹iApogÀ	óiA¦¤_x001A_ÎïgA&gt;ó©_x0012__x0018_hA½Î_x0011_§øêhAH» &amp;jAÌµ_x0016_g)_x001D_iA~pP0jA`þ-.ë°jA_x0005_Y&gt;o#½hAn¡ñ höjAø)r·!jiA_x0010_e%¾»2iAXgMm_x0002__x0003_'©jA;êË_x0016_È_x000E_hA_x0008__x000D__x0014__x000D_iAgà´swhA_x0003_I9nw_x001A_jAÓ¥2kÄ2hA¬$_x0005_³íchA/¬_x001D_R_x0019__x0017_jAd=_x0004_ùiA_x000C_Ã§àiA_x0010_L=_x001D_ÀnjA_x0013_lØ®C³jAÉRu°_x0006_viA_x001B_^¹ÏJhAc\ÙÂiA*þzR¨­hA8òÑ)´iA_x0019_Öë¹õhAÊGMÔhA\ã_x0004_ã®jA{ÒDÖèèiAÆL³]ýhAG_x0004_H_x000B_ãjA®HÊÎ^{hAó+ÔÅÛ-jAå_x0002_ÜE|ØhA¯Aü_x0001__x0010__x0007_iA_x0013_ÒGökA42â¹æiA_x001D_G¸ßºhAíºÚ};¸iAÚ~P_x0018_±ÚgA_x0004__x0006__x0012_%T+HiAÒ`2h@jA},ij7hA_x0008_\-TrUgA¡ ¦ç_x001F_shAã¦jA5Iìþ¼yiAàl°°_x0002_ågA_x001D__x0001__x0010_\ÈÖjA{ÃL4jAh«vúLiA¼çP¦âiA¸_x0014_;mjAh_x0015_@Ø_x001C_òiA_x0003_®_x0018_+hAÄ_x001A_g:iAí ùD¼hAöcÀ_x001B_&lt;³iAmoÞßhAyéòà¹¶hAKRö¯_x0005_§hA¥§gÖ×iAãh._x0007_+zkA_x0016_ß¯ÕiAë@ÿ!ÉhAÖh¶NFjA`O=$¤kA_x0013_~ÔúCiAÖvaªjA B_x0017_@)|jAQÝÈö_x0011_RiAÖ&lt;Ô_x0002__x0003_§gAV8PË!kA_x0014_Ù_x001D_SHjiA_x000E_a)®gA¼ºÏiA_x001C_w_x0015__x0008_Ð¬kAá^ªt®ÞiAI5Ñ·6_x000E_iAïÏ ahA0GF_x0005_AÍjAÐjq¨ñhAðt&gt;_x0001_ÏÒiAê(ÿQjA6g_x0011_Yè hAgÀe©4iA´C_x0004_Û%øhA_x0001_ë_x000B_u_x0013_ÒiAÌ,Â_óiAïxû²)gA§úÒî;ßgA_x001E_dÞñ³ÍiAÀwô_x0017__x000C_§gA&amp;XMååjAÈË_x000F_Ëâ?gA¶×D_x0019_'iAµ_x0014_Z(_x0001_hAjpv$_x0015_ÏjAÒï&gt;¤\iA_x0001_²1_x0010_OiA7»³v_x0011_hAúËéhA_x0017_¯ÿ%#_x001D_jA_x0003__x0005_û¿«^gAÔÞÿùEjA|3ö«ËaiAl_x000D__x0001_aGjAf\3£ìjAm	¢KÎnhAçÀc¶kAAÐÕ|MiA{õf_x001D_¹hAñ_x001D_ÁïêViAð_x0003_NwãjiAEõgÞõhAàr_x000D_P6iA·7¶£©zhA_x0018_\VÈÏûjAºDR¨æ1iAÇ¤§;¶jAC\úÞöiA_x000C_À_x0016__x0004_Þ_x0002_iAÑ_x0003_ÌyUÌiAwÁi´=hAnÝ)Â?jAc_x0015_XpiAôÍ,ÕËhAá&gt;Ò²ÌgA~3_x0006_L6«jA\ï1_x0015_niA4Ò»u'ziA_x001A_8ùgAù_x001C__x000C_ÊLjA_x0003_Õ_x0016_Ö,jA_x0001_¤_x0004_u_x0002__x0003_rPiAPD	_íiA,`ðO¸_x0004_hA°&amp;_x0012_T1hAb_x000D_ªi9gAþ±OÿwiAÅDNs_x0017_¿hAßî_x0010_hA_x001F_Ägõ°?iAs_x0001_îeíhA·êLG¬xhA±5º)pYhA¹Õc«þhAßëC%ðügA8Í/pÈhA-_x001A_Û%iA\åÄ^'jA.ñzýìhiA_x0005_x\OjA_x0012_LÐî_x000C_¿gA¤æë_x000D_ÏiA&gt;x@`_x0015_kAh_x0006_*[_x001F_hA_x000E_l¯jA+ßIò1÷iAb0P_x0010_×kiAÇÊÏ´K jA_x000D__x0019_å'¤hAzQª¶hAÜåÂì_x001A_jASj ÈiA`ß2+ôéiA_x0003__x0008__x0013_'C_x0001_iAFlÃ_x0019_YOiAÚàÿ[hA!ýF_x0008_+`jA}_x001A_åR_x0004_ThAïP_x001E_&gt;iA5yÚ«Þ~iA_x001A_£WIiA_x0018_HoiA}ò+éXÍkAb_²8ÜiAî=w[6hAB8$fükAá_x0001_øÎ_x0007_iAähA-6tÕ_x0011__x0002_iA&amp;_x001F_¯_x0008__x0012_±hAÂu´ì_x000E_£hA_x000C__x0002_³©ÆêiA_x0004_6xøHGiA_x0013_V¤qiAß«¸,F×iAÉL!#yliA0©3^hA!2mT«»gA¯Ë¡_x0012__x0006_jA_x0007_;&gt;'{iA(³å_x0004_mðiA$ èÕÌ_x0005_iA4º Ê·ïhA,³Xó:_x0018_iAò_x0013_=Ò_x0001__x0002_ÛkA_x000B_ùC_x001B_JjA¨¹_x000C_5¡ÿiA*_x001B_TK iAÓ_x001E__x0016_ïhAÀÄÊööâhA8&gt;.,,&amp;jAøä_x0003_Øâ_x0015_jAc_x000B__x0003_gA_x0006_ÖR9ÙhAEÏ_x0003_&amp;_x000C_1iA"­¹ÏvïjAÂË]_x0013_5_x001B_iAÒ?Ã'újA_x0004_ñé¦¾iAE`mÙ_x001A_ÍiA»¬9ÕÊuiA_x000F_×qN&gt;hAá_x001B_ãÆá~hA]·Pþ.´jA½¢íScPgA@rK	 $jAÎ²!m_x0006_ëjA²S7MlkA2ÿÈÝÐhAØç)Ä:[hAµ_x0016_ÈEð3kAve°RØiAþÏÕ\~iAÊSÉgAm¡¯wO_x000D_kAÅXÒ$ÅhA_x0002__x0005_ý_x0002_\¬hAªHË$ÝTiAg_x000F_h^ÊjAq$°cº_x000D_jA_x0006_ÐâêiA¨_x001C_º°_x001F_jAý9×_x0004__x0014_®iAHúgYsiAIg_x0002_QóciAbh±¥ÎhA*ªÛ_x001B__x0008__x0008_iA_x0007_8I¨_x0002_jA_x0003_Ô_x001E_VªhA}ç´RþgA+§_x0013_vôÆiAËdêÍ½hAþT4 _x0007_kAkÂNÊ_x0012__x0005_hA_x0006_Ö$D_x0011_jAÆÖA_x0007_ÕÁjAþ_x0019_ñ_x000E_8hA´q_x0001__x0012_)iAZ_x0005_º0ÍHiAþrû_x0019_zjAN­V]ÅjAØ¼|Æ8EiA»½CXëEiAïcJhAóÎ¼ gA°N_x001B_é_hA«Nh_x0017_jiAwá84_x0001__x0002__x0016_NgAyÈ_x0014_ÎgAí_x000E_c×ðgAÞ}_x0006_5(iA_x0005_½·pYjAC_x0002_UÀÔgA]_x0004_À?ºögAÖ×©4ôiA_x0016__x0016_ªt¤iAìéðeXCiA Q_x001B_÷»¹jA O_x0015_jUhA:j¼ÕV_x000F_jAÅd»_x000F_ºoiAmSYËgAÅ_x001A_Í@ª)jAj_x001D_âÌÊ_x0013_kA_x0008_Ë//^iAµS_x001A_Õ«_iAýÈßÀágAóY¨ËÿjA_x0003_ßyáhAîÉ£hA_x0019_{yÛDéhAÒU£LëiAúûèQ¯±gA¶ÏýxgAÔc+qê"iA¿a2õ_x0006_ÀkAè¤/jAp×û0æiA_x000F_]s¶_x0006_uiA_x0002__x0004_Ô3Ð×`hA-ùóyÌ_x0007_gA¯_x0013__x001E_½iAÍÂI¾:iA&lt;ø¼jA¶_x0014_÷bÝ±iAåò_x0011_jA¶_x001D_Fþ(_x0018_jAx$í$ïãiA-Ê¦iAe¨óu!hA0 _x0003_ehA&gt;ãñG(iAñjz$°gA	¹_x0015_¹jA1/ÚFNhAÁzáÏæ;kAÊ?É÷ iAvèXújAHrB!à_x001A_iA­RS-õ_x001C_kAbbWö_x0018__x000E_hA%~þö)iA&lt;_x0003_Ø4Ë_x0001_kAáj_x001E_	ékAOOl¨¶iAxy_x0016_ä&gt;iA_x001F_`ç9_x0019_hA_x001A_¬¼¸8_x001F_iAqKl._x0013_jA7c|&lt;_x0003_jA¡ ­µ_x0001__x0002_j{iA_x000B__x001A__x0005_gA{£§F+®jAÑå\_x000B_ukA\Ð°ý¥hAæ_x001D_Ì{ôhA_x0018_O§ÿ_x0017_jAvs_x001A_«UjA¼&gt;R&gt;viAÍWYd_x0013_)kA@Þ½î_x0010__x001E_iAäj_x0012_º]=jA´_x001E_¶ÃghAÿ¡Ì¾¿iA^ÂV_x0014_hAÛï¶_x0016_iA×¢_x001E_Û½iAÌ¤äÒ7£gAö_x0005_¾ð.jAA©_x001D_T_x001B_IjAÐkì_x0011__x000E_ÔjA½ó³ßÿriA&amp;hw_x0018__x0006_ÂhAkçd)ÝjA_x000B_ÁéOjAê»ê 7ªgA_x000B_ÄHî_x001D_iA|ø_x0011_IB_x001E_jAÔlÅNZjA¯ËRntjA{o&amp;iA'_x0004_;ýEkA_x0001__x0002_.(Sâø{iAuz,03gAô+_x0015_ÎÒhAóü_x0012_p.HjA®a&lt;Ob_x001C_iAFhòº:BkA\ÿ_x0018_ÞjArÄJ7ýÃhAªÎyDãiAõ»ç_x0002_¤_x001F_iA|&lt;Eä_x001C_riAY/_x0008_jÓgA_x000C_úþ;ÐÅgA¬ô¤Çû_x0010_kA­¦|ýkAÄÉ»rä°hAÀ_x0002_üú~jAí_x0007_w_x0014_iA ÙjÔiAä!®_x0015_ìhAÀò´ðÏiA¤°î~r¢iAëlíÐ·hA6î_x0007_ÒûhAÊ_x000B_V,óÓiA_x0006_¯Vb_x0005_jA'=_x0008_S7kA_x001C_	ß_x0017__x0005__x0010_jA_x0006_0qÔÕiAÝÞçç_x001F_kAZb#_x0014_ÇgAq+{¹_x0005__x0006__x001D_2jAræ¹ágA¬ù^hA¤Rj_x0005_oPkA-|Y-iA7z_x000F_d·LhAý©_x0016_ÆÎiAïÎgPùýiAóÅ~.;ÜhAÁ_x0011_¼YÖ¢iA sHÇ_x0005_õiAS\c-í	iA_x0004_c¨óVjAÅæ_x0017_{î«iAÍæSÅK´gA Ë`¶wiAìÄõÏö|iA~ÜÛeS¦iAË½h_x0015_iAÉxe_x0010_I×gASþ_x000D_.LkA H¼àhAüï_x0013_x_x0001_iAh­LKiAm¯P_x001D_#%iA_x0004__x0007_ºý4.kA_x0018__x001A_cÿQ^jAù­_x0003_âòhAçÿõ&amp;î_x0013_jAâÕ_x0013_vã|hACzúÔ_x0002_hA_x0008__x0013__x001C_PKîiA_x0001__x0003__x0001_X.&gt;ßðiAE!2ÒºiA¸EÃµ=èiAøÏË_x0006_ýiA6&amp;´çùhAÔz¸*&gt;jA÷_x000C_êâWhA~wFejA_x0014_¦£/hAØ_x0017_PtËjAÁwmUkAó_x0013_JqgA_x000B_êw_x001A_ÑxiAñ/§_x001D_ÑÀjA_x0008_ùZ_x0011_ìhA'g$ÇhAn§]7K]jAºßæ³º_x0007_jA]ñDöûiAN©_x0002_¤1jkA6¿ü&amp;ÁhAdYh±FhA!ià§}kAÚÜÏ&lt;Ð_x0017_iAd43þ_x0019_iAà´xgAìþâL_x000B_ÀhA:5«c©niAgâÜ_x000B_ÓûgA$Ú _x0016_=_x0002_jAÀE_x000D_]a}hAÙîz~_x0002__x0004_¬hAÊ*_x001A_JiA5d_x0017_hIDiAµw_x0001__x000D_ÄÅiA¯AZð_x001E_¯iAÃL9záiAéqæ¿ÜkA²CQÛhAcóÔr_x001A_WjAµ_x000D_âÒ_x0010_ëgA1«³1ò_x0003_jA%ã\_x0019_ÃªiA×-_x001A__x001E_ßDjAßGðn_x0014_gA( _x0015__x0010_iA¡_x0017_¾_x000B_jAW½_x0017_Ò_x001C_ßhAá_x0015_­*_x000E_»jAh@Ê-phA_x0010_ÄÐ=zgAL_x0014_°ëðBjAH#WNFÙiAë58_x0019_]hA_x000C_a¦8­kgA«Ë±_x000E_|ùhA·NúuhAÆ!.iAÔë,ç_x0014_kAÜ_x0018__x000E_"ò§hAåV}+/ekA9ï¹µìiA¯â#_iA_x0003__x0004_ì½&gt;=iA|_x001B_¬!/âiAi_x000B_B«]iA_x0019_&lt;&amp;ó_x0012_iAÉ'±èòiA¶â ÔRúiAéDçãhA}_x0017_d=_x0004_qgA¦Itlh¦gA_x0006_ë_x0012_¶hA´î÷Ú¯®iAó9_x0002_Ø_x0001_òhAÖéb.5kAÆ12]aÂiAÝÞ©òË-gA_x0012__x0002__x001D_4¦kA_x0005__éÓ¢·iAÒj{ÂWiA«&gt;c_x0015_TÇjA ´ßhA1áÕ6jAw9§PhA_?p±ëiAÛ¢í@¢CiAâz Á&lt;gAæF_x000C__ë¹iA8ð gjA6ÆÔ_x000B_ÅkAª¹_x0004_ZúLjA]c¢§_x0016_xjAei(aAiAéZ_x001F_§_x0006__x0008__x0008_%jAº_x0005_AÍiXhA0gÐ´¡_x0007_jAþÉß7jA+ðg_x0013__x0016_8jA_x0001_QÇ iA;o!ðhAÎXÚ£­,jARÂàCGDhA°d÷©"gAú}ÅsVhA"Ptt_x000E__x0001_kA­h?ªvhA{mp¬÷ÝhA&gt;t$$]îhAÃ¦ð°8JiAÍäÊü¼³iAÍ_x0011_(µêîfAQ¨â_x000B_(hA¬_x0004__x0001_{èjA?_x0001_¢_x000F__x0003_[jA¿_x0013__x0015__x0002_hA¿-I q;jA&lt;¶XühAÜÁnsljA_x0011_hAøª?¿úiATÔÉ¹_x001E__x000B_jA:@|eH¦hA_x000E__x0004_Äyõø`AÎ_x0005_9_A_x0002_yEÈ!*aA_x0001__x0002_ ²_x001A_Ðþ`AðkG©ùÔ_Aº2¶¦Å`AmCÞKÁ_Au]åûê_x0006_aA¸ã_x0010_Ê¾[`A\,iÓ°£`Ax¨ÿ^ên`A÷_x000C_cVaaAC¢GV_A9I½¶v`Aj$@_x000F__x000B__AÅîâ1S^AÀ^ØÆräaATÌÿ3_x0003_ø`AuÙì_x0007_Ë_Aít_x0013_U`AÌ_x000D_§¥_x000D_2`A¾åðuqü_AXñ_x0019_Nm`AV_x0003_ä&lt;¨q^AÌT;6öRaAv³5ïÆ`A'mW_x0016_Ç¯_AävögRs_AÀ1YÄ_AãSZö¬`A¬tn®+`AèÕtQË`A®èÝ!_x0004_&lt;^A(ÝÄ¤4`A{Ìí+_x0001__x0007_&gt;`AÚXâ¬ëì`AìÐ-ÆaAÉ¥_x0006_Àh;`AÕNÛ_x0013_Ë`AïÃÿ\&lt;Ñ`ABa[c^A:`bý]Aiõ_x0006__x000B_ç_x0003__AÚM_x0010_æ¸aA_x0007_y'âØ`Aï:Â¤¬p_A$¤;Êåº`A¥ø}wmÄ`Aä_x0004_ÛæÂ;aA«ð,¡±saA_x001F_cp«G_A¢UtóVLaA_x0018__x0011_¬xÒFaA_x0015_|þ¹`Aò_x0003_É,ö^A!_x001F_áø`A®ðhÖÃ¥`AéV_x000D__x001F_]ç`A4Ý¿Ù«aAí¾ªú`A°!æ_x0005_j_A7_x0013_º½·¿_AÅ7_x001C_`AP_x001F_K_x0002_\_AS_x000B_ "n`AR)ÐrÜ`A_x0001__x0002_­DÄ_x000F_`An_x0011_ìª_x001A_Ò_A!$(¿ccaAv_x0010_»«=#aA_x001B__x0019_lD`AwAAÑ_x0016__A_x0002_hc_x001B_­^A4]4_x0005_b_x001A_aA_x000C_E "ø¾`Ah_x0012_êæ@aA_x0016__x0013_d]AÖÚô:?^AB_x000B__x000C_q§X`A/·n_x0010_ÎV`Aúj_x001C_À`·`Aâó_£@w^A,"Jïç`A_x000E_¥^·Õ_AgÁ5_x0019_O_A_x001B_&gt;S­ÓÝ^A_x0018_KOj_x001A_1`AÄbÒ_E_AÎA¾2w_x001B_`AÐUêyaAM_x000C_UI`AFmp(\á_Aµ4éi¦_x0016_aAüÓ7r¼^A_x0004__x001E_o.`A_x0008_§Æýî3`Aîv_x0002_ÅÊ`ARXø_x0001__x0002_fÚ`Ah}`9F`A_x000E_à_x0012_`A_x0012_·_x0011_f&lt;_A±_x0016__x0018_ü_x0008_`A?ÖºãÝ_A_x0001_4-¬ÐaAÆ_x001B__x0018_¼Ï]Aó¨¶IÇaABç_x000C_é_A_x0015_vâJaAa¨Ã_x000F_²`Af_x000E_\5§l`AÖàÖIõ®`A_¨wý²á_A+ÿ¦²Ó_AÄWf`A ùCµu_AÙêëÌîí`A½Ú?}î`A`Äà¥ÒaAó$bÊ|^AÀª·¹%j`A øîØ©6aA0é|¦Ì·`Aü°µUI_A® R _x0016_*`AÔz-ö9³`Aað#]dÂ]A°$@»A_AÛX¡eF^A»ý·dñ`A_x0002__x0003__x001C_ÎBéÅ^AØzà&amp;T`A("_x0004_ñú^Af¼çÖ`A_x0016_Ru|¿`A_x0012__x0003_AÜ^Aå!ë&gt;_x0010_ì`Aë*¹rïA`Aä_x0014_ÿºbi^Aà©#_x0017_µ£_AÓÀ-ò_x001D_`AïÙu«Jl`AoMY·ò`A2½mþ`A¾ÙB_x0007_ïbaA¼Ý_x0011_ÊQaAÀRjÕ¨H`AH.5YÓC^A¨\~/7C`AðÃ~_x000F_ög`AÎ2_x001C_Ò¸G`AÊYÆÂ_x001D_¨aA¸Ñ¡&lt;`Aù¿_x0008_þ_x0005_`A_x0004__x0011_æÃøÛ`ASx,`A_x0001_u6`AJGÍ²_x0019_~`AÆ1_x0015__x000F_/y`Aa÷Êõë^AÝè//ã`Ag'_x001B_1_x0001__x0003_¸_AM?gÿO_x001E__A3Ñüß®¾`Ap&gt;¯P_x000E_aAüî_x000C__x0004_4?aA^-_x001F_Ú­_AÝê]_x0011_0	`AÍ°_x000E_'Oi`A_x001B_XËÿ`AL_x0004_Èó'û`AÁ&lt;L»Î)aA,Ê¤:¸_x000C_aA·bXØ{`Ay_x0011__x000F__"`A_x000E_ú4Ñ¡`A©¥âÆ_x0002_aA_x0002_Ö+Í_x000B_aA×pÖn_A!3-ú-`A-wYZ¥`A~)pkÌ4^AèÞ"NI_`A	(.?_A¹pùé¥ÂaAæ_x0015_¼«¥+aAÜaQaAôÚür¹_x0004__A¹jõêé_x0012_`AÈ9°bz_x000D_aAôj{Êâ7`Aâ8þn÷¿^A$_x0012_`A_x0003__x0004_ f_x0012_ø® `A M_x0010_¾_x0018__A6µ{ë×`AaÂS/S_x000F_`ADxVÙ&amp;_Ao~ªa_Aú_x0010_óK_x0002__x0015_`A1 ü®Ôø^AEÛWx_x001D_aAPjÅºXaAÔ_x0003_½p^A}[PF`A_x0010__x0015_¡o_x001E_L`AÖþ_x0016__x000D_Ó°]A_x0012_zdV_x0001_'`AÖã_x0018_7ä_A_x000B_-ðXr'`AÜ%«M_x0006_¾_A!F3à¦haAÑ_x0013_;?{saA}ª[M'¢]A©_x0017__x0011_n@D_A8^É£ãþ^A²Ò_x0013_^L`AÒvêc0`AH_x001E_æºaA»ù4±ú­`AØ_x001A_á`A_x0006_¿	5©¸]A_x0002_Ä58]aAÒWóaA÷é_x0019_%_x0008__x000B__x0005_«`A÷Ãhï÷»`A(~_x0001_"Â`A¤_x000C_Æ"_A%QM¶_x000E__x0016_aA¾&lt;²ÞÐ_x0001_`AÞ-ìR£²`AJ¾ãn_x0014_W`A¢_x0002_Æ`A1±¥mD`Aâ_x000F__x001A_i+[aAËÝ²&gt;_x001D_R`A_x000C__x0013_AÛÀ`AÜÛè^Af__x001E_{và^Abð2¿#£^Aÿz9¼Ö^AÙ_x001A_Ng	`Axp_x001B_áâ_AÅ¥_x001D_1½`Aó©Ûèã6`Aþg®!m6`A½à_x0006_Éé`A+ 1è½^Aù_x0010_à_x0007__A_x000F_è_x001F_~'aAêJ;C	e`A¿Go¦'`A­Ý_x0003_v`Ar¯_x0018_9A_Abµ_x0011_Ä_AAR_x0004_÷â`A_x0002__x0004_³­_x0002_6ÐC`A­o_x0006_j_x0006_^A÷®Â'M¦_AôÙ_x0001__A|e*Ñxä^A¡.ð±¶_AZP¿ÅCP_AÆ&amp;_x001A_aAG«_x0010_·½`A_x0008_÷ÛÀR`A¬_x0017_ÙÔ¦_x0019_`AF2Õà°y_A$úI_x0013_½¨`AË¦_x0011_¢M`AxQÐ&gt;ãe`AC£Qª_x001A__x0013_aA_x000F_?¦paA&lt;?|²§_x0001_aAÅD_x0001_.`A.Ï8ÿ*`A(Ç³ z`AG_x0003_ûÃÀ`Aª_x001B_qþl%aAWÔ©Ã_x001E_9`Aý!_x001A_&amp;GN^A|¶Íhæg_AÄZ_x000B__x0006_¾¤`A¿%­&gt;3`Aí_x0019_´È]`A¾QguTs^A&gt;¸r_x0012_®¬`AÐMjÙ_x0004__x0005_y«^AÄ½V¹^ABçu_x000B__x001C_µ`A,¼ðaA_x0019_¬¤%w!`A2¬Á_x000D_aAD`Ñìáe^Aó´äî_AØeøFi(`A_x000C_ "N{`AiPÄs{l_AùÐz&amp;£aA_x0006_[çÂw_Aä_x001A_6_x0002_`A¬(è{h¯`A_x0016_¼	DaA_x0016_î}ßú_A¶Û2_x0003_£_A¥É}OG_x0007_`A|VÏ/M`Aøu_x0003_Nú_x0005_`AFF]µ1`A¸zI_x0004_^Ê^A·_x0006__x0003_Oó.`AÜ7__x0011_Ð`AC}_x000F_Û^Aþ£1ÖHaA(ïÝiBK`A_x001A_º_x000B__x0001__x0008_Æ`AÒ÷È¢j^AS_x0001_Ä|tk`AÜ_x001F_øDæ_A_x0005__x0006__x0013_¦_x0014_&amp;_x0011_:`Aßv»r2aA++ýO0_x0002_`A0*Âå_x0004_aA¸_x0018__x001B_~_x0005_aA§â&gt;ÿ¡MaAB_x0001_j±K_x0008__AZ_x001B_û¾r`AdAk®t`Aá:rñpî`AÃJbýÄ_x001E__Aÿþ§#b`Að&amp;åsá_x0012_^A%Üò_x000D__A0gEA"`AÏZ¼ù7`ALF¿·_x0005_`AûÏ_x001E_¥v	aA$Ï¬_x001E_âÑ_A,Û.ÆµÉ`A3ôAéî^A*}·"_x0002_^A _x0011_Û_x0010_.r_AsL`ú3jaA_x000F_aÚÃðaA/UàÆeaAØ1ôJCaAóI²]VaA_x0013__x000F_ÜÌ_x0003_V`Aü«+&lt;X^A $q9`AãVt_x0001__x0002_ôy`AOÍ_x000B__x0011__AÆÁ_x001D_ü?aA_x0001__x0016_Ö/èä`Az¬%§_x0010_v`AÊ¹®BR¬`A+=_x000C_õE`Ad_x0013_U*ø½`Ai5nK`A*f_x001E_Á_x001B__AíN_x000E_¤_x000D_`A#Î3Ånµ^A_x0011_õ`Ä`A/}Èâ_x0015_N`A$©Qu[n`AÛP&amp;»÷`A²5¯ÛÊ`A_x000E_VÄñ^A:S`AÜK_x0010_x_x000F_c_A2ùËf`A:Sy¦`A&lt;o+3c`A(Àåª_`AÓD_x0010_±x_x0015__A_x000B__x001D_ÀX^A&amp;r'3`A_x0018_¿¬ÃÑÁ^A&gt;8Ùì_A_x0002_×_x001E_¨gB`Ad4P C_x000F__AÛ_x000B_ã\x`A_x0002__x000B_¤Ï×1_x000C_6`AÁï_x000F_yH_AF=S `A_x000F_·±%_AÓeú¯7aAùa=_x0019_Ò`AºÝ_x0012_äH\aA _x000C_ÁMd`A_x0013_Ìö`³`A0íþÞßk`A°&gt;_x000D_vaA¢Ñ_x001E_µÏÞ_A8_x0001_fþ	`A~e¬HFÇ]AÔz)8ê`A_x001B_)ØiLaAÊ_x0013_G[»_AEg»_x0016_W²_AÃ_x000D_â¤¸gaA|Þf®_A4±ºB!aA+_x001C_Ú£+G`A6_x0008_Á_x0003_Ð`AóYB_x0007_E¯aAÂ&gt;²¦îx`Aª_x0003__x001F__x0005_`AÕ_x0010__x0019__x0008_7æ^A_x0017__x0014_G_x001E_`A_x0006_ÀáX_x0018_aAóò_x0019_`^_x0011_`AòT_x0004_GÐ\_AA_x0006__x0003_._x0002__x0005_+`A.©òèö_x000F_aAâ Ü(mM`Aä?3_x0003_U`AHØOÒÚ_A.­m]×_x001B_aA¶HÚM'_x0012_aAÝfqo_Aç½_G`Ah¯7`A#ðÎ'`Aï)+ûÅ~`AY/6NÜ``A^K_x001B__x0004_÷ëaAyÿ÷_x0002__x0013_t`AÑ[¢² `ALí·f^_AKþÉoÆ`AKéÜU¤`A9§¼l_x0015_`AHqà:_x0002_t_Ajê_x0011_%Ä'`AÚ"_x0011_´ø_A¼Uùhrÿ`AÎ-_x001B_8;_x000B_aARØkwÍ`AÕ	¼_x0006_y¾aA__x001B_s\Õð^AU±¨ûÆ]aA_x0004_Æ SL`A¿_x0001_ù§õ^A)g».^A_x0002__x0005__x0002_+wó^×^AðL¦´¨_A¸#Nð_x001C_)aAÓ_x001C_~0$_A}qH'Ë}`AQ_x001A_úNjì]AB®¸y_x0014__A&lt;_x000E_û7GaAH/ù_x0013_I/aAÕ_x0008__x0004_õ|`Aw6_x0008_l`AeÉë?x_A¦_x0014_ÏÐi_AÑ °8!}aAN'_x0001_Ó_x0013_aAé]×éR*_Aëý~_x0001_Æÿ^A_x001F_ÔlÓlTaAÉ!]àÁ`A§Ü¡éðÂ`A_x0003_²ì=Ò^Ao­ëõ_A×rþ[kaA{_x0005_&gt;r]`Aò_x0007_ù=h`A_x0010_Z\_x0006_é5aA_x0018_m-_x001A_`Aª»k_x001F_`AvI;ba`Ap9cà]Ao£t8Ý`A`_x0001__x0003_iã^AÏùô_x000C_S_x0008_aA&gt;Ò&amp;&amp;#`A}î1`A!Ùtì_x001B_@_A:_x0014_êü.b`A²_x0012_Üú_x0015_3^A4~Ï¶^A_x001B_þÃ-«_x0018_^A}½â__x0003_`Axt_x000C_ÒÙJ`AOî7Ý6_A^3#Çã`A09ÛÏ`^A_x0002_t¯{28`A_x001E_O²_x001D_} _AÆåÏS¢`AY_x000D_g._Ay_x0002_¸_x0014_¡^Aâ_x0003_ôÍ²aAQ¨3.Q_A\v	_x0013_#&gt;aAá_x0004_½ì­+_A	ãc`ARCUis`A¤÷{ló_x0015_`A-#ð_AÖ_x0002_æ­eaA{Z_x001B__x000C_ÃW`ASv±»`AôXàFÓ:`A3_x0013_C°_x001C_þ`A_x0001__x0004_Ö0_x0001_ÀÂZ`AII«,JaAÔÛQîõ`AÕEE{ aAcwøÄaA_x0017_i_x0003_òj`AN@Dí¦r`A¸8zÆ¢`Aüôz$}`ALZ_x001E_Kò_x0003_aA_x000F_ØÜ^A_x001C__x001E_¤}=_A_x000C_2Üìß_A_x001A_Sb^`AÜå"×mZ`AÜ2_x0016_¶?`A_x0002__x001C_¸_x0014_·¦`Aß&lt;¨d-¡aA"]_x0014_ßÇD`A_x0008_;áH@!`AhNS_x001D_`AÁPQ_x0002_æ@`AÝµZÚ¶aAÈ¦_x0006_V¨_x0014_`AGD_x0011_ØD`ACÞ`APÎÚèU£`AâûÃ¸	ZaAÓÖÎ2«É^Aµ0Ï®)`Aà_x001B_XÄ_x001E_`AdÅ\I_x0002__x0007_ººaA_x0001_t;G1aAÿéÿÓ%J`AVL?È_AÂ_x001C_6Þö`A_x0019__x001E_\_x0005_ª`AÌtØ¬m`A_x0010_n+Öñ^A$øë&gt;&gt;`A =zZ¸`Aª©Á&amp;I`As´¡ÏT^A_x0001_Þúµ_x0006_aAND_x0019_ÙÌ`_AeåTY¬ø_AÏÜn3þO`A9á)K«`A_x0010__x0011__x000F__x0012_FaAèi_x001B__x0003_s¼_A¦±T_x0011__x0002_`A _x001B_+®s&gt;`AbG-ô``Ab&amp;_x0010_T}`aAz%	_x0019_DaA2{´ÐTÓ`A_x0004_é¤ûº^A_x001E_cçÐ,`A¥_x000D_¥Z5aA6å·Rºu`A_x0012__x000D_»^~_A-&amp;v_x0018_Ó_x0010_`AÎ¢;_x0016_`A_x0003__x0005_ºÅÜR_x001E__x001F_`A&gt;N)Ôs`AXª`A8ÛCÕÏ`A&gt;pÍÁ&lt;7_AB#WW0Ì^Aæ!Ä_x0016_T{^A1êßh_x0003_Ý_AP"_x0004_^Aóÿérº_x0006__A;ï~UaA_x000E_o¼têÔ]AN¹I_x001E_î³`A¯Éò_x001A_`A»Tþ_Aj¡ú4_x001A_`AZ_x0019_gS_Aµû_x0005__x0002_ê	aA©§hxö´_A,¶[v_AF[_x001A_ËÜS`Ab×î_x0010_aAÕçX][^AÖw_x0016_¼y`Am¹_x0005_A&lt;aAxªÛ²´`A8áüÚ_x0011_aAD_x0008_È-É`A_x000B_70_x001C__x0001__x0003_aA&lt;Ìë[4aA_x0010_ö_x000D_h`A©_x001F_B_x001A__x0002__x0004_9¤aAAþv"&lt;`A»&gt;_x001B_âËaAÙgÉ¬ã_AÔ_x0016_n_x0010_-`A¤_¥î_A_x0003_bßuÙ`AÒâ0²ÈÉ_A_x0018_Êî+gÀ`A%øk®`Aì(ª0÷K_ADÅÇz_¹`A_x000B_Ò©÷[_A\èì$`A_x0002_÷_x0001_\2Ä^AcjÄxS_x000B_`AAùßa`Av_x000D_1º©	_A_x001A_ÐÅ¢_AÜ4ï)_x0006_aAév©Õ`A{W`¢_x0008__x000E_`AE-_x0014_Ûd`Axm_x0017_ýÜ#aA@_x000D_÷_x0005_{ë`Ap)º,3g`AW_x001D_©vãw`A_x0008__x0008__x001C_Ê©_A/~àtj`A_x001E_99rßÓ`Ai_x000B_.ÿ_x001A_)`A÷4¡«¾`A_x0001__x0003__x001E_P_x0007_ÇK_x0017_`A³h¶ý.aA×ÃY¾Ç`Aî¶¨þ9aAúCRvYp`A"P\åÆ`AÛðsJ_aAVhq{Áe_A¶,%_x0011__A×ç|ç_AyÃü=`AT|óaBaAUNa_x000B_»v^AÛX£E«±^A÷_x0002_ò.^J`A#	?±_A±æÉì1ð_ARßaÞê`A(å,E`Aok}]Bá`AïsÚ_x0010_3aAîkHw_x0015_T`A_x0008_í®`{O`AôÖ"Dó^A·DÖ¤3B`A$_x0002_R=Í_Aõîè!¾ó_AOe_x0007_1R¶^AÏ]Û2n¦`A_x001C_gS-aA&gt;ôF¯t`A û¸_x001F__x0001__x0002__x000F__x001F_aA6kPé`A_x0010_L/[U_AlPSDhQ`Ad_x001E_ÊèÓª^AÉ ©_x0001_ù_AJ_x0002_Ð\_x001F_aAÀ:_x0006_~=3_A¼íÀ:,aA8õj4]`A_x0002_y_x000D_É}§^AÊ0_x000F__x000F_N_Aú§H_x001A_á`A¡l	0_Aë¯_x0014_ûkaAiO£øaA&gt;qi(Î`AÚæHÖ(ü]A¦§a¡]ú`A;É+¼Ë_A_x0016_ÃvLg_A_x0016__x0001__x0005__x000B_4P`A(jú_x0001_çm`AØè3_x0015_õ_A¤gepK_A_x001A__x001B_!w_x0008_`AxøKjáï`AÜ7Í7ý`A_x0014_J_x0019_xx´aAÔ_x0018_é?B`ABnÕRAm_A_x0002__x0004__x0011_A`A_x0002__x0004_Ä$WRÎ^A*õfÎ¾%`A«rX7_x0008_`A&amp;í9R_x0015_`A¿ÏS_x000E_i`Aå5æ68aAÚÂLrqå_A_x000E_ýö&amp;^A¼@_x0018_\Ýî`AÁ}ïFÕK^A®ü_x0019_2º^AÍQW=@`Ayþ;þ&lt;`ALl_x001D_²`ë_A&gt;ExV`A-êò_x0001__APáÙ_x0012_`Aóø_x0010__x0001_`A¯[úDp`A^«(_x0016_ø`A4Î-"äá^AoÇ&amp;u;4`Aú$iÒ`A{ö_x0005_J¥^A_x0001_º¹c?maA_x0014_;+_x0003_ðq`AMH5#aA_x000F_+®/`AßÏ4Oð_x0006_`A¾KEúêv`AÀx|	T-aA_x0005__x0019_82_x0004__x0005_@9^A¯£NÑ`A×uý{_x0016_$`A ¬M&amp;(s`AË±èÄ_A_x0010_yèv¯Y`AÖ0É~I`A^Í[$`A»É|å`A#ûM)×_A_x0001_êrûR`AÜRè$=`A±¥§_x0004_¨$^A_x000F_;[`Aó®&lt;0`~_A¬ªfÀ_x000C_ý^AxùZ_x000E_`AjýØ½_x0004__x001E_^AQ@aÕ`A_x001E__x0012_=ÇOÞ`A}d	&gt;#`A2x&lt;_x0002_Ö×`A÷2öêû&lt;aAEgÂQ`A_x0001_ü½Æ95`Aô¨c_x0012_`AõÙ®w_x0011_Æ_AzcÆ_x0018_`A¨äJo_x0003_u`A¦(/§9¯^A²DèÄ_x000C_^AÚX_x0010_¶Sq`A_x0002__x0003_õû_x0018_wVÎ_Açê¡_x0008_+ì_A:_x000F_¬_x001D_L_x000F_aA»_¶ª`AtÖ9Z'oaA©M_x000C_DC`A-_x0002_Í6J^AÒ_x0003_¶3/`Aý²L^Ao_x001E_Q_x0018_`Aïyn(B_x000D_`A* _x000E_ÜØzaAJZ«ñ_AÂ.­@:_AyM_x0003_¶m_x0013_`Aî½_x001D_éP`Aä¬Ó­|1_AèÅ¦zæ|_A÷Q1ú ©`As/§hDè`Að¸ÖÑ¾_Ar£/ÐY_A-ugg5È`A¥Q0¡aA®¯_x000B_Ç2_x001E_aAÂ_x001F_?±_x001F_uaAô»©W_x001F_^A%_x0002__x0019_Y`A_x0001_d_x0017_-_x000B__AÝw@àc_A_x0018_E_x0007_/µ_A._x001D_I_x0008__x000B_[]`AÏ^=³_A²Ô_x0019_÷ñ_A·å(ø?_x0014_`A+*_x001D__x0004_+=`Aò§{Û]AûGµW_Ah×o¡'^Ar¦&lt;{^A_x001E__x0012_ü_x0012__x0014_÷`Ay`_x001E__x001F_æ?`Aj{Év_x0016_&lt;`A_Ôc±`Ap_x001A_¹3?`A&lt;úQß`A_x0002_©MR	Ì`AÕówßt_x0006_`AhTOÓ_x0017_`A®rí*`A=T*öº'aA´É_x0007_gk0aA¿_x0017_)©¿Æ_A½¹«R{Û`AÖ_x0001_8©_x0003_`A´Ç½³_x0005_í^Aç_=_x0002_`A®t_x0016_ç_x0005_aA&amp;¸Æ_x001D_`A&amp;¹_x001D_Ý`A²!_x0017_Ð^A&amp;}2¶`AÄ_x001E__x001D_Z_A_x0001__x0006_Î×¸_x000C_9`A[ÿmj90`A'öú°tØ_APÑó9â`A×1÷`__x000C_`Aè¤3ØN`A¦_x001E__x0003_Z-o`AF@õkûV^AËZ&lt;òF,`AÜý*³_x001A__AÛ_x0013_U	Ô_A_x001E_\§K_x001C_aAç_x0002_kãÝc`AärØ_x0010_`AVÜK;0``Ahç_x0015_V;_x001B_aAÌ:^AÉ_x0008_&amp;`AÖPú&amp;_x0011_k_A_x001C__x0007_ïÓs^AÁâ¼ÍÁ`A_x0005_z¯KÏ_AïGÆnÙ_AÖ¹vÚ_x0014_aAÞïw`Aý_x0018__x0001_ßÕ¡_A_x0001_g_x000F_`A_x0018_w7L¥ù`Aè¡E&gt;ÜaA&lt;¸Nô`AÕ·^m^AÈ_x000D__x0004_Ï_x0001__x0003_4_x0017_`A¬_x001B__x0014__x000F_ÓÔ^A_x001A_£Ë_x0005_`Af_x0004_%_x0010__x0010_`A¬P19Û]A¹hËÓ_x001C_`A¨0ñý+_x0011_`A_x000F_ó/6q^AM_x0008_&amp;_x0006__x000C_`AIëÙò_x0010_G_A_x0011_­P_x0006_Y.aAT !Ö`A·ÿyé_AØ×Í|7_x0019_aA,îÎÊÕ`Aü­¯eâqaAÂ ­_x0001_ê¹`AR!_x0002_aAU²Â_Aªr`·æ`AþKæµQ°`AÎ9ÖL#ÅaAg_x0003_iÝà`A½*0_x0015_ø(`AÚ°ÕÎ¡5`A?=£?(_A6!Æz°°`AwG¡¾Ý`A_x0006__x0013_:_x000E_aA&lt;ª_x000B_¤H_x0004_`AzøUªºÿ_ARý¹`A_x0001__x0005_ ü+»´¹_A_x0015_6³WaA4ÂÒA_x000D_"aAìn_x001E_kW`AwÚ­÷_A¸_x0018_²w§_AìÙÎ3LX_AÞ­'0å$aA{[{s×Ã`A_x0012__x0019_,&amp;ûÙ`A&lt;Õ(`J¡`AÍ·BÞÐ_A_x001C_^_x000D_°_x0011__x0012_`A;"Ú$)X`A¤¤h±`H`A&amp;ôg_x0006_x¬_Av_x0012_Æì_x001C_{`AâÔ6_x0011_;²`Aj`ÄX¼`AK7Ìª§`Aïzû´Ã¯`A*´,ð`Aú¯_x0004_O `A_x0001_ñÈ¡:~aAwñE)^Aý£Nî+Í`AÖmzÚñ_AÍ_x0012_~_x0014__x0002_`AP_x000E_û_x0007_û¸`Arè6¾Ð`AÆ)`¹)_x0004_aAF_x0003_¨_x0001__x0003_ ò`A­_x0010__x0004_ ¶`AïHz&gt;,:aA0Ù_x001D_¸4_AÎ^Ã;Lö]AÇ5D~`A_x0006_SCYÞ¨`A±?_x0001_@^_ACiùÃ_x001C_Ö`A6M±N-_Aê_x0010_æãOaA&gt;)î9Ì_x0017_aA=ÂÒ_x0013_Ù`A¤??Mà_x001B_`A&amp;góxéj`A¾²t¥_x001D_aAu4zòÝ_x0011__A9¹ÙÂo`A®ÎKÆÈ`AY^_x0014_w«_AÔ-Æ_x0016_ü`AtòCò_A_x0017_­_x001A_8¤_A_x0019_G¤^^Ad*Ñê_x0004_`Aç Ë6q`A_x0012__x000F_ô;_x000C_÷_A_x0002_Û´2`AïÁ_x0011_!'Z`AÉ_x0002_é¿ä]Aói¾_x001A_{\`A_x0002_U;¼äaA_x0002__x0008_ì_x000B_j_x0012_VaA_x000E_{Ãz|`A¢_x0003__x0012_¶ù~_Aôø5TÄÔ`A_x0001_ßXE%`A¬¥~l'ñ`AÀ{_x0004_%lå`A._x0007_B_x0013__x0018_ªaA_â·+»z_ASëñ­lÎ`A}¯]_x0011_¸ó`AÒBü¥e`AY_x001C__x0014_eü`A¢taUö_x0010_aAi¤Ø5ç _AIúwI_x0003_`Aßv"R:_AÁ&lt;1	Y&lt;`Aª&amp;ØSX`ADj«X_x0015_aAºdW_x0011_9/`Aè_x001A_àí¶b`AG´7$¨`AØàä_x000D__Aß~®_x0007_aAbt£G_x0010_^AeùÏùXaA¬cUtWÛ_A.Hs_x0015_;`A^_x000F_RdAaA_x0006__x0005_"èÔE`A_x001A_Ã_x001E_C_x0001__x0002_0&amp;aAaÅ[ÉëxaArUNåËQ`AÓæu&lt;ß`A_x000F_åO=_x001C_õ`A_x0008_ÍDà¯µ`A¦£µÎ_x0005_O`A_x0012_|_x000C_/±aA(Ôøý_A2ô_x0010_$6×`A_x0019_õqÙJî]A_x000E_,Ò_x000B_\`A_ï`Ñ¶°_Aç~¡¥# `AZìÁH`AØqW­º_ApzZâ%OaAv_x0006_¯^`A/On_x0011_Ï`Aæ^¹oþ`As_x0006__x0016_oY[_Anï(ÆeLÈ?Ûb_x0010__x0017_sÍ¾?Qæ_x001C_51Ñ?¤tãLª/¡?j¹_x0005__x000D_$_x001B_²?¨LYÚÞ¿ºv"où¢¿?ÆªJ !³¿_x0010_«ôTp¢¿&lt;V¿_x0006_«Ê?Ò9_¸ø¢Á?_x0001__x0004_ÂQf+·?ÚpqQ!¾?9Ú,ªw(?Xâp-!´?Új_x001C_~º ¿aW_x0002__x000D__x000D_¼?PA­#Î&lt;¿dÎ\_x0001_k$½?_x0007__x0003_þv'Ã? ¹W#Â?nî^ñ_x0015_­©?ét_x001D_{¾»?ÜÔ©b&lt;°?)3ûÎ9?_x0003_X+_x0013_È¥¶?!ÒÃªÍ©?_x0004_2_x001E_¸ø©¿_x0015_¥ó X?_x0003_¶¦°?ÁÇô_x000F_.¸¿K-¦'¯Ð?PDÍµãÕ¿°(ß~X¥?ê«êåÞ­Ë?ÈUûL&amp;¨¿¼D]d@ª°?ÀIë¶°?ù?Ù_x000C__x000F_$¹?@Ú­Ý¢_x0006_`¿è¶_x0012_tp¿d_x001C_ût_x0016_­? òß_x0002__x0003_êqR¿y[_x001F_ôÞ±?¢IÝn[ð³?L{T´.z?d_x0015_ö-_x001E_?ÐÃÁéb¥?~_x001A_]³_x000E_¥´?S_x0013_7Uþº?_x001C_ñW}H´?yKì_x0017__x001C__x0013_«?ÜdÖµ¿+(_x0011_Jª_x0002_©?/Ñ~vKb´?rÔ¬*[&amp;¤?÷*T¥?uàÖ_x0012_c$?X6Jß_x0005_°¿Öp+÷/_x000E_?@®ÂS½? CxÙ+±Ï?Üõê'HÀ¥¿_x0001_`þI_x001F_¨?¬ÔôèûÝÃ¿^_x000E_h_x0004_¡¸?_x001E_ß¿¸?ûC&gt;¿¯¿ÉQre	¨?Psð é¦Æ?ð_x0018_P]âv¡¿^|´ÞºF¿?_x0002_`t@g'?¼ÑPM·µ?_x0002__x0005_¶(1¾åË?TbG_x000F_¿§½v|×·¿ñd_x001D_R%ë?Ð³ÊÎJµ?Ô9Iï$§¿_x0010_í¼ô_x001A_Ê?Èú«¨òÚ¢?_x0001_~Ö\_x0003__x0003_¾¿qþ_x0005_®_x0005_¤?Ð³,ùð³?¸W8¡_x001B_î±?»Wiøe¿¬_x0015_øF_x001B_ãÇ?Zp\W_x0002_â¯¿#sNr°¿[©_x0004_!_x001B__x001E_¢?A¶dðH?¹0Â7ç»?Þ_x000D__x001D_)õ¥?¬ê «__x0004_Ä?xpÊf=§·? Ã·÷øx?ô@ÞàvN¡¿ä!áÜ_x0017_¦Â?ë ¹õ"¶?_x0002_E@_x0013_ëC¿ø^/ãg¼?Ñ_x000F_ °¿¢¢­^ê_x0017_¯?\\_x001D_ÇãK¦¿ðdD_x0001__x0003_¶¹¿q_x0006_^^d?Ì_x001C_3_x0008_¿ºÀQ/Ý_x0014_±¿ðñì%_x0007_£¿Úê_x0017_Â?è_x001B_".ë_x0011_Ã?ì:Ï§Ô?ñ`A®\?~QEqÑ?ÐóõÒÑ±?Eâýë_x0001_Õ²¿¼yYf§z¿?ô_x000F_g]X_x000D_²?vtVYJÐ?"¼Ê³_x0017_â´?ýíÓ_x0012_ç_x0006_°?þî&lt;£·³¿ÃáõØç½?l_x0002_gkbrÅ?â¤êÿ£?ôL=4a[¿_x001C_Æø	_x0010_'Í?r3÷RbÃ?_x000B_&gt;±íÈð¬?r£ãÇHÖÉ?4ª)¿ÙÂ£¿Z%9vxª¿ÙO1Åç_x0014_¼?-±Ñc_x000D_¹?nq­ÔO½¡¿ªÐù&gt;Â¿_x0003__x0004_¢ùñöKÂ?ì_x0002_À13?Væ}ù_x0003_ª¿bFôÞ8ÕÇ¿À×L_x001E_ï_x0003_¯¿ßrMg~¼?8¾§§âGº?¶_x0006_ò»&gt;zº?8ÚÉ°ê%¿_x0014_¯_x000C_Ì_x0004_µ¿&lt;U:_x001C_O¦¿PuN_x001A_¥¾±?ªR&gt;_x001F_æ:²?(_x000C_;iÿÁx¿c2HÁ_x0010_Å?À¾F	è³{¿¾§Á]@0²?}çØua(´¿Ö°S_x0001_^°?¼®2_x000B_n¿ MCà_x0005_5P?D°Ý«m?ó_x0007_Yz¸?ÄFQúÂc¶?n:§QÆ?_x0003_®_x001E_'OÐ3?aÏCÒPO¢?g¥³ÂÁª?_x001C_j_x001E__x000D__x001C_¿_x0015_^j`_x0016_´?À\ñë_x0019_ì­¿4Ð³n_x0003__x0004__x0006_t´?ìÃ,óF¿Z£ÙeB°?õ«_x000F__x0001_o£?8x¸[ö[º?NÕ_x0011_±_x0003__x0002_É?ÌXí_x0016_Rµ¼?¼P)Ä_x0001_Â?R·ÑÃ?î\£h¿Eª¿_x0011_c/g«Z?J_x0018_ïTÚ_x000E_Ï?\=ã_x000C__x000B_bÉ?@Þ_x001D__x0004_??î'k³¿_x001E_£µ_x0013_~?²Dì5_x0002_È?¸;í?¿áµ	]°E·¿B4¤¡!_x001C_º?_x001A_c_x0013_ÓLXÀ?_x000D_WL_x001B_Å?ÞÕ_x0005_UÞ_x0018_Î?üyàD¥?ÐneÙÀ?I"ôbõ¢?ªÙ_Â%þ©?´Pg_x0002__x000D_ïª¿ÝÉÁ_x0006_´?_x000D_1Ó¿%yÁ?Z³LõÕ§?\¤¿Ç¿_x0001__x0002_zLi_x001D_è[©¿,ãd²?¨«ßY¨^?Ê½L_x0017_|¹?FÒ÷äb?àlhÚÀ¿³8Ý³ÓW¬? c;_x0005_5_x0013_³?_x0015__x0010_È?©?¤7gýO²?êËÜ-:¶¿(Ï£¸Xä¿¼§BÈ[à¿R_x0007_îù:³À?Þ_x0002_5È«³³?È*_x0017_LQr?°º-ÈßÇ?(¡ RI´¿¾¥_x0005_\{Ë?Ä_x0015_IAáb±?çX_x0010_Î'µ¿X _x0017_FÊÄ?ù_x0008_=²¨?_x0001_Ãz_x0004_cu¿Ô_x0002_¦S³º?0_x0019_f¶5Ëº?­_x001D_~ü7?t C_x0010_&lt;_x0010_¿ëÌqsï?¸LÕð¥¾?àªÁìNZ¿_x0015_ó_x001D__x0001__x0002_4$©?_x0001_Y_x001C_f±¿è_x0007_ h³¯?ý_x0004_ã^ò©¤?öÜßG¦¹¿]®Y?JÀdÄ°?ï_ä§ßd²?døÚôGÉ? _x001B_Ûf¤?ê·?4óZ_x0002_^Ä?èñ_x000C_s¿Øû,µ'_x0010_¿_x0008_á_x0012_ûX¿_x0010__x001E_!_x0012_kÆ?¸_x0005_1*äð¿3uèk&gt;¿åQÓað±?Ä_x0017_dª%ÿÄ?X_Õ_x001D_û¿PÉË&gt;ÛOÅ?Pw_x0017__x0013_JÊÁ?xC:Á#D¿¡_x0019_Q©Çð²?V_x0008_È_x0006_x¸?8à9gù"v?xFAÁ4k?®_x0005__x000B_¿*Á?*¶×_x000C_]êÁ?_x0014_Í_x0017_º«e¿&gt;ó·r;±ª¿_x0001__x0002_,)ó&gt;5Û³?öÂmúFO³?SóÏi°?JL­zÍ?ØJ_Vj¿xï_x000D_¡?.æ`!×¥Å?ñ¢ÌHö!³?F._x0004_§_x001F_µ?áÍÁ¹-´?&gt;!{_x0005_¢×¤¿Æ_x0012_´3¯¿8¶&lt;«ÓÆ?(íÚ£7¬¿é¼ $T»?â¦¿.»?ì%¶t3sÎ?Í«1Ë4±¿§f§Q´¿Ä:íW_x0002_7³?4þ¿6ê¹?1Ýç¦³¸¿±ã!¡X­?Øl_x0018_z)?2_x001F_¹_x0018_¡?_x001E_9¥ýe¨?îLØ_x0006_ÅüÆ?_x001A_Zqqî¸?-_x000C_ÒàGª?p/ó¹3À?»Ææ½«?ÀNé_x0002__x0003_rB¿sÞèñ/¨? Z|t«Ç?¡ð_x001C_B*¼?_x0016_ë RÆ_x001A_»?6å$§ðZÁ?_x0002_{åk¼Í¿0HZ_x0001_öÁ?¬«0_x001B_)¶?_x0007_J&amp;Âù?Ô¨¦_x0006_tÇÂ?ÅãCìº¿z e¶º¿vFja«?UF_x000E_ûE±?&gt;Â_x0017_îêàµ?Üùÿ_)÷¤¿ç(³?Î?Ã4)ÆLl½?ðö_x0014_kºÍ?!!$¦óµ?®_x0014_ºà9_x0018_¡¿5JE{MÛ²?¸¦o+é§?·_x001B_ó«|óÅ?_x0008_¹Røh®~¿rÓÀ°d¾?_x0007_~_x0018_{_x0004_±¶?¾_x0005_+?Å¢¿(/á^%½?ìG_x0003_²º¸?CGêgç§?_x0001__x0004_ÄÄa_x0003_¿B?&amp;_x0001_©Ðñª¹? ±{²¡?ÄóÔc_x0011_Ä?ò¿_Åwþ·?¸Do¦¿¢?_x0008_lKÊ?_x0019_½zDË¼?ÙxÄ÷_x0001_¶¿ï7¨æGÃ?¢xrQ´_x0014_¡?ç2È*¼¿ ís÷`¬?_x0016_a³T48Ç?®Òä_x0013_z¼³?Î_x000B_Èlè¶?_x000C_6~¾M¢¿XwÇ_x0005__x0002_Ò»?¸¸_x000D__x0019_?_x0001__x001A_n_x0007_JA?ôùMz»?DÜ_x0005_'¦îÀ?ñ.Ó_x001F_#è¦?óÐ?0ÁÙ^è¿ '2@þöo?¸±;XÊ4?^&amp;%F¯?òØÙ^¼Ä?NÞ¬û}¬Á?ò&lt;£XÔ¼À?ªÊ]_x0001__x0003_îÆ?_x0008_Ð1_x001A_µG¨¿³èPNÐ¨?Áv)ÎÁ_x0016_¥?úd©j_x0013_Æ?J³_x0007__x0001_¶Ó?`¿_x0002_Ã_x0010_ÀV¿k·Å\_Å?=ëh§_x000E_ÚÃ?Èke¤P$¬¿ßÐ8ÇÊ²?LN_x000D__x0016_Gý¶?d´öá4IÍ¿\zÃ¹LÀ?ìFe&lt;ù¿Õáû!1_x001F_±?(]Ûã4r?_x0001_SÇkC¥¿ÌEi_x0019_l?®55´¹§?nV_x001C_(Ç³?'_x000B_û¥÷ò¤?_x0004_Ñóh¡o?¦R_x0002_F&lt;(§?DßÐi!¾ ?«Í&gt;¡_x001B_¨?ö¢ñ_x001B_8½?ýí·_x000E_b®?¦³0þ«¿4õ(¿:ô¡¿T_x0019_¶Þ3¤¿ñÌÞ_x0001_F_x000C_°?_x0001__x0003_þ«U§O_x000E_³?_x0005_¯Ö_x000D_p&lt;¸¿fç7`^§¿ìwØV_x0012_ ¿6¾¦_x0002__x0006_?Ý[é4ÆÏ¯?CÞpjZé¡?@To j¿_x0001_½iT/?03}~Óð¨¿¸°îûy¿_x000E_4cp.¡µ?À/-·û®?S8ÛUËU»?BÄg_x0014_&lt;_x0014_´?]ZÉBª_x000B_±?U¿/8û¼?×Í_x000D__x0010__x0010_/µ?àêAª%d?´Å¸£¦4Ã?âÿ`1@C?ÐPçy_x0011_¿ $Ùk?&amp;Õ_x0019_¶_x0006_»?_x0012_õ}ÐDÇ?È0"5lÂ?6¸_x0004_·_x000C_Ï«?n_x0006_æ_x0007__x0014_d¿?ÂÙQ×µ?Oõ(ko_x000C_?&amp;(ø_x0010_æº?8Båº_x0001__x0007__x000F_t¿uÚÇ±Ù¬?XË`Ü¿ø¿,Ô×_x0010__x0012_Ë?"=b/%£?cH¥+Ñ©¿¿Ó¨pò_x0006_H?è_x0019_ñ_x0005_¾?TgjA©Ç?&gt;E¹µË5¿Ï1_x0018_!µ­?¿_x0004_(Nõn?_x0004_çç~ÈÌ´?×_x0011_±8_=­?&amp;NØ«_x001D_yÂ¿_x001D_ÆX®]À?_x000D_}¡[Ó¤?^P¼ù&amp;Å?£Â_x0002_´·?Æ/_x000D__x000C_æRÌ?µµÑ}Ï}?ð5i(¥Ã?Ô=Æ8±¾·?_x0014_¹ôd8Ë?Õ,¹r×´¿_x0003_cd_x0001_ï¤¬?ô°Ï£¸©¿_x001A_L!¡É?Wa]¦{­?oò6¤ú¿?öYÜ_x0001_ìg¯?=dq`ÁÆ³¿_x0003__x0007__x000C_×P_x000D_1º?_x0017_Ô_x0005_so±¿hæhr_x0001_Û£?1ÌwVÝÚ®?ÀÛßMAu¿_x0011_e;c)q?¿"äþd?ôý½rí»?rï_x0004_ÔûÕ¶?c^_x0018_½?¼R7Eb?@)³_x0013_¥ø¦?&amp;sõ)t¿HÝ_x0002__x001D_wå«?_x000C_£_x0014_¬l¤?ØµBÿ ¿PU=_x0014_9?ÄÒ]_x0007__x0001_Ì?$.îFÂ?HTûPS¿jH#hÉÉ?¢Øæ³?_x0004_qª°4É?c¶·«c©?«_x0007_¾Kù°?Ðû_x0015_,`Á?ôCsÊVÐ£¿_x0013_u_x0013_&lt;å]?¤CT=Bg?²sÝ+_x001C_w?_x0006_T_x0012_úI²?Poß_x0001__x0003__x001E_Û·?N[_x001E_ß2p§?,u¿o¡?´? M½ÉF¯?v"Ê×¦ ¿*t_x0016_:Ä?0_x0002_×_x0011_$Ç£?_x0014_»&gt;åÎµ?øu3VÊÉ«¿Ë_x000D__x0013_ ÊÃ?8\Y0.¿b%xÅ_x0013_¦³?ÝØ_x000D_åÂ°¿XÖ_x0012_ÎQs¿_x001A_jÅ8¢§¤?Àÿ7ãÆ»a¿XãË_x000D_×Ê?_x0010_ãÿÃdÝv¿xÖ3pÄÜ¿HcZ_x001A_æx?4´C§ß¥¿_x000D_¡_x0019_S_x0008_q¿_x000C_+IL9Â?~Âê_x0008_T¢¿h´2i¬?Ø_x0019_ÛS_x0019_!?ÐZãÝ1¢?pdAhJ6c¿Xüà_x000E_À?$]õñ?Ý·H9 ?±?1|zÄpB¾?_x0004__x0005_»Z&gt;_x0005__x0010_¿?ÁH_x000C_YÇÀ?_x0010_ãÛcÊ?^(µD7¸?þD	_x0004_èÂ?¼$_x000F_ùû¿¨[7ÂýG ¿®_x0012_y_x001F__x0003_¦?¡_x0002_pB_x0010_®¼?`_x001C_.Ml¿ï¤vË_x0015_?,Ü_x0017_ZÏ*?6I_x0018_X_x001D_P¹?ð_x001E_¹÷?8C÷iË?/ÆÅ^£·¿B_x001B_²ÆÌ?cÔ_x0008_c#r¿?æ_x001B_­_x0001_jN¤?8	¿Ä&lt;T}?^_x0008_ÅA_x0010_²¥?è%â£q±?(³_x001C_¶9¸? õòa?í¶nÿÃÍ¦?è_x0003_jÁ¹?É vBF¸?_x0008_¾ò@_x0003_Sº?cÌ-!Ôö¹¿ÎtU_x0010_ôõ ?ÔWPFU¨?_x001E_-Ã_x0001__x0002_=|©?p-½_x000E__x0017_D®?ÞnN7Î¦¬¿"Ï¸¨¿7L°©å¾?ß	_x0017_Ø_x000B_§?_x0008_,N]¸w¿_x0001__(%¯?wyó*&lt;$Á?O_x000C__x0013_½­¿Ò 8·_x0010_V¶?mQ¨P]ã¹?Ðßà_x001D_u¿È&lt;÷_x0016_ô5¿Yê_x0003_¡7¹¿LláüF¿_x0002__x001A_º_x000F_À?Çõü¶?¦(,==ú»?ð_x0013_1ý'¿J]*l=B½?°ê+­:¶?_x000C_®ä_x0012_r¤¿ÐZ­îz²?°³¦;_x0019_?x·(«ô'¿þÝÊó_x0019_¨¿N]W¢J×Å?ØàQ_x0005_¾½?#]"à*¦?°­º÷f¢?¶ýÇX_x0007_¹?_x0002__x0006_Ü%Û&amp;É¹?ÐýnÎüh¿_x0008_£R{72¿°_x000D_h_x000E_"p¯¿_x001F_þ?c_x0005_´?Â¥cÀ#9¼?_$+âð?ÀnmÀñ_x001E_?ª_x0003_Ý|ÁÈ?µ¼¡z²²?LwðÈùÁ?¨8_x0013_TÙP¼? *O¸_x0001_é¿?ãÈÞ|_x000D_·?ûÍãó]¦²?TA½å¡¿d~9e6y·?GÛ9ó6÷ª?:´"iÀ?_x0013_cü_x0006_\«?5î%=9s?ñõ¸µ4¿¿Í_÷_x0005__x001C_®? {nRìâ¿¤ò_x0012__x000F__x0004_;?_x0013_Ý`j8·?â-ÊÔnó´?_x0016_q&amp;ëaU³?b_x0005_)v(Ä?¤¬¿à³×®?)·Ò_x0008__x0016_B·??&lt;Y_x0004__x0005__x001B_	?Èô%Ö+µÄ?	s²?ÚbräE£?X²e_x0002_²?±_x0013__x0011_KM?ä_x0007_÷À;¿?¸ä_x0017_ÎëÈ?+z^ÙÒ°?B,_x001F_6ÇC±?nVe_x0015_WÈ?-_x001B_e¨ÄU¡?¬º_x000B__x0005_ÉN±?&lt;í¯¥?Z]C®_x0005_Á¿BPZ§V¦½?_ãåuÜ¾?_x0006_ë&lt;_x0012_4­¿LË[µÔm¹?8ì_x000D_í(¿9?å_x000B_)?Lü	»¿í3ÙÄ_x001D_?¦ë×þ¹Å?p®_x001B_¸´?l_x0005_}à(9¿|-|­_x0003__x0016_°¿¿{_x0001_OË©?¶¶®?_x0002_C}_x000D_ÇÊ½?ÿ_x0003__x0016_{ðÈ?_x0018_í¨°ñ5?_x0003__x0004_EúÓu¼²?\g_x0018__x001F_´?_x0001_ý_x0008_x_x001F_°¿_x0010_£§ì;»?P«ªÛ?\·!Rùb¹?ºt³_x0016_­Ã?_x0005_z$§A³¿_x0014_¦ªàc?º?äl1C¶?_x0002_HçÉT¬¿~hmìÑpÊ?ÈïV«Îy±?y°ÀQ²¿¨æ=£_x001D_A¿M·¢ªº?¾_x000E_÷_x000C_¥wÄ¿ÄûîdX°?,_x0011_ vYü£¿LMð+_x0012_ª?*LÇ_x001D__x0008_?Å?ÒëÀ#Ó7À?`ðF­p®¿_x001F_ /}ðRÆ?V0_x001A_Ëí­?@_x0011_:Ä?ÖL_x000C_îU8Æ¿_x001A_U±ç¾´?ÑxìÈ_x0002_±?ºíÉ¿æ¨Á¿Õ¡T¸°?_x000D_¦è-_x0001__x0004_é?ÀX&lt;_x0011__x0010_ ?ZE¯cà©?QÍ;£?_x0004_;¹,&lt;i ¿\´úúJíª?ò{ZnÁ÷½?´_x0001_?ßïLÃ?oa)_x0002_Ý?¯! sÿ_x0017_?0_x0016__x000E__x0018__x0007_¿dò¾M&amp;_x001B_¸?àh_x0003_@@×X?&gt;Î_x0015_1dÒ´?­PN@_x0013_O§?¶è_x0007_\Q`À?æû}¤_x0003_¢?zêïÍ©ª?àhön:h?6_x001F_Í^'§¿4¦_x0003_PþÁ¾?¤ú_x000E_a¿²ûs_x0019_Q´?Aä0$­±¿H _x001E__x0004_S¿on~/FÁ?@n4qzËU?@&gt;þ«_x0015_o¿_x0019_Gô_x0008_-½?òÈ^_x0013_¶?ó×_x001F_»lÄ?ö ¢Ì.¹?_x0002__x0003_ðD\þ¿ÙPÌY@¬?mp¹I¹?l];á1l³?®(&gt;Ø¡?¼_x0004_`¢_x0002_x³?¼_x0013_á¹|¿_x0019_×¶'r_x0012_ª?¯Á9ã¸­¼¿îFþ_x0017_C ?@éO=ni¼?è_x001E_d_x0003_¼*¢¿éeµ¦?_x0008__x000F_¼æ_x0006_N¡?fXiÀêlÃ?_x0002_üLÒI*_x001A_¿f_,U_x0006_µ?T9ôWØCÄ?_x0010_£ºvk¿&gt;|faQ^µ?ö·@u{Ý½?Èýª}eç?ÔvÿÕ_x0001_Ã?­È²ð&lt;À¿ùy@§R%­?_x0019_àÔ_x0003_à³?¢K_x0007_x¦¿K§UqÂ_x0016_º¿R _kxYª?ù_x000E__x0012_¸;µ?h¹_x0005_uÊ_x000E_|?À]è_x0001__x0003_$¬I¿¹_x0019_8$°?«_x0014_ÿ`TÙ¶?_x001A_ÎF³ÖqÅ¿4j2¯?´&gt;&gt;¤J¹Æ?ÂÍÑ&gt;[µ?&amp;Ñ~$|_x0013_Ç?Q3ïz¬¦?xü'ê®Ý¸?Çprâgµ¿0ñ³_x0011_Á?¾¿È½J«¿ã©_x000C_bü¼?K_x0016_Ý9°®?*¯³_x0008_ÏÇ?t`LÎß¿-_x000D_}_x0011_¤²¿_x0003_°a¸_x0010_ëÄ?$Ùß_fö±¿¶­M_x0017_²?_x0002_­3k¢?®¼TÕ_x001A_À?5J¸â)_x0005_·¿c-ËÐ±¿tP!cÌ¹¿Õ_x0011_wbÍß¼?áÅfî¤äµ¿_x0018__x0002__x000B_¾Z[Á¿ÃqÀU£¿À±¹§_x0007_¸?®tP?_x0007_ÕÂ?</t>
  </si>
  <si>
    <t>b0740802fe02bf27ca1ed2f010e03df3_x0001__x0004_´ïÐ"_x0008_h£¿_x0002_·_x000D_¿ ¬¨?ä¹|{èÒµ?_x0002_ã?_x0003_ï_x001D_?ðÒuVÞqÁ?Ôüc¼yÄ?Ä¼^¿?÷N´ñ¨?_x0008_,{\Í×¿Bæ_x0007_½c¾? ½Æ_x001E_ÆÄ¡?°¨õ_x001E_e¦¿±"_x0006_±_x0008_¥?çO¨?K}À?\0p½g¢?Kù '¿`®_x0012_FWjt?XY_x0005_l®¥£?cM¨_x0018_Üõ³¿¶X÷F³H?2_x0015_5_x000F__x0018_Å¯?°vg ?ìe\«ÿµ?ÞÌÃ²¢?¥T^¾? #Ò|öä?ï4ùË?hÔo_x0003_Y±?à´µ	_x001B_È?_x0015__x0015_¨_x0011_t_x0018_¿?«&lt;wt0_x000E_º?,Wµ_x000B__x0002__x0004_|f¿°ûoÎ¦~·?!wõE&amp;×º?`_x001A__x0003_	ny?¬_x0012_óhÜk¾?Kû_x0001__x001C_G*»¿^&gt;_x0005__x001A_&gt;Ä?_x0010_ó _x0003_áz?_x001E_½ÀÎÈ¦ ?îM°¾²¤¿_x001F_óÿù*\°¿¢jèG_x0013_¦¿ð¾¨_x000E_ü§¿H§Þ_x0018_c¯¿µ!©¿_x0015_¶¿ùFÕÃ¿ß°?ô_x0005_+ÏøÐÀ?½Sy+Ì2?D¸	#*Æ?_x001B__x001A_ë)¬?"0ðNK¶?Htª\Çº?_x0019_·Qå­?x4àìù¿_x0010_M7£_x0015_¾?®Ý_x0007_¬¿?FïFÿ?ï)ÿíHîÃ?àÅF´_x0001_Gs?:_x0015_Ã`Õ¬¿lØoî²Û¿ó?é´§ð¼?_x0001__x0003_{wyã²¿HÔó¡5ìÆ??zn²õº?ù 5%ô`?ÝFý_x0006_àÂ?ÅÄÎµ¿úß±lÎ·?tåD ?"¶J"qvÂ?qñ=ëé°?åÜ_x0012_Á?h·Çäß¿(^FC)~?´6Îµ!(²¿l¼E¤v?'_x001B_o_x0012_½¿._7¤ÞÁ?_x001B__x0004_¶w]¸?*Ý]_x0015_VÅ?(ÛgaÈ?ô^_x000C_*_x0005_?8_x0011_GÑ_x0018_©¿_x0004_P_x001D_äÎ?ÄÔÊ_x0017_'_x0002_£?x_x0015_ç6ß`·?,î-u_x0014_?Ú»ê}wªµ?-úÖ_x0013_%f¦?¢X¹ÿ_x0008_u¥¿äq¨¡«Y£?Û»u_x001C_ð¾?ýa_x0018_&amp;_x0001__x0002_#)±?È_x0005__x000C_IýÔt¿PÚQAgq¿&amp;ÄfGWÃ­?_x0018_S_x0010_À	Á?¬r«_x0001_ë{§?	$Eäï»¿_x0003_¾·?ø_x0001_nãj¹¨¿Á&gt;z«¾¿_x0013_G_x0001_ÝþQ·?«Z$YÂ?°Y_x001C_Oùt?Ðqþ-¿|µÖX?Üù;õBé?_x0013_oñ}_&gt;¦?¡?Àÿ_x0003_ê·?_x0017_Y"B}ª?"ZöÒö¸Ã?È	ÔóË|?ð28Þ_x0003__x0004_±?øf_x0001__x001B_¢u¿_x0018_Ðÿ$d¸?Ú_x0010_.h®?:Fq­ËØ?ø¥ã±¯_x001E_?Þ_x0005_éÞj_x0005_?þÕB´®¿_x001C_:»oô²?(¸kEx?_x001A_$9_x001D_&gt;µ?_x0001__x0003_¨·þ_x000E_Z ?_x0006_2~n¶ÔÂ¿Üi2Ô_x0019_T«?_x001B_¥Ì§n?_x0002_Å_x0014_6_x001E_!·?4»TÆ(Â?=_x0016_Uc³¹?¾x_x0002_~?mÀ?_x0003__x0007_Å_x001E_­?®¿_x0004_,_x0013__x000C_å´?«_x0005_®²[_x000E_Ã?@_x0012_ÆHH?ñÄxtâ°¿Ê²À÷ïÃ?T*_x0013_ä§¿_x0016_úS8w¶?Êµ«s+À?Aæ_x0003_®_x0004_½¿ª'NÏ?_x001E_ù_x001C_¡g_x0001_Ä?})0?#_x0008_µ¿üµÑ_¢¸Â?s}P&lt;V´¿~*8ãÞ¬?ÌOÁ[]²?4ÀîyrÒ?æNÑ¤ÄÅ?4;-­;Á?¢_x0001_ÉãÄ_x001D_ ?åïÄÜ­?¶/¥¨¹Á?pfCÏ_x0002__x0003_§!ª?½F_x0013_õ^ÇÁ? 'o_x0004__x0001__x001A_l?³Q?é@¶¿të_x001E_&lt;f À?¤7U¥»?,¢ÎÍÌÂ?ÕØxÈ¿?¬ÆÜ7«?`m2_x0004__x0017__x0010_¿_x0008__x0019_±g4êu¿¤"[ày¿¿?dsâ%ª¹¶?g V®*·¿Þèÿ²_x0017_Â?À¶5ó?÷êNaþÀ?½_x0010_1_x001C_ì½?l=°Þ?¾?öø2_x001C_¶¶?Äw_x001C_âf«?ø_x0017_SQ_x000F_D?ä¾_x0015_3út­¿ÃØ¾B_x0018_)¸?|$|Ý)}²¿Éy·_x000D_ª»?*Å!_x000D_Â?°_x0003_åC6}¿àùÊ®Â?fyæå_x000D_å ?ß_x0002_]1Çb?_x0010__x000C_n´pg¿_x0003__x0005___x0002_¼¡Hß¥?-°O_x0007_O®±? å&amp;Þf?ÂQ#¶PÁ?^À0ã¦¿ö$Ec§?n@¹ê Ô¸?á-&gt;éÓ?M"Íì_x0016_X°?_x0004_ ÿÿ´?øõ_x0001_|;³?H3_x001F_4Éü¯?V©;ôf»?ZK_x000B_8@¢?½8øÀR+?_x0010__x0019_H1_x0002_¿3 vö:m¦?_x0018_aÚyÈa?_x000D_°_x0013_÷_x0004_¬?DP9óÈ?ÁtÉrZÕ?#®à¸_x000D_-°?íy_x000C_¿±c±¿E`)5t¯¬?­/_x000C_Æ?&gt;ëÍ½¹?ê_x0015_C¡-®?pCbcòm¿_x000D_íi_x0012_=¾¿î#ê_x000E__x000E_qÇ?sç¹ºÎ&lt;«?l´ß_x0001__x0002_5ÿ?'×ßÄ_x0001_Â?½,ô¶SéÀ?Òª¾RlÀ¿ùMæ)?é­.¼_x0010_pµ?h]º0Îz¿pöQ÷EÀ?#j%Fgý¹?ä0!Z_x0006_À?Õþ_x0003_A_x0012__x0018_¹¿Ì.#_3«¿õÀtt¼»¿_x000C_®P¹%_x0016_ZA;_x001A_bà¯"dA&gt;â&gt;®Ìv`AhÝj|=_x0017_aAþçÓ`*fAÄOyÓë_x0018_aAè"_x0008_5#Ô]Aìrè4_x0002_sfA_x001A_#ö»fAÇYûcA_x0004_{¾fÙÓaALÊj7PAtÂÂPOXA_x001C_ë_x0018_?_x001C_*dA¢z´ç_x001E__x0011_cA^'z7nA_x0001_6_eWA®ÔÃØ|ähA_x001E_ô_x0007_PÃ_x0006_bA_x0006__x0007_ nÆ\&gt;î\AÕ±É­ê`AL©6KåïZA@jÚL{7jAtTn¶9ëlAÜ,VÀ¿ÚQAt_x0008_`ÆpÆTA2­4_x0011_VwcAH®b¯îì\AHMÝ9cA(!_x0018_X_x0014_\A1Ý×-¬eAýY_x001C_'ì«aA8Ðè®qaA²?ú_x0014_/aA¦,Uã,4bA¨_x0002_¯Ú|\A_x0016_A&gt;9%´[A¨¡ÙämAdq*éUA2B©¿9É\A_x001E__x000F_~_x0017_/²iA&lt;_x001F_i^Ù³eAvt_x0013_YoA_x0004_1_x0005_¶5A&gt;e¦?êÎeA_x001A_~èð°eAxã·×ZAfÇ_x0016__x000B_*bA@È_x0003__x0001_®B_Ah·mÚïdA9|Ë_x0001__x0004_ÈÆgA_x0001_YÊÙí7Asb_x0013_á}`AÆBgvm{cAjõYjAüVýWZA¦g_x0013_rP,^AT£_x0006_¥N#ZA_x0004_E8cgdAè¾_x0002_\áhAN	£®_x0004_aA*±¥PU_x0011_jA=çrfgA2[CôhA_x0018_3X¿±[Aüqc¿_x0014_RA6¼àþædA(¾_x000B_+P¦lA¸_x0001__x0002_5ñMA &amp;¯\cAÁ4_x0011_ÕbA¸vM÷°¶mA\hæ8W_x0007_bA_x0001_oôBºVA_x0003_^b^`[A_x001D_CË×çaAIPß\A%rAâ¶ª_x0018_gApó_x001F_ú_x0019_ÖXAºÊÁ½óeAhM*gAdÀµÃÍâbA_x0003__x0004_YI5aAÈ_x0008_x/Öc_A:&gt;Ð_x0001__x0002_9lA¡­½)ÿbA\Â f^AÂ)»efA_x0016_s®T_x0019_-iA ³!_x000D_BA_{áÁYiA_x001C_V±ÑjAÐ_Çû_x0019_Y`Alö¼ÁmA	_x001D_ù)¼(aA&gt;Ga&lt;öhAàó_x000E_À5¯QAt_x001C_©³2XA_x0008_VxKÒdAön'Ùw`cA©äª_x0007_^1kA`}Så5AfA_x001F_!9hrgAÜ¼\b¡VA6¾=álA_x0014_°_x001B__x001E_wyPAx_x000D_Ù_x0013_ÑeAÝ¥ 1'`AÝ¬_x0007_Ð'×cAA_x000C__x0015__x0004_`¬eAtyð _x000B_æWAø*_x001C_ébdA¢\_x0010_+0_x000F_mA÷®C_x0002__x0003_ÄIdA:_x001C_§¨lAtRÍû¬ÝTA&amp;úê©«fAè+¿Ä_x0003_°HAB3_x000F_%«¦dAÿY_x001C__x001E_aAJÍ_x001E_åYhA¸_x0008_âÂ6üYAèÅÆ4'6mAû$rzkAp y_x0014_åeAî×¢_x0012_¯lAìøÑxeeAø£êÄuÙWA®Ô´zYAÅ½_x000D_ÊdiAD¬Ók\A°øã"®UA;6¿2ábApL¹®^AJ&amp;Ä^AÒ´©éîcA_x0012_O'ò·)cAÈ¬È_x001B_@jA´,JO_x0006__A_x001C_«=cTA/Çj½¡¹cA(_x0001_yÉ¯¡^AL_x000B_(Ì^ágA8&lt;õU¡:AXÌð`iA_x0001__x0003__x000C_u&gt;2Î|UAf_x000B_ä¥_x001B_lAR×*%jA_x0011_PÒ´/ dA¾e}¤ìraAzÞkE¢_x0004_PA_x0003_#3hA_x0018_H^º³bOA&lt;ä_x001D_\Alî·o|[AxÜîJ_x000F_jA-ÓúèiAþ_x000C__x0010_1_x0001_&lt;iA}8áÆæÈnA(&lt;8®	VA&gt;_x0018_k&lt;_x0002__x0015_bA´SØ,âdA¾aÅGUA¬(^^A9Sêù_x000D__x000B_fAâeí:åfA§ïPrógA¾sÏÁ_x0017__x0008_hA~·Kà_x0006_gA¸_x0012_Îí0ÐaA8Xö¦¦TGAÔa¡í8[AÁ~æsÿ`iArü²àýIkA¢mØRÃÈZAÀ_x0001_+Þ"_x001E_bA}_x0018__x0007__x0001__x0004_SxiA_x0014_C6à\hA_x0002_Á¨ÜaA0pìÁIoaAª»WµÀËeAP^Ì®}_x001D_aA_x0018__x001C_C^_x000C_kA,O¢ßQ9PAüûs3&amp;\A`	ç"@ÈUA®WÌã´«gAØ´s&amp;_x001C_fAD9_x0003_Gùà]AÈ0^&gt;£¥\AöIÝ&amp; ËgA_x0015_³BÌÜcAîôP_x001E_èhA÷_x001C_ª­dAèó#--?VAô?xëÕ9[ATÈízUAè=.ÿû~UAüQ_x001B_L]Aòþ¢geA_x0016_æÚì:dAæÊæÅ7·dArÿÐ_x000F_×`bAª+¶ÀPbAÊ.ä`ú3fAæ;~d|dA8Hô2 \A¬/þùiaA_x0001__x0002_­o_x001B_zÏaAÐ¿£MfjAèlêøl]AÔ§C*_x001C_GaAæêËÈdýoA@þ_x0018_RÒkAáÕ»fA¿)_x0004_I¡h`A.ñ¤&lt;¢±aAà;É_x0005_¾_x0019_dAÊ_x001F_=íÌòaA,_x001A_XìSSAèO_x001C_Ps[jAH_x0004_õH¤[A_x001C_q/]×`Aø%º*¦VUA,E_x0001_°_x0002_]RA`H­×ÆUA"-Ü×_x0016_lA¼5:1PcAfá3å_x0014_ªgAÞÇ`A_x0019_fZW_x0006_dApM&lt;_x001B_v_x0010_bABû_x0013_òUbAJ©xª§Ø]AÂÏ¿dAjg¬nû_x001B_eAÖ_x0015_èq%fAé¤rfdA_x0016_9O9ß~oA¹Ã_x0004__x0005__x0003_3jAí()kA8_x000F_l ÿÂaA*ÿó_x0017_u_x0001_gA´_x0007_þ:gbAïNonaAµ¾ÆfbAB_x001E_êy¤ébAØáå_x001E_Æ_A_x0006_uÒG¯dA®z.wâËbAÈÖP5½ûbAl/_x0014_å~ÅjAz_x000F_ëS_x001F_äcA_x001F_j_x0019_négAìCÆc_x0010_gAR_x0010_QÓìXfADO@bcA ;Ýòð%eAZ®_x0018_±l&lt;_AFjÞm;_x0002_nAX_x000E_l;ÌnA_x000C_6ÌGñaA_x001D_uUÑÁaA ïº&gt;*³QA®EÕ_x0019_¦aA_x0018_¿Å- ócA_x0019__x001E_Ï'jAëcRuphA_x0010_PËQRVA/_x0004_:y?eAbQ$&gt;®`A_x0001__x0003_¸5Ô5íQAÈ8&lt;I|^ALïÌü6lAÉ#B£RkaA±°_x0011_WMdAèÙ¾×Áh`AæVÙÐÒµWA,xxOhA	üU¦¸eAví_x000B_® NdAAª_x000E_%¤øhA\_x0011__x000C_x­XA@/R£V_x0004_eA_x0002_nSògANÊw6~^Ae õ_x000F__x0004_kA®+Òà.oAwP_x0007_SAø¼_x0006_ûÏAA8ÖóbAnq%çSA_x001D_ñ¼C=bAyºNé»ÉgA¶_x000C_?õ+(`A_x0014_U[Q(ªbAa],UdAfÙºmÖ[Avr5{_x0016_7jAn]Ø\§bA¡pqêdAÌ_x0019_Æ9g_x0001_^Am_x0001__x0002_ìýjAöH_x0011_ÐÌeAºVÛL	fA8Ý_x001B_ÆÇ_Ap¿_x0019_7¼*aAc}ÁÎgA_x0004_ÊfBµ\A@±}mëZASø¾=N;lAÉ§×lAQ³MtGA8êõ5PA_x001B__x0015_ËHf_x0011_kA:]âsopA2Úb_x0013_*iA~1l{DlA®²í"eAè_x0019_W:_x0015_~_ALm£QF³aAÐÒGcTZA+;jÞÌ_x0013_aAvéüY[VAMa_x000B__x0019_iAÏFk¨EYAuÃKDtgA_x0016_HXå­*eA*{C5aA°X_x0005_³MMdA6¼ìBÍcA =_x0018__x0006_\_x001A_^AÇØ¾ù¶)fAÖ5mÌÝÓbA_x0001__x0004_¨Àó_x0011_²mAßÿÏ_x001F_9ôaA&lt;_x0002_z_x0013_ûI\Aä_x001B_T=×ZAÕÔ^*_x000D_vnAdF+??hA_x000E_ZæïibA·tGÅQA oT_x0006__x0016_/A_x0002_KÑ_x000C_à^cAàôøY]A¶¤æ\¦bAäèæò`ù[Aº	F_x001E_=aAô[£¶»_Aýbz_x0005_QcA0iA_x000E_Á_x0007_nA¬rÁpæhAVÁHîÒAiA_x0012_zUC_x0016_´fAß«ÒºEaA#_x0001_ §YAìéóp'ºZA SC3_x0013_umA_x001C__x0012_¶D_At÷DA¬¸WAB¨x:¾ògA´_x0003_éeAð¼¡_x001C_Ý1RA_x001B_ØØËü³fAÞÔç_x000D__x000C__x0008_dA_x001A_G§Ï_x0001__x0002_µK]A!kõÁG`A(&gt;éJ_x0003_Ü`A!_x0001_Ü¼¨`A	_x0001_ÓÁzÇkAâDeüwäaA4.£#_x001D_ãdA·tDbA¶¿ïdUZAÚ_x0007_ ®cpA_x000E_ÊÙK/[A°´¬§ùïaAöo)^`Ap#e_x001C_*Ç_A¸4ª_x001C_?\AA3hvÇiAÉ/×ê,5kAtkqxv=cAä÷_x0012_×=fA s_x001E_¢E³bALçîLhRAà_x0015__x0019__x000B_pógA¬Ç\07RA@_x000C_Z Þ_A.@D40_x001D_]ApFf_x0006_U^A óñ*pZA§Â»Öh\AÐz+0qjAàWà¢ØfAÆ_x0014_U¦R_x0016_SA¤|Å_x0013__x0019_`A_x0002__x0003_v{_x0005_qájAÖ¹Gõ¬eA_x0014__x0018_HáweA_x0014_Wú ÞhA@ÆïÇ0aAl«ó8ã¹fA`CØí}OA\ØÍ4Ã6UAôÔñO_ÅYA$Aç¿4`A»"ÓL:iA_x0019_iOþ/cAJ_x000D_5«Ñk^APoÝ¶PweA¶Ö³_x001C_YckAb_x000F__(ì_x0016_aAk2Ï¯ `AdbHÛØ\Aþâz_x0006_!&lt;`AWdXä©bAxHpþßVAb:_x000C_ h_x001F_gAÀ-¶=_x001F_gA©ÀnªØÊiA:§éñ=eAjÒåe_x0001_dAÍÛî%ªfA´|_x0010_vÏdAÐÊê_x000B_ÅPAL_x0007_¬N¦¦[Aöð$_x001A__x0017_SA,¢¯Ë_x0001__x0002_Ù4`AXvÍ¬æ:SAs_ÇbÑ]A&lt;_x0007_«6¡[AÀXò·ifAú7¶cAdò$í_x0004_§fANãßÄ*TAÑ:¤ EcAêWâ{\}fAÔ=îZÜcVAðÅ*&gt;Ê|aA þ/_x001A_¨ZAÍ×ê±aA¿_x0018_¤¬ÑjA_x001E_äò_x0006_èbA±îáiA*GÚ¯ÿjAlO%_x0018_&gt;6ZA=&gt;¶ÆßkAÖ`xÚJdAûOHøoAJÙ_x0007_&lt;	"hAä~oI|Î]AÞ¸Í4ÙQAØÎSDÎ¸kAúËËc.ÒbAÌ3Ûá_x001A_hADÿ_x000F_ä_x0006__x0010_\Aø©ÞïBOAÚØ£8ÛZAêk"ã²hA_x0003__x0005_@_x0007_ö-£eA`,×_x0002_6ÁaAX_x001D_[{.fAæ^-_x000B_a[AtÏ«_x0010_epAý`_x0006_.jNeAêÖ~Ð¶[A.¿f§_x000F_gAÂüwbo¤ZA_x0010__x0003_=Ø¤\A-¸nIc`AE_x0010__x0018_GSciA(Z±_x0011_ýæYAyÕ¨.eA²ËÖÏ _x001A_eA2Ö_x0001_ÃiAä¯èÌÜ`AÃH%l2jA0_x000D_6ÂÍafA¬~¸_x0003_·eAL6_x001B_PÕYATPø_x0012_÷wiA¦ñÍaARG_x0004_o§ÜgA,Äq¿d^A Ù_-V½`AÒ·ndb&amp;kA7_x0014_»ê:_x0012_dA_x001D_dBfA6Y_x0013_#niAfâà_x0013_aAvàÀÐ_x0004__x0005_á;eAØ_x0008_à;_x0001_eA_x000E_jïÒbA_x001C_Í·ZzagAé×qihAà1_x0003_Ë©_x0010_WA´1ÙÜ¿dAôgø_x000B_ÓXA-*k_x0002__x0010_¼aA	o,_x0018_ÉjAz2ôbAP®ê)%LJApôã2L3]AÐ¹BC_x0003_fA_x000C__x0005__x0001_¨ðÝaAþÅ¢_x0006_mRAÆÉÿ­_x0018_jA_x0016_x(``AÀ\ó°j_A´ú_x000C__x0013_©\A"_x0003_Fós`Af_x0008_&amp;_x0018_dA9J¨F_x001C_[A¦üvE_x0007__x0013_`A¬_x001A_»Ò°_AbÞtü `A¹¨Þ«`ÝdA¦ÚUz¬FaA&amp;OðuvbAê[cAÃáõÁlAºV8._x0015_gA_x0001__x0002_ÌÜùP]A}H-}{aA_x0006__x0003_¸ýjAL|ª}ÝbAþ ãvæ¨kAY_x0011_×nÄ_x0005_hA×Ù ~qUA9+_x001F_óYAþ[ññ8LhA_x0005_¾E_x001A_#ÊbAd¯á_x0012_lUA0p®Eg¼`AÂO:(¿pAÜ_x0003_e_x000E__x000F_cA0).YbAýÀÔsQA,Æk_x0008_Á	eA¼_x000D_``AÀY­í2=gAH_x001B_ÜzxbA_x000C_ÁÀzß_x0010_\A¸ùûúfbA8_x0015_S`b¶fAµà¶_x0005_ØödAv_x0014_­È¦kaAØZÃ_x000C_SAù¸GË\A¯_²¤bA&lt;_x001B_sºS_A_x001A_¸HÂ¯iA ë5C}ÁOA_x0018_[%_x0002__x0003_."`AòÎ¹}®@RA÷SQ£ª¨kAø)_x0014__x0001_¹sdA¥_x0019_¤C¹fAÎsÇ+Ûì[A8Ü¢ðk_x0002_YA¿â÷B+bAÐe]3»mNAÁg«h«kAp{ÉCÊ`A_x0003_gÕY3dA3·@ThA»~xüÜ`AdÜÚõIülA|@'ÀLaA ªÞNÞ`A+äº_x0003_b`A_x0002_Å£Ü7aAT{)ár²^AÖ^_x001E_¾jkcA;__x001A_ÞåcAÚÑÒ^¿ÄmA_x001C_O·_x0011_®bAy~DêÛlAQðPåNìhAÄ_x0015_;âÀ\A_x0012_­i;0hAf$Eï_x001B_[Ab%_x001C_?_x0011_ÈfAD¢sS2dA´ßc_x0015_êéaA_x0003__x0007__x0004_±%J_x000E_v\A´:W_x001E_+eA¨_x0016__x000B_ÖúcA¦*¦_x000C_*ÒcAìyx7å_x0014_ZAÂ®N2p`AúÏÑ¿³_x0014_iA&gt;YL_x000F_Ù;aA_x000C__x001A_JW'SbA_x000B_þú\NVAla¯XÇTAÄEá_x0006_1DAèðIãËLcATAâ[tùXA°tÞXVA_x0014_Îf_x001B__x0018_ XA_x0011_Tf®O`A¸PGÄÐ§OAîH_x001C_Ne_A¸'õùäaAÔíß%¡¸_A_x0010_À&lt;ÒLZAúØ5ÌaAÌYÎÎ}dAÎy¾sV`A¥._x000B__x0018_ìjA4_x0005_V&lt;:rPAÕtÓ¸ÒgAÈñØC_x0005_jA¬å¿ñH_x0001_`AÂ_x0002_`Ú5RiA»_x0005_åS_x0002__x0005_Þ¬fANý.ÏýeADó°bR;lA&amp;YºÜqTA&lt;¾0X\Ax6ra?fA_x0005_-|³&lt;dA7- 	bA2_x000D_HÎ^A3xçhycAømMLWA¼yüÜ¤SgAh¾¬Fâ_x0007_WAÝ§Þóx_x0008_bA_x0004_ë_x0014_%ü(eA(ýâ_x0003_¹Ç`A}ÑT2}dA&amp;B¸ÚÝpjA_x0007_	0@¶bAz_x0007_+@äOUA_x000B_ùnàMlAûwK(ò_x0001_`A¤äó_ÑWA©TÄgÄaA|Ë$·_x0011__AîI_x0011_-zcA_x001F_VÓ#âeAÜÞÎ¯ ¡[AVqÆ¾'hAP_x000E_%{_x0016_hAèÞJZf:cAÂ²Þ_x001F_Þ_x0008_`A_x0001__x0003_Z©_x0012_¾MÆ\A*_x001F_ÎÔ_x000B_	dA_x0015_®¹_x0010_bA®²ú²ÅVbAïI"¨_x0015_]A0ñ®º&lt;^Ad¡èzZµcA_x0018_Í_x001F_øpAðh`³88hAæ`_x000F_~8ªfAðú»CÌSeAê¸)ËdA_x0001_&lt;[_x0013_¾S`Að_x0015_a]_x000F_]AúÜÁL_x001D_dAØÌ¬CÑPAZízÎ=]AaæTÎ7gA_x000F_&gt;"ùäskA¨Æ_x000F_¯-dAÒa_x0006_$ÖBjAJ_x0007_ûU0²`AR1+!TgA¬¼	!_x0007__x000D_]AD_x0005__x0017_¹\A_x0008__x000D_Öáª×cAæß'_x0017_{kA$êå§PQA_x0015_ï^ÎÁ(iAæýà|úcA_x0001_r£.fA_x0002_c_x001D_V_x0002__x0005_S¶]Agáº_x0006_§cAåxkóûåhA&gt;}t'	gApDXódÌdA¸_x0015_!^_x0008_æWAÊ_x0004_GúÛiA~ _x0011_A%`AÖ+þDÄaA_x001B_Á[j§]AÇuàß¨fA³(_x0002_~vcA_x0014_ÖåþÎYA®Aeº%_x0018_eA_x0005_¿{âÎUfAxÿp.ydA_x0003_íÐ_x001A_#¥fA_x000D_cÝA§`A7ê^ÐÀäbAíÎ\êÒXgA­_x0015_1¿saA8¤4_x0012_¾dRAägÚCÚgAv«Ya}_x0013_eA55û_x0001_hAiYDèaAáF_elA¦î5_x0015_jhAØnïr¢*XA\°TdbAxU&gt;6BA`AàÁÌv±ÉjA_x0001__x0003_pÁ_x001A__x0010_gA&lt;VAdbAW­Q ñçaAÆ2Äå_x001D_^A@+uÍ/ßYA_x001D_0*dqº`A¼eh9#§`Ap_x001C_ñÈXÙWAÈ×ÞAdíFA*Ñ£ßXA,(|b¤WAIàß KÖgA_x0008_M_x000C__x001D__x0010_mVA\Î²ÊuUAW[ð(bA_x000F_¸Ò»¡kAW_x0002_4±t`AnÇ_x001A_Ã_x0003_hA´YÜó6Ö^AzE%xèiA)Z¾C_x001E_¹dAn§®WA_x0012_wgO_x000E_phA_x0006_o®ÇçgArHÀýêeA`hí_x0010_YaA¡PÏö_x0003_SA##~íoAì_x0019_+.Ú8\A§ÅÁDNLaAqBù°°dA_x0004_4Ë¼_x0001__x0002__x0002_¬cA\ºf×[A,ÊÌ_x0007_QA¸)_x0008_£Ù_AÊ×ÑüLoA¼æ2M_x000B_	gA_x0005_W­^A&gt;_x000B_¼_x0016_ÙaA_x000B_K#«"5`A_x0005__x0006_ºSAvåzEKìeA_x0016_A DffA_x0014_-llwgA_x0008_,÷«óiA`_x000D_Z,,iA_x0014_¶×}XcA±_x0017_/pùfA_x000D_0_x0019_GfA®Vw\Ö_x001E_TA¢wëÝ]AÐ_x0011_°õ.YA\H_x0005_¿Ó_x0007_QAºéÎzfJlA8Ô¦Éã_x001F_WA´ò²Hs,pAs\N,%dA_x000C_}¶ÅÃwfASl_x0012_CXAìûÔ_x0003_ÃnAnL?E_x0013_Ò`AX,M[_x0003_æbAò±_x0015_s´iA_x0001__x0004_/®	_x001D_qA ØTÛÄögA(´¨b÷~[Aä_x000E_ôn!_x001B_WA:ñÉ~_x0010_reAä4q~5gAæ^U"eA.;{_A_x0001_÷_x000F_.½ØIA_x0019_;§÷fBfAÌ/Üp0pA1_hüüm`A_x0012_I2;tbA¨ÃrGÖfA2/¹hAìiv_x0006_ÇýcAÓ0îO9mA_x0019_ñáNJòcAÅñÄCWhA^&amp;wù_A3sH\zÅlAÊýÅ»°H^A_x001C_~î	gAzê_x0002_DhAÔQ¶â¤RAþ¾´eAêqx_x0006_	YhA¦4õö½fAF_x000E_å¶t_x0013_bA8ÀM_x0008_iàVAÂéöDIfA_x0001_Ü_x0003__x0001__x0002_H¤fAæPÉ¥_x000B_VA$;sÐBa`Aä&lt;_x0001_½#jcA:_x0002_ÏbÐÙbA~)®!¾ñiAækÛÍÖ`A_x000B__x001A_õOÏ_x0013_nAþ!©Ý_x000C_5fA¦È67ÝQA_x0013_¥wÏZA_x0012_é+Ë_x0007_hA$?£øX9]Aî_x000B_ØøoAºìxAeA_x0018_ÿ_x0006__x0015_ú`A_x001C__x000B_¾ßfAÚg§ç2aAÉíð¯ÆfAF+Ë@_x0007_RA8&lt;²q&gt;XAð_x000B_`æàhA_x0008__x000E_Öjx_x001B_lAá_x0014_ÀðFdA$ñz`ÛhAd{_x001B_úðXdA_x0011_§_x001D_3fALþÏ³dUA_x0014_1_x0002_¹ÖÓbA_x001E__x0008__x000B_6_x001D_ÌaA\íët3ýZAì«óNuìYA_x0002__x0003_ø{¤À_x0004_kAfu_eA]µømA_x001C_÷iúyXiALöÛ6_x000D_ÖaAhEh_x0005_lA¨Ëñã¯ÊWA6åä_x000C_i_x000E_cA`Ã_x000E_c¦_x0018_UA|v%_x000B_3_A(ÀNí üjA¨j*&amp;Â2_AØx¹ù¦NA_x0001_x=y +cAÁì[ÕtkAjN]¾_x0014_`A1_x000F_P¶FÆhAÄ¿bcigA´¦k²obALûÂËlAÆÝH_x001E_W_x001B_eAXù_x0015_%iHUA_x001E_{ë7_x0005_fAvØíåÓdA]	.®FgA`&amp;ÇN]_x001D_XAXúe_x0010_ËUA²hI_x0001_­lA¤Ê¯(#;ZAs}_x001F_{ZAô¯ÂèïXALQP_x001A__x0001__x0004_f^A"v¡_sqgA,Ã×_x001D__x0014_hAhÌîr.IZA)z_x0012__x000B_dA !EßSPAÜwÜ^;RAi¾_x001D_ï_x0017_dA£Yo_x0002_ýÀeAª^gç*ÀiA¯])ÎåOdA¤¼5ù-¶eABË&lt;É?[A,gµEiA¼÷[SL_A0ä_x0010_u_dAü?è_x0007_Ó^A4¼³çàcA_x001A_]/M\¯gAÈ7WÌ!ÙRA(ÄªfvcAÙ_x000F_^`mAöì	_x001D_7MdA¤(TKjYA_x0003__Î÷%®fA¬¡Z%mêbA²§¸ÐÈ1bA_x0018_æöR(kA_x0007_ã_x0013_QÐû`A¦Îô?_x0015__A"Qb3=lASj¨_x001F_ÒcA_x0001__x0002_Y#_x0006__x0010_AêaAhñÿËÇFA M_x0015_îsVXAJlç_x001F_+aA®ÒÁàFXAV­/?­_x0004_eA_x0018_D_x0014_#_x000B_9]A¨×¬æ´UAÃ8äÙ_x0018_ºhAÂavÿ`Aê_x0002_® gAªß{7nfA%ÌlÿdA`îÞÒkAhjK_x000F_UAb2¶_x0016_ûaA¬?¯5¢SA_j³\ÇjbA29Äè_x0005_fAêWÅú^kAbÑçÁ%_x001D_TA°_x0002_}cÊ]AÏlè_x0005_2*kA_x000E_ÐK_x000C_]AMRikA¼!Ä°èRA_x0001_¦HUGACdZdJ´fAøýzrä'dAHÀÏ_x0018__x000D_ZAøpÒ¿ðCAâZ^_x0001__x0002_ýtbAÄ_x0006_Ýå)ÙZAG_x0015_öè-ZbA®.èKÚKoA,&lt;¸»°jXA×_x0019_:ßmAv¹§_x0010_efA\Q_x0003_»*?gA£_x0004_e-ÐdA4ïÚ f¬dAv_x0015_¹cbApM0C|bAîà³5eA*_x001E_xs,iApW/Û[At8.Ø{FA°Ã­)ìGAZÎO_+¬`A·÷ãóÃÏhAFÛS¸G6aA$âZ¼ñÄjAûUJ®t²bA8{¸ÔÒ_x0001_QAßgªgA?ÆÑ" ÞfAØÐè_x0001_`AVTRmfAkÙÊW«`A_x0008_)÷|¯aAôGóæYSAÙ¹4ÖøþgAµ&gt;"$ÐcA_x0001__x0002_ÔxÉPAOYA÷ËÍ×_x0012_ÅeAVìÓ_x0017_fAìö²_x000F_ÙphAbóæéÕèfAÚ_x001F__x0011_y·fA*·1âý\A¬¼7_x0004_·jAV@#Y_x000D_VAÊ%QtÿciA°îGW$`A[ëáyjAÝo°¶QeA_x0018_9-÷â`VAª_x0003_ C8ÿeA¼Æ!ÚHÏTAÜÝ_x000D_4A_x000C_l_x001D_Ñü0[A}£_x001A_xX_x0001_jAu77_x0012__x001B_YAä_x0015_êò¶Ù\AÌNç÷T]A,Eö#Ð[Aæ_x000C__x0002_Ç[fA0HÔu_x0003_,CAB¤-'p´eAñ«®_x0013_¿iAfý.yÊijA("ÞI_x001F_XAúà72eA_x0014_«_x0007_0dA_x0005_Üª¿_x0001__x0002_ú©cAì_x0011_?rÐÿZA2|}lU\aAÏì-cAÃºaAz¼_x000D_otaA³N"òjA7_x0015__x0019_@Z_x0008_fA ´Öí_x000E_ßfAÇú_x000E__x0015_Ú©mA§_x001F_6ÒNáfAxbñoõcA_x0017__x0004_ªóÕ_x0002_nA8MâknA%NG_x0002_ :jAx³_x0015_³uÛgA_x001A_ºY³UA¿£±_x0019_D`A+,&gt;n_x0011_üjAþã°d_x0002_iAVåq_x001D_è7tAOTO_AÙ_x000E_°ºé§pAkÌS_x0003__x001F_hAÅwÀ[cA_x0005_ñäÚl£fA{Ý_x0007_Ê!_x0006_bAiªú¼qAØñ_x0010_ÃYsAõ_x0019_iy±äWA·çìEÍ[AN&amp;~õÓ_x000C_jA_x0002__x0003__x001C_~V%¼ZcAWï·;jA©_x0004_¼uÐÉbA!_x001F_J]A_x0001_mAÍ_x0006__x0002_]_x0007_¦gA_x0005_cåÓîgAáIÇöþfAîãÄ§]\hAæ§òõ½_x000F_cA00þ÷qbAïìæ°_x0002_tAq¼ììR]AÒH_x0011_Ô×BcAD¥Ð_x0008_1qAATÆ·ú_x0003_mA)«ÆdJ_x0013_uAfõº_x0006_ã_x000D_=AfÊA_x001F_3/mA¢ó?I_x0006_mA`#ôõaA±_x0011_02ÏNhAî¦g_x0001_²êdAÐÔ[T±_x0004_lAD\_x0001_}ÑoAÿ¶P~?A÷L\§R_x0015_fAÞ,2M_x0012_jAç_x001F__x001F__x0014_ËqAÖ3Õ, aA_x0008_õEüo0dA[fÚ==}aAbæ¤_x0001__x0003_^NkA_x001A_H_x000F_áÑ¥pAb_x000F_½@ÎfAán6qqAWK§½£toAÖÑé3²rpAtT»sbA,HöN2XA½_x0011_ÎÕÖøkA_x0011_y6{+sAnÌÎXã_x0008_TAut[Õ)éiAhÛê¬3iA	¬e_x0002_¼ásAÚ?_x0010_ó] hAMS{%j^AÂ_x0008_&gt;cQbA&lt;ØÑC7ögA_x0015__x0013_ÜDfHxA@_x0007_ª({ènAÂZyI`A_x001E__x0011_J_x0016_S`mA_x001F_¥D;_x0015__x0001_oA_x000D__x001F_OÝ_x000E_FiA_x0001_óÇ`D_x0007_gA_x000B_áfá_x0001_eA¦Ýl[XârAhì¨%_x0002_liAT*8®	jdAO	PàømA«àØpA_x0019_kH°(HA_x0001__x0004_|mùT=_x001A_qAÈË1ÞËqAZði àeAå£O_x0003_ÇsA_x0002__x0013_ixöfA=ÆÆÝÉ³pACãJmªWA_x001E__x0017_;Fô0`AÙB_x0008_#ÝkAðÐ±9îiAúà±ð1rA­¨]!'ÈmAx_x001F_ÿ!`oAác¸e_x0008_I^AééRsAUzFë_x000B_VAÕy«2mAºìài^eAÃ_x0002_«J_x000E_jAD|c@ú_x0001_mA9Ï*Sû_A× ÂSFkAjàMë§qsAáäGon&amp;kA£½ÔFó,sAü!nø]ì[A·w49EnAù*+ÒPAPð#KÁ¢kAd»PßèfAbæ'Ã=dpA¾¿Ö_x0001__x0002__x0014_caAãp8XºsAÜ(i¹ÖbrAÉ¯_x0016_¦MmAä³Hû­1sAË6ð_x0017_¢lAÆë¬{ê_Ak_x0018_p/_x0006_#aAðDo6ÃýpA_x001B_´Æ Î_x0014_cAõÖ¤_x0015_U_x0003_]ABÞ_x0004_~TDiAèêcÍudAÚd¾_x0008_dA:-Ù¬jA6¸ Aõ¤iA Ú_x0010_´qAA+ñGMÂdA9x._x000F_øH[AÐj­âejAõ_x0014_¼_x000B_ù~dAüâ_x0011_õoAw	ÑAA)wW¡/ûpALåQÁ\AN&lt;D:³ÎrAs_x0008_Ø_x0003_Ã~qA3)fÉîjAç¡ÀYgAÚÀ¸oUAcWUÎ1pA­k_x001D_5_x001F__x0001_UA_x0003__x0004_~&gt;FE_x0015_cAòi+dbARæØoqA@Xù©êUqAÀ	_x0006__x0018_xâpAÅA)C6tAhÎY×}]A&gt;µMk¨2hAô¼kcòkA'a&amp;z\A{À_x0002_ydAßE_x001C__x0014_®mAë"í¥£nA(_x0001__x0019_¡_x0006_pAÄ_x0016_¨q_x0014_pAíIÖè¬ÐnA£!û|ÖgAb¿_x001A_Á8OAÈÓec_x000C_jbA¸öo9ûpAÚåjBrA_x0016_S £òëaAíl_x0011_\ß&gt;hA_x0013__x001B__x0018_Õ_x0004_qAõ´{úkpA°h©_x0010_kgAÙHåâTgA¡öLÆ÷*mAêÌtZlçfAÇÑ]î._x0019_rA_x0003_é_x001A_-_x0014_¶UAúe¡à_x0001__x0002_ÂÕbAç õG&amp;]A](#_x001E_A­oANFSÊmA±Ì±_x0006_þcATgyß_x0007_+cAh_x0008__x001C_ø×oA¬_x0011_ñIjAò¢äcõgpAD½b_x0003__x001E_¬kAKJnÅ]Aü*Ç,7bA{eNæM¾\AÛÝh_x0003_&lt;Ä\Aö LX¿cA_x000B_.Í7HîlA	ä¹_x0004_+_x0012_kAéÛæ¸kAI½(#hAS°©àhA!Ð5Þq¶mAþÚd%.jkA_x001D_-¾ÑbAÒm£9ÇMgA{©sÕgA_x000E_¸Ay@ªqAÌT_x001F_J*°cAeD=t_x001E__x001F_gAô¢ÞÇ guAÂ_x001A__x0019_£rA4Ïz#nA+k_x001F_úcõeA_x0001__x0002_6$.ö«­gAúC÷)æjA.	ó)á_x0004_hA_x001D_	(W_x0001_ÝYA_x0015_!-Î¢qAw@F1Õ~bA&amp;¼ÛÜfA_x0007_@¹A\Aô+ç_x000D_XA=_x0005_§e$]A_x000D_tÄ2|ËrAáÇÐqØiAò~Xl_x0014_«oAà¤ô¶(4fA¹ÿ6¥3ÌjAD_x0016_,hAaàñ_x001C_hA ø¾uøcAüà_x000C_\³vkAp ÕD¿?lAX?_x0002_ÿ¢mAÞj1ÐLkAo÷ø_x0012_uA1¢ëÒ¿qAÝ©dÉº,rAtÔ_x000F_:èÄgA²*lÉnAï4Þ3¡hA_x0018_®	¾SgAª^ô½ËhAÙ2¶5OiA¹_x001E_*é_x0001__x0002_¤BeAÃ]i×÷{kAÀfP_x0018_c'iA*û*ZmgiAbÖøÂéqA3éBhjAÿêJ³ÚÿoA»kxgÝnAÇ$WgãçmAQ¼róðiAw_x000B_Î_x0018__x0013_MlA6_x0011__x0002_ædA#ÓSG_x0014_tAJûFè^|tA_x0001_A2ÿgA :GGpgA1·¸¯WAVq_x0017_û&lt;gAP@_x0012_z|²jA¼§_x000E_qAqFWéFZpAh6!l_x000C_ß]A|£G_x001D_&gt;olA{ñMRfA=cº_x0008_fýWA aæ!tdAp_x0017_?½àrAÈ_x0016__x0002_pOgADï_x0018_¦6+kAFßÞõeA¥¯Ý_x0005_Ëº_A\É_x001A_=4DpA_x0002__x0004_®íÎ©g_x0011_mA}þI¾ï,kAÝ)¬áeµpAÓ_x000D_+_x0001_0u`AòIÁC_x001B_ lA½0á_x0005_pA&gt;ä}&lt;gdA½_x001A_ß1 _x0013_rAÏzàH1ÝtAôêvYAû_x0003_·ZHÖGA_A\ÀæhA_x000F_5½ßí¢ZAfÃmhhA\e'_x0016_pÕoAf_x0015_z!eAóPY¨@úhAðUW0²5kAWG;o bA_x000C_üyqAW_x001F_ 1öhA_x001E_x&amp;(ånkA¥¯gW_x000E__x0013_dAë^À_x000F_rA¹ö]êb,mAÄÍ0_x000E_U}mAsÐqPP&amp;eAàp¦%ùfAMÐTëoA¹Â{5cAy(¥t$_x0003_bA¥¼ó_x0001__x0002_áãrA©hÆr_x001C_sAxvoÅjOAUü_x000C_ÿ°UA_x0013__x001B_dÃ_x001C_rA¡4KRþuAÒY­ºÃÖpAÆÆÑ_x0005_êrAÕ&lt;Á×_x0002_IlA_x001B_ù~Zq_x0012_eAh_x0006_J Þ¯gA°ö;f_x0014_aA¸_x0007_ðvtÚfAîôÀ¨"ë]A¸N.h_x001B_qAz©õJîè`A·x¦_x001B_oAÙ9KjSlAè7d¤_x0007_gA±`_x001C_*+kA_x0010_ù©Zä*jAî_x001E_ùul$dAe_x000C_kÏµ¨mA=õ_x0012__x0011_2iAë9p¤ÞsAe4×È_x0006_hAQøÇ²³íbA_x0013_¯¢õaAA"à£ÆatAëaY9pA£jÌ«O¤hA(_x0008_³0öÇWA_x0001__x0002_m /_x001B_ÑÌ4AÎª÷_x0017_ìiAåuUü_½cACú§.,õhA_x0006_Ó#Å·bA_x0018_Ìk¿_x0011_gAåÊÅæí eA_x0015_0¥ÚÙiA9 yù_x0017_tAÆ_x0015_8©pAw*_x0004_]æpAÄ¹×(âanAFS@E_x001D_gA_x0018_ôÖÄ{*aAHì;,âaAî3ÒhÔµsAn¥®ûëdAÑíQ-¾_Aã§ù(_x0006_pAèú^H RmA_x0014_z¯¹EYXAÜrL_x0014_ÀanA2_x001B_±Ø{ÎjA­Òíé&amp;cA_x0002_A®6Ù;fAÙz~ÌfA¹n].KfA5kÐÃarAj©_x001F_K³ñgAR_x0019_ý¤ókA_x0016_oÞhA½¡©_x0003__x0005_ÀaAêË5çÄîuA¹sÜ0bA6t\C_x0019__x0001_hAãÒújÚçeA¶sÖ´WCeAKè_x0006_²æbAnS!$qA&gt;[õë|4rA_x0008_5Ya¿iAë'`z¤ÃmAì_x0007_ú(s_x0006_iAËÑz×¢XA-h_x0006_pA0|ç_x000F_f`XA÷pÉº_x0005_SeA &lt;_x001F__x000B__x0006_{cAÎBCV\sdAéçª°aA_x0004__x000C_ËuY_x0002_cA¸@®LãºqA_x0016_ÆZùËFnAA}l_x0003_YAÅãJeA¨_x001F_}ìÏqA3@¬âFålAMù'ººlAâ©_x0004_&amp;þ£pAÆ#_x0004_ØlgA}ãÈ^¥inA÷p÷d_x0015_UA/_x0012_G×c\A_x0001__x0002__x0016_H/Ýb&gt;aAg]ú}ö¯eA+ÆÈTápAE£îZ­iA_x001F_ÀæíZdAóÙÏ²ø¹lAhp_x0017_÷aSrA7£ë_x0017_¢ÞfA_x001B_¨_x0004_åg@fA×_x0003_NMMcAÙ_x0017_&gt;Ö¹eA5þî±åùhA´¹B¤^AæoubñnA_x0004_N³ GñnA48_x000C__x000C_BqA¯æq2mlAJ{¶ùÅjA;zõp+UnA_x000F_YÛkA_x000B_&lt;T_x001A_ÐqVAc§s=jbA¦·j_x000B_YA'P$_x0019_°eA(_x0006_¿ó»YAEÄÓócA?¤_x0013_Ç|bAzªþ\þmA½h¾üiajAË,XePnA;éÒ_x0017_óüZA5å80_x0001__x0002_/jA,1ê¥_x0018_nAs­TÎö]A%8tôfgA'áÉ_x0017__x0018_ÖaA`(b_x0008_~­gA`_x0018_éñqA_x0014_V2ÊËMiAÏ_x0013_¹þJ#qAÈö·²_x0010_rAóp»èaAJ®½£¦rA	G3Úâ'kAl·«/_x001A_%uAaâ×Í%pA\?Ê§ñcA|÷óñ âWA±ßÎ?rA¼ô6Ð/iA%%Í'_x0004_!pApcúìÆbAT_x0016_µ_x0013_ÞêTA_x0008_­|­øaAfDÖÙ¹pAH³ö«ôlA%ÉÉÂgAicóæ5¯mAËÍÛÒjbAQKðuAZ­èÂ&lt;lAV÷';bA_x001F_øÓN]ÜnA_x0002__x0003_³8Úí£ÓaA«_x000E__x001B__x0003_*cA_x0001_N_x001C_{=îeA_x0005_| _x001C_ÈüpA_x0015__x0001__x0016_áTaAhÎúÜ½XlAÅ»¡_x001E_D=lA »QÐØ_x0019_qA:.ZMÚfA_x000B__x000B_Í_ZqA_x0006_±Ú_x0019_ÅómAËqß_x0001_3_x000F_mA¤ýU`_x000D_IaAPÀË_x0003_qAÃ_x001A_+ó_x000F_gA0%ÝÏÁîoAcÕ_x0003_¨2VdAóû_x0012_A¿ffA¿_x001B_4O*rAÓ'ªj_x001C_ÜjA_x0004_ï»ÉmAÈ¨-_x0014__x0004__x0004_qACÉ@@ÚfAPM»ojlAÙ&amp;3W_x001C_lAÖ¡£½Ò0iApæOpëIoA(ý/UpA0Æ_x000C_zÅÝ^Aaáî"xÄkA&gt;_x001B_ÛI`Aã:5¸_x0001__x0002_ »gA_x0016_Qi+ìqAz´mÆhA¿äy~QAô_x001F_Þ7ÑcAöÒÇ¬ªAnA+sg­öègA:ÆÏÔq¨XAÕGÒ vqA_x001B_êä&amp;6!fAED±w_x0005_eA_x0017_ÝéT-cA¥_x0019_Ä½:fA_x0010_³õû_x0007_äjAºl¦ÒÓ#bAïJ_x0015_ÖeA_x0005_ðÊËd4eA¥#_x0004_ùÎ@fAË)òØ÷ëkAüêÉý_x001E_gA+±_x0012__x0012_µhA_x001C__x0019_çiAÜÕû]û=sAÍ_x000D_z	ÑãnA_x0018_ßÏ·¬cAÙP¦S7egAú®a_x000F_rAÛXDÇ	ÏhA}A_x000E_ÁërAØOQã_x0012_pAöKõ-²\A=ª·ÿ\aA_x0001__x0002_W_x0003_OÇ_x0007_BpA_x001D_Â&amp;l_x000C_%iA=ñR«\AäÐefAorXï.ivA¤_x0005_ GiAÝ^ÝdhA_x001A_e²ýöZWAhåZ'lA{_x0016_q)fA7ëÄ^_x0019_oA©¿|ÔÅ·hAËX_x0011_}ÇbA­Ev¾Z hA¡ö_x000E_0õdnA+«5_x000C__x000E_lA6ËP_x000B__x0005_PgA+pÂä5~YA|6_x0013_£eDcA"H37òòhA_x001B__x000E_ÙO_x001A_ödAìRË/qA,C?UAÏ!_x0006_v_x001D_eA^\_x001F__x001A_mXAU6¹ÃrAù¢ª÷^kAöP3O*inA}í_x001C_d¯bAÂr_x0001_º`AÐ±ÊÃèPhA&amp;_x0012_t_x0003__x0005_5\TAÃ\_x0010_¯krAä_x000D_&gt;B_x000C_xfAØxê_x001E_o_x0008_kAÎY~öLxpAB[¾ó9fAiýÆ_x0002_esA_x0001_+_x0007_Öª&amp;gA`ÞfA:G[üìeA_x000F_U(¶_x0005_gA­¾NE0dA_x000C_Ì/àüiA³²°_x001D_¿ jAµ»l¿#ësA\ÂÁ|ÿhA|_x000E_6YOsA	ekS%­pAæëaw_x0004_=cA1»:M/pAG_x001D_Û¾ümbA¢XJ)|nA5_x0015_Jþ_x000F__x0007_kA¿Ã_x001A_éüøgA&amp;ÉÛp1_x000B_cAíGyóélA¼_x0014_ôÍ¼jAK4[`jAîå"saAÇÿeA¿|ð,ÈpAd_x000B_q5_x000C__x0010_gA_x0001__x0007_à_x000B_ícÒhAÁ¾_x000C_ÁÙ]AÊ1&gt;_x0012_|Î[AÆ'_x000B_ðR_x0005_KA_x0011_U@qæÓiAïF3ñµ`AÌáQ,Ðç]AqoXh&amp;z`AÒô¹_+-fA:Ø].UAµÖZb	_x0002_eA_x0004__x0014_:aògA·eö9eAi¾¾L_x0004_aAwqf_x000C_ÇÑgA`Q._x0001__x0013_lkA»ï&gt;ÝeApôt_x0003_rA _x0011_Vî;_x0002_VAÛÊä:wáoA&gt;\_x0019_;#iqAurËl_x0017_keAû_x0007_MqTñpA^è49XnA/WÝnômmAh÷ ¹äãrAS~µ§[[Ak;Î¬u_x001F_cAÃð¦=´ÅmAº_x0006_nò_x0014_kAË6wéÈhA_x0005__x001F__x0004_Ô_x0001__x0006__x0004_dA "¬V_x000F_jAÉ9_x000B_õ_Aæë_x001F_h7oA%ÙÆÊ_x0005_Ò^Aja¬á!hA¦_x0008_NÖ%QlA4Ë_x000E_a¥tfA Ì»n_x001A_kAeÓÊ"±qA_x0007_;¡o_x0006_iA ê´6\AkV½&amp;OðrA¼¦ÇÞùkeA»P4©ß_Aü_x001A_GØÊÆgA½Ê+ÅîÉdA[ÃÈÙ _x0010_jA_x0002__x0018_²MíHmA[Ï_x0003__x000E_}bAá#¾°)pA_x001C__x0006_¯_x001F_tpA_x001A_ï¡_x0005_H»iA»as)=ueA¬aïSã@cAâ:"ÒÏjA_x0019_÷(²,hA¸_x0007__x0011_ªhA\nòûucAÙ¥»ªk;dAÒ¿G.Ò_jAa`¥·½4vA_x0002__x0003_j%îÁ¥4pA	_x001B_Õ_x001B_®TnAÁ_x001A__x001F_óplA¿.7ÓkA_x000D_ãQ4pÙeAè_x000C_¡+ÆqcA.÷SìêjAÿË_x001E_pãVAf_x0001_SÓ_x0001_ÈcA_x0006__x0002_þ'_x0012_oAfòç;t^rAm÷Æ£§_x0002_kA»ûUqA¿¡°+ÔWfA6y_x000E_8oA-ð¢ß5pcAÏ QF_x000C_8cA&gt;É:±½jADüq&amp;EcrAÜaäCä+WA%eJÉÕpAñ²pÛl¼jA_x0004__x0013_ ¯mAN\}ácA§Ò]ç¥LjA_x0011_±_x0011_ê¨pA{+_x0004__x001C_ÐroA_x0007_Ã=ÕkAH-¥ÍNû_AÜ¶_x0012_ÿMqA_x001D_0_x0005_ù9eA]^3W_x0001__x0002_öÆgAQE._×cAøJnïàRnA¤a(Ð²_x000B_jA{$ÔGÓDaA×_x001A_ö:lAéÉ5·ãmA¬ºº_x000D_âekA_x001E_³öàMnAiuc/3IfAëM´ªHiAÂ_x000E_®V&gt;oAz_x0005_µdÚZgAN_x0019__x000F_\XAø´îëoA¹Uåa4lAëÅ7º_x0015__x0010_pA]Àl#÷gA¼ÅáÍ_x0007__x0001_sA_x0017__x000D_®±¦mpAè:2j+`A gì_x0008_ÏhA-o?ç³ÀeA&amp;HãúìqA}Õ+ÓqoAò=§yoÖhA#Y8ÕYögAÁEj&amp;dAr_z°¨OaA_x001E_][êßbfAÜW_._x0002_IfA¸T_x0013_ÎTê_A_x0004__x0007_4Îë®NAbnÀ*«¤`A+W_x0012_k_AÆ±Å&gt;æoAK6WÖ_x0002_^AbvðÄî·\AZ8°fÇhAì_x0013_, }rA_x001A_ÅÌN_x0005_fA¤Ê¦ä:_x0016_pATt_·_x001E_¢dAlÕ_x0003_ê_x0011_qA°äq»kA3Öm ±_AJ`Ë_x0001_ZpA£ðh¥ýoAÆñ*ÅTmAjÕ{õ%7gA_x0004_¹é8Í{YA½÷äXý\uAcµ=âbAÄ³¼n_x0012_&amp;gA_x0012_Qó*°kATÃ_x0006_2\SjAèâ_x0017_¿0{bA¯_x001C_òTeÊVAþ.:B´OeAð_x0007_â$DñtA;zyGÓnAÂ§*ÅdAö_x001A__x001B_ãgAßw©_x0002__x0005_z°eAP{Ö_x0012_fZAÕùwòVmA_x0003_Z¾ùmA¬8ÉIgoAÑyD_x0013_¨_x001E_qAHpc_x0018_á×pA/­°ãiA_x001A_Ï©é°¾nA&gt;öË£4nA£_x0013_wûìZA_x0014__x001E_@_x0018_ÉcAÐB_x0019_B¾Ù`A+£nÊVAkYBûírA#Yyß%ò^Aû£ªEÛ¤uA_x000C_²HþuõjA_x0001_f(_x0011_nA_x000E__x001D_"zF&lt;`AM¦ÈEtA$ÀÁ_x0004_fAXY_x0012_WZJiA?¹t_x0010_3qAç.=_x001E_ÑævA_x001B_ØD5Ú_x0008_pAÏàÆÜebAU¨pÇë^Aá5Ôñ²lA¬õL#_x000F__x000F_oAà¾E²ÜÝlAÜèêXÃ_x0010_eA_x0001__x0003_Ä#&lt;XKQAÎub¿ÉmAª8[_x000E_2ªuAóÏ?üeAÀçJ_x0016_²hA¸Ï_x001B_¤nA_x0006_ôói2pA ÛÌ½ÀjA¯øìx×sA³_x0007_E^±jA_x001D_{ªv¨IpAÚÅ]yd_x0018_eAÆÊ´ãU@sAÊ_x0005_lCdA5Ë6wÃÔnAðO^iÄupAè_x0002_2óXA'+Z%ñ_x000B_mAW¤«JpA¿Ón_x0019_onA½³_x0013_r0hA©øS²2^A/6LûïÒmA¼*$_x000C_¼LnA'v_x001B_&lt;y]AR¼_x000E_tëeA_x0004_Ã&amp;þ*ûiAÄÙÓ_x0019__x0007_:iA¶Ïû1_x0013_\qA_x001A_­Óv_x0018_fA0ý&gt;_x0003_ tA#µ¬1_x0005__x0006_á·mAjÃD7w|WAöD¸_x000C_oðaA5§Di&gt;_x0014_pAê=ÝcAÕ\pduA¼4_x0003__x0006_âlA¦¼0fAfÜNnA,áOgAJ»«*znA	7_x0001_½ XAH7÷¦Ï8`Ac_x0005_lS¥pAm_x000F_üÌÎrA_x0011__x000F_¬5¦"kA¶Pø¡pAë)s_x000E_½:kA¢êd}JµmA_x0012_+Z/_x0010_¡\AÌ¨_x0007__x0011__x0008_2iAe!Â_x001B_ÑgA\|wå_x0008__x000F_bAW_x0004__x0001_XaAM¶jj_x0016__x0014_rAÁ¯_x000F_@lAû_x0002_ä¤Í_x000D_tA.$ÈõpAq¨]5hÞgA_x0018_Òj·Ñ¿rA¹Aæ¶Ö_Aã_x000B_óÛiiA_x0005_	x"¥³I;\A,Ü_x001A_ëàdA¥R÷Ù¦_x000E_rAÙFÌ	àdA36îFTAÂ¿_x0003_§iAÞSL_x0014__x0015__rAü_x0008_W°!eAv]¸²pAè_x000F_ëToA_x0013_õ;é_x0004_¬hAÆEz`DsAO_x0006_1aã&gt;lA_x001D_ä¦Ü3{\A+?¡_x000C_±EnA_x0018_@LÙGßkA¯¸Iú_x000E_&amp;oAU0_x001C_X­"`A(lÔ_x000B_*]A)_x001A_PÙõ/sAñáz,/aAÉt?ÿ·aAí(_x000D_¯`An(xï_x0014_vdAPm_x0002_xK_oA ë|_x0017_}_x001C_pA©s	ÔaAèüó}kA_x000B_{B ÙUA$_x000E_GþeXA_x001F_~¾ãjA_x0001_w%_x0007__x0002__x0003__x001C_mA_x0004_ Uç:qA_x000B_[¢Õ¢.kAçk	_x001C__x0019__x000E_mAêP_x000E_r;bA_x000D_ê_x0008_²Ó_x0012_qAÐPÁj&amp;ñdAÑª÷UuCkA¨"é[ýdA{âÔZ_x001A_jAqÈ×è$²oA,_x0016_v_x001D_9YAO_x0016_b_x000B_jAÅ·¦_x0013_¨sA'èÇâ_x000B_+kA§×q_x0001_aAÈn©ïYnA_x0017_ßÅ@BPiA_b*YhA_x0006_Iã+rAl÷M_x0005_[ºfAÝºOãyÌdA`éÂq¶_x001C_sA['fRjA:,âNqùgA_x0003_Çx_x0002__x0006_|NA¹QÃ,àH`ANwNUúfA¦á¢/t&gt;`AÎO¶* lAþ_x000E__x001B_q©cAd_x0012_8õæ_x000B_]A_x0002__x0003_Öo,pACûW¿fAÊ_x000D_è35ónA_x000F_n²Ù_x0004_nAÏO_x0015_ª_x0019_lA£Ï¢ofrAøkÓÄ.\A\ê¬ø_x000F_hA5Ï3FZAÏLÅ_x0001_p¥hA_x000F_ÑU_x001F_ËxmAc©Ö5PrAÐR2¸êZA#Ú_x0006_êîcAÉ_x0007_Í_x001D_$-rA_x0016_&amp;Çå¼cAi¶ WrA.cÝVËMYAÂô'ÉìOA¨_x001B_}ë'bnA_ÝL_x0019_ùjA-_x001A_)Ç`naAúÕë[N¯JAG²t#_x001A_³hA_x0008_ûôëöaAß×_x0003_H9hA_x001E_(/GÕðtAï¤q·jV`A¼Y_x001D_ýsAR_x0004_²R"ømA0÷÷_x0002__x001C_oAí±°_x0002__x0004_MÚkA_x0010_i_x0019__x001E_mªkAh«¶ÌþhA¼ú¬Õ¼hA®`;g_x000E_blAøF_x0010_ØpAyØÕzlbAÎ§mG_x0016_NA_x0016_\|rÁ_x0001_PAD*_x0003_ÆOfAõ&lt;$(_x000C_pAtO]È_x0008_gAÍ_x001A_KdéqAÞî×[_x0005_iA@ºfP_x000F_ÁVA:?E·«oAS_x0010_ DÏnA_x0008__x0017_]jeAuÆm8/_x0003_nA,ªü.fAÀEéÌªgA¡´´_x001E_è_x001C_ZARêßTW_x000E_pAú¶ÒM&lt;jAÓÓ;Zï`AãÉ_x0007_"mAõ_x0011__x0001_ÆmAív4uZpAQ_x001D__x001A__x0017_y¨nAé&lt;#fnAfÆRÄ_x0013_fcA_x001E_vÉ_x0012_àqA_x0002__x0006__x0019__x0017__x0005_sÀ]A9¯ÂP;ýpAmæy_x0001_eALè³½*·qA_x001F__x0004_Íç¦lA}T_x0015_åò]A÷ùC£×omAÂ_x0014_zÅ_x001B_Ù[A_x0001_Q_x000F__x001C_ÍÕ:A_x000B_ÂÈ¯1bA,ÙØeqA}É6}oÌ`Aï#IàMcAH_x000D__x0008_X cAtaS-bA_x001B_´.´ëmAÏn,{_x0007_¨IA0/OÄ_x000B_mA]ì_x000C_k,:qA_x0012_"f¬qAZðhìö#`AuØVÚá]lAö_x0014_yCý_x0003_kAÞ PjA_x0014__x0002_È_x0010_bA_x001A_;a;gA_x001D__x000C_v:jA(VÙgAØYSþ¦"É? XkïÏ?_x0002_Â@ï	³Ê?hú_x0004__x0001__x0003_LÌ?_x0007_óÀ_x000B_Ò?ü0àçË?ø_x0002_^Ù}ÔÉ?ä_x000D_ÕX_x000E_UÑ?ô_x001A__x0008_M-:Ñ?ÄùÞO/Ð?Àù¬hE_x000F_Í?hjÞÕqÁ?àPCÆ?T"ú°Ð?mÿ.`QÎ?(Ú£_x0007_÷?Ö?_x0010_Î]ÀÅ?XÔ»D7Ó?èð_x0006_s!=Ì?øhmR_x0007_Ê?È_x001A_KÿCÌ?ðÆ«àäÇ?RKC&gt;Ó?TóØ"yÕ? à¡	Ã?à=æædÄ?ð¤_x000B_¸_x0019_Ð?HÊoé"ßÈ?@»µÎ?_x0010_^ _x0003__x0002_dÈ?Ì×¤yÑ?¨nÕân'Í?_x0018_Ä¤ÕÕ*Ì?pYö_x0001_Ì?­@(ë$Î?_x0001__x0002_CDÀÞÈ?ÐõZS»È?03C?_x0003_Ö?X_x000C_U_x000F_QÆ?_x0001_þ,F×{É?IòcjaÓ?_x0010_åfwr%Ð?ïyÖ©_x0002_Ö?0þ qf$¶?\à&lt;ö2Ñ?_x000C_ðøcpÐ?(ÃeMT©È?ë©ù1Í?¨6mÉ_x0015_¡Ê?ì_x0004_ÑÎ_x0013_EÐ?w_x0004_Æ_x0004_Ó?à_x001F_ÐÝ·¶?_x0008_4ë9ð¹Ì?_x0018_èO_x0003_ëÎ?_x0014_Ý5_x0003_Ó?X_x0005_¿¯È?0 §[Ê?p_x0012_ô©æÇ?_x0001_Xµ]_x001D_Ñ?Ônã_x0017_ÈÒ?8©TÚ|Ë?[0tÖ|Ó?ø4F_x000F__x001B_áÒ?øU¯._x001F_vÒ?°[¢öÈ[È?_x0008_À£5"âÂ?D_x0005_F_x0002__x0005_JcÐ?|E}kµ¡Ô?èØÇ?æÃÀ?8_x000E_@\csÎ?Û	2]Î?hÒ_x001A_Û+Õ?_x0002_Ä_x0019_¹D_x0003_Í?ÐnÆ¥¤»Ä?¨ôüÁ_x000C_¢Ç?`Lì8vÍ?I8ÅõdÙ?(¼PäsÝÑ?HùcâÆ?Ì]_x001B_ÖÐ?,ñPÐô'Ò?XÖq_x0005_ðÞÏ?(i!Ð½Ì?°æÄä_x0008_ÝÊ?_x001C_Ë_x0001_/ÝÔ?ø¬7àÉ½Ï?èªå_x001F_,ãÈ?ôûíÔÂòÑ?_x0004_Vª¤PÒ?°0K_x0011_r^º?Ô%áF8Ó?¤ëy¯Ô?°T¦dUË?`]Þà´Ô?Èlñå'Î?X·_x0018_4"Ò?H6ìTýÂ?p ÕÚÅ?_x0001__x0002_À¯_x0007_¢Ï?aÂ×¨7Î?_x0004_[2XÔ?¨_x0016_]-wÑ?XÙ}\ÒJÒ?_x0010_f ßÊ_x0008_Æ?\â_x0018_¡RÔ?pÐ_x0013_º_x0018_ÎÁ?XS+Ï¾dÐ?_x0001__x001E__x0019_x_x000E_¶Ë?Ì=O¢fÐ?Y=ÊÎÐ?ðæÝ:_x0008_lÆ?_x0010_	7Ø_x001D_Ï?|ð_x000F_~ãKÖ?¸_x000E__x001D_µNÏ?&lt;¿_x001E_uóÕ?pÂZjµ!Ä?àÐEÚÎþÑ?@ÎII1×¾?`±33:PÏ?x&amp;´{ÊÎÌ?_x0008_&amp;_x001C_!®mÒ?_x0001_`{¤5_x001D_È?´ÕS/rÔ? [ç=/ØÔ?È§_x000D_Áw³Ð?_x0014_¦QÌ[Ô?à'1ÇªäÐ?Øô_x0014__x0014_Ä©Å?0ð;TÇ?@p¢r_x0002__x0003_Ä`Ó?HéIéÈ?_x0002__x000B_èf_x0001_Ä?Hr~,ôPÏ?_x0008_#ø_x0018__x000F_Ê? K_x0014_ Ê?°²ö_x0017_kÏ? _x000C_óaGQÎ?(éi5fÒ?¨Ù±n³@Ê?è¡Í	=Ä?&lt;lZlÉOÐ?@´ªW2É?´êjJÏÒ?Às¸a¨ã·?Øoé(Ó? 'S/wÄ?p_x000F_@©*×Õ?¨~~B?&amp;Ô?¸§¥9sÐ?Pùô£*Ì?H9í_x000C_3_x0002_Â?_x001C_÷_x0008_0Ó?)O.+ÒÀ? /ãßòÉ?¨_x001D_~22È?àhÜ¸_x000D_oÒ?¤4ú«_x0003_Ò?_x0018_WÞÉÒ?_x001F__x000C_Ù2Ö?_x0018__x000E_	_x0001_¹Ä?ø§5õõÈÎ?_x0001__x0002_ÀÀ´ÀÏ?¨ñ\z_x001E_Å?`_x0005_PF°øÉ?(C_x0012__x0014_¥&gt;Ñ?¬(_x000B_¾ÐÒ?ðkß+:_x000B_Ó?Q,¨Ñ?àlß¿Ñ?ÈB3ÊxÍ? _x000E_ÍéÜ½?0~_x0007_÷¹­Ç?pý4ù"°Ó?Ø¹_x0013_Ó?!µÇ­4È?ø·I`£ÕÍ?øÐÔtÓ?TÏÛXFmÒ?XA"K¾Ì?È}14ÀË?d_x0013_=¡¾Ð?à¥Êæì_x0002_Í?ø/qB_x001A_Ó?Ð»_x001A_º }Â?¸Å{å½É?pìBå$Ä?LäqÚÑ?ØIºðuÐ?è±Ç/É?ÀÎ&lt;_x0012_ýÇ? zuyÑ?°ÍJ¦U_x001F_Ð?4K3G_x0001__x0002_d[Ò?_x0004_Xf\¼_x0001_Ð?´æuoyÅ?_x0010_;1²OAÈ?8ô¡ç²Ä?_x0001__x001A__x000F_k9Å?hÏ_x0014_ºÈ?(N´&gt;ºÐ?è_x000C_ ðÛÎ?è_x000F_ä¶_x0008_Ð?Èw}³sÏ?-ËCðÍ?@l'¨_x001F_Ñ?_x0017_Ò_x0001_éÎ?_x001D_ÇôcöÉ?ØD÷{_x000E_Ì?0Ä3n"fÍ? È_x0012_ò_x0010_rÒ?lN¥È?(¹_x001A_-&amp;Í?_x000C_\ÜúþÕ?ð_x0005_Ú¡"Ô?_x000C_Ó]!_x000D_Ò?À_x001A_ü_x0016_ÁíË?èÉ·âöïÌ?l,¨ÍÛ&amp;Ð?ø)çXQÍ?_x0010__x001E_ZmÃ? ÃJmÒ?øÒ¬Þ%ÁÈ?@«_x001B_©KÖÊ? ¶¨8¬{Ä?_x0001__x0002_ _x001D_hp_x0011_Ã?0Ç¢¤ìÄ?n\_x000C_¯_x001D_Õ?0V\ÇÁ_x000D_Î?È_x0005__x000B_WNÑ?à_x0017_92_x0010_Ë?DjBYß_x0019_Ð?°A|ô_x0008_çÍ?èäS¸Í?@*°ÙÉ?_x0001_H_x001D_!Ð?8&gt;¹'ãÏ?\fb&lt;£Ñ?Ô'_x001C_&gt;lÐ?d®4»&gt;qÖ?ìà_x0010__x001A_äÓ?xÂ¡«AÉÓ?xçu©ùÌ?_x000C_cÔ~xÒÑ?hk«"Í?p_x0006_òûRÌ?¨H_x001B_Ú`=Î?è1Á_x0006_ó!Ï?H\+ÓÊ?èþ_x0010__x0018_6²Ï?hÑKMÎ?0NªØ_x0007_/Î?p·  ÌÓ?	_x0012_E_x0019_Ï? &gt;GÔ-Ò?ÐOK_x000C_J_x0001_Ò?&lt;c~ë_x0002__x0003_ÀþÐ?Pÿ¾_x0004_ÐÏ?|o( _x001A__x0010_Ð?HÏÓÍ_x0005_.Ë?Ì°jFZÕ?Ð¬Ã?_x0013_Ö?ð7Ã\OÎ?@_x0002_	y_x0005_,Î?Hø_x000C_.ï,Â?h«L- ·Ì?4N_x0014_ÀbÐ?àÁ¨_x000B_¶Ó?l[¤q_x0011_cÒ?(¾_x001E_~ÖÄ?Üj,Ü½Ð?ð_x0004_ÀJÌ?_x0008_mjTåaÂ?ÌÄ¨É?4_x0004_®BýWÕ?0&lt;b_x0001_òÊÌ?ÄB?âOFÐ?hæ_x000D_n_x0019_2Ì?øõs¦LÚÆ?¨u÷ãÒÑ?y&gt;ç_x0007_VÑ?$[Ä?ÄÐ?¼9,@ÐÒ?&gt;6£*Æ?X1K_x001A_ÒÐ?_x0004__x001F_ú_x0015__x0001_îÑ?_x0008_${ó_x0013_tÊ?¸kÒ_x0007_¨íÓ?_x0001__x0005_^_x001A__x000C_·èÕ?_x0018_í/\Ã?_x0010__x0004_¢p é¹?_x0010_	ôX&lt;&lt;Î? îÖµiëÄ?XsÂí_x0008_ñÎ?lÉ¬¿_x000E_YÒ?ð_x0015_&lt;ñGÊ?_x0018_.ñSWTÍ?L|H_x000B_Ð? *_x000D_çAÊÈ? BèßÒ?(_x0018_Á_x001F_SªÍ?(Ò,_x001C__x000C_dÏ?X£Æ8Ê?ÀÄ÷_x0008_¬ Ó?àWè ÍÐ?_x0008_rÑ¯Ð?ðÔk(ÌÊ?P&lt;sEÜÌ?¬Ðj_x0012_mÒ?`lXªmÉ?èfeuV_x000B_Ç?_x0010_j¹_x0002_ý@Õ?üVhwæPÔ? _x0016_üñ_x0003_¾? _x001C_GrÁ?h» üoVÔ?è,)Iø×?_x001C_yÌ¿mqÓ?&lt;7ÐÀÂÔ? ëá!_x0001__x0002_ðtÐ?@M/*Y_x001F_Ì?xÎ^_x0018_ÙÍ? Å&lt;ÖáÇ?`ä_x001B_óºÌ?_x0018_¤_x0012_êfÅ?|ãZð_x001C_Ô?oü&lt;ÛÇ?°Ü·EîÑ?äJ8_x0017_M¸Ð?ØìØ#m6Í?_x000D_ïádÎ?_x001E_ØìíÏ?_x0001_]¹É?äA&lt;ä3Ñ?@ÊH£@´Î?@ª_x001C_¾Ô?¸ýsÍZ2Ï?pËÿ¢ô_x001D_É?_x000B_t_x0011__x0006_$É?Ð= Á½Ö?T¼_x0013_|Ò?¸_x000F_Ó=7Í?hpð#&amp;Â?ÀÒK_x0010__x0016_)´?_x0008_*)BiÏ?_x0010_´X²X_x000E_É?_x0010_úÉædÍ?¸õc+DªÇ?ø@Ýv¨4Ì?´Ûd_x001F_Ê?H_x001E_Õ_x001D_`_x0015_Ï?_x0003__x0005__x001C_ÞºÊU©Õ?ÈðZ_x0004__x0016_Ò?(%_x0007_H_x0002_©Ò?üÇû¼Y(Ò?è;VtË?Ø²¼_x001D_ÑÆ?pks3 _x0014_È?øGÎÛxÕ?ø°UÑkÊ?¸?±2B_x001B_Æ?LH_x0010_{~_x001E_Ò?ØV¨çïÐ?Àp«xe½Â?Ì_x000E_K4¿Ñ?àfô£=_x001B_Ð?è*QwÊ?ð\ Ý´Ì?¸\ÏÚSË? zÊJÂ9Ë?h¥_x0001_¯õYÕ?èònÏ°®Í?À»³±7Ï?X!h¿:ÆÎ?È¢_x001A_NR3È?_x0018_­gÕrùÖ?h5ùÀÈ?_x0010_7_x0018_Å¦úÍ?_x0010__x0003_é^Ë?PÎà)Ò»Ê?_x0018_ª_x000F_fÉ?èy_x0005_Þ@IÓ?¤Àà _x0001__x0005_¢!Ô?¨hku.ÈÍ?¬_x001E__x001B_]kjÑ?¸¥_x0010_ª\ÿÌ?èÛ¯ôÂ?ªL_x0013_åÒ?hg#Í[Â?(piòÊ?À_x0007_­ËûÉ?ðç´ô=Ê?øH_x0005_¶ùçÇ?¸9DCÈ?T³ð=/ÅÓ?Í?^Ð?øLG"¥Ã?h¤_x000F_Q"8Ì?ô°½ôÔ?xÛÌCèyÑ?è¡¾¹xÝÐ?4`_x0003_dpAÒ?0Å^º_x0003_Ì?LÊ½lN7Ñ?ØÞÎ2_x0013_ÝÁ? ÿm !0Å?xä[¼XÄÇ?àh³$ÊCË?À_x0004_6ú!­Ñ?°_x0004_Q_x0005_Î?¸ºÞêïÊ?$êÕm@­Ð?ÜaúÔ?X¢_x0002_FéßË?_x0004__x0005_(è®¡BxÌ?plÎè_x0015_»È?ø¸¯:cÊ?p¦i/ÊÎ?È_x0017_kA8_x0002_Å?Dglr5¹Ñ?X×²ï«GÒ?ôçì	¹ Ó?_x000C__x0017_i;_x0002_aÐ?¸¶nóo®Ï?¸/gâ}_x0014_Ò?À/¦&amp;¥Ï?Ðºô%­æÁ?xùÌUÿÇ?øÒ_x0003_Ê:Ã?_x0010_°×ÙE¯Ë?XJ}_x0001_ßÃ?¨Õ_x000E_ÛFÉ?_x0004_kø_x0011__x0002_®Ç?(§npæ_x0004_Ñ? Ë²öq+Ð?äÄ«ÂzÑ?@ÁTIÄ?HÓ¢_x001A_;/Ð?H_x0015_UêÐ?ð_x0002_r&lt;ó³Æ? qéèjÌ?_x0010__x0016_{tÈ?@ÊnèRÍ?à;­ Ô?8Õðg_x000F__x0008_Í?ÐÓ34_x0001__x0003_LÚÒ?ìû0_x0002__x0001_]Ô?Èê!Ô£Ç? ÜúÉÇ³Ô? }ïÑ¨Ð?øÕ`õ%_x0005_×?_x0004_ùgâÑ?¤;ç_x000F__x000D_Ê?_x0018_­²Â?Ü_x0013_]_x001E_¤_x0011_Ô?H|lX+Î?ìÄ_øJÒ?_x0010_± Û_x0014_øÈ?x1_x000C_ØÝÁ?°R1_x001B_§AÈ?LR_x001E_º_x0007_&lt;Ò?Üä¹_x000D__x001A_Ñ?8h¬cÈßÌ?x"Æ_x000B_rÈÐ?h_x0004__x0011_ÈÈ?hºmÚqØ?´{¿_x0013_¤þÐ?PL?íÿÈ?_x0010_c5NBMÑ?0t{_x000D_³È?è$³S³É?àFÞóNÌ?_x0018_qcØòÓ?}*p&amp;ºÇ?_x0008_ZûôÞ_x0015_Ñ?Äê\öÐ?X¡2à«'Ó?_x0001__x0002_ qi-Ë?\¢_x001A_l½_x0018_Ô?LçSÊ½Ð?Ìf_x0010_9_x000E_ÅÐ?ûÑm{Ç?_x0010_jSÖåÒ?Ðo0`ÖË?_x0001_z_x0017_+sÑ?¸_x0014_á_x0010_	É?HZ§!?`Ì?,%hÊÓ?_x001C_\eëïVÐ?øI,GÃmÑ?°â8_x000E_Ò?¸Ð2 ÆÇÌ?äÔ_x0007_Ð?ôi\°_x001D_Ñ?_x0018_ä?Ü_x0016_Í?#~/¿ÆÑ?ì¼_x0016_äüÒ?¨×SäÅ?àüõGyýÎ?àêb_x001E_^Ç?HÚÉü_x0002_Í?_x001C_U_x000F_îP_x0008_Õ?_x0018_´ölçÎ?0`KÀ?`§áÎÉ? ¸Ë=ÿ2Ñ?0è6¹mÌ?J_x0019__x001B_GVÃ?XØ¶~_x0002__x0003_wÓ?8fJdÂÊ?_x0002__x0012_©_x0015_]çÊ?_x0002__x001E_qïaÈ?pÙ_x0006_Â×Ê?pñØÖ Ï?àñÔ¾_x000F_ëÈ? ,ÝÿàýÊ?p¿ÍÎË?(j_x001A_ÜÚË?t¦_x0010_ËóÐ?è_x0008__x001D_Fí_x000D_Ì?_x0010__x000D__x0006_Ö_x0015_Ï?ðjg_x0013_Ï?_x0018_Ã;×ÔÔ?,{6¯_x001A__Ò?üãÔbÊ?­_x0001_Ä­âÌ?ð½EÚ5´Ò?_x0018__x001E_õnX_x0015_Í?¨_x0007_?B_x000E_Õ?\_x0014_×^â_x000E_Ò?¨Wnk.7Ä?xàó\yÈ?èù¶Ñ?»G½LëÎ?_x0002_ûV±¸Å?(ÒiÝðÌ?_x001C_è_x0019_L×?h®Röp1Í?@:µw_x001D_#Î?_x0008_&lt;õêÃÐÂ?_x0001__x0002_Ä?N9¨3Ð?ðFs&lt;ÃË? =l_x0012__x000D_ôÑ?__x001D_íßÌ?¨º¹_x001B_k_x0018_É?_x0008_²&amp;ÈÎ?p%È?`Ò?ÀÙ¿_x001D_bÐ?¨_x0007_ºã¯Ì?x_x0016_-êoÃ?×¯_x0015__x0019_È?X¬_x0015_\ÛÆÎ?(DÉñGÌ?À'çùèkÒ?X%·zÁ?HÅ&gt;bYË?_x0018__x0002_ÚhÃ?Ìei¶&amp;CÔ?Ø	o_x0017__x0011_Ð?(V _x0014_qÒ?øe)ü#·É?@úæà(NÇ?À®Ã£_x0017_¤Í?Ýª`´#Á?ÔoR*¨.Ô?èHOÒÊ?_x0018_ÔÏ?_x0010__x0016__x0006_ôÓÔÒ? ~	Ë_x0016_Ì?ÄÛ¡8í_x000B_Ô?(ÉÒ¢ð¢Ë?P_x0007_Í_x0001__x0004__x0002_}Ì?1\,$×Ê?(ýä£}Ì?h®þàõ8Ê?¸¦&amp;ÒßAÎ?_x0014_wÇzgÐ?ìà_x001F_àÃÏÔ?pÔð(y×Í?ä~Õx4Ô?hgS×d­Ò?XéN¦'Ê?ÀñÞÙËcÑ?À)êë_x0007_§É?Ìâ_x0002_Dü_x001C_Ñ?üBGvíÏ?I_x000B_Ë_x0014_Î?x­H.=UÉ?r_x000D_Ì´Ð?`[©S2Ï?0®5?o«Î?ø_x001A__x000F_¤îAÈ?h[p_x0003__x0006_Ë?¬1ÄqëÑ? YÛè_x000F_ZÌ? _x001E_»A_x0002_aÎ?Xñã_x001A_´¿Å?p&lt;pl_x001A_Ä?°ÌHt_x001A_º»?³B'bÐ? Uä¯QÇ?®Væ/&lt;Å?P_x0004_ÉH\ÊÆ?_x0002__x0003__x0002__x001F_í_x000F_ÏsÌ?0_x0005_¶~_x0017_Á?¸_x001A__x001B__ñ_x000E_Ë?X ¹E¨Í?°O0ñ^Ì?_x0018_Áþ_x0002_­Ç?0"Ï&gt;iÌ?&lt;Â_x0001__x0002__x0003_"Ð?pN?t£_x0013_Ë?ÜÃÓmu-Ô?àþm|¼Á?´øY_x0010_ZÒ?_x0002__x000F_W_x0003_£Ò?p3s_x001B_qìÊ?ØZ¶Ï¼ÆÒ?_x0002_~6_x001A__x0002_ñÑ?P?Ê·îÐ?_x0004__x0011_³_x0017_Õ?¨µó:ÛÄ?_x0005_DéÙVÉ?¨¹J_x0017_ÍÐ?|²E»J_x0002_Ð?¨^P_x0012_Î?¨-ÿÙtÉ?ôÛÂX_x0013_Ð?Xï±_x000E_ÄÅ?_x0014_&lt;±»ÿÐ?Èª_x001B_.OÅ?_x0018_ZeÓºÍ?_x0018_F±R_x0018_ýÐ?ðA³%ÐË?Hü_x001B__x0002__x0004_ú4Ð?hÄgløaÓ?¦UØA_x0018_Î?è N7pmÅ?p3¢L{Ô?ànÚQB³Ë?hÅ-ÐJ$Ç?_x0002_Õ²nHÌ?4ßj0É?ä \1Ð?¸_x0015_ãÂ?_x000E_Ñ?è[_x001E_ì¹qÈ?tÆNx­wÒ? yÇÿRÒ?`ùÿ&lt;_x0018_	Ï?èêCº&lt;Ë?¬6z6jÊ?ø4¥¥¥(Ð?pqìÔÌ?Xô×¨L{Í?_x0018_¡° Ê?h_x0018_©æ#É?¨ÌÒgêÐ?«Vr_×?¨)a¶_x0003_Ò?(è²`Q!Ñ?_x0008_fM_x0008_Ò®Ð?|¦#m´jÐ?_x0010_¿é×YÌ?_x0002_~ïæÔ;È?Pú0å=_x0004_Ï?`_x0001_!ðÁÂ?_x0001__x0006_°x´ãÕWÊ?,ê5hÉÒ?ðÇ%Ò_x0004_¡Ô?ÈXjF)Ï?$É;}ßÌÒ?81û­_x001D_ÊË?_x000C_®pqÑ?p5_x001C__x0003_©_x0005_É?@_x0004_³ô_x001A_AÉ?8`QMe8Ð?_x000C_käêÓ?_x0010_â­_x000E_8Ã?Øÿ°Àr³Ò?_x0008__x0013_Y ÔÎ?(_x0001__x000E_gn¼Ð?°_x0018_î°SÊ?_x0018_Õ_x0018_ÿ¼Ï?ðò³¿¸Ò?_x0014_[_x0018_,Ò?PpRU_x0003_Ð?Ë)_x000B_ÈÒÆ?2þ7É_x0002_Ó?~­éÕÊ?^,8Í?ÈÎÀ:«È?è;ºÐ&gt;OÑ?Ð/O_x001B_bÏ?è_x0008_qWLVÇ?{ß_x0016_^Ð?ü®ý_x0017_Ñ?	H(Ð?8Zy_x0002__x0005_iÑ?_x0002_)ÍOôË?M_x0004_¢åòÎ?l_x0018_¿dÊÑ?(*_x0008_iVtÎ?_x0008_CÆ0wÃ?xZ¨ª¼Ò?¤Ñ)äÞÐ?ä[_x001D_­_!Ò?¸_x001B__x0008_ÐçÛÍ?ÀÃÒàfÔ?È:äª_x0001__x000E_Ò?0\Äw¼_x0015_Æ?hLûM_x0013_Í? áýÀHÊ?,h®â*rÓ?Ô_x0007_((¢Ñ?_x0008_²tÍ?`_x0018_ÐÈÝÍ?xoDéÌÊ?È¿¬¯q5Ç?òÈPôpÍ?pè¿ÜèeË?rÒÑØ_x000F_Æ? ¢jvô½?h¦_x000D_ôbÇ?°ÈA=òÅ?ü/_x0003_2F_x0006_Ò?_x001B_M`!Å?ÈÂÖt3ÐÄ?°oÝ_x0010_f}Î?(çHÖRbÕ?_x0001__x0003_°èß)¿òË?ü¥_x0013_ _x001F_}Ñ?0¤ØÑs_x0012_Ë?8ÀÓ?D¼m÷Ð?_x0001_Î_x001F_©Û_x0003_Ç?ô_x0002_Ý·âÒ?4_x0010_eÈ_x0007_äÑ?_x0014_A3_x0019_Ñ?p(nbU_x000B_Ì?âo¡/Ã?ð88¡Ö?_x0014_¾ÓÈ?wò_x0015__x0005_ÔÌ?¼U°½Ð?Ðé`ÇÖÎÍ?àOiPÝÄÇ?8ã_x000F_eèÂ?ô.sö{Ë?ô@_x0002__x0017_ÐbÖ?È_x000D_ìX_x001B_ÒÑ?x_x001F_;%_x001A_HÊ?À6äO_x0019_Í? ?9x}Ì?ÞÏ{×xÄ?¸¼ÙßÐ?¬Jó@·_x000D_Ò?_x000C_UÀÏkÑ?duò]Ó?0"¨)oôÑ? x´Í?ÈýZG_x0001__x0002_#Ñ?¼=ºär¾Ñ?Ð ¾®]Ä?¨g¤_x0018__x0006_Ê?.lÞ_x000E_Ç?PÝ¿ÃÒ¸Á?&lt;ÈÀÈð&amp;Ô?8÷ÐOÅ?Èdñ,_x0017_ïÖ?à _x0010_Ï?øuéåß_Ð?_x0018_cy_x0012_`Æ?DV½,_x0018_Ö?ÀÖ@GUÍ?1òÀ_x0015_¬Î?_x000F_±ÃÒ?_x000C_+9UUí×?HÊøø_x0010_Ò?(éð8=]Ç?@5ÂG·Æ?¨Ò{Ø|Ñ?Ü_x0005_juî(Ñ?Ó~_x0017_ÂlÑ?_x0008_h_x0018_2-ÖË?ÇÊ¦®¿?&lt;AbóÑ?ÈìÏ:«þÕ?È¡k_x0011_2Ì?_x0001_òÚ_x000C_·Í?0_üN_x0004_ÖÐ?¸!XCyúÑ?¨#_x001D__x0002_Ð?_x0001__x0003_Ô5µ§»_x0008_Õ?H8¿¦óÏ?ÄÓÝ²ñÒ?Àc¯Rù±Ë?Ôy¾Fâ¦Õ?POÌ@qÊ?Ü@7´-Ò?ÜÖ_x0002_ì_Ò?_x001A__x000B_ÕâÃ?&lt;OÉ^yÐ?Äá ¦§¶Ò?&lt;æ_x0013_e@÷Ð?ø|"»'áÌ?x_x0001_½¾#Å?HvÃ½§Ð?P_x0002_â¦ÆÐ?À7©049Å?ð¸®J_x0014_ÇÊ?h0ÒCÏ?pÓ¶òÍ?g_x001B_&amp;%WÓ?é_x0018_ÒqÌ?´X¬WûÕ?¬ÏòÜ_x0008_ñÐ?(ål_x001D_Ã?Øøî*ÜQÈ?Ø_x0018__x0017_Ê7Ò?¨8T\fXÉ?ÜgäV_x000F_¾Ö?,µ£jðvÐ?	¹È_x001F__x001F_Ë?¼_x0018_#_x0002__x0003_._x0005_Ò?¸_x0010_àöÑÌ?Lü§(¾EÒ?Ä®ò¡þÂ?Àº»*«¬Æ?,2ÂfhåÑ?ô«ÌÉ:_x0010_Ô?¨¾_x001C_õÍ_x0014_Ð?ðjÃ»Ò?`½¼àü_x000D_Ð?ìÈ÷|88Ñ?mè[ÍÄ?ø+(ýß|Í?Ð;ð¡¦Ì?0²MèÇ?_x0002_Ì_x001C_{_x0019_lÇ?4ªAyC«Ô?ðe-_x001F_5MÐ?ü³' dÕ?_x0019__x0008__x0004_ÕÒ?ÐË_x0006_¨S¢Ì?µcEz_x0007_Ô?ÇÏþ|_x001B_Æ?_x0010_Ú¡_x001F_¢zÎ? ,xNs­Ä?8F%úv)Ê?_x0018_#{3ÙÓ?ÈDf7_x000E_Ë?@-_x0007_åvÁ?_x0001_öãÏ?¸ÕËë³Ô?@¹¾B[¿Ê?_x0001__x0004__x0008_(BE5_x0002_Ó?7d/Ó_x0014_Ò?( wþP1Î?,âmÆ¦Ô?,ñ6ÛÐ?0e5FÎÄ?àû_x0002_ñ_x000E_Ñ?_x000C_¼Ë&amp;_x0003_Ð?_x0014_¥_x0019_çÑ?`Y¨_x0018_tõÅ?H_x0007_BÁ´aÅ?¤Z%ô¾eÔ?°7_x0019_ÝNßÇ?_x0008_P_x000B_XÇ?s_x000B_Æ?ÀÛå&lt;^_x0017_Ê?¨;p.vÑ? @$³â½Ñ?`_x0013_mkÇ?pFY_x0010_Á=Ð?¨L_x001A_N_x000B_ÝÁ?°BJÑïÝÂ?ø_x0001_Ç4¶Î?\D#_x0005_ïÙÐ?fC_x001B_Ô?Ü*dçÝGÐ?¸»W_x000D_PÑ?ó7YòÉ?@F(Ó?ú[ê«Ê? _x001E_wØÞ¶Î?`Ñ_x0007__x0003__x0006_$ÎÊ?´÷ÂvÐÎ?_x001D_tnÅÑ?_x0008_ÃÖ_x0018__x0002_}Ã?X_x0005_dÎ?Db!_x0019_Ö?_x0003_(Û_x0001_pÐ?`_x0014_K#Ç?pÛñÒÑ?°ìË_x0014__x0018_$Î?0zqZrÌ?ðYuÜQ²Ò?x;·¿h{Ì?°£_x0017_Õ#çË? _x0018__x001E_gzÔ?(s&lt;@¿æÏ?ø_x0001_r(Î?0¥_x0003_fDà¼?pímÄÊ_x0008_Æ?àÑgq'XÌ?HL_x000E__x001C_gÇ?y©a$Ñ?ø_x0017_µLÉ?¸ûý/ÙQÅ?_x0003__x000E_7ê×Ò?ÏÿÝ_x0005_ØÌ?°¬ªV°_x0012_Ò?@ê&lt;_x000E_á Ñ?OÆ_x0013__x0004_Ñ?_x0008__x0019_h3¤Ó?`|6_x000F_.ÜÃ?ÐEv ÷_x0001_Ì?_x0001__x0004_°O\3ØÃ?8Z BÎ?LZö/§­Ð?À"$_x0018_Ó?ètCµ²Ä?Ð±²c_x0016_É?x_x0016_yØ©âÓ?XÁ\y_x0012_Ê?°A£W¯Ó?X-_x0010_½_x0011_LÃ? ¨´Jñ_x001A_¾?°\ÊVÞ-Ò?øt_x0012_i¤ìÎ?°ÄèïÇ? ÜzP²»?Ð6â7\!Í?à _x001C_ç¾ÌÇ?¸KÛ¨Ù3Î?ìéÛ FÖ?À§¤#ê«Æ?H6ä@	hÕ?Ô_x0019_Ç¬åÐ?°?+YÑ?0Â?r_x0002_äÐ?l£ó»rLÐ? MQâ_x000C__x0003_Í? 7_x001D__x001C_)Î?xö¾(=Ð?x_x0004_-ÕþÑ?n£Z²Ç?`_x0015_ôk_x001D_¾?Ði0_x0006__x0001__x0002_$m¾?@«_x000E__x0010_Í?Pß_x0013_ìÓ?xsÿ¼DÎ?¬_x0007_Éßü_x0018_Ó?°_x0015__x0016_ÉÎ?_x0008_"_x000D_(¥5Ã?Ì¡üüÖÑ?`¡éãGÑ?pÀ+ÜôÊ?0ÕüùÌ#Ñ?(AdX_x0015_Í?:¥_x0013_ÌíË?éñ÷/Ã?Tr°¢Ò?0\  ÑtÏ?_x0018__x0011_yÓ_x001A_Ç?TÐ rFÑ?cêÐ?j;dhwÑ?lÅÕ_x0014_²AÑ?Hà2?K_x0018_Ñ?À}_x0007_ý.vÈ?HÑpe_x0019_Ô?_x0010_È3Ç[vÅ?ì1_x0010_Î9Ò?Ð)_x000C_®CÊ?Ùq¯tÔ?ð¶â¼Z.Ñ?¡ gÅ?¸¹òÕÆÐ?HÆh±kÎÄ?_x0002__x0003_`Keêp±µ?_x0002_xÉ:l\È?àöìG)_x0003_Ô?ÒÌÅnÇ?`;&amp;Y¡IÉ? äD&amp;"ÅÈ?_x0010_åy×·kÉ?h*ÂµÑ?ðéµ_x001E_»? &lt;è+QÑ?_x0004_:ÝÑh_x0010_Ó?$3»MÙîÓ?¸ä:*_x001F_Æ?PÉËÂÂ\Ð?(ØðëFÐ?ø_x0017_§vxuÏ?_x0018_ê \ÉØÇ?_x0018_©ÔèË?hÀ:/x¬Ï?Ô¾,ÙÝÌ?_x0001__x0002__x0002__x0002__x001D__x0002__x0002__x0002_EDM Project -GRP 9 risk .xlsx_x0016__x0002__x0002__x0002__x000C__x0002__x0002__x0002_INTRODUCTION_x0002__x0002__x0002__x0002__x0004__x0002__x0002__x0002_COST_x0002__x0002__x0002__x0002__x0005__x0002__x0002__x0002_SALES_x0002__x0002__x0002__x0002__x0007__x0002__x0002__x0002_RE_x0001__x0002_VENUE_x0001__x0001__x0001__x0001__x000F__x0001__x0001__x0001_PROJECT FUNDING_x0001__x0001__x0001__x0001__x000C__x0001__x0001__x0001_DEPRECIATION_x0001__x0001__x0001__x0001__x0010__x0001__x0001__x0001_ALTERNATIVE 1 CF_x0001__x0001__x0001__x0001__x0014__x0001__x0001__x0001_ALTERNATIVE 1 (ATCF)_x0001__x0001__x0001__x0001__x0012__x0001__x0001__x0001_MARR vs PW (ALT 1)_x0001__x0001__x0001__x0001__x0010__x0001__x0001__x0001_ALTERNATIVE 2 CF_x0001__x0001__x0001__x0001__x0014__x0001__x0001__x0001_ALTERNATIVE 2 (ATCF)_x0001__x0001__x0001__x0001__x0013__x0001__x0001__x0001_MARR vs PW (ALT 2) _x0001__x0001__x0001__x0001__x0010__x0001__x0001__x0001_ALTERNATIVE 3 CF_x0001__x0001__x0001__x0001__x0014__x0001__x0001__x0001_ALTERNATIVE 3 (_x0003__x0004_ATCF)_x0003__x0003__x0003__x0003__x0012__x0003__x0003__x0003_MARR vs PW (ALT 3)_x0003__x0003__x0003__x0003__x000B__x0003__x0003__x0003_PW ANALYSIS_x0003__x0003__x0003__x0003__x0004__x0003__x0003__x0003_AHP METHOD_x0003__x0003__x0003__x0003__x000C__x0003__x0003__x0003_AHP ANALYSIS_x0003__x0003__x0003__x0003__x000D__x0003__x0003__x0003_RISK ANALYSIS_x0007__x0003__x0003__x0003__x0002__x0003__x0003__x0003_B6&lt;_x0003__x0003__x0003_=RiskTriang(15038100,16709000,18379900,RiskStatic(16709000))&amp;_x0003__x0003__x0003_Investment Cost_x0001_A6_x0001_A5_x0001_Uncertain Inputs_x0001__x0003__x0003__x0003__x0003__x0003__x0003__x0003__x0003__x0003__x0003__x0003__x0001__x0003__x0003__x0003_&lt;_x0003__x0003__x0003_"_x0003__x0003__x0003_Inv_x0003__x0004_estment Cost / Uncertain Inputs_x0001__x0003__x0003__x0003__x0003__x0003__x0003__x0003__x0003__x0003__x0003__x0003__x0003__x0003__x0003__x0003__x0003__x0003__x0003__x0003__x0002__x0003__x0003__x0003_B7&lt;_x0003__x0003__x0003_=RiskTriang(12004200,13338000,14671800,RiskStatic(13338000))'_x0003__x0003__x0003_Revenue per year_x0001_A7_x0001_A5_x0001_Uncertain Inputs_x0001__x0003__x0003__x0003__x0003__x0003__x0003__x0003__x0001__x0003__x0003__x0003__x0001__x0003__x0003__x0003_&lt;_x0003__x0003__x0003_#_x0003__x0003__x0003_Revenue per year / Uncertain Inputs_x0001__x0003__x0003__x0003__x0003__x0003__x0003__x0003__x0003__x0003__x0003__x0003__x0003__x0003__x0003__x0003__x0003__x0003__x0003__x0003__x0002__x0003__x0003__x0003_B88_x0003__x0003__x0003__x0004__x0003_=RiskTriang(7707600,8564000,9420400,RiskStatic(8564000))&amp;_x0003__x0003__x0003_Yearly O&amp;M Cost_x0001_A8_x0001_A5_x0001_Uncertain Inputs_x0001__x0003__x0003__x0003__x0003__x0003__x0003__x0003__x0002__x0003__x0003__x0003__x0001__x0003__x0003__x0003_8_x0003__x0003__x0003_"_x0003__x0003__x0003_Yearly O&amp;M Cost / Uncertain Inputs_x0001__x0003__x0003__x0003__x0003__x0003__x0003__x0003__x0003__x0003__x0003__x0003__x0003__x0003__x0003__x0003__x0003__x0003__x0003__x0003__x0002__x0003__x0003__x0003_B9_x0016__x0003__x0003__x0003_=RiskNormal(0.05,0.08)1_x0003__x0003__x0003_Annual Savings Growth Rate_x0001_A9_x0001_A5_x0001_Uncert_x0002__x0004_ain Inputs_x0001__x0002__x0002__x0002__x0002__x0002__x0002__x0002__x0003__x0002__x0002__x0002__x0001__x0002__x0002__x0002__x0016__x0002__x0002__x0002_-_x0002__x0002__x0002_Annual Savings Growth Rate / Uncertain Inputs_x0001__x0002__x0002__x0002__x0002__x0002__x0002__x0002__x0002__x0002__x0002__x0002__x0002__x0002__x0002__x0002__x0002__x0002__x0002__x0002__x0003__x0002__x0002__x0002_B190_x0002__x0002__x0002_=RiskOutput("Present Worth")+NPV(B2,C16:G16)+B16_x0002__x0002__x0002__x0002__x0002__x0002__x0002__x0002__x0001__x0002__x0002__x0002__x0002__x0002__x0002__x0002__x0001__x0002__x0002__x0002__x001C__x0002__x0002__x0002__x0002__x0002__x0002__x0002__x000D__x0002__x0002__x0002_Present Worth_x0002__x0002__x0002__x0002__x0002__x0002__x0002__x0002__x0002__x0002_ÿÿÿÿÿÿÿÿÿÿÿÿÿÿÿÿÿÿÿÿÿÿÿÿÿÿÿÿÿÿÿÿÿÿÿÿÿÿÿ_x0004__x0005_ÿÿÿ_x0004__x0004__x0003__x0004__x0004__x0004_B20,_x0004__x0004__x0004_=RiskOutput("Future Worth")+FV(B2,G12,,-B19)_x0004__x0004__x0004__x0004__x0004__x0004__x0004__x0004__x0001__x0004__x0004__x0004__x0001__x0004__x0004__x0004__x0001__x0004__x0004__x0004__x001B__x0004__x0004__x0004__x0004__x0004__x0004__x0004__x000C__x0004__x0004__x0004_Future Worth_x0004__x0004__x0004__x0004__x0004__x0004__x0004__x0004__x0004__x0004_ÿÿÿÿÿÿÿÿÿÿÿÿÿÿÿÿÿÿÿÿÿÿÿÿÿÿÿÿÿÿÿÿÿÿÿÿÿÿÿÿÿÿ_x0004__x0004__x0003__x0004__x0004__x0004_B21_x001F__x0004__x0004__x0004_=RiskOutput("IRR")+IRR(B16:G16)_x0004__x0004__x0004__x0004__x0004__x0004__x0004__x0004__x0001__x0004__x0004__x0004__x0002__x0004__x0004__x0004__x0001__x0004__x0004__x0004__x0012__x0004__x0004__x0004__x0004__x0004__x0004__x0004__x0003__x0004__x0004__x0004_IRR_x0004__x0004__x0004__x0004__x0004__x0004__x0004__x0004__x0004__x0004_ÿÿÿÿÿÿÿ_x0004__x0006_ÿÿÿÿÿÿÿÿÿÿÿÿÿÿÿÿÿÿÿÿÿÿÿÿÿÿÿÿÿÿÿÿÿÿÿ_x0004__x0004__x0015__x0004__x0004__x0004_COST-BENEFIT ANALYSIS_x0004__x0004__x0004__x0004__x0015__x0004__x0004__x0004_RiskSerializationData_x0004__x0004__x0004__x0004__x0007__x0004__x0004__x0004_SUMMARY_x0004__x0004__x0004__x0004__x0004__x0004__x0004__x0004__x0001__x0004__x0004__x0004__x0005__x0004__x0004__x0004_Sim#1_x0004__x0004__x0004__x0004__x0004__x0004__x0008__x0004__x0004__x0004_VSMVJ8PZ_x0003__x0004__x0004__x0004__x0005__x0004__x0004__x0004__x0002__x0004__x0004_à_x0005__x0004__x0004__x0004__x0002__x0004__x0004_à_x0005__x0004__x0004__x0004__x0002__x0004__x0004_à_x0004__x0004__x0001__x0004__x0004_E_x0004__x0004__x0004_JEU621M34ET2M266ELXLUD5G_x0004__x0004__x0004_ÿÿÿÿ_x0004__x0004_ÿÿÿÿ_x0004__x0004_ÿÿÿÿ_x0004__x0004_ÿÿÿÿ_x0004__x0004_ÿÿ_x0004__x0004_ÿÿ_x0004__x0004_ÿÿ_x0010_'_x0004__x0004_Ø_x0002__x0003__x0006__x0002__x0002__x0002__x0004__x0002__x0002__x0010__x0001__x0002__x0002__x0002__x0002__x001D__x0002__x0002_EDM Project -GRP 9 risk .xlsx_x0018__x0002__x0002__x0002_JEU621M34ET2M266ELXLUD5G_x0016__x0002__x0002__x0002__x0002__x000C__x0002__x0002_INTRODUCTION_x0002__x0002__x0002__x0002__x0002__x0004__x0002__x0002_COST_x0002__x0002__x0002__x0002__x0002__x0005__x0002__x0002_SALES_x0002__x0002__x0002__x0002__x0002__x0007__x0002__x0002_REVENUE_x0002__x0002__x0002__x0002__x0002__x000F__x0002__x0002_PROJECT FUNDING_x0002__x0002__x0002__x0002__x0002__x000C__x0002__x0002_DEPRECIATION_x0002__x0002__x0002__x0002__x0002__x0010__x0002__x0002_ALTERNATIVE 1 CF_x0002__x0002__x0002__x0002__x0002__x0014__x0002__x0002_ALTERNATIVE 1 (ATCF)_x0002__x0002__x0002__x0002__x0002__x0012__x0002__x0002_MARR v_x0001__x0002_s PW (ALT 1)_x0001__x0001__x0001__x0001__x0001__x0010__x0001__x0001_ALTERNATIVE 2 CF_x0001__x0001__x0001__x0001__x0001__x0014__x0001__x0001_ALTERNATIVE 2 (ATCF)_x0001__x0001__x0001__x0001__x0001__x0013__x0001__x0001_MARR vs PW (ALT 2) _x0001__x0001__x0001__x0001__x0001__x0010__x0001__x0001_ALTERNATIVE 3 CF_x0001__x0001__x0001__x0001__x0001__x0014__x0001__x0001_ALTERNATIVE 3 (ATCF)_x0001__x0001__x0001__x0001__x0001__x0012__x0001__x0001_MARR vs PW (ALT 3)_x0001__x0001__x0001__x0001__x0001__x000B__x0001__x0001_PW ANALYSIS_x0001__x0001__x0001__x0001__x0001__x0002__x0001__x0001_AHP METHOD_x0001__x0001__x0001__x0001__x0001__x000C__x0001__x0001_AHP ANALYSIS_x0001__x0001__x0001__x0001__x0001__x000D__x0001__x0001_RISK ANA_x0002__x0003_LYSIS_x0007__x0002__x0002__x0002__x0002__x0005__x0002__x0002__x0002__x0001__x0002_&lt;_x0002__x0002_=RiskTriang(15038100,16709000,18379900,RiskStatic(16709000))&amp;_x0002__x0002_Investment Cost_x0001_A6_x0001_A5_x0001_Uncertain Inputs_x0002__x0001__x0002__x0002__x0002__x0002__x0002__x0002__x0002__x0002__x0001__x0002__x0002__x0002_&lt;_x0002__x0002__x0002__x0002__x0002__x0002__x0001__x0002_ÿÿÿÿ_x0002__x0002__x0002__x0002__x0002__x0002__x0002__x0002__x0002__x0002__x0002__x0002__x0002__x0002__x0002__x0002__x0002__x0006__x0002__x0002__x0002__x0001__x0002_&lt;_x0002__x0002_=RiskTriang(12004200,13338000,14671800,RiskStatic(13338000))'_x0002__x0002_Revenue_x0003__x0004_ per year_x0001_A7_x0001_A5_x0001_Uncertain Inputs_x0003__x0001__x0003__x0003__x0003__x0003__x0001__x0003__x0003__x0003__x0001__x0003__x0003__x0003_&lt;_x0003__x0003__x0003__x0003__x0003__x0003__x0001__x0003_ÿÿÿÿ_x0003__x0003__x0003__x0003__x0003__x0003__x0003__x0003__x0003__x0003__x0003__x0003__x0003__x0003__x0003__x0003__x0003__x0007__x0003__x0003__x0003__x0001__x0003_8_x0003__x0003_=RiskTriang(7707600,8564000,9420400,RiskStatic(8564000))&amp;_x0003__x0003_Yearly O&amp;M Cost_x0001_A8_x0001_A5_x0001_Uncertain Inputs_x0003__x0001__x0003__x0003__x0003__x0003__x0002__x0003__x0003__x0003__x0001__x0003__x0003__x0003_8_x0003__x0003__x0003__x0003__x0003__x0003__x0001__x0003_ÿÿÿÿ_x0003__x0003__x0003__x0003__x0003__x0003__x0003__x0003__x0003__x0003__x0003__x0003__x0003__x0003__x0003__x0003__x0003__x0008__x0003__x0003__x0003__x0001__x0003__x0016__x0003__x0003_=Ris_x0002__x0004_kNormal(0.05,0.08)1_x0002__x0002_Annual Savings Growth Rate_x0001_A9_x0001_A5_x0001_Uncertain Inputs_x0002__x0001__x0002__x0002__x0002__x0002__x0003__x0002__x0002__x0002__x0001__x0002__x0002__x0002__x0016__x0002__x0002__x0002__x0002__x0002__x0002__x0001__x0002_ÿÿÿÿ_x0002__x0002__x0002__x0002__x0002__x0002__x0002__x0002__x0002__x0002__x0002__x0002__x0002__x0002__x0002__x0002__x0002__x0012__x0002__x0002__x0002__x0001__x0002_0_x0002__x0002_=RiskOutput("Present Worth")+NPV(B2,C16:G16)+B16_x0002__x0002__x0002__x0002__x0002__x0002__x0002__x0002__x0001__x0002__x0002__x0002__x0002__x0002__x0002__x0002__x0002__x0001__x0002__x0002__x0002__x001C__x0002__x0002__x0002__x0002__x0002__x000D__x0002__x0002_Present Worth_x0002__x0002__x0002__x0002__x0002__x0002__x0002__x0002_ÿÿÿÿÿÿÿÿÿÿÿÿÿÿÿÿÿÿÿÿ_x0004__x0005_ÿÿÿÿÿÿÿÿÿÿÿÿÿÿÿÿÿÿÿÿÿÿ_x0004_ÿÿ_x0004__x0013__x0004__x0004__x0004__x0001__x0004_,_x0004__x0004_=RiskOutput("Future Worth")+FV(B2,G12,,-B19)_x0004__x0004__x0004__x0004__x0004__x0004__x0004__x0004__x0001__x0004__x0004__x0004__x0004__x0001__x0004__x0004__x0004__x0001__x0004__x0004__x0004__x001B__x0004__x0004__x0004__x0004__x0004__x000C__x0004__x0004_Future Worth_x0004__x0004__x0004__x0004__x0004__x0004__x0004__x0004_ÿÿÿÿÿÿÿÿÿÿÿÿÿÿÿÿÿÿÿÿÿÿÿÿÿÿÿÿÿÿÿÿÿÿÿÿÿÿÿÿÿÿ_x0004_ÿÿ_x0004__x0014__x0004__x0004__x0004__x0001__x0004__x001F__x0004__x0004_=RiskOutput("IRR")+IRR(B16:G16)_x0004__x0004__x0004__x0004__x0004__x0004__x0004__x0004__x0001__x0004__x0004__x0004__x0004__x0002__x0004__x0004__x0004__x0001__x0004__x0004__x0004__x0012__x0004__x0004__x0004__x0004__x0004__x0003__x0004__x0004__x0008_	IRR_x0008__x0008__x0008__x0008__x0008__x0008__x0008__x0008_ÿÿÿÿÿÿÿÿÿÿÿÿÿÿÿÿÿÿÿÿÿÿÿÿÿÿÿÿÿÿÿÿÿÿÿÿÿÿÿÿÿÿ_x0008_ÿÿ_x0008__x0015__x0008__x0008_COST-BENEFIT ANALYSIS_x0008__x0008__x0008__x0008__x0008__x0015__x0008__x0008_RiskSerializationData_x0008__x0008__x0008__x0008__x0008__x0007__x0008__x0008_SUMMARY_x0008__x0008__x0008__x0008__x0004__x0008__x0008__x0008__x0008__x0008__x0008__x0008__x0003__x0008__x0008__x0008__x0008__x0008__x0008__x0008__x0004__x0008__x0008__x0008__x0008__x0008__x0012__x0008__x0008__x0008__x0008__x0008__x0008__x0008__x0008__x0008__x0012__x0008__x0001__x0008__x0008__x0008__x0008__x0008__x0008__x0008__x0012__x0008__x0002__x0008__x0008__x0008__x0008__x0008__x0008__x0008__x0012__x0008__x0003__x0008__x0008__x0008__x0008__x0008__x0003__x0008__x0008__x0008__x0008__x0008__x0012__x0008__x0004__x0008__x0008__x0008__x0008__x0008__x0008__x0008__x0012__x0008__x0005__x0008__x0008__x0008__x0008__x0008__x0008__x0008__x0012__x0008__x0006__x0008__x0008__x0008__x0008__x0008__x0008__x0008__x0008__x0008__x0008__x0008__x0008__x0008__x0012_'_x0008__x0008_,_x0008__x0008__x0008_ÿÿÿÿÿÿÿÿÿ_x0002__x0003_ÿÿÿÿÿÿÿÿÿÿÿÿÿÿÿÿÿÿÿÿÿÿÿ_x0002__x0002__x0002__x0002_ N_x0002__x0002_(_x0002__x0002__x0002__x0002__x0002__x0002__x0002__x0002__x0002__x0002__x0002__x0002__x0002__x0002__x0002__x0002__x0002__x0002__x0002__x0002__x0002__x0002__x0002__x0002__x0002__x0002__x0002__x0002__x0002__x0002__x0002__x0002__x0002__x0002__x0002__x0011_'_x0002__x0002__x000C__x0002__x0002__x0002__x0001__x0002__x0002__x0002__x0013_'_x0002__x0002__x0010__x0002__x0002__x0002__x0001__x0002__x0002__x0002_Ôîu_x0001__x0002__x0002_ÿÿÿÿ</t>
  </si>
  <si>
    <t>a243f13f035f20498cdb025412dd0ede0|1|61843|38f6bf69e2ffad9494d6092f526ec855</t>
  </si>
  <si>
    <t>GF1_rK0qDwEAEABiAQwjACYAUACqAL4AvwDNANsAPAFeAVgBKgD//wAAAAAAAQQAAAAAHCQjLCMjMC4wMF8pO1tSZWRdKCQjLCMjMC4wMCkAAAABIkludmVzdG1lbnQgQ29zdCAvIFVuY2VydGFpbiBJbnB1dHMBMkNvbXBhcmlzb24gd2l0aCBUcmlhbmcoMTUwMzgxMDAsMTY3MDkwMDAsMTgzNzk5MDApAQEQAAIAAQpTdGF0aXN0aWNzAwEBAP8BAQEBAQABAQEABAAAAAEBAQEBAAEBAQAEAAAAAuIAAhABACoAIkludmVzdG1lbnQgQ29zdCAvIFVuY2VydGFpbiBJbnB1dHMAAC8BAAIAAgAqACJUcmlhbmcoMTUwMzgxMDAsMTY3MDkwMDAsMTgzNzk5MDApAQElAQACAEQBTgEBAQIBmpmZmZmZqT8AAGZmZmZmZu4/AAAFAAEBAQABAQ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</si>
  <si>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</si>
  <si>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</si>
  <si>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</si>
  <si>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</si>
  <si>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</si>
  <si>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</si>
  <si>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</si>
  <si>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</si>
  <si>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</si>
  <si>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</si>
  <si>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</si>
  <si>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</si>
  <si>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</si>
  <si>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</si>
  <si>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</si>
  <si>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</si>
  <si>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</si>
  <si>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</si>
  <si>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</si>
  <si>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</si>
  <si>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</si>
  <si>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</si>
  <si>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</si>
  <si>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</si>
  <si>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</si>
  <si>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</si>
  <si>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</si>
  <si>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</si>
  <si>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SEC 06 GROUP 09</t>
  </si>
  <si>
    <t>Analgesic (Pain Killer)</t>
  </si>
  <si>
    <t>Per/Vaccine</t>
  </si>
  <si>
    <t>Vaccine</t>
  </si>
  <si>
    <t>Total Sales (A+B)</t>
  </si>
  <si>
    <t>Alternative 1 PW</t>
  </si>
  <si>
    <t>Alternative 2 PW</t>
  </si>
  <si>
    <t>Alternative 3 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</si>
</sst>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[Blue]0&quot; Yrs&quot;\ "/>
    <numFmt numFmtId="167" formatCode="0.000"/>
    <numFmt numFmtId="168" formatCode="0.0000"/>
    <numFmt numFmtId="169" formatCode="[Blue]0.00&quot; Yrs&quot;\ "/>
    <numFmt numFmtId="170" formatCode="hh:mm:ss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sz val="10"/>
      <color theme="1"/>
      <name val="Bookman Old Style"/>
      <family val="1"/>
    </font>
    <font>
      <sz val="12"/>
      <color theme="1"/>
      <name val="Bookman Old Style"/>
      <family val="2"/>
    </font>
    <font>
      <sz val="11"/>
      <color rgb="FF006100"/>
      <name val="Calibri"/>
      <family val="2"/>
      <scheme val="minor"/>
    </font>
    <font>
      <b/>
      <sz val="10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sz val="10"/>
      <name val="Arial"/>
      <family val="2"/>
    </font>
    <font>
      <sz val="9"/>
      <name val="Segoe UI"/>
      <family val="2"/>
    </font>
    <font>
      <sz val="8.4"/>
      <name val="Segoe UI"/>
      <family val="2"/>
    </font>
    <font>
      <b/>
      <sz val="14"/>
      <color rgb="FFFF0000"/>
      <name val="Bookman Old Style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5" borderId="0" applyNumberFormat="0" applyBorder="0" applyAlignment="0" applyProtection="0"/>
    <xf numFmtId="43" fontId="2" fillId="0" borderId="0" applyFont="0" applyFill="0" applyBorder="0" applyAlignment="0" applyProtection="0"/>
  </cellStyleXfs>
  <cellXfs count="630">
    <xf numFmtId="0" fontId="0" fillId="0" borderId="0" xfId="0"/>
    <xf numFmtId="0" fontId="4" fillId="0" borderId="0" xfId="0" applyFont="1"/>
    <xf numFmtId="0" fontId="4" fillId="0" borderId="0" xfId="2" applyFont="1"/>
    <xf numFmtId="0" fontId="4" fillId="0" borderId="1" xfId="0" applyFont="1" applyBorder="1"/>
    <xf numFmtId="8" fontId="4" fillId="0" borderId="1" xfId="1" applyNumberFormat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Border="1" applyAlignment="1"/>
    <xf numFmtId="0" fontId="5" fillId="0" borderId="1" xfId="0" applyFont="1" applyBorder="1"/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7" fillId="0" borderId="0" xfId="0" applyFont="1"/>
    <xf numFmtId="0" fontId="4" fillId="0" borderId="0" xfId="0" applyFont="1" applyFill="1"/>
    <xf numFmtId="10" fontId="4" fillId="0" borderId="1" xfId="5" applyNumberFormat="1" applyFont="1" applyBorder="1"/>
    <xf numFmtId="0" fontId="7" fillId="0" borderId="0" xfId="0" applyFont="1" applyBorder="1"/>
    <xf numFmtId="8" fontId="7" fillId="0" borderId="0" xfId="0" applyNumberFormat="1" applyFont="1" applyBorder="1"/>
    <xf numFmtId="10" fontId="7" fillId="0" borderId="0" xfId="5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5" applyNumberFormat="1" applyFont="1" applyAlignment="1">
      <alignment vertical="center"/>
    </xf>
    <xf numFmtId="10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4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8" borderId="1" xfId="0" applyFont="1" applyFill="1" applyBorder="1"/>
    <xf numFmtId="0" fontId="4" fillId="0" borderId="0" xfId="0" applyFont="1" applyBorder="1"/>
    <xf numFmtId="10" fontId="4" fillId="0" borderId="0" xfId="0" applyNumberFormat="1" applyFont="1" applyBorder="1"/>
    <xf numFmtId="10" fontId="4" fillId="0" borderId="1" xfId="5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8" fontId="4" fillId="8" borderId="1" xfId="0" applyNumberFormat="1" applyFont="1" applyFill="1" applyBorder="1" applyAlignment="1">
      <alignment horizontal="center" vertical="center"/>
    </xf>
    <xf numFmtId="0" fontId="0" fillId="0" borderId="0" xfId="0" quotePrefix="1"/>
    <xf numFmtId="8" fontId="0" fillId="0" borderId="0" xfId="0" applyNumberFormat="1"/>
    <xf numFmtId="10" fontId="0" fillId="0" borderId="0" xfId="0" applyNumberFormat="1"/>
    <xf numFmtId="0" fontId="4" fillId="0" borderId="0" xfId="0" applyFont="1" applyFill="1" applyBorder="1"/>
    <xf numFmtId="0" fontId="4" fillId="0" borderId="0" xfId="2" applyFont="1" applyFill="1" applyBorder="1"/>
    <xf numFmtId="0" fontId="4" fillId="0" borderId="0" xfId="0" applyFont="1" applyFill="1" applyBorder="1" applyAlignment="1">
      <alignment horizontal="center"/>
    </xf>
    <xf numFmtId="3" fontId="4" fillId="0" borderId="0" xfId="2" applyNumberFormat="1" applyFont="1" applyFill="1" applyBorder="1"/>
    <xf numFmtId="8" fontId="4" fillId="0" borderId="0" xfId="1" applyNumberFormat="1" applyFont="1" applyFill="1" applyBorder="1"/>
    <xf numFmtId="0" fontId="5" fillId="0" borderId="0" xfId="2" applyFont="1" applyFill="1" applyBorder="1"/>
    <xf numFmtId="0" fontId="4" fillId="0" borderId="0" xfId="2" applyFont="1" applyFill="1" applyBorder="1" applyAlignment="1">
      <alignment horizontal="center" vertical="center"/>
    </xf>
    <xf numFmtId="0" fontId="11" fillId="0" borderId="0" xfId="0" applyFont="1"/>
    <xf numFmtId="8" fontId="11" fillId="0" borderId="0" xfId="0" applyNumberFormat="1" applyFont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40" fontId="11" fillId="0" borderId="1" xfId="0" applyNumberFormat="1" applyFont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10" fontId="11" fillId="0" borderId="1" xfId="5" applyNumberFormat="1" applyFont="1" applyBorder="1" applyAlignment="1">
      <alignment horizontal="center" vertical="center"/>
    </xf>
    <xf numFmtId="8" fontId="11" fillId="0" borderId="1" xfId="0" applyNumberFormat="1" applyFont="1" applyFill="1" applyBorder="1" applyAlignment="1">
      <alignment horizontal="center" vertical="center"/>
    </xf>
    <xf numFmtId="10" fontId="11" fillId="0" borderId="1" xfId="5" applyNumberFormat="1" applyFont="1" applyFill="1" applyBorder="1" applyAlignment="1">
      <alignment horizontal="center" vertical="center"/>
    </xf>
    <xf numFmtId="8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8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/>
    <xf numFmtId="10" fontId="12" fillId="0" borderId="1" xfId="0" applyNumberFormat="1" applyFont="1" applyBorder="1" applyAlignment="1">
      <alignment horizontal="center" vertical="center"/>
    </xf>
    <xf numFmtId="0" fontId="18" fillId="10" borderId="0" xfId="0" applyFont="1" applyFill="1"/>
    <xf numFmtId="0" fontId="19" fillId="10" borderId="0" xfId="0" applyFont="1" applyFill="1"/>
    <xf numFmtId="0" fontId="19" fillId="10" borderId="0" xfId="0" quotePrefix="1" applyFont="1" applyFill="1"/>
    <xf numFmtId="0" fontId="20" fillId="10" borderId="0" xfId="0" applyFont="1" applyFill="1"/>
    <xf numFmtId="0" fontId="21" fillId="0" borderId="12" xfId="0" applyNumberFormat="1" applyFont="1" applyBorder="1" applyAlignment="1">
      <alignment horizontal="left" vertical="top"/>
    </xf>
    <xf numFmtId="0" fontId="21" fillId="0" borderId="13" xfId="0" applyNumberFormat="1" applyFont="1" applyBorder="1" applyAlignment="1">
      <alignment horizontal="left" vertical="top"/>
    </xf>
    <xf numFmtId="0" fontId="21" fillId="0" borderId="14" xfId="0" applyNumberFormat="1" applyFont="1" applyBorder="1" applyAlignment="1">
      <alignment horizontal="left" vertical="top"/>
    </xf>
    <xf numFmtId="0" fontId="22" fillId="0" borderId="12" xfId="0" applyNumberFormat="1" applyFont="1" applyBorder="1" applyAlignment="1">
      <alignment horizontal="left" vertical="top"/>
    </xf>
    <xf numFmtId="0" fontId="22" fillId="0" borderId="13" xfId="0" applyNumberFormat="1" applyFont="1" applyBorder="1" applyAlignment="1">
      <alignment horizontal="left" vertical="top"/>
    </xf>
    <xf numFmtId="0" fontId="22" fillId="11" borderId="13" xfId="0" applyNumberFormat="1" applyFont="1" applyFill="1" applyBorder="1" applyAlignment="1">
      <alignment horizontal="left"/>
    </xf>
    <xf numFmtId="0" fontId="22" fillId="11" borderId="16" xfId="0" applyNumberFormat="1" applyFont="1" applyFill="1" applyBorder="1" applyAlignment="1">
      <alignment horizontal="left"/>
    </xf>
    <xf numFmtId="0" fontId="22" fillId="11" borderId="14" xfId="0" applyNumberFormat="1" applyFont="1" applyFill="1" applyBorder="1" applyAlignment="1">
      <alignment horizontal="left"/>
    </xf>
    <xf numFmtId="0" fontId="21" fillId="0" borderId="17" xfId="0" applyNumberFormat="1" applyFont="1" applyBorder="1" applyAlignment="1">
      <alignment horizontal="left" vertical="top"/>
    </xf>
    <xf numFmtId="0" fontId="21" fillId="0" borderId="15" xfId="0" applyNumberFormat="1" applyFont="1" applyBorder="1" applyAlignment="1">
      <alignment vertical="top"/>
    </xf>
    <xf numFmtId="0" fontId="21" fillId="0" borderId="18" xfId="0" applyNumberFormat="1" applyFont="1" applyBorder="1" applyAlignment="1">
      <alignment horizontal="left" vertical="top"/>
    </xf>
    <xf numFmtId="0" fontId="12" fillId="0" borderId="22" xfId="0" applyFont="1" applyBorder="1"/>
    <xf numFmtId="0" fontId="12" fillId="0" borderId="25" xfId="0" applyFont="1" applyBorder="1"/>
    <xf numFmtId="0" fontId="12" fillId="0" borderId="27" xfId="0" applyFont="1" applyBorder="1"/>
    <xf numFmtId="8" fontId="11" fillId="0" borderId="23" xfId="0" applyNumberFormat="1" applyFont="1" applyBorder="1" applyAlignment="1">
      <alignment horizontal="center" vertical="center"/>
    </xf>
    <xf numFmtId="8" fontId="11" fillId="0" borderId="24" xfId="0" applyNumberFormat="1" applyFont="1" applyBorder="1" applyAlignment="1">
      <alignment horizontal="center" vertical="center"/>
    </xf>
    <xf numFmtId="8" fontId="11" fillId="0" borderId="26" xfId="0" applyNumberFormat="1" applyFont="1" applyBorder="1" applyAlignment="1">
      <alignment horizontal="center" vertical="center"/>
    </xf>
    <xf numFmtId="8" fontId="11" fillId="0" borderId="28" xfId="0" applyNumberFormat="1" applyFont="1" applyBorder="1" applyAlignment="1">
      <alignment horizontal="center" vertical="center"/>
    </xf>
    <xf numFmtId="8" fontId="11" fillId="0" borderId="29" xfId="0" applyNumberFormat="1" applyFont="1" applyBorder="1" applyAlignment="1">
      <alignment horizontal="center" vertical="center"/>
    </xf>
    <xf numFmtId="0" fontId="15" fillId="0" borderId="0" xfId="0" applyFont="1"/>
    <xf numFmtId="0" fontId="11" fillId="6" borderId="7" xfId="0" applyFont="1" applyFill="1" applyBorder="1" applyAlignment="1">
      <alignment horizontal="center" vertical="center"/>
    </xf>
    <xf numFmtId="3" fontId="17" fillId="0" borderId="1" xfId="2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8" fontId="17" fillId="0" borderId="1" xfId="2" applyNumberFormat="1" applyFont="1" applyBorder="1" applyAlignment="1">
      <alignment horizontal="center"/>
    </xf>
    <xf numFmtId="8" fontId="17" fillId="0" borderId="1" xfId="1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5" xfId="2" applyFont="1" applyBorder="1" applyAlignment="1">
      <alignment horizontal="center"/>
    </xf>
    <xf numFmtId="0" fontId="17" fillId="0" borderId="26" xfId="2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8" fontId="0" fillId="0" borderId="26" xfId="1" applyNumberFormat="1" applyFont="1" applyBorder="1" applyAlignment="1">
      <alignment horizontal="center"/>
    </xf>
    <xf numFmtId="8" fontId="15" fillId="0" borderId="26" xfId="0" applyNumberFormat="1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165" fontId="15" fillId="0" borderId="26" xfId="0" applyNumberFormat="1" applyFont="1" applyBorder="1" applyAlignment="1">
      <alignment horizontal="center"/>
    </xf>
    <xf numFmtId="165" fontId="15" fillId="0" borderId="43" xfId="0" applyNumberFormat="1" applyFont="1" applyBorder="1" applyAlignment="1">
      <alignment horizontal="center"/>
    </xf>
    <xf numFmtId="0" fontId="17" fillId="0" borderId="0" xfId="0" applyFont="1" applyFill="1"/>
    <xf numFmtId="0" fontId="0" fillId="0" borderId="0" xfId="0" applyFont="1"/>
    <xf numFmtId="0" fontId="1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/>
    </xf>
    <xf numFmtId="10" fontId="0" fillId="0" borderId="0" xfId="5" applyNumberFormat="1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10" fontId="12" fillId="0" borderId="28" xfId="0" applyNumberFormat="1" applyFont="1" applyFill="1" applyBorder="1" applyAlignment="1">
      <alignment horizontal="center" vertical="center" wrapText="1"/>
    </xf>
    <xf numFmtId="9" fontId="12" fillId="0" borderId="28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5" fontId="23" fillId="0" borderId="1" xfId="0" applyNumberFormat="1" applyFont="1" applyBorder="1" applyAlignment="1">
      <alignment horizontal="center" vertical="center" wrapText="1"/>
    </xf>
    <xf numFmtId="0" fontId="23" fillId="0" borderId="0" xfId="0" applyFont="1" applyBorder="1"/>
    <xf numFmtId="6" fontId="23" fillId="0" borderId="0" xfId="0" applyNumberFormat="1" applyFont="1" applyFill="1" applyBorder="1" applyAlignment="1">
      <alignment horizontal="center"/>
    </xf>
    <xf numFmtId="0" fontId="12" fillId="0" borderId="25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9" fontId="12" fillId="0" borderId="26" xfId="6" applyNumberFormat="1" applyFont="1" applyFill="1" applyBorder="1" applyAlignment="1">
      <alignment horizontal="center" vertical="center"/>
    </xf>
    <xf numFmtId="0" fontId="12" fillId="0" borderId="27" xfId="6" applyFont="1" applyFill="1" applyBorder="1" applyAlignment="1">
      <alignment horizontal="center" vertical="center" wrapText="1"/>
    </xf>
    <xf numFmtId="0" fontId="0" fillId="0" borderId="0" xfId="6" applyFont="1" applyFill="1" applyBorder="1" applyAlignment="1">
      <alignment horizontal="center" vertical="center" wrapText="1"/>
    </xf>
    <xf numFmtId="9" fontId="0" fillId="0" borderId="0" xfId="6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5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12" fillId="0" borderId="26" xfId="6" applyNumberFormat="1" applyFont="1" applyFill="1" applyBorder="1" applyAlignment="1">
      <alignment horizontal="center" vertical="center"/>
    </xf>
    <xf numFmtId="165" fontId="12" fillId="0" borderId="26" xfId="0" applyNumberFormat="1" applyFont="1" applyBorder="1" applyAlignment="1">
      <alignment horizontal="center"/>
    </xf>
    <xf numFmtId="10" fontId="12" fillId="0" borderId="26" xfId="6" applyNumberFormat="1" applyFont="1" applyFill="1" applyBorder="1" applyAlignment="1">
      <alignment horizontal="center" vertical="center"/>
    </xf>
    <xf numFmtId="0" fontId="12" fillId="0" borderId="26" xfId="6" applyFont="1" applyFill="1" applyBorder="1" applyAlignment="1">
      <alignment horizontal="center" vertical="center"/>
    </xf>
    <xf numFmtId="10" fontId="12" fillId="0" borderId="29" xfId="6" applyNumberFormat="1" applyFont="1" applyFill="1" applyBorder="1" applyAlignment="1">
      <alignment horizontal="center" vertical="center"/>
    </xf>
    <xf numFmtId="10" fontId="12" fillId="0" borderId="29" xfId="5" applyNumberFormat="1" applyFont="1" applyBorder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6" applyFont="1" applyFill="1" applyBorder="1" applyAlignment="1">
      <alignment horizontal="center" vertical="center" wrapText="1"/>
    </xf>
    <xf numFmtId="10" fontId="12" fillId="0" borderId="0" xfId="6" applyNumberFormat="1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6" fontId="23" fillId="0" borderId="26" xfId="0" applyNumberFormat="1" applyFont="1" applyBorder="1" applyAlignment="1">
      <alignment horizontal="center" vertical="center" wrapText="1"/>
    </xf>
    <xf numFmtId="166" fontId="12" fillId="0" borderId="26" xfId="0" applyNumberFormat="1" applyFont="1" applyBorder="1" applyAlignment="1">
      <alignment horizontal="center"/>
    </xf>
    <xf numFmtId="10" fontId="12" fillId="0" borderId="26" xfId="0" applyNumberFormat="1" applyFont="1" applyBorder="1" applyAlignment="1">
      <alignment horizontal="center"/>
    </xf>
    <xf numFmtId="0" fontId="12" fillId="0" borderId="25" xfId="0" applyFont="1" applyFill="1" applyBorder="1"/>
    <xf numFmtId="10" fontId="7" fillId="0" borderId="42" xfId="0" applyNumberFormat="1" applyFont="1" applyBorder="1"/>
    <xf numFmtId="0" fontId="7" fillId="0" borderId="43" xfId="0" applyFont="1" applyBorder="1"/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/>
    </xf>
    <xf numFmtId="0" fontId="12" fillId="13" borderId="1" xfId="0" applyFont="1" applyFill="1" applyBorder="1" applyAlignment="1">
      <alignment horizontal="center" vertical="center"/>
    </xf>
    <xf numFmtId="0" fontId="17" fillId="0" borderId="0" xfId="0" applyFont="1"/>
    <xf numFmtId="0" fontId="23" fillId="0" borderId="0" xfId="0" applyFont="1" applyFill="1" applyBorder="1"/>
    <xf numFmtId="10" fontId="23" fillId="0" borderId="0" xfId="0" applyNumberFormat="1" applyFont="1" applyBorder="1"/>
    <xf numFmtId="165" fontId="12" fillId="0" borderId="1" xfId="0" applyNumberFormat="1" applyFont="1" applyBorder="1" applyAlignment="1">
      <alignment horizontal="center" vertical="center"/>
    </xf>
    <xf numFmtId="8" fontId="12" fillId="0" borderId="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8" fontId="17" fillId="0" borderId="0" xfId="0" applyNumberFormat="1" applyFont="1" applyBorder="1" applyAlignment="1">
      <alignment horizontal="center" vertical="center"/>
    </xf>
    <xf numFmtId="8" fontId="17" fillId="0" borderId="0" xfId="0" applyNumberFormat="1" applyFont="1" applyFill="1" applyBorder="1" applyAlignment="1">
      <alignment horizontal="center" vertical="center"/>
    </xf>
    <xf numFmtId="8" fontId="17" fillId="0" borderId="1" xfId="0" applyNumberFormat="1" applyFont="1" applyFill="1" applyBorder="1" applyAlignment="1">
      <alignment horizontal="center" vertical="center"/>
    </xf>
    <xf numFmtId="9" fontId="17" fillId="0" borderId="0" xfId="5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8" fontId="17" fillId="0" borderId="1" xfId="0" applyNumberFormat="1" applyFont="1" applyBorder="1" applyAlignment="1">
      <alignment horizontal="center" vertical="center"/>
    </xf>
    <xf numFmtId="8" fontId="12" fillId="0" borderId="26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165" fontId="12" fillId="0" borderId="28" xfId="0" applyNumberFormat="1" applyFont="1" applyBorder="1" applyAlignment="1">
      <alignment horizontal="center" vertical="center"/>
    </xf>
    <xf numFmtId="8" fontId="12" fillId="0" borderId="28" xfId="0" applyNumberFormat="1" applyFont="1" applyFill="1" applyBorder="1" applyAlignment="1">
      <alignment horizontal="center" vertical="center"/>
    </xf>
    <xf numFmtId="8" fontId="12" fillId="0" borderId="28" xfId="0" applyNumberFormat="1" applyFont="1" applyBorder="1" applyAlignment="1">
      <alignment horizontal="center" vertical="center"/>
    </xf>
    <xf numFmtId="8" fontId="12" fillId="0" borderId="29" xfId="0" applyNumberFormat="1" applyFont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8" fontId="17" fillId="0" borderId="26" xfId="0" applyNumberFormat="1" applyFont="1" applyFill="1" applyBorder="1" applyAlignment="1">
      <alignment horizontal="center" vertical="center"/>
    </xf>
    <xf numFmtId="10" fontId="17" fillId="0" borderId="26" xfId="0" applyNumberFormat="1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0" fontId="17" fillId="0" borderId="29" xfId="0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8" fontId="12" fillId="0" borderId="26" xfId="0" applyNumberFormat="1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0" fillId="0" borderId="0" xfId="0" applyFont="1"/>
    <xf numFmtId="0" fontId="11" fillId="0" borderId="22" xfId="0" applyFont="1" applyBorder="1"/>
    <xf numFmtId="8" fontId="11" fillId="0" borderId="24" xfId="0" applyNumberFormat="1" applyFont="1" applyBorder="1"/>
    <xf numFmtId="0" fontId="11" fillId="0" borderId="25" xfId="0" applyFont="1" applyBorder="1"/>
    <xf numFmtId="8" fontId="11" fillId="0" borderId="26" xfId="0" applyNumberFormat="1" applyFont="1" applyBorder="1"/>
    <xf numFmtId="166" fontId="11" fillId="0" borderId="26" xfId="0" applyNumberFormat="1" applyFont="1" applyBorder="1"/>
    <xf numFmtId="10" fontId="11" fillId="0" borderId="26" xfId="0" applyNumberFormat="1" applyFont="1" applyBorder="1"/>
    <xf numFmtId="0" fontId="11" fillId="0" borderId="27" xfId="0" applyFont="1" applyFill="1" applyBorder="1"/>
    <xf numFmtId="10" fontId="11" fillId="0" borderId="29" xfId="0" applyNumberFormat="1" applyFont="1" applyBorder="1"/>
    <xf numFmtId="10" fontId="10" fillId="0" borderId="0" xfId="0" applyNumberFormat="1" applyFont="1"/>
    <xf numFmtId="0" fontId="11" fillId="0" borderId="1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8" fontId="17" fillId="0" borderId="24" xfId="0" applyNumberFormat="1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8" fontId="17" fillId="0" borderId="26" xfId="0" applyNumberFormat="1" applyFont="1" applyBorder="1" applyAlignment="1">
      <alignment horizontal="center"/>
    </xf>
    <xf numFmtId="166" fontId="17" fillId="0" borderId="26" xfId="0" applyNumberFormat="1" applyFont="1" applyBorder="1" applyAlignment="1">
      <alignment horizontal="center"/>
    </xf>
    <xf numFmtId="10" fontId="17" fillId="0" borderId="26" xfId="0" applyNumberFormat="1" applyFont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10" fontId="17" fillId="0" borderId="29" xfId="0" applyNumberFormat="1" applyFont="1" applyBorder="1" applyAlignment="1">
      <alignment horizont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8" fontId="17" fillId="0" borderId="26" xfId="0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center"/>
    </xf>
    <xf numFmtId="165" fontId="17" fillId="0" borderId="28" xfId="0" applyNumberFormat="1" applyFont="1" applyBorder="1" applyAlignment="1">
      <alignment horizontal="center" vertical="center"/>
    </xf>
    <xf numFmtId="8" fontId="17" fillId="0" borderId="28" xfId="0" applyNumberFormat="1" applyFont="1" applyFill="1" applyBorder="1" applyAlignment="1">
      <alignment horizontal="center" vertical="center"/>
    </xf>
    <xf numFmtId="8" fontId="17" fillId="0" borderId="28" xfId="0" applyNumberFormat="1" applyFont="1" applyBorder="1" applyAlignment="1">
      <alignment horizontal="center" vertical="center"/>
    </xf>
    <xf numFmtId="8" fontId="17" fillId="0" borderId="29" xfId="0" applyNumberFormat="1" applyFont="1" applyBorder="1" applyAlignment="1">
      <alignment horizontal="center" vertical="center"/>
    </xf>
    <xf numFmtId="166" fontId="17" fillId="0" borderId="25" xfId="0" applyNumberFormat="1" applyFont="1" applyBorder="1" applyAlignment="1">
      <alignment horizontal="center" vertical="center"/>
    </xf>
    <xf numFmtId="0" fontId="17" fillId="0" borderId="26" xfId="0" applyFont="1" applyBorder="1" applyAlignment="1">
      <alignment horizontal="center"/>
    </xf>
    <xf numFmtId="8" fontId="17" fillId="0" borderId="29" xfId="0" applyNumberFormat="1" applyFont="1" applyBorder="1" applyAlignment="1">
      <alignment horizontal="center"/>
    </xf>
    <xf numFmtId="10" fontId="11" fillId="0" borderId="25" xfId="5" applyNumberFormat="1" applyFont="1" applyBorder="1" applyAlignment="1">
      <alignment horizontal="center" vertical="center"/>
    </xf>
    <xf numFmtId="8" fontId="11" fillId="0" borderId="26" xfId="0" applyNumberFormat="1" applyFont="1" applyFill="1" applyBorder="1" applyAlignment="1">
      <alignment horizontal="center" vertical="center"/>
    </xf>
    <xf numFmtId="10" fontId="11" fillId="0" borderId="25" xfId="5" applyNumberFormat="1" applyFont="1" applyFill="1" applyBorder="1" applyAlignment="1">
      <alignment horizontal="center" vertical="center"/>
    </xf>
    <xf numFmtId="10" fontId="11" fillId="0" borderId="27" xfId="5" applyNumberFormat="1" applyFont="1" applyBorder="1" applyAlignment="1">
      <alignment horizontal="center" vertical="center"/>
    </xf>
    <xf numFmtId="8" fontId="11" fillId="0" borderId="29" xfId="0" applyNumberFormat="1" applyFont="1" applyFill="1" applyBorder="1" applyAlignment="1">
      <alignment horizontal="center" vertical="center"/>
    </xf>
    <xf numFmtId="0" fontId="23" fillId="0" borderId="0" xfId="0" applyFont="1"/>
    <xf numFmtId="10" fontId="11" fillId="0" borderId="0" xfId="0" applyNumberFormat="1" applyFont="1"/>
    <xf numFmtId="0" fontId="11" fillId="0" borderId="22" xfId="0" applyFont="1" applyBorder="1" applyAlignment="1">
      <alignment horizontal="center"/>
    </xf>
    <xf numFmtId="8" fontId="11" fillId="0" borderId="24" xfId="0" applyNumberFormat="1" applyFont="1" applyBorder="1" applyAlignment="1">
      <alignment horizontal="center"/>
    </xf>
    <xf numFmtId="8" fontId="11" fillId="0" borderId="26" xfId="0" applyNumberFormat="1" applyFont="1" applyBorder="1" applyAlignment="1">
      <alignment horizontal="center"/>
    </xf>
    <xf numFmtId="166" fontId="11" fillId="0" borderId="26" xfId="0" applyNumberFormat="1" applyFont="1" applyBorder="1" applyAlignment="1">
      <alignment horizontal="center"/>
    </xf>
    <xf numFmtId="10" fontId="11" fillId="0" borderId="26" xfId="0" applyNumberFormat="1" applyFont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10" fontId="11" fillId="0" borderId="29" xfId="0" applyNumberFormat="1" applyFont="1" applyBorder="1" applyAlignment="1">
      <alignment horizontal="center"/>
    </xf>
    <xf numFmtId="0" fontId="11" fillId="0" borderId="2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6" fontId="12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Fill="1" applyBorder="1"/>
    <xf numFmtId="10" fontId="12" fillId="0" borderId="0" xfId="0" applyNumberFormat="1" applyFont="1" applyBorder="1"/>
    <xf numFmtId="8" fontId="12" fillId="0" borderId="0" xfId="0" applyNumberFormat="1" applyFont="1" applyBorder="1" applyAlignment="1">
      <alignment horizontal="center" vertical="center"/>
    </xf>
    <xf numFmtId="8" fontId="12" fillId="0" borderId="0" xfId="0" applyNumberFormat="1" applyFont="1" applyFill="1" applyBorder="1" applyAlignment="1">
      <alignment horizontal="center" vertical="center"/>
    </xf>
    <xf numFmtId="9" fontId="12" fillId="0" borderId="0" xfId="5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12" fillId="0" borderId="22" xfId="0" applyFont="1" applyBorder="1" applyAlignment="1">
      <alignment horizontal="center"/>
    </xf>
    <xf numFmtId="8" fontId="12" fillId="0" borderId="24" xfId="0" applyNumberFormat="1" applyFont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10" fontId="12" fillId="0" borderId="29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6" fontId="12" fillId="0" borderId="26" xfId="0" applyNumberFormat="1" applyFont="1" applyBorder="1" applyAlignment="1">
      <alignment horizontal="center" vertical="center" wrapText="1"/>
    </xf>
    <xf numFmtId="6" fontId="12" fillId="7" borderId="1" xfId="0" applyNumberFormat="1" applyFont="1" applyFill="1" applyBorder="1" applyAlignment="1">
      <alignment horizont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27" xfId="0" applyFont="1" applyFill="1" applyBorder="1"/>
    <xf numFmtId="8" fontId="12" fillId="0" borderId="26" xfId="0" applyNumberFormat="1" applyFont="1" applyFill="1" applyBorder="1" applyAlignment="1">
      <alignment horizontal="center" vertical="center"/>
    </xf>
    <xf numFmtId="10" fontId="12" fillId="0" borderId="26" xfId="0" applyNumberFormat="1" applyFont="1" applyFill="1" applyBorder="1" applyAlignment="1">
      <alignment horizontal="center" vertical="center"/>
    </xf>
    <xf numFmtId="10" fontId="12" fillId="0" borderId="29" xfId="0" applyNumberFormat="1" applyFont="1" applyFill="1" applyBorder="1" applyAlignment="1">
      <alignment horizontal="center" vertical="center"/>
    </xf>
    <xf numFmtId="0" fontId="26" fillId="0" borderId="0" xfId="0" applyFont="1"/>
    <xf numFmtId="0" fontId="12" fillId="0" borderId="27" xfId="0" applyFont="1" applyBorder="1" applyAlignment="1">
      <alignment horizontal="center" vertical="center"/>
    </xf>
    <xf numFmtId="166" fontId="12" fillId="0" borderId="25" xfId="0" applyNumberFormat="1" applyFont="1" applyBorder="1" applyAlignment="1">
      <alignment horizontal="center" vertical="center"/>
    </xf>
    <xf numFmtId="8" fontId="12" fillId="0" borderId="29" xfId="0" applyNumberFormat="1" applyFont="1" applyBorder="1" applyAlignment="1">
      <alignment horizontal="center"/>
    </xf>
    <xf numFmtId="10" fontId="12" fillId="0" borderId="25" xfId="5" applyNumberFormat="1" applyFont="1" applyBorder="1" applyAlignment="1">
      <alignment horizontal="center" vertical="center"/>
    </xf>
    <xf numFmtId="10" fontId="12" fillId="0" borderId="25" xfId="5" applyNumberFormat="1" applyFont="1" applyFill="1" applyBorder="1" applyAlignment="1">
      <alignment horizontal="center" vertical="center"/>
    </xf>
    <xf numFmtId="10" fontId="12" fillId="0" borderId="25" xfId="5" applyNumberFormat="1" applyFont="1" applyBorder="1" applyAlignment="1">
      <alignment vertical="center"/>
    </xf>
    <xf numFmtId="10" fontId="12" fillId="0" borderId="27" xfId="5" applyNumberFormat="1" applyFont="1" applyBorder="1" applyAlignment="1">
      <alignment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168" fontId="12" fillId="0" borderId="26" xfId="0" applyNumberFormat="1" applyFont="1" applyFill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167" fontId="12" fillId="0" borderId="28" xfId="0" applyNumberFormat="1" applyFont="1" applyBorder="1" applyAlignment="1">
      <alignment horizontal="center" vertical="center"/>
    </xf>
    <xf numFmtId="167" fontId="12" fillId="0" borderId="28" xfId="0" applyNumberFormat="1" applyFont="1" applyFill="1" applyBorder="1" applyAlignment="1">
      <alignment horizontal="center" vertical="center"/>
    </xf>
    <xf numFmtId="10" fontId="12" fillId="0" borderId="29" xfId="5" applyNumberFormat="1" applyFont="1" applyBorder="1" applyAlignment="1">
      <alignment horizontal="center" vertical="center"/>
    </xf>
    <xf numFmtId="167" fontId="12" fillId="0" borderId="26" xfId="0" applyNumberFormat="1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0" borderId="55" xfId="0" applyFont="1" applyBorder="1"/>
    <xf numFmtId="0" fontId="12" fillId="0" borderId="45" xfId="0" applyFont="1" applyBorder="1"/>
    <xf numFmtId="0" fontId="12" fillId="0" borderId="23" xfId="0" applyFont="1" applyBorder="1" applyAlignment="1">
      <alignment horizontal="left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9" fontId="12" fillId="0" borderId="29" xfId="5" applyNumberFormat="1" applyFont="1" applyBorder="1" applyAlignment="1">
      <alignment horizontal="center" vertical="center"/>
    </xf>
    <xf numFmtId="10" fontId="12" fillId="0" borderId="26" xfId="0" applyNumberFormat="1" applyFont="1" applyBorder="1" applyAlignment="1">
      <alignment horizontal="center" vertical="center"/>
    </xf>
    <xf numFmtId="10" fontId="12" fillId="0" borderId="28" xfId="0" applyNumberFormat="1" applyFont="1" applyBorder="1" applyAlignment="1">
      <alignment horizontal="center" vertical="center"/>
    </xf>
    <xf numFmtId="10" fontId="12" fillId="0" borderId="29" xfId="0" applyNumberFormat="1" applyFont="1" applyBorder="1" applyAlignment="1">
      <alignment horizontal="center" vertical="center"/>
    </xf>
    <xf numFmtId="0" fontId="11" fillId="8" borderId="11" xfId="0" applyFont="1" applyFill="1" applyBorder="1"/>
    <xf numFmtId="8" fontId="11" fillId="8" borderId="11" xfId="0" applyNumberFormat="1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/>
    </xf>
    <xf numFmtId="8" fontId="11" fillId="8" borderId="31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8" fontId="11" fillId="8" borderId="32" xfId="0" applyNumberFormat="1" applyFont="1" applyFill="1" applyBorder="1" applyAlignment="1">
      <alignment horizontal="center"/>
    </xf>
    <xf numFmtId="0" fontId="5" fillId="8" borderId="27" xfId="2" applyFont="1" applyFill="1" applyBorder="1" applyAlignment="1">
      <alignment horizontal="center" vertical="center"/>
    </xf>
    <xf numFmtId="0" fontId="23" fillId="8" borderId="25" xfId="0" applyFont="1" applyFill="1" applyBorder="1" applyAlignment="1">
      <alignment horizontal="center"/>
    </xf>
    <xf numFmtId="165" fontId="23" fillId="8" borderId="26" xfId="0" applyNumberFormat="1" applyFont="1" applyFill="1" applyBorder="1" applyAlignment="1">
      <alignment horizontal="center"/>
    </xf>
    <xf numFmtId="0" fontId="23" fillId="8" borderId="27" xfId="0" applyFont="1" applyFill="1" applyBorder="1" applyAlignment="1">
      <alignment horizontal="center"/>
    </xf>
    <xf numFmtId="8" fontId="23" fillId="8" borderId="29" xfId="1" applyNumberFormat="1" applyFont="1" applyFill="1" applyBorder="1" applyAlignment="1">
      <alignment horizontal="center"/>
    </xf>
    <xf numFmtId="164" fontId="23" fillId="8" borderId="29" xfId="1" applyNumberFormat="1" applyFont="1" applyFill="1" applyBorder="1" applyAlignment="1">
      <alignment horizontal="center"/>
    </xf>
    <xf numFmtId="165" fontId="23" fillId="8" borderId="29" xfId="1" applyNumberFormat="1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4" fillId="10" borderId="0" xfId="0" applyFont="1" applyFill="1"/>
    <xf numFmtId="6" fontId="23" fillId="8" borderId="1" xfId="0" applyNumberFormat="1" applyFont="1" applyFill="1" applyBorder="1" applyAlignment="1">
      <alignment horizontal="center"/>
    </xf>
    <xf numFmtId="6" fontId="23" fillId="8" borderId="26" xfId="0" applyNumberFormat="1" applyFont="1" applyFill="1" applyBorder="1" applyAlignment="1">
      <alignment horizontal="center"/>
    </xf>
    <xf numFmtId="6" fontId="23" fillId="8" borderId="28" xfId="0" applyNumberFormat="1" applyFont="1" applyFill="1" applyBorder="1" applyAlignment="1">
      <alignment horizontal="center"/>
    </xf>
    <xf numFmtId="6" fontId="23" fillId="8" borderId="29" xfId="0" applyNumberFormat="1" applyFont="1" applyFill="1" applyBorder="1" applyAlignment="1">
      <alignment horizontal="center"/>
    </xf>
    <xf numFmtId="0" fontId="23" fillId="3" borderId="25" xfId="0" applyFont="1" applyFill="1" applyBorder="1" applyAlignment="1">
      <alignment vertical="center"/>
    </xf>
    <xf numFmtId="0" fontId="23" fillId="3" borderId="25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8" fontId="14" fillId="8" borderId="1" xfId="0" applyNumberFormat="1" applyFont="1" applyFill="1" applyBorder="1" applyAlignment="1">
      <alignment horizontal="center" vertical="center"/>
    </xf>
    <xf numFmtId="0" fontId="12" fillId="8" borderId="51" xfId="0" applyFont="1" applyFill="1" applyBorder="1" applyAlignment="1">
      <alignment horizontal="center" vertical="center"/>
    </xf>
    <xf numFmtId="8" fontId="12" fillId="8" borderId="52" xfId="0" applyNumberFormat="1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6" fontId="12" fillId="8" borderId="1" xfId="0" applyNumberFormat="1" applyFont="1" applyFill="1" applyBorder="1" applyAlignment="1">
      <alignment horizontal="center"/>
    </xf>
    <xf numFmtId="6" fontId="12" fillId="8" borderId="26" xfId="0" applyNumberFormat="1" applyFont="1" applyFill="1" applyBorder="1" applyAlignment="1">
      <alignment horizontal="center"/>
    </xf>
    <xf numFmtId="6" fontId="12" fillId="8" borderId="28" xfId="0" applyNumberFormat="1" applyFont="1" applyFill="1" applyBorder="1" applyAlignment="1">
      <alignment horizontal="center"/>
    </xf>
    <xf numFmtId="6" fontId="12" fillId="8" borderId="29" xfId="0" applyNumberFormat="1" applyFont="1" applyFill="1" applyBorder="1" applyAlignment="1">
      <alignment horizontal="center"/>
    </xf>
    <xf numFmtId="0" fontId="11" fillId="8" borderId="51" xfId="0" applyFont="1" applyFill="1" applyBorder="1" applyAlignment="1">
      <alignment horizontal="center" vertical="center"/>
    </xf>
    <xf numFmtId="8" fontId="11" fillId="8" borderId="52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8" fontId="11" fillId="8" borderId="1" xfId="0" applyNumberFormat="1" applyFont="1" applyFill="1" applyBorder="1" applyAlignment="1">
      <alignment horizontal="center" vertical="center"/>
    </xf>
    <xf numFmtId="0" fontId="11" fillId="8" borderId="44" xfId="0" applyFont="1" applyFill="1" applyBorder="1"/>
    <xf numFmtId="8" fontId="11" fillId="8" borderId="45" xfId="0" applyNumberFormat="1" applyFont="1" applyFill="1" applyBorder="1"/>
    <xf numFmtId="0" fontId="11" fillId="8" borderId="30" xfId="0" applyFont="1" applyFill="1" applyBorder="1"/>
    <xf numFmtId="8" fontId="11" fillId="8" borderId="32" xfId="0" applyNumberFormat="1" applyFont="1" applyFill="1" applyBorder="1"/>
    <xf numFmtId="0" fontId="12" fillId="3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/>
    </xf>
    <xf numFmtId="10" fontId="11" fillId="13" borderId="1" xfId="5" applyNumberFormat="1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68" fontId="12" fillId="14" borderId="1" xfId="0" applyNumberFormat="1" applyFont="1" applyFill="1" applyBorder="1" applyAlignment="1" applyProtection="1">
      <alignment horizontal="center" vertical="center"/>
      <protection locked="0"/>
    </xf>
    <xf numFmtId="0" fontId="12" fillId="8" borderId="22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" xfId="0" applyNumberFormat="1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5" fillId="0" borderId="0" xfId="0" applyFont="1"/>
    <xf numFmtId="0" fontId="12" fillId="10" borderId="25" xfId="6" applyFont="1" applyFill="1" applyBorder="1" applyAlignment="1">
      <alignment horizontal="center" vertical="center" wrapText="1"/>
    </xf>
    <xf numFmtId="166" fontId="12" fillId="10" borderId="26" xfId="6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0" xfId="0" applyFont="1" applyFill="1" applyBorder="1" applyAlignment="1"/>
    <xf numFmtId="0" fontId="23" fillId="8" borderId="38" xfId="0" applyFont="1" applyFill="1" applyBorder="1" applyAlignment="1"/>
    <xf numFmtId="0" fontId="23" fillId="8" borderId="6" xfId="0" applyFont="1" applyFill="1" applyBorder="1" applyAlignment="1"/>
    <xf numFmtId="8" fontId="12" fillId="10" borderId="24" xfId="0" applyNumberFormat="1" applyFont="1" applyFill="1" applyBorder="1" applyAlignment="1">
      <alignment horizontal="center" vertical="center"/>
    </xf>
    <xf numFmtId="8" fontId="12" fillId="10" borderId="26" xfId="0" applyNumberFormat="1" applyFont="1" applyFill="1" applyBorder="1" applyAlignment="1">
      <alignment horizontal="center" vertical="center"/>
    </xf>
    <xf numFmtId="166" fontId="12" fillId="10" borderId="26" xfId="0" applyNumberFormat="1" applyFont="1" applyFill="1" applyBorder="1" applyAlignment="1">
      <alignment horizontal="center" vertical="center"/>
    </xf>
    <xf numFmtId="10" fontId="12" fillId="10" borderId="26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10" borderId="0" xfId="0" applyFont="1" applyFill="1"/>
    <xf numFmtId="10" fontId="12" fillId="7" borderId="25" xfId="5" applyNumberFormat="1" applyFont="1" applyFill="1" applyBorder="1" applyAlignment="1">
      <alignment horizontal="center" vertical="center"/>
    </xf>
    <xf numFmtId="8" fontId="12" fillId="7" borderId="26" xfId="0" applyNumberFormat="1" applyFont="1" applyFill="1" applyBorder="1" applyAlignment="1">
      <alignment horizontal="center" vertical="center"/>
    </xf>
    <xf numFmtId="10" fontId="11" fillId="10" borderId="25" xfId="5" applyNumberFormat="1" applyFont="1" applyFill="1" applyBorder="1" applyAlignment="1">
      <alignment horizontal="center" vertical="center"/>
    </xf>
    <xf numFmtId="8" fontId="11" fillId="10" borderId="26" xfId="0" applyNumberFormat="1" applyFont="1" applyFill="1" applyBorder="1" applyAlignment="1">
      <alignment horizontal="center" vertical="center"/>
    </xf>
    <xf numFmtId="10" fontId="11" fillId="18" borderId="25" xfId="5" applyNumberFormat="1" applyFont="1" applyFill="1" applyBorder="1" applyAlignment="1">
      <alignment horizontal="center" vertical="center"/>
    </xf>
    <xf numFmtId="8" fontId="11" fillId="18" borderId="26" xfId="0" applyNumberFormat="1" applyFont="1" applyFill="1" applyBorder="1" applyAlignment="1">
      <alignment horizontal="center" vertical="center"/>
    </xf>
    <xf numFmtId="10" fontId="11" fillId="10" borderId="1" xfId="5" applyNumberFormat="1" applyFont="1" applyFill="1" applyBorder="1" applyAlignment="1">
      <alignment horizontal="center" vertical="center"/>
    </xf>
    <xf numFmtId="8" fontId="11" fillId="10" borderId="1" xfId="0" applyNumberFormat="1" applyFont="1" applyFill="1" applyBorder="1" applyAlignment="1">
      <alignment horizontal="center" vertical="center"/>
    </xf>
    <xf numFmtId="10" fontId="11" fillId="18" borderId="1" xfId="5" applyNumberFormat="1" applyFont="1" applyFill="1" applyBorder="1" applyAlignment="1">
      <alignment horizontal="center" vertical="center"/>
    </xf>
    <xf numFmtId="8" fontId="11" fillId="18" borderId="1" xfId="0" applyNumberFormat="1" applyFont="1" applyFill="1" applyBorder="1" applyAlignment="1">
      <alignment horizontal="center" vertical="center"/>
    </xf>
    <xf numFmtId="10" fontId="11" fillId="13" borderId="22" xfId="5" applyNumberFormat="1" applyFont="1" applyFill="1" applyBorder="1" applyAlignment="1">
      <alignment horizontal="center" vertical="center"/>
    </xf>
    <xf numFmtId="10" fontId="12" fillId="10" borderId="25" xfId="5" applyNumberFormat="1" applyFont="1" applyFill="1" applyBorder="1" applyAlignment="1">
      <alignment horizontal="center" vertical="center"/>
    </xf>
    <xf numFmtId="8" fontId="12" fillId="10" borderId="1" xfId="0" applyNumberFormat="1" applyFont="1" applyFill="1" applyBorder="1" applyAlignment="1">
      <alignment horizontal="center" vertical="center"/>
    </xf>
    <xf numFmtId="8" fontId="12" fillId="7" borderId="1" xfId="0" applyNumberFormat="1" applyFont="1" applyFill="1" applyBorder="1" applyAlignment="1">
      <alignment horizontal="center" vertical="center"/>
    </xf>
    <xf numFmtId="168" fontId="12" fillId="16" borderId="1" xfId="0" applyNumberFormat="1" applyFont="1" applyFill="1" applyBorder="1" applyAlignment="1">
      <alignment horizontal="center" vertical="center"/>
    </xf>
    <xf numFmtId="168" fontId="12" fillId="16" borderId="26" xfId="0" applyNumberFormat="1" applyFont="1" applyFill="1" applyBorder="1" applyAlignment="1">
      <alignment horizontal="center" vertical="center"/>
    </xf>
    <xf numFmtId="168" fontId="12" fillId="16" borderId="1" xfId="0" applyNumberFormat="1" applyFont="1" applyFill="1" applyBorder="1" applyAlignment="1" applyProtection="1">
      <alignment horizontal="center" vertical="center"/>
      <protection locked="0"/>
    </xf>
    <xf numFmtId="0" fontId="12" fillId="18" borderId="27" xfId="0" applyFont="1" applyFill="1" applyBorder="1" applyAlignment="1">
      <alignment horizontal="center" vertical="center"/>
    </xf>
    <xf numFmtId="167" fontId="12" fillId="18" borderId="28" xfId="0" applyNumberFormat="1" applyFont="1" applyFill="1" applyBorder="1" applyAlignment="1">
      <alignment horizontal="center" vertical="center"/>
    </xf>
    <xf numFmtId="167" fontId="12" fillId="18" borderId="29" xfId="0" applyNumberFormat="1" applyFont="1" applyFill="1" applyBorder="1" applyAlignment="1">
      <alignment horizontal="center" vertical="center"/>
    </xf>
    <xf numFmtId="10" fontId="12" fillId="18" borderId="29" xfId="5" applyNumberFormat="1" applyFont="1" applyFill="1" applyBorder="1" applyAlignment="1">
      <alignment horizontal="center" vertical="center"/>
    </xf>
    <xf numFmtId="10" fontId="12" fillId="18" borderId="26" xfId="5" applyNumberFormat="1" applyFont="1" applyFill="1" applyBorder="1" applyAlignment="1">
      <alignment horizontal="center" vertical="center"/>
    </xf>
    <xf numFmtId="167" fontId="12" fillId="17" borderId="1" xfId="0" applyNumberFormat="1" applyFont="1" applyFill="1" applyBorder="1" applyAlignment="1">
      <alignment horizontal="center" vertical="center"/>
    </xf>
    <xf numFmtId="167" fontId="12" fillId="17" borderId="28" xfId="0" applyNumberFormat="1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vertical="center"/>
    </xf>
    <xf numFmtId="0" fontId="25" fillId="7" borderId="34" xfId="0" applyFont="1" applyFill="1" applyBorder="1" applyAlignment="1">
      <alignment vertical="center"/>
    </xf>
    <xf numFmtId="167" fontId="12" fillId="18" borderId="24" xfId="0" applyNumberFormat="1" applyFont="1" applyFill="1" applyBorder="1" applyAlignment="1">
      <alignment horizontal="center" vertical="center"/>
    </xf>
    <xf numFmtId="167" fontId="12" fillId="18" borderId="26" xfId="0" applyNumberFormat="1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167" fontId="12" fillId="7" borderId="28" xfId="0" applyNumberFormat="1" applyFont="1" applyFill="1" applyBorder="1" applyAlignment="1">
      <alignment horizontal="center" vertical="center"/>
    </xf>
    <xf numFmtId="167" fontId="12" fillId="7" borderId="29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27" xfId="0" applyFont="1" applyFill="1" applyBorder="1" applyAlignment="1">
      <alignment horizontal="left" vertical="center"/>
    </xf>
    <xf numFmtId="167" fontId="12" fillId="18" borderId="1" xfId="0" applyNumberFormat="1" applyFont="1" applyFill="1" applyBorder="1" applyAlignment="1">
      <alignment horizontal="center" vertical="center"/>
    </xf>
    <xf numFmtId="167" fontId="12" fillId="16" borderId="1" xfId="0" applyNumberFormat="1" applyFont="1" applyFill="1" applyBorder="1" applyAlignment="1">
      <alignment horizontal="center" vertical="center"/>
    </xf>
    <xf numFmtId="0" fontId="21" fillId="11" borderId="0" xfId="0" quotePrefix="1" applyNumberFormat="1" applyFont="1" applyFill="1" applyBorder="1" applyAlignment="1">
      <alignment horizontal="left"/>
    </xf>
    <xf numFmtId="0" fontId="21" fillId="11" borderId="0" xfId="0" applyNumberFormat="1" applyFont="1" applyFill="1" applyBorder="1" applyAlignment="1">
      <alignment horizontal="left"/>
    </xf>
    <xf numFmtId="0" fontId="21" fillId="11" borderId="0" xfId="0" applyNumberFormat="1" applyFont="1" applyFill="1" applyAlignment="1">
      <alignment horizontal="left"/>
    </xf>
    <xf numFmtId="0" fontId="22" fillId="11" borderId="0" xfId="0" applyNumberFormat="1" applyFont="1" applyFill="1" applyBorder="1" applyAlignment="1">
      <alignment horizontal="left" vertical="top"/>
    </xf>
    <xf numFmtId="8" fontId="21" fillId="0" borderId="18" xfId="0" applyNumberFormat="1" applyFont="1" applyBorder="1" applyAlignment="1">
      <alignment horizontal="center" vertical="top"/>
    </xf>
    <xf numFmtId="10" fontId="21" fillId="0" borderId="15" xfId="0" applyNumberFormat="1" applyFont="1" applyBorder="1" applyAlignment="1">
      <alignment horizontal="center" vertical="top"/>
    </xf>
    <xf numFmtId="0" fontId="30" fillId="0" borderId="18" xfId="7" applyNumberFormat="1" applyFont="1" applyFill="1" applyBorder="1" applyAlignment="1">
      <alignment horizontal="left" vertical="center" wrapText="1"/>
    </xf>
    <xf numFmtId="0" fontId="28" fillId="0" borderId="18" xfId="7" applyNumberFormat="1" applyFont="1" applyFill="1" applyBorder="1" applyAlignment="1">
      <alignment horizontal="left" vertical="center"/>
    </xf>
    <xf numFmtId="8" fontId="30" fillId="0" borderId="18" xfId="7" applyNumberFormat="1" applyFont="1" applyFill="1" applyBorder="1" applyAlignment="1">
      <alignment horizontal="left" vertical="center" wrapText="1"/>
    </xf>
    <xf numFmtId="0" fontId="30" fillId="0" borderId="15" xfId="7" applyNumberFormat="1" applyFont="1" applyFill="1" applyBorder="1" applyAlignment="1">
      <alignment horizontal="left" vertical="center" wrapText="1"/>
    </xf>
    <xf numFmtId="10" fontId="30" fillId="0" borderId="18" xfId="7" applyNumberFormat="1" applyFont="1" applyFill="1" applyBorder="1" applyAlignment="1">
      <alignment horizontal="left" vertical="center" wrapText="1"/>
    </xf>
    <xf numFmtId="43" fontId="29" fillId="11" borderId="20" xfId="7" applyFont="1" applyFill="1" applyBorder="1" applyAlignment="1">
      <alignment vertical="top"/>
    </xf>
    <xf numFmtId="9" fontId="29" fillId="11" borderId="20" xfId="7" applyNumberFormat="1" applyFont="1" applyFill="1" applyBorder="1" applyAlignment="1">
      <alignment vertical="top"/>
    </xf>
    <xf numFmtId="0" fontId="30" fillId="0" borderId="20" xfId="7" applyNumberFormat="1" applyFont="1" applyFill="1" applyBorder="1" applyAlignment="1">
      <alignment horizontal="left" vertical="center" wrapText="1"/>
    </xf>
    <xf numFmtId="0" fontId="28" fillId="0" borderId="20" xfId="7" applyNumberFormat="1" applyFont="1" applyFill="1" applyBorder="1" applyAlignment="1">
      <alignment horizontal="left" vertical="center"/>
    </xf>
    <xf numFmtId="8" fontId="30" fillId="0" borderId="20" xfId="7" applyNumberFormat="1" applyFont="1" applyFill="1" applyBorder="1" applyAlignment="1">
      <alignment horizontal="left" vertical="center" wrapText="1"/>
    </xf>
    <xf numFmtId="0" fontId="30" fillId="0" borderId="21" xfId="7" applyNumberFormat="1" applyFont="1" applyFill="1" applyBorder="1" applyAlignment="1">
      <alignment horizontal="left" vertical="center" wrapText="1"/>
    </xf>
    <xf numFmtId="0" fontId="30" fillId="0" borderId="14" xfId="7" applyNumberFormat="1" applyFont="1" applyFill="1" applyBorder="1" applyAlignment="1">
      <alignment horizontal="left" vertical="center" wrapText="1"/>
    </xf>
    <xf numFmtId="0" fontId="30" fillId="0" borderId="17" xfId="7" applyNumberFormat="1" applyFont="1" applyFill="1" applyBorder="1" applyAlignment="1">
      <alignment horizontal="left" vertical="center" wrapText="1"/>
    </xf>
    <xf numFmtId="43" fontId="29" fillId="11" borderId="17" xfId="7" applyFont="1" applyFill="1" applyBorder="1" applyAlignment="1">
      <alignment vertical="top"/>
    </xf>
    <xf numFmtId="43" fontId="29" fillId="11" borderId="20" xfId="7" applyFont="1" applyFill="1" applyBorder="1" applyAlignment="1">
      <alignment horizontal="left" vertical="center"/>
    </xf>
    <xf numFmtId="43" fontId="29" fillId="11" borderId="21" xfId="7" applyFont="1" applyFill="1" applyBorder="1" applyAlignment="1">
      <alignment vertical="top"/>
    </xf>
    <xf numFmtId="0" fontId="0" fillId="0" borderId="55" xfId="0" applyFill="1" applyBorder="1" applyAlignment="1"/>
    <xf numFmtId="0" fontId="16" fillId="0" borderId="3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Continuous"/>
    </xf>
    <xf numFmtId="0" fontId="17" fillId="13" borderId="3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10" fontId="12" fillId="13" borderId="22" xfId="5" applyNumberFormat="1" applyFont="1" applyFill="1" applyBorder="1" applyAlignment="1">
      <alignment horizontal="center" vertical="center"/>
    </xf>
    <xf numFmtId="10" fontId="12" fillId="0" borderId="27" xfId="5" applyNumberFormat="1" applyFont="1" applyBorder="1" applyAlignment="1">
      <alignment horizontal="center" vertical="center"/>
    </xf>
    <xf numFmtId="8" fontId="12" fillId="0" borderId="29" xfId="0" applyNumberFormat="1" applyFont="1" applyFill="1" applyBorder="1" applyAlignment="1">
      <alignment horizontal="center" vertical="center"/>
    </xf>
    <xf numFmtId="0" fontId="22" fillId="0" borderId="14" xfId="0" applyNumberFormat="1" applyFont="1" applyBorder="1" applyAlignment="1">
      <alignment horizontal="center" vertical="top"/>
    </xf>
    <xf numFmtId="8" fontId="21" fillId="0" borderId="12" xfId="0" applyNumberFormat="1" applyFont="1" applyBorder="1" applyAlignment="1">
      <alignment horizontal="center" vertical="top"/>
    </xf>
    <xf numFmtId="9" fontId="22" fillId="0" borderId="18" xfId="0" applyNumberFormat="1" applyFont="1" applyBorder="1" applyAlignment="1">
      <alignment horizontal="center" vertical="top"/>
    </xf>
    <xf numFmtId="8" fontId="21" fillId="0" borderId="13" xfId="0" applyNumberFormat="1" applyFont="1" applyBorder="1" applyAlignment="1">
      <alignment horizontal="center" vertical="top"/>
    </xf>
    <xf numFmtId="0" fontId="21" fillId="0" borderId="13" xfId="0" applyNumberFormat="1" applyFont="1" applyBorder="1" applyAlignment="1">
      <alignment horizontal="center" vertical="top"/>
    </xf>
    <xf numFmtId="9" fontId="21" fillId="0" borderId="13" xfId="0" applyNumberFormat="1" applyFont="1" applyBorder="1" applyAlignment="1">
      <alignment horizontal="center" vertical="top"/>
    </xf>
    <xf numFmtId="0" fontId="22" fillId="11" borderId="13" xfId="0" applyNumberFormat="1" applyFont="1" applyFill="1" applyBorder="1" applyAlignment="1">
      <alignment horizontal="center"/>
    </xf>
    <xf numFmtId="0" fontId="22" fillId="11" borderId="15" xfId="0" applyNumberFormat="1" applyFont="1" applyFill="1" applyBorder="1" applyAlignment="1">
      <alignment horizontal="center"/>
    </xf>
    <xf numFmtId="0" fontId="22" fillId="11" borderId="18" xfId="0" applyNumberFormat="1" applyFont="1" applyFill="1" applyBorder="1" applyAlignment="1">
      <alignment horizontal="center"/>
    </xf>
    <xf numFmtId="0" fontId="21" fillId="0" borderId="12" xfId="0" applyNumberFormat="1" applyFont="1" applyBorder="1" applyAlignment="1">
      <alignment horizontal="center" vertical="top"/>
    </xf>
    <xf numFmtId="0" fontId="21" fillId="0" borderId="21" xfId="0" applyNumberFormat="1" applyFont="1" applyBorder="1" applyAlignment="1">
      <alignment horizontal="center" vertical="top"/>
    </xf>
    <xf numFmtId="8" fontId="21" fillId="0" borderId="20" xfId="0" applyNumberFormat="1" applyFont="1" applyBorder="1" applyAlignment="1">
      <alignment horizontal="center" vertical="top"/>
    </xf>
    <xf numFmtId="0" fontId="21" fillId="0" borderId="15" xfId="0" applyNumberFormat="1" applyFont="1" applyBorder="1" applyAlignment="1">
      <alignment horizontal="center" vertical="top"/>
    </xf>
    <xf numFmtId="0" fontId="21" fillId="0" borderId="18" xfId="0" applyNumberFormat="1" applyFont="1" applyBorder="1" applyAlignment="1">
      <alignment horizontal="center" vertical="top"/>
    </xf>
    <xf numFmtId="10" fontId="21" fillId="0" borderId="12" xfId="0" applyNumberFormat="1" applyFont="1" applyBorder="1" applyAlignment="1">
      <alignment horizontal="center" vertical="top"/>
    </xf>
    <xf numFmtId="10" fontId="21" fillId="0" borderId="13" xfId="0" applyNumberFormat="1" applyFont="1" applyBorder="1" applyAlignment="1">
      <alignment horizontal="center" vertical="top"/>
    </xf>
    <xf numFmtId="10" fontId="21" fillId="0" borderId="20" xfId="0" applyNumberFormat="1" applyFont="1" applyBorder="1" applyAlignment="1">
      <alignment horizontal="center" vertical="top"/>
    </xf>
    <xf numFmtId="10" fontId="21" fillId="0" borderId="18" xfId="0" applyNumberFormat="1" applyFont="1" applyBorder="1" applyAlignment="1">
      <alignment horizontal="center" vertical="top"/>
    </xf>
    <xf numFmtId="0" fontId="17" fillId="18" borderId="6" xfId="0" applyFont="1" applyFill="1" applyBorder="1" applyAlignment="1">
      <alignment horizontal="center" vertical="center"/>
    </xf>
    <xf numFmtId="8" fontId="17" fillId="0" borderId="4" xfId="0" applyNumberFormat="1" applyFont="1" applyBorder="1" applyAlignment="1">
      <alignment horizontal="center" vertical="center"/>
    </xf>
    <xf numFmtId="10" fontId="17" fillId="0" borderId="1" xfId="5" applyNumberFormat="1" applyFont="1" applyBorder="1" applyAlignment="1">
      <alignment horizontal="center" vertical="center"/>
    </xf>
    <xf numFmtId="10" fontId="17" fillId="0" borderId="4" xfId="5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9" fontId="17" fillId="0" borderId="4" xfId="0" applyNumberFormat="1" applyFont="1" applyBorder="1" applyAlignment="1">
      <alignment horizontal="center" vertical="center"/>
    </xf>
    <xf numFmtId="0" fontId="17" fillId="18" borderId="9" xfId="0" applyFont="1" applyFill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10" fontId="17" fillId="0" borderId="8" xfId="0" applyNumberFormat="1" applyFont="1" applyBorder="1" applyAlignment="1">
      <alignment horizontal="center" vertical="center"/>
    </xf>
    <xf numFmtId="0" fontId="27" fillId="7" borderId="1" xfId="0" applyFont="1" applyFill="1" applyBorder="1" applyAlignment="1">
      <alignment vertical="center"/>
    </xf>
    <xf numFmtId="8" fontId="12" fillId="7" borderId="43" xfId="0" applyNumberFormat="1" applyFont="1" applyFill="1" applyBorder="1" applyAlignment="1">
      <alignment horizontal="center"/>
    </xf>
    <xf numFmtId="9" fontId="12" fillId="7" borderId="26" xfId="6" applyNumberFormat="1" applyFont="1" applyFill="1" applyBorder="1" applyAlignment="1">
      <alignment horizontal="center" vertical="center"/>
    </xf>
    <xf numFmtId="9" fontId="12" fillId="7" borderId="29" xfId="6" applyNumberFormat="1" applyFont="1" applyFill="1" applyBorder="1" applyAlignment="1">
      <alignment horizontal="center" vertical="center"/>
    </xf>
    <xf numFmtId="0" fontId="4" fillId="0" borderId="59" xfId="0" applyFont="1" applyBorder="1"/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27" fillId="13" borderId="6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horizontal="center"/>
    </xf>
    <xf numFmtId="0" fontId="5" fillId="13" borderId="34" xfId="0" applyFont="1" applyFill="1" applyBorder="1" applyAlignment="1">
      <alignment horizontal="center"/>
    </xf>
    <xf numFmtId="0" fontId="5" fillId="13" borderId="35" xfId="0" applyFont="1" applyFill="1" applyBorder="1" applyAlignment="1">
      <alignment horizontal="center"/>
    </xf>
    <xf numFmtId="8" fontId="5" fillId="8" borderId="36" xfId="1" applyNumberFormat="1" applyFont="1" applyFill="1" applyBorder="1" applyAlignment="1">
      <alignment horizontal="center" vertical="center"/>
    </xf>
    <xf numFmtId="8" fontId="5" fillId="8" borderId="37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3" borderId="25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26" xfId="2" applyFont="1" applyFill="1" applyBorder="1" applyAlignment="1">
      <alignment horizontal="center"/>
    </xf>
    <xf numFmtId="0" fontId="5" fillId="3" borderId="38" xfId="2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0" fontId="5" fillId="3" borderId="39" xfId="2" applyFont="1" applyFill="1" applyBorder="1" applyAlignment="1">
      <alignment horizontal="center"/>
    </xf>
    <xf numFmtId="8" fontId="5" fillId="8" borderId="28" xfId="1" applyNumberFormat="1" applyFont="1" applyFill="1" applyBorder="1" applyAlignment="1">
      <alignment horizontal="center" vertical="center"/>
    </xf>
    <xf numFmtId="8" fontId="5" fillId="8" borderId="29" xfId="1" applyNumberFormat="1" applyFont="1" applyFill="1" applyBorder="1" applyAlignment="1">
      <alignment horizontal="center" vertical="center"/>
    </xf>
    <xf numFmtId="8" fontId="4" fillId="0" borderId="0" xfId="1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23" fillId="15" borderId="7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3" fillId="13" borderId="33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3" fillId="3" borderId="41" xfId="0" applyFont="1" applyFill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0" fontId="31" fillId="13" borderId="1" xfId="5" applyNumberFormat="1" applyFont="1" applyFill="1" applyBorder="1" applyAlignment="1">
      <alignment horizontal="center" vertical="center"/>
    </xf>
    <xf numFmtId="10" fontId="25" fillId="13" borderId="26" xfId="5" applyNumberFormat="1" applyFont="1" applyFill="1" applyBorder="1" applyAlignment="1">
      <alignment horizontal="center" vertical="center"/>
    </xf>
    <xf numFmtId="10" fontId="25" fillId="13" borderId="29" xfId="5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/>
    </xf>
    <xf numFmtId="0" fontId="12" fillId="13" borderId="35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13" borderId="34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2" xfId="0" applyFont="1" applyFill="1" applyBorder="1" applyAlignment="1">
      <alignment horizontal="center"/>
    </xf>
    <xf numFmtId="0" fontId="12" fillId="13" borderId="24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vertical="center"/>
    </xf>
    <xf numFmtId="0" fontId="23" fillId="13" borderId="33" xfId="0" applyFont="1" applyFill="1" applyBorder="1" applyAlignment="1">
      <alignment horizontal="center" vertical="center" wrapText="1"/>
    </xf>
    <xf numFmtId="0" fontId="23" fillId="13" borderId="34" xfId="0" applyFont="1" applyFill="1" applyBorder="1" applyAlignment="1">
      <alignment horizontal="center" vertical="center" wrapText="1"/>
    </xf>
    <xf numFmtId="0" fontId="23" fillId="13" borderId="35" xfId="0" applyFont="1" applyFill="1" applyBorder="1" applyAlignment="1">
      <alignment horizontal="center" vertical="center" wrapText="1"/>
    </xf>
    <xf numFmtId="0" fontId="23" fillId="8" borderId="49" xfId="0" applyFont="1" applyFill="1" applyBorder="1" applyAlignment="1">
      <alignment horizontal="center"/>
    </xf>
    <xf numFmtId="0" fontId="23" fillId="8" borderId="50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8" borderId="49" xfId="0" applyFont="1" applyFill="1" applyBorder="1" applyAlignment="1">
      <alignment horizontal="center"/>
    </xf>
    <xf numFmtId="0" fontId="12" fillId="8" borderId="50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169" fontId="12" fillId="8" borderId="4" xfId="0" applyNumberFormat="1" applyFont="1" applyFill="1" applyBorder="1" applyAlignment="1">
      <alignment horizontal="center" vertical="center"/>
    </xf>
    <xf numFmtId="169" fontId="12" fillId="8" borderId="6" xfId="0" applyNumberFormat="1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/>
    </xf>
    <xf numFmtId="0" fontId="11" fillId="13" borderId="23" xfId="0" applyFont="1" applyFill="1" applyBorder="1" applyAlignment="1">
      <alignment horizontal="center"/>
    </xf>
    <xf numFmtId="0" fontId="11" fillId="13" borderId="24" xfId="0" applyFont="1" applyFill="1" applyBorder="1" applyAlignment="1">
      <alignment horizontal="center"/>
    </xf>
    <xf numFmtId="0" fontId="23" fillId="13" borderId="46" xfId="0" applyFont="1" applyFill="1" applyBorder="1" applyAlignment="1">
      <alignment horizontal="center" vertical="center" wrapText="1"/>
    </xf>
    <xf numFmtId="0" fontId="23" fillId="13" borderId="47" xfId="0" applyFont="1" applyFill="1" applyBorder="1" applyAlignment="1">
      <alignment horizontal="center" vertical="center" wrapText="1"/>
    </xf>
    <xf numFmtId="0" fontId="23" fillId="13" borderId="48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8" borderId="38" xfId="0" applyFont="1" applyFill="1" applyBorder="1" applyAlignment="1">
      <alignment horizontal="center"/>
    </xf>
    <xf numFmtId="0" fontId="23" fillId="8" borderId="6" xfId="0" applyFont="1" applyFill="1" applyBorder="1" applyAlignment="1">
      <alignment horizontal="center"/>
    </xf>
    <xf numFmtId="0" fontId="17" fillId="13" borderId="22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13" borderId="33" xfId="0" applyFont="1" applyFill="1" applyBorder="1" applyAlignment="1">
      <alignment horizontal="center" vertical="center"/>
    </xf>
    <xf numFmtId="0" fontId="17" fillId="13" borderId="35" xfId="0" applyFont="1" applyFill="1" applyBorder="1" applyAlignment="1">
      <alignment horizontal="center" vertical="center"/>
    </xf>
    <xf numFmtId="0" fontId="17" fillId="13" borderId="38" xfId="0" applyFont="1" applyFill="1" applyBorder="1" applyAlignment="1">
      <alignment horizontal="center" vertical="center"/>
    </xf>
    <xf numFmtId="0" fontId="17" fillId="13" borderId="39" xfId="0" applyFont="1" applyFill="1" applyBorder="1" applyAlignment="1">
      <alignment horizontal="center" vertical="center"/>
    </xf>
    <xf numFmtId="169" fontId="17" fillId="8" borderId="49" xfId="0" applyNumberFormat="1" applyFont="1" applyFill="1" applyBorder="1" applyAlignment="1">
      <alignment horizontal="center" vertical="center"/>
    </xf>
    <xf numFmtId="169" fontId="17" fillId="8" borderId="37" xfId="0" applyNumberFormat="1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11" fillId="13" borderId="57" xfId="0" applyFont="1" applyFill="1" applyBorder="1" applyAlignment="1">
      <alignment horizontal="center" vertical="center"/>
    </xf>
    <xf numFmtId="0" fontId="11" fillId="13" borderId="56" xfId="0" applyFont="1" applyFill="1" applyBorder="1" applyAlignment="1">
      <alignment horizontal="center" vertical="center"/>
    </xf>
    <xf numFmtId="0" fontId="11" fillId="13" borderId="58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13" borderId="33" xfId="0" applyFont="1" applyFill="1" applyBorder="1" applyAlignment="1">
      <alignment horizontal="center" vertical="center"/>
    </xf>
    <xf numFmtId="0" fontId="12" fillId="13" borderId="3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38" xfId="0" applyFont="1" applyFill="1" applyBorder="1" applyAlignment="1">
      <alignment horizontal="center" vertical="center"/>
    </xf>
    <xf numFmtId="0" fontId="12" fillId="13" borderId="39" xfId="0" applyFont="1" applyFill="1" applyBorder="1" applyAlignment="1">
      <alignment horizontal="center" vertical="center"/>
    </xf>
    <xf numFmtId="169" fontId="12" fillId="8" borderId="49" xfId="0" applyNumberFormat="1" applyFont="1" applyFill="1" applyBorder="1" applyAlignment="1">
      <alignment horizontal="center" vertical="center"/>
    </xf>
    <xf numFmtId="169" fontId="12" fillId="8" borderId="37" xfId="0" applyNumberFormat="1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34" xfId="0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/>
    </xf>
    <xf numFmtId="0" fontId="12" fillId="13" borderId="57" xfId="0" applyFont="1" applyFill="1" applyBorder="1" applyAlignment="1">
      <alignment horizontal="center" vertical="center"/>
    </xf>
    <xf numFmtId="0" fontId="12" fillId="13" borderId="56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4" fillId="12" borderId="19" xfId="0" quotePrefix="1" applyNumberFormat="1" applyFont="1" applyFill="1" applyBorder="1" applyAlignment="1">
      <alignment horizontal="left"/>
    </xf>
    <xf numFmtId="0" fontId="24" fillId="12" borderId="19" xfId="0" applyFont="1" applyFill="1" applyBorder="1" applyAlignment="1">
      <alignment horizontal="left"/>
    </xf>
    <xf numFmtId="0" fontId="24" fillId="12" borderId="0" xfId="0" quotePrefix="1" applyNumberFormat="1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21" fillId="0" borderId="15" xfId="0" applyNumberFormat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22" fontId="21" fillId="0" borderId="15" xfId="0" applyNumberFormat="1" applyFont="1" applyBorder="1" applyAlignment="1">
      <alignment horizontal="left" vertical="top"/>
    </xf>
    <xf numFmtId="170" fontId="21" fillId="0" borderId="15" xfId="0" applyNumberFormat="1" applyFont="1" applyBorder="1" applyAlignment="1">
      <alignment horizontal="left" vertical="top"/>
    </xf>
    <xf numFmtId="0" fontId="24" fillId="12" borderId="0" xfId="0" quotePrefix="1" applyNumberFormat="1" applyFont="1" applyFill="1" applyBorder="1" applyAlignment="1">
      <alignment horizontal="left"/>
    </xf>
    <xf numFmtId="0" fontId="24" fillId="12" borderId="0" xfId="0" applyFont="1" applyFill="1" applyBorder="1" applyAlignment="1">
      <alignment horizontal="left"/>
    </xf>
    <xf numFmtId="8" fontId="7" fillId="0" borderId="0" xfId="0" applyNumberFormat="1" applyFont="1"/>
    <xf numFmtId="8" fontId="12" fillId="0" borderId="0" xfId="0" applyNumberFormat="1" applyFont="1"/>
    <xf numFmtId="6" fontId="12" fillId="0" borderId="0" xfId="0" applyNumberFormat="1" applyFont="1"/>
  </cellXfs>
  <cellStyles count="8">
    <cellStyle name="Comma" xfId="7" builtinId="3"/>
    <cellStyle name="Currency" xfId="1" builtinId="4"/>
    <cellStyle name="Currency 2" xfId="3"/>
    <cellStyle name="Good" xfId="6" builtinId="26"/>
    <cellStyle name="Normal" xfId="0" builtinId="0"/>
    <cellStyle name="Normal 2" xfId="2"/>
    <cellStyle name="Percent" xfId="5" builtinId="5"/>
    <cellStyle name="Percent 2" xfId="4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1 CF'!$A$9:$A$19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1 CF'!$K$9:$K$19</c:f>
              <c:numCache>
                <c:formatCode>"$"#,##0.00_);[Red]\("$"#,##0.00\)</c:formatCode>
                <c:ptCount val="11"/>
                <c:pt idx="0">
                  <c:v>-26232000</c:v>
                </c:pt>
                <c:pt idx="1">
                  <c:v>-14710238.008750066</c:v>
                </c:pt>
                <c:pt idx="2">
                  <c:v>-3159347.0087500662</c:v>
                </c:pt>
                <c:pt idx="3">
                  <c:v>-2224190.3307500668</c:v>
                </c:pt>
                <c:pt idx="4">
                  <c:v>-1234794.5654260665</c:v>
                </c:pt>
                <c:pt idx="5">
                  <c:v>-188013.84571327269</c:v>
                </c:pt>
                <c:pt idx="6">
                  <c:v>919480.15574286133</c:v>
                </c:pt>
                <c:pt idx="7">
                  <c:v>2091208.809283454</c:v>
                </c:pt>
                <c:pt idx="8">
                  <c:v>3330897.7247294001</c:v>
                </c:pt>
                <c:pt idx="9">
                  <c:v>4642488.5972712114</c:v>
                </c:pt>
                <c:pt idx="10">
                  <c:v>6730151.7404204458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4-415E-94D0-0335D41433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9529608"/>
        <c:axId val="402922624"/>
      </c:barChart>
      <c:catAx>
        <c:axId val="13952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22624"/>
        <c:crosses val="autoZero"/>
        <c:auto val="1"/>
        <c:lblAlgn val="ctr"/>
        <c:lblOffset val="100"/>
        <c:noMultiLvlLbl val="0"/>
      </c:catAx>
      <c:valAx>
        <c:axId val="402922624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'ALTERNATIVE 2 (ATCF)'!$J$11</c:f>
              <c:strCache>
                <c:ptCount val="1"/>
                <c:pt idx="0">
                  <c:v>ATCF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2 (ATCF)'!$A$12:$A$22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2 (ATCF)'!$J$12:$J$22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-5509662.5893259645</c:v>
                </c:pt>
                <c:pt idx="2">
                  <c:v>701541.40724208718</c:v>
                </c:pt>
                <c:pt idx="3">
                  <c:v>1569926.7562991835</c:v>
                </c:pt>
                <c:pt idx="4">
                  <c:v>2488799.4992655925</c:v>
                </c:pt>
                <c:pt idx="5">
                  <c:v>3501276.7689709635</c:v>
                </c:pt>
                <c:pt idx="6">
                  <c:v>4489845.9164626431</c:v>
                </c:pt>
                <c:pt idx="7">
                  <c:v>5578374.2894070428</c:v>
                </c:pt>
                <c:pt idx="8">
                  <c:v>6730119.586309785</c:v>
                </c:pt>
                <c:pt idx="9">
                  <c:v>7948740.819154324</c:v>
                </c:pt>
                <c:pt idx="10">
                  <c:v>9908109.919022901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136-8A9A-429DAE6E9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356184"/>
        <c:axId val="406356576"/>
      </c:barChart>
      <c:catAx>
        <c:axId val="40635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6576"/>
        <c:crosses val="autoZero"/>
        <c:auto val="1"/>
        <c:lblAlgn val="ctr"/>
        <c:lblOffset val="100"/>
        <c:noMultiLvlLbl val="0"/>
      </c:catAx>
      <c:valAx>
        <c:axId val="406356576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ATCF Values Logarithmic Regression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'ALTERNATIVE 2 (ATCF)'!$F$41</c:f>
              <c:strCache>
                <c:ptCount val="1"/>
                <c:pt idx="0">
                  <c:v>ATCF 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427863878573228"/>
                  <c:y val="-5.67626929434566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8E+06ln(x) - 9E+06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0.9732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'ALTERNATIVE 2 (ATCF)'!$E$42:$E$52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2 (ATCF)'!$F$42:$F$52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-5509662.5893259645</c:v>
                </c:pt>
                <c:pt idx="2">
                  <c:v>701541.40724208718</c:v>
                </c:pt>
                <c:pt idx="3">
                  <c:v>1569926.7562991835</c:v>
                </c:pt>
                <c:pt idx="4">
                  <c:v>2488799.4992655925</c:v>
                </c:pt>
                <c:pt idx="5">
                  <c:v>3501276.7689709635</c:v>
                </c:pt>
                <c:pt idx="6">
                  <c:v>4489845.9164626431</c:v>
                </c:pt>
                <c:pt idx="7">
                  <c:v>5578374.2894070428</c:v>
                </c:pt>
                <c:pt idx="8">
                  <c:v>6730119.586309785</c:v>
                </c:pt>
                <c:pt idx="9">
                  <c:v>7948740.819154324</c:v>
                </c:pt>
                <c:pt idx="10">
                  <c:v>9908109.919022901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8-4FE4-9876-FB532E7F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84152"/>
        <c:axId val="709482184"/>
      </c:lineChart>
      <c:catAx>
        <c:axId val="709484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2184"/>
        <c:crosses val="autoZero"/>
        <c:auto val="1"/>
        <c:lblAlgn val="ctr"/>
        <c:lblOffset val="100"/>
        <c:noMultiLvlLbl val="0"/>
      </c:catAx>
      <c:valAx>
        <c:axId val="709482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ATCF</a:t>
            </a:r>
            <a:r>
              <a:rPr lang="en-US" baseline="0"/>
              <a:t> Values -Linear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705561973923166E-2"/>
                  <c:y val="-5.12067754414488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2E+06x - 5E+06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0.8896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'ALTERNATIVE 2 (ATCF)'!$E$42:$E$52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'ALTERNATIVE 2 (ATCF)'!$F$42:$F$52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-5509662.5893259645</c:v>
                </c:pt>
                <c:pt idx="2">
                  <c:v>701541.40724208718</c:v>
                </c:pt>
                <c:pt idx="3">
                  <c:v>1569926.7562991835</c:v>
                </c:pt>
                <c:pt idx="4">
                  <c:v>2488799.4992655925</c:v>
                </c:pt>
                <c:pt idx="5">
                  <c:v>3501276.7689709635</c:v>
                </c:pt>
                <c:pt idx="6">
                  <c:v>4489845.9164626431</c:v>
                </c:pt>
                <c:pt idx="7">
                  <c:v>5578374.2894070428</c:v>
                </c:pt>
                <c:pt idx="8">
                  <c:v>6730119.586309785</c:v>
                </c:pt>
                <c:pt idx="9">
                  <c:v>7948740.819154324</c:v>
                </c:pt>
                <c:pt idx="10">
                  <c:v>9908109.919022901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A-984A-8228-A6D8149B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57759"/>
        <c:axId val="1432256431"/>
      </c:scatterChart>
      <c:valAx>
        <c:axId val="14575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56431"/>
        <c:crosses val="autoZero"/>
        <c:crossBetween val="midCat"/>
      </c:valAx>
      <c:valAx>
        <c:axId val="14322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5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 Worth V/S MARR</a:t>
            </a:r>
          </a:p>
        </c:rich>
      </c:tx>
      <c:layout>
        <c:manualLayout>
          <c:xMode val="edge"/>
          <c:yMode val="edge"/>
          <c:x val="0.33029737191098346"/>
          <c:y val="3.4828929621977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23902795730798"/>
          <c:y val="0.13506658907402766"/>
          <c:w val="0.77930539816321098"/>
          <c:h val="0.71597611229066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'MARR vs PW (ALT 2) '!$B$1</c:f>
              <c:strCache>
                <c:ptCount val="1"/>
                <c:pt idx="0">
                  <c:v>PW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'MARR vs PW (ALT 2) '!$A$2:$A$22</c:f>
              <c:numCache>
                <c:formatCode>0.00%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'MARR vs PW (ALT 2) '!$B$2:$B$22</c:f>
              <c:numCache>
                <c:formatCode>"$"#,##0.00_);[Red]\("$"#,##0.00\)</c:formatCode>
                <c:ptCount val="21"/>
                <c:pt idx="0">
                  <c:v>28225872.372808561</c:v>
                </c:pt>
                <c:pt idx="1">
                  <c:v>25183568.177109703</c:v>
                </c:pt>
                <c:pt idx="2">
                  <c:v>22407836.363417782</c:v>
                </c:pt>
                <c:pt idx="3">
                  <c:v>19872421.539871097</c:v>
                </c:pt>
                <c:pt idx="4">
                  <c:v>17553924.47771652</c:v>
                </c:pt>
                <c:pt idx="5">
                  <c:v>15431463.923565552</c:v>
                </c:pt>
                <c:pt idx="6">
                  <c:v>13486381.53261077</c:v>
                </c:pt>
                <c:pt idx="7">
                  <c:v>11701984.049770512</c:v>
                </c:pt>
                <c:pt idx="8">
                  <c:v>10063317.71476147</c:v>
                </c:pt>
                <c:pt idx="9">
                  <c:v>8556970.5865204223</c:v>
                </c:pt>
                <c:pt idx="10">
                  <c:v>7170899.0930121709</c:v>
                </c:pt>
                <c:pt idx="11">
                  <c:v>5894275.6315760873</c:v>
                </c:pt>
                <c:pt idx="12">
                  <c:v>4717354.4870000873</c:v>
                </c:pt>
                <c:pt idx="13">
                  <c:v>3631353.7115084175</c:v>
                </c:pt>
                <c:pt idx="14">
                  <c:v>2628350.9328755494</c:v>
                </c:pt>
                <c:pt idx="15">
                  <c:v>1701191.3323702477</c:v>
                </c:pt>
                <c:pt idx="16">
                  <c:v>843406.27026450075</c:v>
                </c:pt>
                <c:pt idx="17">
                  <c:v>49141.23916769214</c:v>
                </c:pt>
                <c:pt idx="18">
                  <c:v>-686908.00053290278</c:v>
                </c:pt>
                <c:pt idx="19">
                  <c:v>-1369552.099096939</c:v>
                </c:pt>
                <c:pt idx="20">
                  <c:v>-2003158.4766585007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2-4E93-9608-C8D439D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44896"/>
        <c:axId val="407745288"/>
      </c:scatterChart>
      <c:valAx>
        <c:axId val="4077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MARR Values</a:t>
                </a:r>
              </a:p>
            </c:rich>
          </c:tx>
          <c:layout>
            <c:manualLayout>
              <c:xMode val="edge"/>
              <c:yMode val="edge"/>
              <c:x val="0.44047884868266979"/>
              <c:y val="0.91411323076990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5288"/>
        <c:crosses val="autoZero"/>
        <c:crossBetween val="midCat"/>
      </c:valAx>
      <c:valAx>
        <c:axId val="4077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 Worth Values</a:t>
                </a:r>
              </a:p>
            </c:rich>
          </c:tx>
          <c:layout>
            <c:manualLayout>
              <c:xMode val="edge"/>
              <c:yMode val="edge"/>
              <c:x val="2.9884838905197105E-2"/>
              <c:y val="0.28791211262414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3 CF'!$A$9:$A$19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3 CF'!$K$9:$K$19</c:f>
              <c:numCache>
                <c:formatCode>"$"#,##0.00_);[Red]\("$"#,##0.00\)</c:formatCode>
                <c:ptCount val="11"/>
                <c:pt idx="0">
                  <c:v>-26232000</c:v>
                </c:pt>
                <c:pt idx="1">
                  <c:v>-7219898.0087500662</c:v>
                </c:pt>
                <c:pt idx="2">
                  <c:v>1698705.991249932</c:v>
                </c:pt>
                <c:pt idx="3">
                  <c:v>2517179.0232499335</c:v>
                </c:pt>
                <c:pt idx="4">
                  <c:v>3383123.4911059346</c:v>
                </c:pt>
                <c:pt idx="5">
                  <c:v>4299292.7380975839</c:v>
                </c:pt>
                <c:pt idx="6">
                  <c:v>5268599.8014147487</c:v>
                </c:pt>
                <c:pt idx="7">
                  <c:v>6294126.6744043101</c:v>
                </c:pt>
                <c:pt idx="8">
                  <c:v>7379134.106027266</c:v>
                </c:pt>
                <c:pt idx="9">
                  <c:v>8527071.9686843511</c:v>
                </c:pt>
                <c:pt idx="10">
                  <c:v>10441590.22737555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6-49EC-990B-64C2FAF379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697720"/>
        <c:axId val="406697328"/>
      </c:barChart>
      <c:catAx>
        <c:axId val="40669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7328"/>
        <c:crosses val="autoZero"/>
        <c:auto val="1"/>
        <c:lblAlgn val="ctr"/>
        <c:lblOffset val="100"/>
        <c:noMultiLvlLbl val="0"/>
      </c:catAx>
      <c:valAx>
        <c:axId val="406697328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Cash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3 CF'!$A$25:$A$35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3 CF'!$K$25:$K$35</c:f>
              <c:numCache>
                <c:formatCode>"$"#,##0.00_);[Red]\("$"#,##0.00\)</c:formatCode>
                <c:ptCount val="11"/>
                <c:pt idx="0">
                  <c:v>-26232000</c:v>
                </c:pt>
                <c:pt idx="1">
                  <c:v>-5914088.5485602543</c:v>
                </c:pt>
                <c:pt idx="2">
                  <c:v>3004515.451439742</c:v>
                </c:pt>
                <c:pt idx="3">
                  <c:v>3822988.4834397435</c:v>
                </c:pt>
                <c:pt idx="4">
                  <c:v>4688932.9512957446</c:v>
                </c:pt>
                <c:pt idx="5">
                  <c:v>5605102.1982873939</c:v>
                </c:pt>
                <c:pt idx="6">
                  <c:v>6574409.2616045587</c:v>
                </c:pt>
                <c:pt idx="7">
                  <c:v>7599936.1345941201</c:v>
                </c:pt>
                <c:pt idx="8">
                  <c:v>8684943.566217076</c:v>
                </c:pt>
                <c:pt idx="9">
                  <c:v>9832881.4288741611</c:v>
                </c:pt>
                <c:pt idx="10">
                  <c:v>-5303400.3124346361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0-4111-A90C-0E080470EF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696544"/>
        <c:axId val="406701248"/>
      </c:barChart>
      <c:catAx>
        <c:axId val="4066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1248"/>
        <c:crosses val="autoZero"/>
        <c:auto val="1"/>
        <c:lblAlgn val="ctr"/>
        <c:lblOffset val="100"/>
        <c:noMultiLvlLbl val="0"/>
      </c:catAx>
      <c:valAx>
        <c:axId val="406701248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'ALTERNATIVE 3 (ATCF)'!$J$11</c:f>
              <c:strCache>
                <c:ptCount val="1"/>
                <c:pt idx="0">
                  <c:v>ATCF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3 (ATCF)'!$A$12:$A$22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3 (ATCF)'!$J$12:$J$22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-4791822.5893259645</c:v>
                </c:pt>
                <c:pt idx="2">
                  <c:v>1523085.1812420872</c:v>
                </c:pt>
                <c:pt idx="3">
                  <c:v>2287479.1387851834</c:v>
                </c:pt>
                <c:pt idx="4">
                  <c:v>3096225.7031684844</c:v>
                </c:pt>
                <c:pt idx="5">
                  <c:v>3951896.4199662851</c:v>
                </c:pt>
                <c:pt idx="6">
                  <c:v>4857212.0305829328</c:v>
                </c:pt>
                <c:pt idx="7">
                  <c:v>5815051.1232554475</c:v>
                </c:pt>
                <c:pt idx="8">
                  <c:v>6828459.2859344231</c:v>
                </c:pt>
                <c:pt idx="9">
                  <c:v>7900658.7901460323</c:v>
                </c:pt>
                <c:pt idx="10">
                  <c:v>9074358.8366262056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41D5-BAFA-FBB1F0A6E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349520"/>
        <c:axId val="406349912"/>
      </c:barChart>
      <c:catAx>
        <c:axId val="406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9912"/>
        <c:crosses val="autoZero"/>
        <c:auto val="1"/>
        <c:lblAlgn val="ctr"/>
        <c:lblOffset val="100"/>
        <c:noMultiLvlLbl val="0"/>
      </c:catAx>
      <c:valAx>
        <c:axId val="406349912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Logarithmic Regrtession - ATCF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'ALTERNATIVE 3 (ATCF)'!$D$35</c:f>
              <c:strCache>
                <c:ptCount val="1"/>
                <c:pt idx="0">
                  <c:v>ATCF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933308410919702"/>
                  <c:y val="-3.11406864824863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7E+06ln(x) - 9E+06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0.9715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'ALTERNATIVE 3 (ATCF)'!$C$36:$C$46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3 (ATCF)'!$D$36:$D$46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-4791822.5893259645</c:v>
                </c:pt>
                <c:pt idx="2">
                  <c:v>1523085.1812420872</c:v>
                </c:pt>
                <c:pt idx="3">
                  <c:v>2287479.1387851834</c:v>
                </c:pt>
                <c:pt idx="4">
                  <c:v>3096225.7031684844</c:v>
                </c:pt>
                <c:pt idx="5">
                  <c:v>3951896.4199662851</c:v>
                </c:pt>
                <c:pt idx="6">
                  <c:v>4857212.0305829328</c:v>
                </c:pt>
                <c:pt idx="7">
                  <c:v>5815051.1232554475</c:v>
                </c:pt>
                <c:pt idx="8">
                  <c:v>6828459.2859344231</c:v>
                </c:pt>
                <c:pt idx="9">
                  <c:v>7900658.7901460323</c:v>
                </c:pt>
                <c:pt idx="10">
                  <c:v>9074358.8366262056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A-4CD4-A50E-CA2E3852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01208"/>
        <c:axId val="709501864"/>
      </c:lineChart>
      <c:catAx>
        <c:axId val="7095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1864"/>
        <c:crosses val="autoZero"/>
        <c:auto val="1"/>
        <c:lblAlgn val="ctr"/>
        <c:lblOffset val="100"/>
        <c:noMultiLvlLbl val="0"/>
      </c:catAx>
      <c:valAx>
        <c:axId val="7095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ATCF</a:t>
            </a:r>
            <a:r>
              <a:rPr lang="en-US" sz="1600" baseline="0"/>
              <a:t> </a:t>
            </a:r>
            <a:r>
              <a:rPr lang="en-US" sz="1800" baseline="0"/>
              <a:t>Values</a:t>
            </a:r>
            <a:r>
              <a:rPr lang="en-US" sz="1600" baseline="0"/>
              <a:t> Linear Regression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991339427792569E-2"/>
                  <c:y val="-5.02911598001947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2E+06x - 5E+06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0.8446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'ALTERNATIVE 3 (ATCF)'!$C$36:$C$46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'ALTERNATIVE 3 (ATCF)'!$D$36:$D$46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-4791822.5893259645</c:v>
                </c:pt>
                <c:pt idx="2">
                  <c:v>1523085.1812420872</c:v>
                </c:pt>
                <c:pt idx="3">
                  <c:v>2287479.1387851834</c:v>
                </c:pt>
                <c:pt idx="4">
                  <c:v>3096225.7031684844</c:v>
                </c:pt>
                <c:pt idx="5">
                  <c:v>3951896.4199662851</c:v>
                </c:pt>
                <c:pt idx="6">
                  <c:v>4857212.0305829328</c:v>
                </c:pt>
                <c:pt idx="7">
                  <c:v>5815051.1232554475</c:v>
                </c:pt>
                <c:pt idx="8">
                  <c:v>6828459.2859344231</c:v>
                </c:pt>
                <c:pt idx="9">
                  <c:v>7900658.7901460323</c:v>
                </c:pt>
                <c:pt idx="10">
                  <c:v>9074358.8366262056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3-964C-8B52-668BF271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21055"/>
        <c:axId val="1540723919"/>
      </c:scatterChart>
      <c:valAx>
        <c:axId val="15407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23919"/>
        <c:crosses val="autoZero"/>
        <c:crossBetween val="midCat"/>
      </c:valAx>
      <c:valAx>
        <c:axId val="15407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 Worth V/S MARR</a:t>
            </a:r>
          </a:p>
        </c:rich>
      </c:tx>
      <c:layout>
        <c:manualLayout>
          <c:xMode val="edge"/>
          <c:yMode val="edge"/>
          <c:x val="0.33029737191098346"/>
          <c:y val="3.4828929621977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23902795730798"/>
          <c:y val="0.13506658907402766"/>
          <c:w val="0.77930539816321098"/>
          <c:h val="0.71597611229066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'MARR vs PW (ALT 3)'!$B$1</c:f>
              <c:strCache>
                <c:ptCount val="1"/>
                <c:pt idx="0">
                  <c:v>PW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'MARR vs PW (ALT 3)'!$A$2:$A$22</c:f>
              <c:numCache>
                <c:formatCode>0.00%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'MARR vs PW (ALT 3)'!$B$2:$B$22</c:f>
              <c:numCache>
                <c:formatCode>"$"#,##0.00_);[Red]\("$"#,##0.00\)</c:formatCode>
                <c:ptCount val="21"/>
                <c:pt idx="0">
                  <c:v>31361403.920381114</c:v>
                </c:pt>
                <c:pt idx="1">
                  <c:v>28267476.042126954</c:v>
                </c:pt>
                <c:pt idx="2">
                  <c:v>25438701.790737204</c:v>
                </c:pt>
                <c:pt idx="3">
                  <c:v>22849291.791355781</c:v>
                </c:pt>
                <c:pt idx="4">
                  <c:v>20476238.494234353</c:v>
                </c:pt>
                <c:pt idx="5">
                  <c:v>18298988.836035348</c:v>
                </c:pt>
                <c:pt idx="6">
                  <c:v>16299158.436651409</c:v>
                </c:pt>
                <c:pt idx="7">
                  <c:v>14460281.696607374</c:v>
                </c:pt>
                <c:pt idx="8">
                  <c:v>12767592.972069923</c:v>
                </c:pt>
                <c:pt idx="9">
                  <c:v>11207834.692840792</c:v>
                </c:pt>
                <c:pt idx="10">
                  <c:v>9769088.8732450269</c:v>
                </c:pt>
                <c:pt idx="11">
                  <c:v>8440628.9630187266</c:v>
                </c:pt>
                <c:pt idx="12">
                  <c:v>7212789.4088828787</c:v>
                </c:pt>
                <c:pt idx="13">
                  <c:v>6076850.6589312423</c:v>
                </c:pt>
                <c:pt idx="14">
                  <c:v>5024937.6508554742</c:v>
                </c:pt>
                <c:pt idx="15">
                  <c:v>4049930.0894236881</c:v>
                </c:pt>
                <c:pt idx="16">
                  <c:v>3145383.0452667344</c:v>
                </c:pt>
                <c:pt idx="17">
                  <c:v>2305456.60159293</c:v>
                </c:pt>
                <c:pt idx="18">
                  <c:v>1524853.4427201878</c:v>
                </c:pt>
                <c:pt idx="19">
                  <c:v>798763.42232582904</c:v>
                </c:pt>
                <c:pt idx="20">
                  <c:v>122814.27347113192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B-4DEF-B2CA-F924A10E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52656"/>
        <c:axId val="406353048"/>
      </c:scatterChart>
      <c:valAx>
        <c:axId val="4063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MARR Values</a:t>
                </a:r>
              </a:p>
            </c:rich>
          </c:tx>
          <c:layout>
            <c:manualLayout>
              <c:xMode val="edge"/>
              <c:yMode val="edge"/>
              <c:x val="0.44047884868266979"/>
              <c:y val="0.91411323076990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3048"/>
        <c:crosses val="autoZero"/>
        <c:crossBetween val="midCat"/>
      </c:valAx>
      <c:valAx>
        <c:axId val="4063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 Worth Values</a:t>
                </a:r>
              </a:p>
            </c:rich>
          </c:tx>
          <c:layout>
            <c:manualLayout>
              <c:xMode val="edge"/>
              <c:yMode val="edge"/>
              <c:x val="2.9884838905197105E-2"/>
              <c:y val="0.28791211262414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1 CF'!$A$38:$A$48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1 CF'!$K$38:$K$48</c:f>
              <c:numCache>
                <c:formatCode>"$"#,##0.00_);[Red]\("$"#,##0.00\)</c:formatCode>
                <c:ptCount val="11"/>
                <c:pt idx="0">
                  <c:v>-26232000</c:v>
                </c:pt>
                <c:pt idx="1">
                  <c:v>-12243766.399999999</c:v>
                </c:pt>
                <c:pt idx="2">
                  <c:v>-1853537.5485602543</c:v>
                </c:pt>
                <c:pt idx="3">
                  <c:v>-918380.8705602549</c:v>
                </c:pt>
                <c:pt idx="4">
                  <c:v>71014.894763745368</c:v>
                </c:pt>
                <c:pt idx="5">
                  <c:v>1117795.6144765392</c:v>
                </c:pt>
                <c:pt idx="6">
                  <c:v>2225289.6159326732</c:v>
                </c:pt>
                <c:pt idx="7">
                  <c:v>3397018.2694732659</c:v>
                </c:pt>
                <c:pt idx="8">
                  <c:v>4636707.184919212</c:v>
                </c:pt>
                <c:pt idx="9">
                  <c:v>5948298.0574610233</c:v>
                </c:pt>
                <c:pt idx="10">
                  <c:v>-9014838.7993897423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4E2-88B1-B2CFDC9542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4842120"/>
        <c:axId val="404842512"/>
      </c:barChart>
      <c:catAx>
        <c:axId val="4048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512"/>
        <c:crosses val="autoZero"/>
        <c:auto val="1"/>
        <c:lblAlgn val="ctr"/>
        <c:lblOffset val="100"/>
        <c:noMultiLvlLbl val="0"/>
      </c:catAx>
      <c:valAx>
        <c:axId val="404842512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Present Worth Comparison of all Alternatives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5999324250904"/>
          <c:y val="0.23430086454250512"/>
          <c:w val="0.84248461751163894"/>
          <c:h val="0.4887659037509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'PW ANALYSIS'!$B$1</c:f>
              <c:strCache>
                <c:ptCount val="1"/>
                <c:pt idx="0">
                  <c:v>Alternative 1 PW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'PW ANALYSIS'!$A$2:$A$22</c:f>
              <c:numCache>
                <c:formatCode>0.00%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'PW ANALYSIS'!$B$2:$B$22</c:f>
              <c:numCache>
                <c:formatCode>"$"#,##0.00_);[Red]\("$"#,##0.00\)</c:formatCode>
                <c:ptCount val="21"/>
                <c:pt idx="0">
                  <c:v>-8877947.1314630285</c:v>
                </c:pt>
                <c:pt idx="1">
                  <c:v>-9962112.3630297668</c:v>
                </c:pt>
                <c:pt idx="2">
                  <c:v>-10927507.856267031</c:v>
                </c:pt>
                <c:pt idx="3">
                  <c:v>-11786954.003066942</c:v>
                </c:pt>
                <c:pt idx="4">
                  <c:v>-12551803.224608716</c:v>
                </c:pt>
                <c:pt idx="5">
                  <c:v>-13232119.644067978</c:v>
                </c:pt>
                <c:pt idx="6">
                  <c:v>-13836835.309025731</c:v>
                </c:pt>
                <c:pt idx="7">
                  <c:v>-14373886.213534452</c:v>
                </c:pt>
                <c:pt idx="8">
                  <c:v>-14850330.893583316</c:v>
                </c:pt>
                <c:pt idx="9">
                  <c:v>-15272453.966975484</c:v>
                </c:pt>
                <c:pt idx="10">
                  <c:v>-15645856.647488575</c:v>
                </c:pt>
                <c:pt idx="11">
                  <c:v>-15975535.973749433</c:v>
                </c:pt>
                <c:pt idx="12">
                  <c:v>-16265954.247292064</c:v>
                </c:pt>
                <c:pt idx="13">
                  <c:v>-16521099.964926869</c:v>
                </c:pt>
                <c:pt idx="14">
                  <c:v>-16744541.352106251</c:v>
                </c:pt>
                <c:pt idx="15">
                  <c:v>-16939473.451637316</c:v>
                </c:pt>
                <c:pt idx="16">
                  <c:v>-17108759.591856837</c:v>
                </c:pt>
                <c:pt idx="17">
                  <c:v>-17254967.94687837</c:v>
                </c:pt>
                <c:pt idx="18">
                  <c:v>-17380403.805919435</c:v>
                </c:pt>
                <c:pt idx="19">
                  <c:v>-17487138.086633906</c:v>
                </c:pt>
                <c:pt idx="20">
                  <c:v>-17577032.556803901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D7D-A402-8E5199073778}"/>
            </c:ext>
          </c:extLst>
        </c:ser>
        <c:ser>
          <c:idx val="1"/>
          <c:order val="1"/>
          <c:tx>
            <c:v>Alternative 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'PW ANALYSIS'!$C$2:$C$22</c:f>
              <c:numCache>
                <c:formatCode>"$"#,##0.00_);[Red]\("$"#,##0.00\)</c:formatCode>
                <c:ptCount val="21"/>
                <c:pt idx="0">
                  <c:v>28225872.372808561</c:v>
                </c:pt>
                <c:pt idx="1">
                  <c:v>25183568.177109703</c:v>
                </c:pt>
                <c:pt idx="2">
                  <c:v>22407836.363417782</c:v>
                </c:pt>
                <c:pt idx="3">
                  <c:v>19872421.539871097</c:v>
                </c:pt>
                <c:pt idx="4">
                  <c:v>17553924.47771652</c:v>
                </c:pt>
                <c:pt idx="5">
                  <c:v>15431463.923565552</c:v>
                </c:pt>
                <c:pt idx="6">
                  <c:v>13486381.53261077</c:v>
                </c:pt>
                <c:pt idx="7">
                  <c:v>11701984.049770512</c:v>
                </c:pt>
                <c:pt idx="8">
                  <c:v>10063317.71476147</c:v>
                </c:pt>
                <c:pt idx="9">
                  <c:v>8556970.5865204223</c:v>
                </c:pt>
                <c:pt idx="10">
                  <c:v>7170899.0930121709</c:v>
                </c:pt>
                <c:pt idx="11">
                  <c:v>5894275.6315760873</c:v>
                </c:pt>
                <c:pt idx="12">
                  <c:v>4717354.4870000873</c:v>
                </c:pt>
                <c:pt idx="13">
                  <c:v>3631353.7115084175</c:v>
                </c:pt>
                <c:pt idx="14">
                  <c:v>2628350.9328755494</c:v>
                </c:pt>
                <c:pt idx="15">
                  <c:v>1701191.3323702477</c:v>
                </c:pt>
                <c:pt idx="16">
                  <c:v>843406.27026450075</c:v>
                </c:pt>
                <c:pt idx="17">
                  <c:v>49141.23916769214</c:v>
                </c:pt>
                <c:pt idx="18">
                  <c:v>-686908.00053290278</c:v>
                </c:pt>
                <c:pt idx="19">
                  <c:v>-1369552.099096939</c:v>
                </c:pt>
                <c:pt idx="20">
                  <c:v>-2003158.4766585007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4-45AB-84DC-D7125E6FEE48}"/>
            </c:ext>
          </c:extLst>
        </c:ser>
        <c:ser>
          <c:idx val="2"/>
          <c:order val="2"/>
          <c:tx>
            <c:v>Alternative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'PW ANALYSIS'!$D$2:$D$22</c:f>
              <c:numCache>
                <c:formatCode>"$"#,##0.00_);[Red]\("$"#,##0.00\)</c:formatCode>
                <c:ptCount val="21"/>
                <c:pt idx="0">
                  <c:v>31361403.920381114</c:v>
                </c:pt>
                <c:pt idx="1">
                  <c:v>28267476.042126954</c:v>
                </c:pt>
                <c:pt idx="2">
                  <c:v>25438701.790737204</c:v>
                </c:pt>
                <c:pt idx="3">
                  <c:v>22849291.791355781</c:v>
                </c:pt>
                <c:pt idx="4">
                  <c:v>20476238.494234353</c:v>
                </c:pt>
                <c:pt idx="5">
                  <c:v>18298988.836035348</c:v>
                </c:pt>
                <c:pt idx="6">
                  <c:v>16299158.436651409</c:v>
                </c:pt>
                <c:pt idx="7">
                  <c:v>14460281.696607374</c:v>
                </c:pt>
                <c:pt idx="8">
                  <c:v>12767592.972069923</c:v>
                </c:pt>
                <c:pt idx="9">
                  <c:v>11207834.692840792</c:v>
                </c:pt>
                <c:pt idx="10">
                  <c:v>9769088.8732450269</c:v>
                </c:pt>
                <c:pt idx="11">
                  <c:v>8440628.9630187266</c:v>
                </c:pt>
                <c:pt idx="12">
                  <c:v>7212789.4088828787</c:v>
                </c:pt>
                <c:pt idx="13">
                  <c:v>6076850.6589312423</c:v>
                </c:pt>
                <c:pt idx="14">
                  <c:v>5024937.6508554742</c:v>
                </c:pt>
                <c:pt idx="15">
                  <c:v>4049930.0894236881</c:v>
                </c:pt>
                <c:pt idx="16">
                  <c:v>3145383.0452667344</c:v>
                </c:pt>
                <c:pt idx="17">
                  <c:v>2305456.60159293</c:v>
                </c:pt>
                <c:pt idx="18">
                  <c:v>1524853.4427201878</c:v>
                </c:pt>
                <c:pt idx="19">
                  <c:v>798763.42232582904</c:v>
                </c:pt>
                <c:pt idx="20">
                  <c:v>122814.27347113192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4-45AB-84DC-D7125E6F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7746072"/>
        <c:axId val="407746464"/>
      </c:barChart>
      <c:catAx>
        <c:axId val="40774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MARR Values</a:t>
                </a:r>
              </a:p>
            </c:rich>
          </c:tx>
          <c:layout>
            <c:manualLayout>
              <c:xMode val="edge"/>
              <c:yMode val="edge"/>
              <c:x val="0.46455818111590413"/>
              <c:y val="0.8805735129038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6464"/>
        <c:crosses val="autoZero"/>
        <c:auto val="1"/>
        <c:lblAlgn val="ctr"/>
        <c:lblOffset val="100"/>
        <c:noMultiLvlLbl val="0"/>
      </c:catAx>
      <c:valAx>
        <c:axId val="4077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AHP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'AHP ANALYSIS'!$A$41</c:f>
              <c:strCache>
                <c:ptCount val="1"/>
                <c:pt idx="0">
                  <c:v>Alternative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'AHP ANALYSIS'!$B$40:$E$40</c:f>
              <c:strCache>
                <c:ptCount val="4"/>
                <c:pt idx="0">
                  <c:v>Probability of Sales</c:v>
                </c:pt>
                <c:pt idx="1">
                  <c:v>Present Worth</c:v>
                </c:pt>
                <c:pt idx="2">
                  <c:v>Research Effort</c:v>
                </c:pt>
                <c:pt idx="3">
                  <c:v>Target Population</c:v>
                </c:pt>
              </c:strCache>
            </c:strRef>
          </c:cat>
          <c:val>
            <c:numRef>
              <c:f>'AHP ANALYSIS'!$B$41:$E$41</c:f>
              <c:numCache>
                <c:formatCode>0.00%</c:formatCode>
                <c:ptCount val="4"/>
                <c:pt idx="0">
                  <c:v>0.1061563235476279</c:v>
                </c:pt>
                <c:pt idx="1">
                  <c:v>6.2677772111734378E-2</c:v>
                </c:pt>
                <c:pt idx="2">
                  <c:v>7.4012139229530538E-2</c:v>
                </c:pt>
                <c:pt idx="3">
                  <c:v>8.3477553042770436E-2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8-4C99-9BC3-21DEFBDB3340}"/>
            </c:ext>
          </c:extLst>
        </c:ser>
        <c:ser>
          <c:idx val="1"/>
          <c:order val="1"/>
          <c:tx>
            <c:strRef>
              <c:f>'AHP ANALYSIS'!$A$42</c:f>
              <c:strCache>
                <c:ptCount val="1"/>
                <c:pt idx="0">
                  <c:v>Alternative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'AHP ANALYSIS'!$B$40:$E$40</c:f>
              <c:strCache>
                <c:ptCount val="4"/>
                <c:pt idx="0">
                  <c:v>Probability of Sales</c:v>
                </c:pt>
                <c:pt idx="1">
                  <c:v>Present Worth</c:v>
                </c:pt>
                <c:pt idx="2">
                  <c:v>Research Effort</c:v>
                </c:pt>
                <c:pt idx="3">
                  <c:v>Target Population</c:v>
                </c:pt>
              </c:strCache>
            </c:strRef>
          </c:cat>
          <c:val>
            <c:numRef>
              <c:f>'AHP ANALYSIS'!$B$42:$E$42</c:f>
              <c:numCache>
                <c:formatCode>0.00%</c:formatCode>
                <c:ptCount val="4"/>
                <c:pt idx="0">
                  <c:v>0.26049795615013005</c:v>
                </c:pt>
                <c:pt idx="1">
                  <c:v>0.23770185279619241</c:v>
                </c:pt>
                <c:pt idx="2">
                  <c:v>0.37160906726124115</c:v>
                </c:pt>
                <c:pt idx="3">
                  <c:v>0.33457203022420418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8-4C99-9BC3-21DEFBDB3340}"/>
            </c:ext>
          </c:extLst>
        </c:ser>
        <c:ser>
          <c:idx val="2"/>
          <c:order val="2"/>
          <c:tx>
            <c:strRef>
              <c:f>'AHP ANALYSIS'!$A$43</c:f>
              <c:strCache>
                <c:ptCount val="1"/>
                <c:pt idx="0">
                  <c:v>Alternative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'AHP ANALYSIS'!$B$40:$E$40</c:f>
              <c:strCache>
                <c:ptCount val="4"/>
                <c:pt idx="0">
                  <c:v>Probability of Sales</c:v>
                </c:pt>
                <c:pt idx="1">
                  <c:v>Present Worth</c:v>
                </c:pt>
                <c:pt idx="2">
                  <c:v>Research Effort</c:v>
                </c:pt>
                <c:pt idx="3">
                  <c:v>Target Population</c:v>
                </c:pt>
              </c:strCache>
            </c:strRef>
          </c:cat>
          <c:val>
            <c:numRef>
              <c:f>'AHP ANALYSIS'!$B$43:$E$43</c:f>
              <c:numCache>
                <c:formatCode>0.00%</c:formatCode>
                <c:ptCount val="4"/>
                <c:pt idx="0">
                  <c:v>0.63334572030224201</c:v>
                </c:pt>
                <c:pt idx="1">
                  <c:v>0.69962037509207331</c:v>
                </c:pt>
                <c:pt idx="2">
                  <c:v>0.78149386845039037</c:v>
                </c:pt>
                <c:pt idx="3">
                  <c:v>0.70741979437631619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8-4C99-9BC3-21DEFBDB3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5182568"/>
        <c:axId val="595178304"/>
      </c:barChart>
      <c:catAx>
        <c:axId val="59518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8304"/>
        <c:crosses val="autoZero"/>
        <c:auto val="1"/>
        <c:lblAlgn val="ctr"/>
        <c:lblOffset val="100"/>
        <c:noMultiLvlLbl val="0"/>
      </c:catAx>
      <c:valAx>
        <c:axId val="595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8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'ALTERNATIVE 1 (ATCF)'!$C$47:$C$57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'ALTERNATIVE 1 (ATCF)'!$D$47:$D$57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-9195426.5893259645</c:v>
                </c:pt>
                <c:pt idx="2">
                  <c:v>-3031454.0447579129</c:v>
                </c:pt>
                <c:pt idx="3">
                  <c:v>-2158751.740876819</c:v>
                </c:pt>
                <c:pt idx="4">
                  <c:v>-1235171.3807415005</c:v>
                </c:pt>
                <c:pt idx="5">
                  <c:v>-257791.305223673</c:v>
                </c:pt>
                <c:pt idx="6">
                  <c:v>776482.8790654433</c:v>
                </c:pt>
                <c:pt idx="7">
                  <c:v>1870927.9512227664</c:v>
                </c:pt>
                <c:pt idx="8">
                  <c:v>3029013.3284045532</c:v>
                </c:pt>
                <c:pt idx="9">
                  <c:v>4254411.9493282167</c:v>
                </c:pt>
                <c:pt idx="10">
                  <c:v>6251011.8214418665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4-4556-8F24-647D0C1FD28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'ALTERNATIVE 1 (ATCF)'!$C$47:$C$57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'Linear Regression (ALT 1)'!$B$25:$B$35</c:f>
              <c:numCache>
                <c:formatCode>General</c:formatCode>
                <c:ptCount val="11"/>
                <c:pt idx="0">
                  <c:v>-8044032.8767384356</c:v>
                </c:pt>
                <c:pt idx="1">
                  <c:v>-6596643.5219628029</c:v>
                </c:pt>
                <c:pt idx="2">
                  <c:v>-5149254.1671871711</c:v>
                </c:pt>
                <c:pt idx="3">
                  <c:v>-3701864.8124115383</c:v>
                </c:pt>
                <c:pt idx="4">
                  <c:v>-2254475.4576359065</c:v>
                </c:pt>
                <c:pt idx="5">
                  <c:v>-807086.10286027472</c:v>
                </c:pt>
                <c:pt idx="6">
                  <c:v>640303.25191535894</c:v>
                </c:pt>
                <c:pt idx="7">
                  <c:v>2087692.6066909907</c:v>
                </c:pt>
                <c:pt idx="8">
                  <c:v>3535081.9614666225</c:v>
                </c:pt>
                <c:pt idx="9">
                  <c:v>4982471.3162422543</c:v>
                </c:pt>
                <c:pt idx="10">
                  <c:v>6429860.6710178861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4-4556-8F24-647D0C1F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18224"/>
        <c:axId val="709423800"/>
      </c:scatterChart>
      <c:valAx>
        <c:axId val="7094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423800"/>
        <c:crosses val="autoZero"/>
        <c:crossBetween val="midCat"/>
      </c:valAx>
      <c:valAx>
        <c:axId val="70942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70941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'ALTERNATIVE 1 (ATCF)'!$J$11</c:f>
              <c:strCache>
                <c:ptCount val="1"/>
                <c:pt idx="0">
                  <c:v>ATCF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1 (ATCF)'!$A$12:$A$22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1 (ATCF)'!$J$12:$J$22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-9195426.5893259645</c:v>
                </c:pt>
                <c:pt idx="2">
                  <c:v>-3031454.0447579129</c:v>
                </c:pt>
                <c:pt idx="3">
                  <c:v>-2158751.740876819</c:v>
                </c:pt>
                <c:pt idx="4">
                  <c:v>-1235171.3807415005</c:v>
                </c:pt>
                <c:pt idx="5">
                  <c:v>-257791.305223673</c:v>
                </c:pt>
                <c:pt idx="6">
                  <c:v>776482.8790654433</c:v>
                </c:pt>
                <c:pt idx="7">
                  <c:v>1870927.9512227664</c:v>
                </c:pt>
                <c:pt idx="8">
                  <c:v>3029013.3284045532</c:v>
                </c:pt>
                <c:pt idx="9">
                  <c:v>4254411.9493282167</c:v>
                </c:pt>
                <c:pt idx="10">
                  <c:v>6251011.8214418665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A-47C6-86A8-69B0AA0E02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694192"/>
        <c:axId val="406694584"/>
      </c:barChart>
      <c:catAx>
        <c:axId val="4066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584"/>
        <c:crosses val="autoZero"/>
        <c:auto val="1"/>
        <c:lblAlgn val="ctr"/>
        <c:lblOffset val="100"/>
        <c:noMultiLvlLbl val="0"/>
      </c:catAx>
      <c:valAx>
        <c:axId val="406694584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ATCF Values 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'ALTERNATIVE 1 (ATCF)'!$D$46</c:f>
              <c:strCache>
                <c:ptCount val="1"/>
                <c:pt idx="0">
                  <c:v>ATCF 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62533988606405E-2"/>
                  <c:y val="4.15780000309606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'ALTERNATIVE 1 (ATCF)'!$C$47:$C$57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'ALTERNATIVE 1 (ATCF)'!$D$47:$D$57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-9195426.5893259645</c:v>
                </c:pt>
                <c:pt idx="2">
                  <c:v>-3031454.0447579129</c:v>
                </c:pt>
                <c:pt idx="3">
                  <c:v>-2158751.740876819</c:v>
                </c:pt>
                <c:pt idx="4">
                  <c:v>-1235171.3807415005</c:v>
                </c:pt>
                <c:pt idx="5">
                  <c:v>-257791.305223673</c:v>
                </c:pt>
                <c:pt idx="6">
                  <c:v>776482.8790654433</c:v>
                </c:pt>
                <c:pt idx="7">
                  <c:v>1870927.9512227664</c:v>
                </c:pt>
                <c:pt idx="8">
                  <c:v>3029013.3284045532</c:v>
                </c:pt>
                <c:pt idx="9">
                  <c:v>4254411.9493282167</c:v>
                </c:pt>
                <c:pt idx="10">
                  <c:v>6251011.8214418665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A-4790-AD77-88B67E29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24536"/>
        <c:axId val="709616992"/>
      </c:scatterChart>
      <c:valAx>
        <c:axId val="7096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6992"/>
        <c:crosses val="autoZero"/>
        <c:crossBetween val="midCat"/>
      </c:valAx>
      <c:valAx>
        <c:axId val="7096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ATCF Values Moving Average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'ALTERNATIVE 1 (ATCF)'!$D$46</c:f>
              <c:strCache>
                <c:ptCount val="1"/>
                <c:pt idx="0">
                  <c:v>ATCF 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784197759409944E-2"/>
                  <c:y val="2.1597001172725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'ALTERNATIVE 1 (ATCF)'!$C$47:$C$57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'ALTERNATIVE 1 (ATCF)'!$D$47:$D$57</c:f>
              <c:numCache>
                <c:formatCode>"$"#,##0.00_);[Red]\("$"#,##0.00\)</c:formatCode>
                <c:ptCount val="11"/>
                <c:pt idx="0">
                  <c:v>-9181200</c:v>
                </c:pt>
                <c:pt idx="1">
                  <c:v>-9195426.5893259645</c:v>
                </c:pt>
                <c:pt idx="2">
                  <c:v>-3031454.0447579129</c:v>
                </c:pt>
                <c:pt idx="3">
                  <c:v>-2158751.740876819</c:v>
                </c:pt>
                <c:pt idx="4">
                  <c:v>-1235171.3807415005</c:v>
                </c:pt>
                <c:pt idx="5">
                  <c:v>-257791.305223673</c:v>
                </c:pt>
                <c:pt idx="6">
                  <c:v>776482.8790654433</c:v>
                </c:pt>
                <c:pt idx="7">
                  <c:v>1870927.9512227664</c:v>
                </c:pt>
                <c:pt idx="8">
                  <c:v>3029013.3284045532</c:v>
                </c:pt>
                <c:pt idx="9">
                  <c:v>4254411.9493282167</c:v>
                </c:pt>
                <c:pt idx="10">
                  <c:v>6251011.8214418665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1-DE4D-B254-ADCF8422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20367"/>
        <c:axId val="1457555439"/>
      </c:scatterChart>
      <c:valAx>
        <c:axId val="145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55439"/>
        <c:crosses val="autoZero"/>
        <c:crossBetween val="midCat"/>
      </c:valAx>
      <c:valAx>
        <c:axId val="14575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 Worth V/S MARR</a:t>
            </a:r>
          </a:p>
        </c:rich>
      </c:tx>
      <c:layout>
        <c:manualLayout>
          <c:xMode val="edge"/>
          <c:yMode val="edge"/>
          <c:x val="0.33029737191098346"/>
          <c:y val="3.4828929621977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23902795730798"/>
          <c:y val="0.13506658907402766"/>
          <c:w val="0.77930539816321098"/>
          <c:h val="0.71597611229066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'MARR vs PW (ALT 1)'!$B$1</c:f>
              <c:strCache>
                <c:ptCount val="1"/>
                <c:pt idx="0">
                  <c:v>PW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'MARR vs PW (ALT 1)'!$A$2:$A$22</c:f>
              <c:numCache>
                <c:formatCode>0.00%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'MARR vs PW (ALT 1)'!$B$2:$B$22</c:f>
              <c:numCache>
                <c:formatCode>"$"#,##0.00_);[Red]\("$"#,##0.00\)</c:formatCode>
                <c:ptCount val="21"/>
                <c:pt idx="0">
                  <c:v>-8877947.1314630285</c:v>
                </c:pt>
                <c:pt idx="1">
                  <c:v>-9962112.3630297668</c:v>
                </c:pt>
                <c:pt idx="2">
                  <c:v>-10927507.856267031</c:v>
                </c:pt>
                <c:pt idx="3">
                  <c:v>-11786954.003066942</c:v>
                </c:pt>
                <c:pt idx="4">
                  <c:v>-12551803.224608716</c:v>
                </c:pt>
                <c:pt idx="5">
                  <c:v>-13232119.644067978</c:v>
                </c:pt>
                <c:pt idx="6">
                  <c:v>-13836835.309025731</c:v>
                </c:pt>
                <c:pt idx="7">
                  <c:v>-14373886.213534452</c:v>
                </c:pt>
                <c:pt idx="8">
                  <c:v>-14850330.893583316</c:v>
                </c:pt>
                <c:pt idx="9">
                  <c:v>-15272453.966975484</c:v>
                </c:pt>
                <c:pt idx="10">
                  <c:v>-15645856.647488575</c:v>
                </c:pt>
                <c:pt idx="11">
                  <c:v>-15975535.973749433</c:v>
                </c:pt>
                <c:pt idx="12">
                  <c:v>-16265954.247292064</c:v>
                </c:pt>
                <c:pt idx="13">
                  <c:v>-16521099.964926869</c:v>
                </c:pt>
                <c:pt idx="14">
                  <c:v>-16744541.352106251</c:v>
                </c:pt>
                <c:pt idx="15">
                  <c:v>-16939473.451637316</c:v>
                </c:pt>
                <c:pt idx="16">
                  <c:v>-17108759.591856837</c:v>
                </c:pt>
                <c:pt idx="17">
                  <c:v>-17254967.94687837</c:v>
                </c:pt>
                <c:pt idx="18">
                  <c:v>-17380403.805919435</c:v>
                </c:pt>
                <c:pt idx="19">
                  <c:v>-17487138.086633906</c:v>
                </c:pt>
                <c:pt idx="20">
                  <c:v>-17577032.556803901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1-42A4-B68C-69AB15A5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00072"/>
        <c:axId val="406700464"/>
      </c:scatterChart>
      <c:valAx>
        <c:axId val="4067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MARR Values</a:t>
                </a:r>
              </a:p>
            </c:rich>
          </c:tx>
          <c:layout>
            <c:manualLayout>
              <c:xMode val="edge"/>
              <c:yMode val="edge"/>
              <c:x val="0.44047884868266979"/>
              <c:y val="0.91411323076990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0464"/>
        <c:crosses val="autoZero"/>
        <c:crossBetween val="midCat"/>
      </c:valAx>
      <c:valAx>
        <c:axId val="4067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 Worth Values</a:t>
                </a:r>
              </a:p>
            </c:rich>
          </c:tx>
          <c:layout>
            <c:manualLayout>
              <c:xMode val="edge"/>
              <c:yMode val="edge"/>
              <c:x val="2.9884838905197105E-2"/>
              <c:y val="0.28791211262414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2 CF'!$A$9:$A$19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2 CF'!$K$9:$K$19</c:f>
              <c:numCache>
                <c:formatCode>"$"#,##0.00_);[Red]\("$"#,##0.00\)</c:formatCode>
                <c:ptCount val="11"/>
                <c:pt idx="0">
                  <c:v>-26232000</c:v>
                </c:pt>
                <c:pt idx="1">
                  <c:v>-8484898.0087500662</c:v>
                </c:pt>
                <c:pt idx="2">
                  <c:v>818917.99124993198</c:v>
                </c:pt>
                <c:pt idx="3">
                  <c:v>1748705.3192499336</c:v>
                </c:pt>
                <c:pt idx="4">
                  <c:v>2732420.3122739363</c:v>
                </c:pt>
                <c:pt idx="5">
                  <c:v>3773190.7748933304</c:v>
                </c:pt>
                <c:pt idx="6">
                  <c:v>4874325.9243446495</c:v>
                </c:pt>
                <c:pt idx="7">
                  <c:v>6039326.9124641437</c:v>
                </c:pt>
                <c:pt idx="8">
                  <c:v>7271897.9578945693</c:v>
                </c:pt>
                <c:pt idx="9">
                  <c:v>8575958.1239599604</c:v>
                </c:pt>
                <c:pt idx="10">
                  <c:v>10655653.779657142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7-4711-AF31-6C630F6F3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353832"/>
        <c:axId val="406354224"/>
      </c:barChart>
      <c:catAx>
        <c:axId val="40635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4224"/>
        <c:crosses val="autoZero"/>
        <c:auto val="1"/>
        <c:lblAlgn val="ctr"/>
        <c:lblOffset val="100"/>
        <c:noMultiLvlLbl val="0"/>
      </c:catAx>
      <c:valAx>
        <c:axId val="406354224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7929267725878189"/>
          <c:y val="0.92880946634873962"/>
          <c:w val="9.6615612572318335E-2"/>
          <c:h val="5.6890573023067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'ALTERNATIVE 2 CF'!$A$25:$A$35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'ALTERNATIVE 2 CF'!$K$25:$K$35</c:f>
              <c:numCache>
                <c:formatCode>"$"#,##0.00_);[Red]\("$"#,##0.00\)</c:formatCode>
                <c:ptCount val="11"/>
                <c:pt idx="0">
                  <c:v>-26232000</c:v>
                </c:pt>
                <c:pt idx="1">
                  <c:v>-7179088.5485602543</c:v>
                </c:pt>
                <c:pt idx="2">
                  <c:v>2003511.451439742</c:v>
                </c:pt>
                <c:pt idx="3">
                  <c:v>2798991.451439742</c:v>
                </c:pt>
                <c:pt idx="4">
                  <c:v>3634245.451439742</c:v>
                </c:pt>
                <c:pt idx="5">
                  <c:v>4511262.1514397413</c:v>
                </c:pt>
                <c:pt idx="6">
                  <c:v>5432129.6864397414</c:v>
                </c:pt>
                <c:pt idx="7">
                  <c:v>6399040.5981897414</c:v>
                </c:pt>
                <c:pt idx="8">
                  <c:v>7414297.0555272438</c:v>
                </c:pt>
                <c:pt idx="9">
                  <c:v>8480316.3357316181</c:v>
                </c:pt>
                <c:pt idx="10">
                  <c:v>-6751163.4200537838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6-48C5-B0BA-2BC616DB9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6355008"/>
        <c:axId val="406355400"/>
      </c:barChart>
      <c:catAx>
        <c:axId val="4063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5400"/>
        <c:crosses val="autoZero"/>
        <c:auto val="1"/>
        <c:lblAlgn val="ctr"/>
        <c:lblOffset val="100"/>
        <c:noMultiLvlLbl val="0"/>
      </c:catAx>
      <c:valAx>
        <c:axId val="406355400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929215894011346"/>
          <c:y val="0.95675217551661396"/>
          <c:w val="9.281096722125641E-2"/>
          <c:h val="3.1901769969614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bmp"/><Relationship Id="rId2" Type="http://schemas.openxmlformats.org/officeDocument/2006/relationships/image" Target="../media/image5.bmp"/><Relationship Id="rId1" Type="http://schemas.openxmlformats.org/officeDocument/2006/relationships/image" Target="../media/image4.bm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bmp"/><Relationship Id="rId2" Type="http://schemas.openxmlformats.org/officeDocument/2006/relationships/image" Target="../media/image8.bmp"/><Relationship Id="rId1" Type="http://schemas.openxmlformats.org/officeDocument/2006/relationships/image" Target="../media/image7.bm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0</xdr:rowOff>
    </xdr:from>
    <xdr:to>
      <xdr:col>10</xdr:col>
      <xdr:colOff>576262</xdr:colOff>
      <xdr:row>1</xdr:row>
      <xdr:rowOff>138112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F1B2D6BE-639D-4CB4-80CC-F3FC83719310}"/>
            </a:ext>
          </a:extLst>
        </xdr:cNvPr>
        <xdr:cNvSpPr/>
      </xdr:nvSpPr>
      <xdr:spPr>
        <a:xfrm>
          <a:off x="6616700" y="0"/>
          <a:ext cx="2735262" cy="328612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EDM PROJECT</a:t>
          </a:r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 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445631</xdr:colOff>
      <xdr:row>4</xdr:row>
      <xdr:rowOff>18143</xdr:rowOff>
    </xdr:from>
    <xdr:to>
      <xdr:col>25</xdr:col>
      <xdr:colOff>163285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453571</xdr:colOff>
      <xdr:row>24</xdr:row>
      <xdr:rowOff>41730</xdr:rowOff>
    </xdr:from>
    <xdr:to>
      <xdr:col>22</xdr:col>
      <xdr:colOff>664029</xdr:colOff>
      <xdr:row>42</xdr:row>
      <xdr:rowOff>36287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B8967-FBE4-44FC-A8B5-C51C18E8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426356</xdr:colOff>
      <xdr:row>42</xdr:row>
      <xdr:rowOff>116113</xdr:rowOff>
    </xdr:from>
    <xdr:to>
      <xdr:col>23</xdr:col>
      <xdr:colOff>36286</xdr:colOff>
      <xdr:row>64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2D8B4-EB75-7E49-BEFF-1DF70F11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8402</xdr:colOff>
      <xdr:row>0</xdr:row>
      <xdr:rowOff>152400</xdr:rowOff>
    </xdr:from>
    <xdr:to>
      <xdr:col>14</xdr:col>
      <xdr:colOff>11204</xdr:colOff>
      <xdr:row>21</xdr:row>
      <xdr:rowOff>162485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97628</xdr:colOff>
      <xdr:row>1</xdr:row>
      <xdr:rowOff>126999</xdr:rowOff>
    </xdr:from>
    <xdr:to>
      <xdr:col>24</xdr:col>
      <xdr:colOff>666750</xdr:colOff>
      <xdr:row>21</xdr:row>
      <xdr:rowOff>238124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23</xdr:row>
      <xdr:rowOff>114300</xdr:rowOff>
    </xdr:from>
    <xdr:to>
      <xdr:col>18</xdr:col>
      <xdr:colOff>488950</xdr:colOff>
      <xdr:row>32</xdr:row>
      <xdr:rowOff>66674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5314950" y="5334000"/>
          <a:ext cx="8270875" cy="1581149"/>
        </a:xfrm>
        <a:prstGeom prst="roundRect">
          <a:avLst/>
        </a:prstGeom>
        <a:solidFill>
          <a:srgbClr val="92D05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Bookman Old Style" panose="02050604050505020204" pitchFamily="18" charset="0"/>
            </a:rPr>
            <a:t>Using the Present Worth Analysis, Alternative 3 is prefered.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632354</xdr:colOff>
      <xdr:row>37</xdr:row>
      <xdr:rowOff>173565</xdr:rowOff>
    </xdr:from>
    <xdr:to>
      <xdr:col>16</xdr:col>
      <xdr:colOff>26458</xdr:colOff>
      <xdr:row>64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B50CF-766C-4FEE-879E-42C720C4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0</xdr:rowOff>
    </xdr:from>
    <xdr:to>
      <xdr:col>5</xdr:col>
      <xdr:colOff>564972</xdr:colOff>
      <xdr:row>19</xdr:row>
      <xdr:rowOff>147219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1B8F62-EC81-4DBE-A149-5E98056AB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7056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21</xdr:row>
      <xdr:rowOff>0</xdr:rowOff>
    </xdr:from>
    <xdr:to>
      <xdr:col>5</xdr:col>
      <xdr:colOff>564972</xdr:colOff>
      <xdr:row>36</xdr:row>
      <xdr:rowOff>147219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CB9D07-6320-4BFD-B292-875ABB7F56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9090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38</xdr:row>
      <xdr:rowOff>0</xdr:rowOff>
    </xdr:from>
    <xdr:to>
      <xdr:col>5</xdr:col>
      <xdr:colOff>564972</xdr:colOff>
      <xdr:row>53</xdr:row>
      <xdr:rowOff>147219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5520F6-DF58-4D05-BAA8-25CC804ACD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11124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0</xdr:rowOff>
    </xdr:from>
    <xdr:to>
      <xdr:col>5</xdr:col>
      <xdr:colOff>564972</xdr:colOff>
      <xdr:row>19</xdr:row>
      <xdr:rowOff>147219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71EB37-BFCC-4D8F-AE3B-CE801C3D83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7056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21</xdr:row>
      <xdr:rowOff>0</xdr:rowOff>
    </xdr:from>
    <xdr:to>
      <xdr:col>5</xdr:col>
      <xdr:colOff>564972</xdr:colOff>
      <xdr:row>36</xdr:row>
      <xdr:rowOff>147219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9B2013-3E3D-4F73-A2B7-C64842A8D4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9090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38</xdr:row>
      <xdr:rowOff>0</xdr:rowOff>
    </xdr:from>
    <xdr:to>
      <xdr:col>5</xdr:col>
      <xdr:colOff>564972</xdr:colOff>
      <xdr:row>53</xdr:row>
      <xdr:rowOff>147219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E63DE2-97F2-42C8-AFD0-EE2785B6ED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11124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0</xdr:rowOff>
    </xdr:from>
    <xdr:to>
      <xdr:col>5</xdr:col>
      <xdr:colOff>564972</xdr:colOff>
      <xdr:row>19</xdr:row>
      <xdr:rowOff>147219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108FD-A9ED-4859-8B50-FC82F45BF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7056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21</xdr:row>
      <xdr:rowOff>0</xdr:rowOff>
    </xdr:from>
    <xdr:to>
      <xdr:col>5</xdr:col>
      <xdr:colOff>564972</xdr:colOff>
      <xdr:row>36</xdr:row>
      <xdr:rowOff>147219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A4A757-0937-455C-AAC0-83D9D1B44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9090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38</xdr:row>
      <xdr:rowOff>0</xdr:rowOff>
    </xdr:from>
    <xdr:to>
      <xdr:col>5</xdr:col>
      <xdr:colOff>564972</xdr:colOff>
      <xdr:row>53</xdr:row>
      <xdr:rowOff>147219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94CBC8-D8CF-447E-B85B-0F6C7F4CC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111240"/>
          <a:ext cx="3496132" cy="2547519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7620</xdr:rowOff>
    </xdr:from>
    <xdr:to>
      <xdr:col>3</xdr:col>
      <xdr:colOff>1013460</xdr:colOff>
      <xdr:row>5</xdr:row>
      <xdr:rowOff>502920</xdr:rowOff>
    </xdr:to>
    <xdr:pic>
      <xdr:nvPicPr>
        <xdr:cNvPr id="2" name="Picture 1" descr="D:\ActiveReports.emf">
          <a:extLst>
            <a:ext uri="{FF2B5EF4-FFF2-40B4-BE49-F238E27FC236}">
              <a16:creationId xmlns:a16="http://schemas.microsoft.com/office/drawing/2014/main" id="{0768CE0A-2DDD-44DB-BFBB-9B1520B40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198120"/>
          <a:ext cx="99822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</xdr:colOff>
      <xdr:row>6</xdr:row>
      <xdr:rowOff>7620</xdr:rowOff>
    </xdr:from>
    <xdr:to>
      <xdr:col>3</xdr:col>
      <xdr:colOff>1013460</xdr:colOff>
      <xdr:row>6</xdr:row>
      <xdr:rowOff>502920</xdr:rowOff>
    </xdr:to>
    <xdr:pic>
      <xdr:nvPicPr>
        <xdr:cNvPr id="3" name="Picture 2" descr="D:\ActiveReports.emf">
          <a:extLst>
            <a:ext uri="{FF2B5EF4-FFF2-40B4-BE49-F238E27FC236}">
              <a16:creationId xmlns:a16="http://schemas.microsoft.com/office/drawing/2014/main" id="{741224D4-EA90-4932-B7C7-0F3BF615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708660"/>
          <a:ext cx="99822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</xdr:colOff>
      <xdr:row>7</xdr:row>
      <xdr:rowOff>7620</xdr:rowOff>
    </xdr:from>
    <xdr:to>
      <xdr:col>3</xdr:col>
      <xdr:colOff>1013460</xdr:colOff>
      <xdr:row>7</xdr:row>
      <xdr:rowOff>502920</xdr:rowOff>
    </xdr:to>
    <xdr:pic>
      <xdr:nvPicPr>
        <xdr:cNvPr id="4" name="Picture 3" descr="D:\ActiveReports.emf">
          <a:extLst>
            <a:ext uri="{FF2B5EF4-FFF2-40B4-BE49-F238E27FC236}">
              <a16:creationId xmlns:a16="http://schemas.microsoft.com/office/drawing/2014/main" id="{F8CC9145-E1F0-4543-950B-29B697C8C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1219200"/>
          <a:ext cx="99822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22741</xdr:colOff>
      <xdr:row>9</xdr:row>
      <xdr:rowOff>27338</xdr:rowOff>
    </xdr:from>
    <xdr:to>
      <xdr:col>4</xdr:col>
      <xdr:colOff>54583</xdr:colOff>
      <xdr:row>16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B8D7E3A-DB10-47F7-89C9-78E0A5B1E568}"/>
            </a:ext>
          </a:extLst>
        </xdr:cNvPr>
        <xdr:cNvSpPr/>
      </xdr:nvSpPr>
      <xdr:spPr>
        <a:xfrm>
          <a:off x="22741" y="1741838"/>
          <a:ext cx="6331042" cy="130616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Bookman Old Style" panose="02050604050505020204" pitchFamily="18" charset="0"/>
            </a:rPr>
            <a:t>Using all the above Analysis, Alternative 3 is prefered.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541386</xdr:colOff>
      <xdr:row>5</xdr:row>
      <xdr:rowOff>143602</xdr:rowOff>
    </xdr:from>
    <xdr:to>
      <xdr:col>25</xdr:col>
      <xdr:colOff>212615</xdr:colOff>
      <xdr:row>26</xdr:row>
      <xdr:rowOff>5920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514175</xdr:colOff>
      <xdr:row>34</xdr:row>
      <xdr:rowOff>118195</xdr:rowOff>
    </xdr:from>
    <xdr:to>
      <xdr:col>25</xdr:col>
      <xdr:colOff>170579</xdr:colOff>
      <xdr:row>60</xdr:row>
      <xdr:rowOff>29051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205740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E251B-04C5-4040-BB9C-EE0C6339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194910</xdr:colOff>
      <xdr:row>5</xdr:row>
      <xdr:rowOff>150759</xdr:rowOff>
    </xdr:from>
    <xdr:to>
      <xdr:col>23</xdr:col>
      <xdr:colOff>648383</xdr:colOff>
      <xdr:row>28</xdr:row>
      <xdr:rowOff>187004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113118</xdr:colOff>
      <xdr:row>29</xdr:row>
      <xdr:rowOff>75670</xdr:rowOff>
    </xdr:from>
    <xdr:to>
      <xdr:col>19</xdr:col>
      <xdr:colOff>491067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C7305-65AD-4625-BAA1-64EEDB5D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110065</xdr:colOff>
      <xdr:row>47</xdr:row>
      <xdr:rowOff>-1</xdr:rowOff>
    </xdr:from>
    <xdr:to>
      <xdr:col>19</xdr:col>
      <xdr:colOff>541867</xdr:colOff>
      <xdr:row>69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0F2DA-DFB0-6143-A384-8C7F952F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8402</xdr:colOff>
      <xdr:row>0</xdr:row>
      <xdr:rowOff>152400</xdr:rowOff>
    </xdr:from>
    <xdr:to>
      <xdr:col>14</xdr:col>
      <xdr:colOff>11204</xdr:colOff>
      <xdr:row>21</xdr:row>
      <xdr:rowOff>162485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626051</xdr:colOff>
      <xdr:row>3</xdr:row>
      <xdr:rowOff>44825</xdr:rowOff>
    </xdr:from>
    <xdr:to>
      <xdr:col>25</xdr:col>
      <xdr:colOff>406400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626383</xdr:colOff>
      <xdr:row>28</xdr:row>
      <xdr:rowOff>16933</xdr:rowOff>
    </xdr:from>
    <xdr:to>
      <xdr:col>25</xdr:col>
      <xdr:colOff>406400</xdr:colOff>
      <xdr:row>57</xdr:row>
      <xdr:rowOff>50801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445631</xdr:colOff>
      <xdr:row>9</xdr:row>
      <xdr:rowOff>0</xdr:rowOff>
    </xdr:from>
    <xdr:to>
      <xdr:col>22</xdr:col>
      <xdr:colOff>634999</xdr:colOff>
      <xdr:row>31</xdr:row>
      <xdr:rowOff>77439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337635</xdr:colOff>
      <xdr:row>51</xdr:row>
      <xdr:rowOff>74962</xdr:rowOff>
    </xdr:from>
    <xdr:to>
      <xdr:col>20</xdr:col>
      <xdr:colOff>61953</xdr:colOff>
      <xdr:row>70</xdr:row>
      <xdr:rowOff>46465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0133B-25D4-45C2-82F7-B4B3F3CE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393389</xdr:colOff>
      <xdr:row>31</xdr:row>
      <xdr:rowOff>153950</xdr:rowOff>
    </xdr:from>
    <xdr:to>
      <xdr:col>19</xdr:col>
      <xdr:colOff>650488</xdr:colOff>
      <xdr:row>50</xdr:row>
      <xdr:rowOff>108415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DA33C-5C2E-8D49-9FF4-EAEA6B90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8402</xdr:colOff>
      <xdr:row>0</xdr:row>
      <xdr:rowOff>152400</xdr:rowOff>
    </xdr:from>
    <xdr:to>
      <xdr:col>14</xdr:col>
      <xdr:colOff>11204</xdr:colOff>
      <xdr:row>21</xdr:row>
      <xdr:rowOff>162485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626052</xdr:colOff>
      <xdr:row>5</xdr:row>
      <xdr:rowOff>131992</xdr:rowOff>
    </xdr:from>
    <xdr:to>
      <xdr:col>25</xdr:col>
      <xdr:colOff>292100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626383</xdr:colOff>
      <xdr:row>22</xdr:row>
      <xdr:rowOff>13606</xdr:rowOff>
    </xdr:from>
    <xdr:to>
      <xdr:col>25</xdr:col>
      <xdr:colOff>381000</xdr:colOff>
      <xdr:row>37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" totalsRowShown="0" headerRowDxfId="8" dataDxfId="6" headerRowBorderDxfId="7" tableBorderDxfId="5" totalsRowBorderDxfId="4">
  <tableColumns count="4">
    <tableColumn id="1" name="Factors" dataDxfId="3"/>
    <tableColumn id="2" name="Alternative 1" dataDxfId="2" dataCellStyle="Percent"/>
    <tableColumn id="3" name="Alternative 2" dataDxfId="1" dataCellStyle="Percent"/>
    <tableColumn id="4" name="Alternative 3" dataDxfId="0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K13"/>
  <sheetViews>
    <sheetView showGridLines="0" workbookViewId="0">
      <selection activeCell="G18" sqref="G18"/>
    </sheetView>
  </sheetViews>
  <sheetFormatPr defaultColWidth="8.77734375" defaultRowHeight="14.4" x14ac:dyDescent="0.3"/>
  <cols>
    <col min="1" max="1" width="14.33203125" bestFit="1" customWidth="1"/>
    <col min="2" max="2" width="13.44140625" bestFit="1" customWidth="1"/>
    <col min="3" max="3" width="14" bestFit="1" customWidth="1"/>
    <col min="6" max="6" width="13.109375" bestFit="1" customWidth="1"/>
    <col min="7" max="7" width="12.109375" bestFit="1" customWidth="1"/>
    <col min="8" max="8" width="5.44140625" customWidth="1"/>
    <col min="9" max="9" width="13.109375" bestFit="1" customWidth="1"/>
    <col min="10" max="10" width="12.109375" bestFit="1" customWidth="1"/>
    <col min="11" max="11" width="12.6640625" bestFit="1" customWidth="1"/>
  </cols>
  <sheetData>
    <row r="8" spans="9:11" ht="15.6" x14ac:dyDescent="0.3">
      <c r="I8" s="487" t="s">
        <v>319</v>
      </c>
      <c r="J8" s="488"/>
      <c r="K8" s="489"/>
    </row>
    <row r="9" spans="9:11" ht="15.6" x14ac:dyDescent="0.3">
      <c r="I9" s="482" t="s">
        <v>210</v>
      </c>
      <c r="J9" s="482" t="s">
        <v>211</v>
      </c>
      <c r="K9" s="482" t="s">
        <v>212</v>
      </c>
    </row>
    <row r="10" spans="9:11" ht="15.6" x14ac:dyDescent="0.3">
      <c r="I10" s="367" t="s">
        <v>265</v>
      </c>
      <c r="J10" s="368" t="s">
        <v>256</v>
      </c>
      <c r="K10" s="368" t="s">
        <v>255</v>
      </c>
    </row>
    <row r="11" spans="9:11" ht="15.6" x14ac:dyDescent="0.3">
      <c r="I11" s="367" t="s">
        <v>264</v>
      </c>
      <c r="J11" s="368" t="s">
        <v>258</v>
      </c>
      <c r="K11" s="368" t="s">
        <v>257</v>
      </c>
    </row>
    <row r="12" spans="9:11" ht="15.6" x14ac:dyDescent="0.3">
      <c r="I12" s="367" t="s">
        <v>262</v>
      </c>
      <c r="J12" s="368" t="s">
        <v>259</v>
      </c>
      <c r="K12" s="368" t="s">
        <v>266</v>
      </c>
    </row>
    <row r="13" spans="9:11" ht="15.6" x14ac:dyDescent="0.3">
      <c r="I13" s="367" t="s">
        <v>263</v>
      </c>
      <c r="J13" s="368" t="s">
        <v>261</v>
      </c>
      <c r="K13" s="368" t="s">
        <v>260</v>
      </c>
    </row>
  </sheetData>
  <mergeCells count="1">
    <mergeCell ref="I8:K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GridLines="0" zoomScale="85" zoomScaleNormal="85" workbookViewId="0">
      <selection activeCell="P15" sqref="P15"/>
    </sheetView>
  </sheetViews>
  <sheetFormatPr defaultColWidth="9" defaultRowHeight="13.2" x14ac:dyDescent="0.25"/>
  <cols>
    <col min="1" max="1" width="9" style="21"/>
    <col min="2" max="2" width="19.44140625" style="16" bestFit="1" customWidth="1"/>
    <col min="3" max="16384" width="9" style="16"/>
  </cols>
  <sheetData>
    <row r="1" spans="1:2" ht="18" x14ac:dyDescent="0.25">
      <c r="A1" s="452" t="s">
        <v>49</v>
      </c>
      <c r="B1" s="365" t="s">
        <v>51</v>
      </c>
    </row>
    <row r="2" spans="1:2" ht="18" x14ac:dyDescent="0.25">
      <c r="A2" s="283">
        <v>0</v>
      </c>
      <c r="B2" s="276">
        <f>NPV(A2,'ALTERNATIVE 1 (ATCF)'!$J$13:$J$22)+'ALTERNATIVE 1 (ATCF)'!$J$12</f>
        <v>-8877947.1314630285</v>
      </c>
    </row>
    <row r="3" spans="1:2" ht="18" x14ac:dyDescent="0.25">
      <c r="A3" s="283">
        <v>0.01</v>
      </c>
      <c r="B3" s="276">
        <f>NPV(A3,'ALTERNATIVE 1 (ATCF)'!$J$13:$J$22)+'ALTERNATIVE 1 (ATCF)'!$J$12</f>
        <v>-9962112.3630297668</v>
      </c>
    </row>
    <row r="4" spans="1:2" ht="18" x14ac:dyDescent="0.25">
      <c r="A4" s="283">
        <v>0.02</v>
      </c>
      <c r="B4" s="276">
        <f>NPV(A4,'ALTERNATIVE 1 (ATCF)'!$J$13:$J$22)+'ALTERNATIVE 1 (ATCF)'!$J$12</f>
        <v>-10927507.856267031</v>
      </c>
    </row>
    <row r="5" spans="1:2" ht="18" x14ac:dyDescent="0.25">
      <c r="A5" s="283">
        <v>0.03</v>
      </c>
      <c r="B5" s="276">
        <f>NPV(A5,'ALTERNATIVE 1 (ATCF)'!$J$13:$J$22)+'ALTERNATIVE 1 (ATCF)'!$J$12</f>
        <v>-11786954.003066942</v>
      </c>
    </row>
    <row r="6" spans="1:2" ht="18" x14ac:dyDescent="0.25">
      <c r="A6" s="283">
        <v>0.04</v>
      </c>
      <c r="B6" s="276">
        <f>NPV(A6,'ALTERNATIVE 1 (ATCF)'!$J$13:$J$22)+'ALTERNATIVE 1 (ATCF)'!$J$12</f>
        <v>-12551803.224608716</v>
      </c>
    </row>
    <row r="7" spans="1:2" ht="18" x14ac:dyDescent="0.25">
      <c r="A7" s="283">
        <v>0.05</v>
      </c>
      <c r="B7" s="276">
        <f>NPV(A7,'ALTERNATIVE 1 (ATCF)'!$J$13:$J$22)+'ALTERNATIVE 1 (ATCF)'!$J$12</f>
        <v>-13232119.644067978</v>
      </c>
    </row>
    <row r="8" spans="1:2" ht="18" x14ac:dyDescent="0.25">
      <c r="A8" s="386">
        <v>0.06</v>
      </c>
      <c r="B8" s="387">
        <f>NPV(A8,'ALTERNATIVE 1 (ATCF)'!$J$13:$J$22)+'ALTERNATIVE 1 (ATCF)'!$J$12</f>
        <v>-13836835.309025731</v>
      </c>
    </row>
    <row r="9" spans="1:2" ht="18" x14ac:dyDescent="0.25">
      <c r="A9" s="283">
        <v>7.0000000000000007E-2</v>
      </c>
      <c r="B9" s="276">
        <f>NPV(A9,'ALTERNATIVE 1 (ATCF)'!$J$13:$J$22)+'ALTERNATIVE 1 (ATCF)'!$J$12</f>
        <v>-14373886.213534452</v>
      </c>
    </row>
    <row r="10" spans="1:2" s="385" customFormat="1" ht="18" x14ac:dyDescent="0.25">
      <c r="A10" s="397">
        <v>0.08</v>
      </c>
      <c r="B10" s="380">
        <f>NPV(A10,'ALTERNATIVE 1 (ATCF)'!$J$13:$J$22)+'ALTERNATIVE 1 (ATCF)'!$J$12</f>
        <v>-14850330.893583316</v>
      </c>
    </row>
    <row r="11" spans="1:2" ht="18" x14ac:dyDescent="0.25">
      <c r="A11" s="284">
        <v>0.09</v>
      </c>
      <c r="B11" s="276">
        <f>NPV(A11,'ALTERNATIVE 1 (ATCF)'!$J$13:$J$22)+'ALTERNATIVE 1 (ATCF)'!$J$12</f>
        <v>-15272453.966975484</v>
      </c>
    </row>
    <row r="12" spans="1:2" ht="18" x14ac:dyDescent="0.25">
      <c r="A12" s="283">
        <v>0.1</v>
      </c>
      <c r="B12" s="276">
        <f>NPV(A12,'ALTERNATIVE 1 (ATCF)'!$J$13:$J$22)+'ALTERNATIVE 1 (ATCF)'!$J$12</f>
        <v>-15645856.647488575</v>
      </c>
    </row>
    <row r="13" spans="1:2" ht="18" x14ac:dyDescent="0.25">
      <c r="A13" s="283">
        <v>0.11</v>
      </c>
      <c r="B13" s="276">
        <f>NPV(A13,'ALTERNATIVE 1 (ATCF)'!$J$13:$J$22)+'ALTERNATIVE 1 (ATCF)'!$J$12</f>
        <v>-15975535.973749433</v>
      </c>
    </row>
    <row r="14" spans="1:2" ht="18" x14ac:dyDescent="0.25">
      <c r="A14" s="283">
        <v>0.12</v>
      </c>
      <c r="B14" s="276">
        <f>NPV(A14,'ALTERNATIVE 1 (ATCF)'!$J$13:$J$22)+'ALTERNATIVE 1 (ATCF)'!$J$12</f>
        <v>-16265954.247292064</v>
      </c>
    </row>
    <row r="15" spans="1:2" ht="18" x14ac:dyDescent="0.25">
      <c r="A15" s="283">
        <v>0.13</v>
      </c>
      <c r="B15" s="276">
        <f>NPV(A15,'ALTERNATIVE 1 (ATCF)'!$J$13:$J$22)+'ALTERNATIVE 1 (ATCF)'!$J$12</f>
        <v>-16521099.964926869</v>
      </c>
    </row>
    <row r="16" spans="1:2" ht="18" x14ac:dyDescent="0.25">
      <c r="A16" s="283">
        <v>0.14000000000000001</v>
      </c>
      <c r="B16" s="276">
        <f>NPV(A16,'ALTERNATIVE 1 (ATCF)'!$J$13:$J$22)+'ALTERNATIVE 1 (ATCF)'!$J$12</f>
        <v>-16744541.352106251</v>
      </c>
    </row>
    <row r="17" spans="1:2" ht="18" x14ac:dyDescent="0.25">
      <c r="A17" s="283">
        <v>0.15</v>
      </c>
      <c r="B17" s="276">
        <f>NPV(A17,'ALTERNATIVE 1 (ATCF)'!$J$13:$J$22)+'ALTERNATIVE 1 (ATCF)'!$J$12</f>
        <v>-16939473.451637316</v>
      </c>
    </row>
    <row r="18" spans="1:2" ht="18" x14ac:dyDescent="0.25">
      <c r="A18" s="283">
        <v>0.16</v>
      </c>
      <c r="B18" s="276">
        <f>NPV(A18,'ALTERNATIVE 1 (ATCF)'!$J$13:$J$22)+'ALTERNATIVE 1 (ATCF)'!$J$12</f>
        <v>-17108759.591856837</v>
      </c>
    </row>
    <row r="19" spans="1:2" ht="18" x14ac:dyDescent="0.25">
      <c r="A19" s="283">
        <v>0.17</v>
      </c>
      <c r="B19" s="276">
        <f>NPV(A19,'ALTERNATIVE 1 (ATCF)'!$J$13:$J$22)+'ALTERNATIVE 1 (ATCF)'!$J$12</f>
        <v>-17254967.94687837</v>
      </c>
    </row>
    <row r="20" spans="1:2" ht="18" x14ac:dyDescent="0.25">
      <c r="A20" s="283">
        <v>0.18</v>
      </c>
      <c r="B20" s="276">
        <f>NPV(A20,'ALTERNATIVE 1 (ATCF)'!$J$13:$J$22)+'ALTERNATIVE 1 (ATCF)'!$J$12</f>
        <v>-17380403.805919435</v>
      </c>
    </row>
    <row r="21" spans="1:2" ht="18" x14ac:dyDescent="0.25">
      <c r="A21" s="283">
        <v>0.19</v>
      </c>
      <c r="B21" s="276">
        <f>NPV(A21,'ALTERNATIVE 1 (ATCF)'!$J$13:$J$22)+'ALTERNATIVE 1 (ATCF)'!$J$12</f>
        <v>-17487138.086633906</v>
      </c>
    </row>
    <row r="22" spans="1:2" ht="18.600000000000001" thickBot="1" x14ac:dyDescent="0.3">
      <c r="A22" s="453">
        <v>0.2</v>
      </c>
      <c r="B22" s="454">
        <f>NPV(A22,'ALTERNATIVE 1 (ATCF)'!$J$13:$J$22)+'ALTERNATIVE 1 (ATCF)'!$J$12</f>
        <v>-17577032.556803901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zoomScale="75" zoomScaleNormal="50" workbookViewId="0">
      <selection activeCell="F1" sqref="F1"/>
    </sheetView>
  </sheetViews>
  <sheetFormatPr defaultColWidth="9" defaultRowHeight="13.2" x14ac:dyDescent="0.25"/>
  <cols>
    <col min="1" max="1" width="5.33203125" style="16" bestFit="1" customWidth="1"/>
    <col min="2" max="2" width="17.44140625" style="16" bestFit="1" customWidth="1"/>
    <col min="3" max="4" width="17.109375" style="16" bestFit="1" customWidth="1"/>
    <col min="5" max="5" width="16.109375" style="16" bestFit="1" customWidth="1"/>
    <col min="6" max="6" width="16.6640625" style="16" bestFit="1" customWidth="1"/>
    <col min="7" max="7" width="16.109375" style="16" bestFit="1" customWidth="1"/>
    <col min="8" max="8" width="16.44140625" style="16" bestFit="1" customWidth="1"/>
    <col min="9" max="9" width="16.77734375" style="16" bestFit="1" customWidth="1"/>
    <col min="10" max="10" width="13.6640625" style="16" bestFit="1" customWidth="1"/>
    <col min="11" max="11" width="17.44140625" style="16" bestFit="1" customWidth="1"/>
    <col min="12" max="16384" width="9" style="16"/>
  </cols>
  <sheetData>
    <row r="1" spans="1:11" ht="15.6" x14ac:dyDescent="0.3">
      <c r="A1" s="197"/>
      <c r="B1" s="198" t="s">
        <v>60</v>
      </c>
      <c r="C1" s="199">
        <f>'INVESTMENT COST'!E14</f>
        <v>11363000</v>
      </c>
      <c r="D1" s="197"/>
      <c r="E1" s="197"/>
      <c r="F1" s="197"/>
      <c r="G1" s="197"/>
      <c r="H1" s="197"/>
      <c r="I1" s="197"/>
      <c r="J1" s="197"/>
      <c r="K1" s="197"/>
    </row>
    <row r="2" spans="1:11" ht="15.6" x14ac:dyDescent="0.3">
      <c r="A2" s="197"/>
      <c r="B2" s="200" t="s">
        <v>50</v>
      </c>
      <c r="C2" s="201">
        <f>'PROJECT FUNDING'!B2</f>
        <v>26232000</v>
      </c>
      <c r="D2" s="197"/>
      <c r="E2" s="197"/>
      <c r="F2" s="197"/>
      <c r="G2" s="197"/>
      <c r="H2" s="197"/>
      <c r="I2" s="197"/>
      <c r="J2" s="197"/>
      <c r="K2" s="197"/>
    </row>
    <row r="3" spans="1:11" ht="15.6" x14ac:dyDescent="0.3">
      <c r="A3" s="197"/>
      <c r="B3" s="200" t="s">
        <v>80</v>
      </c>
      <c r="C3" s="202">
        <v>10</v>
      </c>
      <c r="D3" s="197"/>
      <c r="E3" s="197"/>
      <c r="F3" s="197"/>
      <c r="G3" s="197"/>
      <c r="H3" s="197"/>
      <c r="I3" s="197"/>
      <c r="J3" s="197"/>
      <c r="K3" s="197"/>
    </row>
    <row r="4" spans="1:11" ht="15.6" x14ac:dyDescent="0.3">
      <c r="A4" s="197"/>
      <c r="B4" s="200" t="s">
        <v>49</v>
      </c>
      <c r="C4" s="203">
        <f>'PROJECT FUNDING'!J4</f>
        <v>6.0000000000000005E-2</v>
      </c>
      <c r="D4" s="197"/>
      <c r="E4" s="197"/>
      <c r="F4" s="197"/>
      <c r="G4" s="197"/>
      <c r="H4" s="197"/>
      <c r="I4" s="197"/>
      <c r="J4" s="197"/>
      <c r="K4" s="197"/>
    </row>
    <row r="5" spans="1:11" ht="16.2" thickBot="1" x14ac:dyDescent="0.35">
      <c r="A5" s="197"/>
      <c r="B5" s="204" t="s">
        <v>47</v>
      </c>
      <c r="C5" s="205">
        <f>'PROJECT FUNDING'!B11</f>
        <v>5.8000000000000003E-2</v>
      </c>
      <c r="D5" s="197"/>
      <c r="E5" s="197"/>
      <c r="F5" s="197"/>
      <c r="G5" s="197"/>
      <c r="H5" s="197"/>
      <c r="I5" s="197"/>
      <c r="J5" s="197"/>
      <c r="K5" s="197"/>
    </row>
    <row r="6" spans="1:11" ht="13.8" thickBot="1" x14ac:dyDescent="0.3">
      <c r="A6" s="197"/>
      <c r="B6" s="206"/>
      <c r="C6" s="197"/>
      <c r="D6" s="197"/>
      <c r="E6" s="197"/>
      <c r="F6" s="197"/>
      <c r="G6" s="197"/>
      <c r="H6" s="197"/>
      <c r="I6" s="197"/>
      <c r="J6" s="197"/>
      <c r="K6" s="197"/>
    </row>
    <row r="7" spans="1:11" ht="15.6" x14ac:dyDescent="0.25">
      <c r="A7" s="548" t="s">
        <v>202</v>
      </c>
      <c r="B7" s="549"/>
      <c r="C7" s="549"/>
      <c r="D7" s="549"/>
      <c r="E7" s="549"/>
      <c r="F7" s="549"/>
      <c r="G7" s="549"/>
      <c r="H7" s="549"/>
      <c r="I7" s="549"/>
      <c r="J7" s="549"/>
      <c r="K7" s="550"/>
    </row>
    <row r="8" spans="1:11" ht="15.6" x14ac:dyDescent="0.25">
      <c r="A8" s="209" t="s">
        <v>31</v>
      </c>
      <c r="B8" s="207" t="s">
        <v>60</v>
      </c>
      <c r="C8" s="207" t="s">
        <v>89</v>
      </c>
      <c r="D8" s="207" t="s">
        <v>97</v>
      </c>
      <c r="E8" s="207" t="s">
        <v>88</v>
      </c>
      <c r="F8" s="207" t="s">
        <v>98</v>
      </c>
      <c r="G8" s="207" t="s">
        <v>99</v>
      </c>
      <c r="H8" s="207" t="s">
        <v>100</v>
      </c>
      <c r="I8" s="207" t="s">
        <v>101</v>
      </c>
      <c r="J8" s="207" t="s">
        <v>102</v>
      </c>
      <c r="K8" s="210" t="s">
        <v>103</v>
      </c>
    </row>
    <row r="9" spans="1:11" ht="15.6" x14ac:dyDescent="0.25">
      <c r="A9" s="211">
        <v>0</v>
      </c>
      <c r="B9" s="56"/>
      <c r="C9" s="57">
        <f>-'PROJECT FUNDING'!$B$9</f>
        <v>-17050800</v>
      </c>
      <c r="D9" s="56"/>
      <c r="E9" s="57">
        <f>-'PROJECT FUNDING'!$E$9</f>
        <v>-2623200</v>
      </c>
      <c r="F9" s="56"/>
      <c r="G9" s="57">
        <f>-'PROJECT FUNDING'!$I$9</f>
        <v>-6558000</v>
      </c>
      <c r="H9" s="56"/>
      <c r="I9" s="56"/>
      <c r="J9" s="56"/>
      <c r="K9" s="95">
        <f t="shared" ref="K9:K14" si="0">SUM(B9:J9)</f>
        <v>-26232000</v>
      </c>
    </row>
    <row r="10" spans="1:11" ht="15.6" x14ac:dyDescent="0.25">
      <c r="A10" s="211">
        <v>1</v>
      </c>
      <c r="B10" s="57">
        <f>-($C$1+'INVESTMENT COST'!$D$14)</f>
        <v>-19788000</v>
      </c>
      <c r="C10" s="57"/>
      <c r="D10" s="57">
        <f>PMT($C$5,$C$3,-$C$9)</f>
        <v>-2294755.8601898104</v>
      </c>
      <c r="E10" s="57"/>
      <c r="F10" s="57">
        <f>$E$9*0.15</f>
        <v>-393480</v>
      </c>
      <c r="G10" s="57"/>
      <c r="H10" s="57">
        <f>PMT('PROJECT FUNDING'!$I$13,'ALTERNATIVE 1 CF'!$C$3,-'ALTERNATIVE 1 CF'!$G$9)</f>
        <v>-1160662.1485602574</v>
      </c>
      <c r="I10" s="57">
        <f>'REVENUE GENERATED FROM SALES'!E16</f>
        <v>15152000</v>
      </c>
      <c r="J10" s="57"/>
      <c r="K10" s="95">
        <f t="shared" si="0"/>
        <v>-8484898.0087500662</v>
      </c>
    </row>
    <row r="11" spans="1:11" ht="15.6" x14ac:dyDescent="0.25">
      <c r="A11" s="211">
        <v>2</v>
      </c>
      <c r="B11" s="57">
        <f>-$C$1</f>
        <v>-11363000</v>
      </c>
      <c r="C11" s="57"/>
      <c r="D11" s="57">
        <f>PMT($C$5,$C$3,-$C$9)</f>
        <v>-2294755.8601898104</v>
      </c>
      <c r="E11" s="57"/>
      <c r="F11" s="57">
        <f t="shared" ref="F11:F19" si="1">$E$9*0.15</f>
        <v>-393480</v>
      </c>
      <c r="G11" s="57"/>
      <c r="H11" s="57">
        <f>PMT('PROJECT FUNDING'!$I$13,'ALTERNATIVE 1 CF'!$C$3,-'ALTERNATIVE 1 CF'!$G$9)</f>
        <v>-1160662.1485602574</v>
      </c>
      <c r="I11" s="57">
        <f>I10*1.058</f>
        <v>16030816</v>
      </c>
      <c r="J11" s="57"/>
      <c r="K11" s="95">
        <f t="shared" si="0"/>
        <v>818917.99124993198</v>
      </c>
    </row>
    <row r="12" spans="1:11" ht="15.6" x14ac:dyDescent="0.25">
      <c r="A12" s="211">
        <v>3</v>
      </c>
      <c r="B12" s="57">
        <f>-$C$1</f>
        <v>-11363000</v>
      </c>
      <c r="C12" s="57"/>
      <c r="D12" s="57">
        <f>PMT($C$5,$C$3,-$C$9)</f>
        <v>-2294755.8601898104</v>
      </c>
      <c r="E12" s="57"/>
      <c r="F12" s="57">
        <f t="shared" si="1"/>
        <v>-393480</v>
      </c>
      <c r="G12" s="57"/>
      <c r="H12" s="57">
        <f>PMT('PROJECT FUNDING'!$I$13,'ALTERNATIVE 1 CF'!$C$3,-'ALTERNATIVE 1 CF'!$G$9)</f>
        <v>-1160662.1485602574</v>
      </c>
      <c r="I12" s="57">
        <f>I11*1.058</f>
        <v>16960603.328000002</v>
      </c>
      <c r="J12" s="57"/>
      <c r="K12" s="95">
        <f t="shared" si="0"/>
        <v>1748705.3192499336</v>
      </c>
    </row>
    <row r="13" spans="1:11" ht="15.6" x14ac:dyDescent="0.25">
      <c r="A13" s="211">
        <v>4</v>
      </c>
      <c r="B13" s="57">
        <f>-$C$1</f>
        <v>-11363000</v>
      </c>
      <c r="C13" s="57"/>
      <c r="D13" s="57">
        <f>PMT($C$5,$C$3,-$C$9)</f>
        <v>-2294755.8601898104</v>
      </c>
      <c r="E13" s="57"/>
      <c r="F13" s="57">
        <f t="shared" si="1"/>
        <v>-393480</v>
      </c>
      <c r="G13" s="57"/>
      <c r="H13" s="57">
        <f>PMT('PROJECT FUNDING'!$I$13,'ALTERNATIVE 1 CF'!$C$3,-'ALTERNATIVE 1 CF'!$G$9)</f>
        <v>-1160662.1485602574</v>
      </c>
      <c r="I13" s="57">
        <f t="shared" ref="I13:I19" si="2">I12*1.058</f>
        <v>17944318.321024004</v>
      </c>
      <c r="J13" s="57"/>
      <c r="K13" s="95">
        <f t="shared" si="0"/>
        <v>2732420.3122739363</v>
      </c>
    </row>
    <row r="14" spans="1:11" ht="15.6" x14ac:dyDescent="0.25">
      <c r="A14" s="211">
        <v>5</v>
      </c>
      <c r="B14" s="57">
        <f>-$C$1</f>
        <v>-11363000</v>
      </c>
      <c r="C14" s="57"/>
      <c r="D14" s="57">
        <f>PMT($C$5,$C$3,-$C$9)</f>
        <v>-2294755.8601898104</v>
      </c>
      <c r="E14" s="57"/>
      <c r="F14" s="57">
        <f t="shared" si="1"/>
        <v>-393480</v>
      </c>
      <c r="G14" s="57"/>
      <c r="H14" s="57">
        <f>PMT('PROJECT FUNDING'!$I$13,'ALTERNATIVE 1 CF'!$C$3,-'ALTERNATIVE 1 CF'!$G$9)</f>
        <v>-1160662.1485602574</v>
      </c>
      <c r="I14" s="57">
        <f t="shared" si="2"/>
        <v>18985088.783643398</v>
      </c>
      <c r="J14" s="57"/>
      <c r="K14" s="95">
        <f t="shared" si="0"/>
        <v>3773190.7748933304</v>
      </c>
    </row>
    <row r="15" spans="1:11" ht="15.6" x14ac:dyDescent="0.3">
      <c r="A15" s="182">
        <v>6</v>
      </c>
      <c r="B15" s="57">
        <f t="shared" ref="B15:B19" si="3">-$C$1</f>
        <v>-11363000</v>
      </c>
      <c r="C15" s="57"/>
      <c r="D15" s="57">
        <f t="shared" ref="D15:D19" si="4">PMT($C$5,$C$3,-$C$9)</f>
        <v>-2294755.8601898104</v>
      </c>
      <c r="E15" s="57"/>
      <c r="F15" s="57">
        <f t="shared" si="1"/>
        <v>-393480</v>
      </c>
      <c r="G15" s="57"/>
      <c r="H15" s="57">
        <f>PMT('PROJECT FUNDING'!$I$13,'ALTERNATIVE 1 CF'!$C$3,-'ALTERNATIVE 1 CF'!$G$9)</f>
        <v>-1160662.1485602574</v>
      </c>
      <c r="I15" s="57">
        <f t="shared" si="2"/>
        <v>20086223.933094718</v>
      </c>
      <c r="J15" s="57"/>
      <c r="K15" s="95">
        <f t="shared" ref="K15:K19" si="5">SUM(B15:J15)</f>
        <v>4874325.9243446495</v>
      </c>
    </row>
    <row r="16" spans="1:11" ht="15.6" x14ac:dyDescent="0.3">
      <c r="A16" s="182">
        <v>7</v>
      </c>
      <c r="B16" s="57">
        <f t="shared" si="3"/>
        <v>-11363000</v>
      </c>
      <c r="C16" s="57"/>
      <c r="D16" s="57">
        <f t="shared" si="4"/>
        <v>-2294755.8601898104</v>
      </c>
      <c r="E16" s="57"/>
      <c r="F16" s="57">
        <f t="shared" si="1"/>
        <v>-393480</v>
      </c>
      <c r="G16" s="57"/>
      <c r="H16" s="57">
        <f>PMT('PROJECT FUNDING'!$I$13,'ALTERNATIVE 1 CF'!$C$3,-'ALTERNATIVE 1 CF'!$G$9)</f>
        <v>-1160662.1485602574</v>
      </c>
      <c r="I16" s="57">
        <f t="shared" si="2"/>
        <v>21251224.921214212</v>
      </c>
      <c r="J16" s="57"/>
      <c r="K16" s="95">
        <f t="shared" si="5"/>
        <v>6039326.9124641437</v>
      </c>
    </row>
    <row r="17" spans="1:11" ht="15.6" x14ac:dyDescent="0.3">
      <c r="A17" s="182">
        <v>8</v>
      </c>
      <c r="B17" s="57">
        <f t="shared" si="3"/>
        <v>-11363000</v>
      </c>
      <c r="C17" s="57"/>
      <c r="D17" s="57">
        <f t="shared" si="4"/>
        <v>-2294755.8601898104</v>
      </c>
      <c r="E17" s="57"/>
      <c r="F17" s="57">
        <f t="shared" si="1"/>
        <v>-393480</v>
      </c>
      <c r="G17" s="57"/>
      <c r="H17" s="57">
        <f>PMT('PROJECT FUNDING'!$I$13,'ALTERNATIVE 1 CF'!$C$3,-'ALTERNATIVE 1 CF'!$G$9)</f>
        <v>-1160662.1485602574</v>
      </c>
      <c r="I17" s="57">
        <f t="shared" si="2"/>
        <v>22483795.966644637</v>
      </c>
      <c r="J17" s="57"/>
      <c r="K17" s="95">
        <f t="shared" si="5"/>
        <v>7271897.9578945693</v>
      </c>
    </row>
    <row r="18" spans="1:11" ht="15.6" x14ac:dyDescent="0.3">
      <c r="A18" s="182">
        <v>9</v>
      </c>
      <c r="B18" s="57">
        <f t="shared" si="3"/>
        <v>-11363000</v>
      </c>
      <c r="C18" s="57"/>
      <c r="D18" s="57">
        <f t="shared" si="4"/>
        <v>-2294755.8601898104</v>
      </c>
      <c r="E18" s="57"/>
      <c r="F18" s="57">
        <f t="shared" si="1"/>
        <v>-393480</v>
      </c>
      <c r="G18" s="57"/>
      <c r="H18" s="57">
        <f>PMT('PROJECT FUNDING'!$I$13,'ALTERNATIVE 1 CF'!$C$3,-'ALTERNATIVE 1 CF'!$G$9)</f>
        <v>-1160662.1485602574</v>
      </c>
      <c r="I18" s="57">
        <f t="shared" si="2"/>
        <v>23787856.132710028</v>
      </c>
      <c r="J18" s="57"/>
      <c r="K18" s="95">
        <f t="shared" si="5"/>
        <v>8575958.1239599604</v>
      </c>
    </row>
    <row r="19" spans="1:11" ht="16.2" thickBot="1" x14ac:dyDescent="0.35">
      <c r="A19" s="183">
        <v>10</v>
      </c>
      <c r="B19" s="96">
        <f t="shared" si="3"/>
        <v>-11363000</v>
      </c>
      <c r="C19" s="96"/>
      <c r="D19" s="96">
        <f t="shared" si="4"/>
        <v>-2294755.8601898104</v>
      </c>
      <c r="E19" s="96"/>
      <c r="F19" s="96">
        <f t="shared" si="1"/>
        <v>-393480</v>
      </c>
      <c r="G19" s="96"/>
      <c r="H19" s="96">
        <f>PMT('PROJECT FUNDING'!$I$13,'ALTERNATIVE 1 CF'!$C$3,-'ALTERNATIVE 1 CF'!$G$9)</f>
        <v>-1160662.1485602574</v>
      </c>
      <c r="I19" s="96">
        <f t="shared" si="2"/>
        <v>25167551.78840721</v>
      </c>
      <c r="J19" s="96">
        <f>DEPRECIATION!$D$4+DEPRECIATION!$D$8</f>
        <v>700000</v>
      </c>
      <c r="K19" s="97">
        <f t="shared" si="5"/>
        <v>10655653.779657142</v>
      </c>
    </row>
    <row r="20" spans="1:11" ht="16.2" thickBot="1" x14ac:dyDescent="0.3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</row>
    <row r="21" spans="1:11" ht="16.2" thickBot="1" x14ac:dyDescent="0.3">
      <c r="A21" s="197"/>
      <c r="B21" s="197"/>
      <c r="C21" s="197"/>
      <c r="D21" s="197"/>
      <c r="E21" s="197"/>
      <c r="F21" s="197"/>
      <c r="G21" s="197"/>
      <c r="H21" s="197"/>
      <c r="I21" s="197"/>
      <c r="J21" s="349" t="s">
        <v>104</v>
      </c>
      <c r="K21" s="350">
        <f>NPV($C$4,K10:K19)+K9</f>
        <v>-4014318.144240655</v>
      </c>
    </row>
    <row r="22" spans="1:11" ht="13.8" thickBot="1" x14ac:dyDescent="0.3">
      <c r="A22" s="197"/>
      <c r="B22" s="197"/>
      <c r="C22" s="197"/>
      <c r="D22" s="197"/>
      <c r="E22" s="197"/>
      <c r="F22" s="197"/>
      <c r="G22" s="197"/>
      <c r="H22" s="197"/>
      <c r="I22" s="197"/>
      <c r="J22" s="197"/>
      <c r="K22" s="197"/>
    </row>
    <row r="23" spans="1:11" ht="15.6" x14ac:dyDescent="0.3">
      <c r="A23" s="551" t="s">
        <v>105</v>
      </c>
      <c r="B23" s="552"/>
      <c r="C23" s="552"/>
      <c r="D23" s="552"/>
      <c r="E23" s="552"/>
      <c r="F23" s="552"/>
      <c r="G23" s="552"/>
      <c r="H23" s="552"/>
      <c r="I23" s="552"/>
      <c r="J23" s="552"/>
      <c r="K23" s="553"/>
    </row>
    <row r="24" spans="1:11" ht="15.6" x14ac:dyDescent="0.25">
      <c r="A24" s="209" t="s">
        <v>31</v>
      </c>
      <c r="B24" s="207" t="s">
        <v>60</v>
      </c>
      <c r="C24" s="207" t="s">
        <v>89</v>
      </c>
      <c r="D24" s="207" t="s">
        <v>97</v>
      </c>
      <c r="E24" s="207" t="s">
        <v>88</v>
      </c>
      <c r="F24" s="207" t="s">
        <v>98</v>
      </c>
      <c r="G24" s="207" t="s">
        <v>99</v>
      </c>
      <c r="H24" s="207" t="s">
        <v>100</v>
      </c>
      <c r="I24" s="207" t="s">
        <v>101</v>
      </c>
      <c r="J24" s="207" t="s">
        <v>102</v>
      </c>
      <c r="K24" s="210" t="s">
        <v>103</v>
      </c>
    </row>
    <row r="25" spans="1:11" ht="15.6" x14ac:dyDescent="0.25">
      <c r="A25" s="211">
        <v>0</v>
      </c>
      <c r="B25" s="56"/>
      <c r="C25" s="57">
        <f>-'PROJECT FUNDING'!$B$9</f>
        <v>-17050800</v>
      </c>
      <c r="D25" s="56"/>
      <c r="E25" s="57">
        <f>-'PROJECT FUNDING'!$E$9</f>
        <v>-2623200</v>
      </c>
      <c r="F25" s="56"/>
      <c r="G25" s="57">
        <f>-'PROJECT FUNDING'!$I$9</f>
        <v>-6558000</v>
      </c>
      <c r="H25" s="56"/>
      <c r="I25" s="56"/>
      <c r="J25" s="56"/>
      <c r="K25" s="95">
        <f t="shared" ref="K25:K30" si="6">SUM(B25:J25)</f>
        <v>-26232000</v>
      </c>
    </row>
    <row r="26" spans="1:11" ht="15.6" x14ac:dyDescent="0.25">
      <c r="A26" s="211">
        <v>1</v>
      </c>
      <c r="B26" s="57">
        <f>-($C$1+'INVESTMENT COST'!$D$14)</f>
        <v>-19788000</v>
      </c>
      <c r="C26" s="57"/>
      <c r="D26" s="57">
        <f>--$C$25*$C$5</f>
        <v>-988946.4</v>
      </c>
      <c r="E26" s="57"/>
      <c r="F26" s="57">
        <f>$E$9*0.15</f>
        <v>-393480</v>
      </c>
      <c r="G26" s="57"/>
      <c r="H26" s="57">
        <f>PMT('PROJECT FUNDING'!$I$13,'ALTERNATIVE 1 CF'!$C$3,-'ALTERNATIVE 1 CF'!$G$9)</f>
        <v>-1160662.1485602574</v>
      </c>
      <c r="I26" s="57">
        <f>I10</f>
        <v>15152000</v>
      </c>
      <c r="J26" s="57"/>
      <c r="K26" s="95">
        <f t="shared" si="6"/>
        <v>-7179088.5485602543</v>
      </c>
    </row>
    <row r="27" spans="1:11" ht="15.6" x14ac:dyDescent="0.25">
      <c r="A27" s="211">
        <v>2</v>
      </c>
      <c r="B27" s="57">
        <f>-$C$1</f>
        <v>-11363000</v>
      </c>
      <c r="C27" s="57"/>
      <c r="D27" s="57">
        <f>--$C$25*$C$5</f>
        <v>-988946.4</v>
      </c>
      <c r="E27" s="57"/>
      <c r="F27" s="57">
        <f t="shared" ref="F27:F35" si="7">$E$9*0.15</f>
        <v>-393480</v>
      </c>
      <c r="G27" s="57"/>
      <c r="H27" s="57">
        <f>PMT('PROJECT FUNDING'!$I$13,'ALTERNATIVE 1 CF'!$C$3,-'ALTERNATIVE 1 CF'!$G$9)</f>
        <v>-1160662.1485602574</v>
      </c>
      <c r="I27" s="57">
        <f>I26*1.05</f>
        <v>15909600</v>
      </c>
      <c r="J27" s="57"/>
      <c r="K27" s="95">
        <f t="shared" si="6"/>
        <v>2003511.451439742</v>
      </c>
    </row>
    <row r="28" spans="1:11" ht="15.6" x14ac:dyDescent="0.25">
      <c r="A28" s="211">
        <v>3</v>
      </c>
      <c r="B28" s="57">
        <f>-$C$1</f>
        <v>-11363000</v>
      </c>
      <c r="C28" s="57"/>
      <c r="D28" s="57">
        <f>--$C$25*$C$5</f>
        <v>-988946.4</v>
      </c>
      <c r="E28" s="57"/>
      <c r="F28" s="57">
        <f t="shared" si="7"/>
        <v>-393480</v>
      </c>
      <c r="G28" s="57"/>
      <c r="H28" s="57">
        <f>PMT('PROJECT FUNDING'!$I$13,'ALTERNATIVE 1 CF'!$C$3,-'ALTERNATIVE 1 CF'!$G$9)</f>
        <v>-1160662.1485602574</v>
      </c>
      <c r="I28" s="57">
        <f t="shared" ref="I28:I35" si="8">I27*1.05</f>
        <v>16705080</v>
      </c>
      <c r="J28" s="57"/>
      <c r="K28" s="95">
        <f t="shared" si="6"/>
        <v>2798991.451439742</v>
      </c>
    </row>
    <row r="29" spans="1:11" ht="15.6" x14ac:dyDescent="0.25">
      <c r="A29" s="211">
        <v>4</v>
      </c>
      <c r="B29" s="57">
        <f>-$C$1</f>
        <v>-11363000</v>
      </c>
      <c r="C29" s="57"/>
      <c r="D29" s="57">
        <f>--$C$25*$C$5</f>
        <v>-988946.4</v>
      </c>
      <c r="E29" s="57"/>
      <c r="F29" s="57">
        <f t="shared" si="7"/>
        <v>-393480</v>
      </c>
      <c r="G29" s="57"/>
      <c r="H29" s="57">
        <f>PMT('PROJECT FUNDING'!$I$13,'ALTERNATIVE 1 CF'!$C$3,-'ALTERNATIVE 1 CF'!$G$9)</f>
        <v>-1160662.1485602574</v>
      </c>
      <c r="I29" s="57">
        <f t="shared" si="8"/>
        <v>17540334</v>
      </c>
      <c r="J29" s="57"/>
      <c r="K29" s="95">
        <f t="shared" si="6"/>
        <v>3634245.451439742</v>
      </c>
    </row>
    <row r="30" spans="1:11" ht="15.6" x14ac:dyDescent="0.25">
      <c r="A30" s="211">
        <v>5</v>
      </c>
      <c r="B30" s="57">
        <f>-$C$1</f>
        <v>-11363000</v>
      </c>
      <c r="C30" s="57"/>
      <c r="D30" s="57">
        <f>--$C$25*$C$5</f>
        <v>-988946.4</v>
      </c>
      <c r="E30" s="57"/>
      <c r="F30" s="57">
        <f t="shared" si="7"/>
        <v>-393480</v>
      </c>
      <c r="G30" s="57"/>
      <c r="H30" s="57">
        <f>PMT('PROJECT FUNDING'!$I$13,'ALTERNATIVE 1 CF'!$C$3,-'ALTERNATIVE 1 CF'!$G$9)</f>
        <v>-1160662.1485602574</v>
      </c>
      <c r="I30" s="57">
        <f t="shared" si="8"/>
        <v>18417350.699999999</v>
      </c>
      <c r="J30" s="57"/>
      <c r="K30" s="95">
        <f t="shared" si="6"/>
        <v>4511262.1514397413</v>
      </c>
    </row>
    <row r="31" spans="1:11" ht="15.6" x14ac:dyDescent="0.3">
      <c r="A31" s="182">
        <v>6</v>
      </c>
      <c r="B31" s="57">
        <f t="shared" ref="B31:B35" si="9">-$C$1</f>
        <v>-11363000</v>
      </c>
      <c r="C31" s="57"/>
      <c r="D31" s="57">
        <f t="shared" ref="D31:D34" si="10">($C$25*$C$5)+C26</f>
        <v>-988946.4</v>
      </c>
      <c r="E31" s="57"/>
      <c r="F31" s="57">
        <f t="shared" si="7"/>
        <v>-393480</v>
      </c>
      <c r="G31" s="57"/>
      <c r="H31" s="57">
        <f>PMT('PROJECT FUNDING'!$I$13,'ALTERNATIVE 1 CF'!$C$3,-'ALTERNATIVE 1 CF'!$G$9)</f>
        <v>-1160662.1485602574</v>
      </c>
      <c r="I31" s="57">
        <f t="shared" si="8"/>
        <v>19338218.234999999</v>
      </c>
      <c r="J31" s="57"/>
      <c r="K31" s="95">
        <f t="shared" ref="K31:K35" si="11">SUM(B31:J31)</f>
        <v>5432129.6864397414</v>
      </c>
    </row>
    <row r="32" spans="1:11" ht="15.6" x14ac:dyDescent="0.3">
      <c r="A32" s="182">
        <v>7</v>
      </c>
      <c r="B32" s="57">
        <f t="shared" si="9"/>
        <v>-11363000</v>
      </c>
      <c r="C32" s="57"/>
      <c r="D32" s="57">
        <f t="shared" si="10"/>
        <v>-988946.4</v>
      </c>
      <c r="E32" s="57"/>
      <c r="F32" s="57">
        <f t="shared" si="7"/>
        <v>-393480</v>
      </c>
      <c r="G32" s="57"/>
      <c r="H32" s="57">
        <f>PMT('PROJECT FUNDING'!$I$13,'ALTERNATIVE 1 CF'!$C$3,-'ALTERNATIVE 1 CF'!$G$9)</f>
        <v>-1160662.1485602574</v>
      </c>
      <c r="I32" s="57">
        <f t="shared" si="8"/>
        <v>20305129.146749999</v>
      </c>
      <c r="J32" s="57"/>
      <c r="K32" s="95">
        <f t="shared" si="11"/>
        <v>6399040.5981897414</v>
      </c>
    </row>
    <row r="33" spans="1:11" ht="15.6" x14ac:dyDescent="0.3">
      <c r="A33" s="182">
        <v>8</v>
      </c>
      <c r="B33" s="57">
        <f t="shared" si="9"/>
        <v>-11363000</v>
      </c>
      <c r="C33" s="57"/>
      <c r="D33" s="57">
        <f t="shared" si="10"/>
        <v>-988946.4</v>
      </c>
      <c r="E33" s="57"/>
      <c r="F33" s="57">
        <f t="shared" si="7"/>
        <v>-393480</v>
      </c>
      <c r="G33" s="57"/>
      <c r="H33" s="57">
        <f>PMT('PROJECT FUNDING'!$I$13,'ALTERNATIVE 1 CF'!$C$3,-'ALTERNATIVE 1 CF'!$G$9)</f>
        <v>-1160662.1485602574</v>
      </c>
      <c r="I33" s="57">
        <f t="shared" si="8"/>
        <v>21320385.604087502</v>
      </c>
      <c r="J33" s="57"/>
      <c r="K33" s="95">
        <f t="shared" si="11"/>
        <v>7414297.0555272438</v>
      </c>
    </row>
    <row r="34" spans="1:11" ht="15.6" x14ac:dyDescent="0.3">
      <c r="A34" s="182">
        <v>9</v>
      </c>
      <c r="B34" s="57">
        <f t="shared" si="9"/>
        <v>-11363000</v>
      </c>
      <c r="C34" s="57"/>
      <c r="D34" s="57">
        <f t="shared" si="10"/>
        <v>-988946.4</v>
      </c>
      <c r="E34" s="57"/>
      <c r="F34" s="57">
        <f t="shared" si="7"/>
        <v>-393480</v>
      </c>
      <c r="G34" s="57"/>
      <c r="H34" s="57">
        <f>PMT('PROJECT FUNDING'!$I$13,'ALTERNATIVE 1 CF'!$C$3,-'ALTERNATIVE 1 CF'!$G$9)</f>
        <v>-1160662.1485602574</v>
      </c>
      <c r="I34" s="57">
        <f t="shared" si="8"/>
        <v>22386404.884291876</v>
      </c>
      <c r="J34" s="57"/>
      <c r="K34" s="95">
        <f t="shared" si="11"/>
        <v>8480316.3357316181</v>
      </c>
    </row>
    <row r="35" spans="1:11" ht="16.2" thickBot="1" x14ac:dyDescent="0.35">
      <c r="A35" s="183">
        <v>10</v>
      </c>
      <c r="B35" s="96">
        <f t="shared" si="9"/>
        <v>-11363000</v>
      </c>
      <c r="C35" s="96"/>
      <c r="D35" s="96">
        <f>($C$25*$C$5)+C25</f>
        <v>-18039746.399999999</v>
      </c>
      <c r="E35" s="96"/>
      <c r="F35" s="96">
        <f t="shared" si="7"/>
        <v>-393480</v>
      </c>
      <c r="G35" s="96"/>
      <c r="H35" s="96">
        <f>PMT('PROJECT FUNDING'!$I$13,'ALTERNATIVE 1 CF'!$C$3,-'ALTERNATIVE 1 CF'!$G$9)</f>
        <v>-1160662.1485602574</v>
      </c>
      <c r="I35" s="96">
        <f t="shared" si="8"/>
        <v>23505725.12850647</v>
      </c>
      <c r="J35" s="96">
        <f>DEPRECIATION!$D$4+DEPRECIATION!$D$8</f>
        <v>700000</v>
      </c>
      <c r="K35" s="97">
        <f t="shared" si="11"/>
        <v>-6751163.4200537838</v>
      </c>
    </row>
    <row r="36" spans="1:11" ht="15.6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spans="1:11" ht="15.6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</row>
    <row r="38" spans="1:11" ht="15.6" x14ac:dyDescent="0.25">
      <c r="A38" s="197"/>
      <c r="B38" s="197"/>
      <c r="C38" s="197"/>
      <c r="D38" s="197"/>
      <c r="E38" s="197"/>
      <c r="F38" s="197"/>
      <c r="G38" s="197"/>
      <c r="H38" s="197"/>
      <c r="I38" s="197"/>
      <c r="J38" s="351" t="s">
        <v>104</v>
      </c>
      <c r="K38" s="352">
        <f>NPV($C$4,K26:K35)+K25</f>
        <v>-8635121.4208634384</v>
      </c>
    </row>
  </sheetData>
  <mergeCells count="2">
    <mergeCell ref="A7:K7"/>
    <mergeCell ref="A23:K2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topLeftCell="C25" zoomScale="74" zoomScaleNormal="82" workbookViewId="0">
      <selection activeCell="I54" sqref="I54"/>
    </sheetView>
  </sheetViews>
  <sheetFormatPr defaultColWidth="9.109375" defaultRowHeight="13.8" x14ac:dyDescent="0.25"/>
  <cols>
    <col min="1" max="1" width="5.77734375" style="1" bestFit="1" customWidth="1"/>
    <col min="2" max="2" width="21.109375" style="1" bestFit="1" customWidth="1"/>
    <col min="3" max="3" width="21.77734375" style="1" customWidth="1"/>
    <col min="4" max="4" width="13.77734375" style="1" bestFit="1" customWidth="1"/>
    <col min="5" max="5" width="14.6640625" style="1" bestFit="1" customWidth="1"/>
    <col min="6" max="6" width="29" style="1" bestFit="1" customWidth="1"/>
    <col min="7" max="7" width="27.33203125" style="1" bestFit="1" customWidth="1"/>
    <col min="8" max="8" width="34.77734375" style="1" customWidth="1"/>
    <col min="9" max="9" width="17.33203125" style="1" bestFit="1" customWidth="1"/>
    <col min="10" max="10" width="25.77734375" style="1" customWidth="1"/>
    <col min="11" max="11" width="17.6640625" style="1" bestFit="1" customWidth="1"/>
    <col min="12" max="12" width="14" style="1" bestFit="1" customWidth="1"/>
    <col min="13" max="16384" width="9.109375" style="1"/>
  </cols>
  <sheetData>
    <row r="1" spans="1:11" ht="14.4" x14ac:dyDescent="0.3">
      <c r="A1" s="169"/>
      <c r="B1" s="213" t="s">
        <v>60</v>
      </c>
      <c r="C1" s="214">
        <f>'INVESTMENT COST'!E14</f>
        <v>11363000</v>
      </c>
      <c r="D1" s="169"/>
      <c r="E1" s="169"/>
      <c r="F1" s="554" t="s">
        <v>27</v>
      </c>
      <c r="G1" s="555"/>
      <c r="H1" s="555"/>
      <c r="I1" s="556"/>
      <c r="J1" s="169"/>
      <c r="K1" s="169"/>
    </row>
    <row r="2" spans="1:11" ht="14.4" x14ac:dyDescent="0.3">
      <c r="A2" s="169"/>
      <c r="B2" s="215" t="s">
        <v>50</v>
      </c>
      <c r="C2" s="216">
        <f>'PROJECT FUNDING'!B2</f>
        <v>26232000</v>
      </c>
      <c r="D2" s="169"/>
      <c r="E2" s="169"/>
      <c r="F2" s="153" t="s">
        <v>96</v>
      </c>
      <c r="G2" s="126" t="s">
        <v>36</v>
      </c>
      <c r="H2" s="126" t="s">
        <v>39</v>
      </c>
      <c r="I2" s="154" t="s">
        <v>37</v>
      </c>
      <c r="J2" s="169"/>
      <c r="K2" s="169"/>
    </row>
    <row r="3" spans="1:11" ht="14.4" x14ac:dyDescent="0.3">
      <c r="A3" s="169"/>
      <c r="B3" s="215" t="s">
        <v>80</v>
      </c>
      <c r="C3" s="217">
        <v>10</v>
      </c>
      <c r="D3" s="169"/>
      <c r="E3" s="169"/>
      <c r="F3" s="336" t="s">
        <v>236</v>
      </c>
      <c r="G3" s="126" t="s">
        <v>239</v>
      </c>
      <c r="H3" s="127">
        <f>'INVESTMENT COST'!D5</f>
        <v>1750000</v>
      </c>
      <c r="I3" s="155">
        <v>670000</v>
      </c>
      <c r="J3" s="169"/>
      <c r="K3" s="169"/>
    </row>
    <row r="4" spans="1:11" ht="14.4" x14ac:dyDescent="0.3">
      <c r="A4" s="169"/>
      <c r="B4" s="215" t="s">
        <v>49</v>
      </c>
      <c r="C4" s="218">
        <f>'PROJECT FUNDING'!J4</f>
        <v>6.0000000000000005E-2</v>
      </c>
      <c r="D4" s="169"/>
      <c r="E4" s="169"/>
      <c r="F4" s="560" t="s">
        <v>38</v>
      </c>
      <c r="G4" s="561"/>
      <c r="H4" s="332">
        <f>SUM(H3:H3)</f>
        <v>1750000</v>
      </c>
      <c r="I4" s="333">
        <f>SUM(I3:I3)</f>
        <v>670000</v>
      </c>
      <c r="J4" s="169"/>
      <c r="K4" s="169"/>
    </row>
    <row r="5" spans="1:11" ht="14.4" x14ac:dyDescent="0.3">
      <c r="A5" s="169"/>
      <c r="B5" s="219" t="s">
        <v>47</v>
      </c>
      <c r="C5" s="218">
        <f>'PROJECT FUNDING'!B11</f>
        <v>5.8000000000000003E-2</v>
      </c>
      <c r="D5" s="169"/>
      <c r="E5" s="169"/>
      <c r="F5" s="557"/>
      <c r="G5" s="558"/>
      <c r="H5" s="558"/>
      <c r="I5" s="559"/>
      <c r="J5" s="169"/>
      <c r="K5" s="169"/>
    </row>
    <row r="6" spans="1:11" ht="15" thickBot="1" x14ac:dyDescent="0.35">
      <c r="A6" s="169"/>
      <c r="B6" s="220" t="s">
        <v>48</v>
      </c>
      <c r="C6" s="221">
        <f>'PROJECT FUNDING'!B13</f>
        <v>0.4</v>
      </c>
      <c r="D6" s="169"/>
      <c r="E6" s="169"/>
      <c r="F6" s="153" t="s">
        <v>96</v>
      </c>
      <c r="G6" s="126" t="s">
        <v>36</v>
      </c>
      <c r="H6" s="126" t="s">
        <v>39</v>
      </c>
      <c r="I6" s="154" t="s">
        <v>37</v>
      </c>
      <c r="J6" s="169"/>
      <c r="K6" s="169"/>
    </row>
    <row r="7" spans="1:11" ht="14.4" x14ac:dyDescent="0.3">
      <c r="A7" s="169"/>
      <c r="B7" s="170"/>
      <c r="C7" s="171"/>
      <c r="D7" s="169"/>
      <c r="E7" s="169"/>
      <c r="F7" s="337" t="s">
        <v>237</v>
      </c>
      <c r="G7" s="126" t="s">
        <v>238</v>
      </c>
      <c r="H7" s="127">
        <f>'INVESTMENT COST'!D6</f>
        <v>980000</v>
      </c>
      <c r="I7" s="155">
        <v>0</v>
      </c>
      <c r="J7" s="169"/>
      <c r="K7" s="169"/>
    </row>
    <row r="8" spans="1:11" ht="15" thickBot="1" x14ac:dyDescent="0.35">
      <c r="A8" s="169"/>
      <c r="B8" s="170"/>
      <c r="C8" s="171"/>
      <c r="D8" s="169"/>
      <c r="E8" s="169"/>
      <c r="F8" s="537" t="s">
        <v>38</v>
      </c>
      <c r="G8" s="538"/>
      <c r="H8" s="334">
        <f>SUM(H7)</f>
        <v>980000</v>
      </c>
      <c r="I8" s="335">
        <f>SUM(I7)</f>
        <v>0</v>
      </c>
      <c r="J8" s="169"/>
      <c r="K8" s="169"/>
    </row>
    <row r="9" spans="1:11" ht="15" thickBot="1" x14ac:dyDescent="0.3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</row>
    <row r="10" spans="1:11" ht="14.4" x14ac:dyDescent="0.25">
      <c r="A10" s="562" t="s">
        <v>27</v>
      </c>
      <c r="B10" s="570"/>
      <c r="C10" s="570"/>
      <c r="D10" s="570"/>
      <c r="E10" s="570"/>
      <c r="F10" s="570"/>
      <c r="G10" s="570"/>
      <c r="H10" s="570"/>
      <c r="I10" s="570"/>
      <c r="J10" s="570"/>
      <c r="K10" s="563"/>
    </row>
    <row r="11" spans="1:11" ht="14.4" x14ac:dyDescent="0.25">
      <c r="A11" s="222" t="s">
        <v>31</v>
      </c>
      <c r="B11" s="179" t="s">
        <v>40</v>
      </c>
      <c r="C11" s="179" t="s">
        <v>45</v>
      </c>
      <c r="D11" s="179" t="s">
        <v>44</v>
      </c>
      <c r="E11" s="179" t="s">
        <v>208</v>
      </c>
      <c r="F11" s="383" t="s">
        <v>243</v>
      </c>
      <c r="G11" s="383" t="s">
        <v>244</v>
      </c>
      <c r="H11" s="179" t="s">
        <v>41</v>
      </c>
      <c r="I11" s="179" t="s">
        <v>42</v>
      </c>
      <c r="J11" s="179" t="s">
        <v>43</v>
      </c>
      <c r="K11" s="223" t="s">
        <v>122</v>
      </c>
    </row>
    <row r="12" spans="1:11" ht="14.4" x14ac:dyDescent="0.25">
      <c r="A12" s="222">
        <v>0</v>
      </c>
      <c r="B12" s="180">
        <f>-C2</f>
        <v>-26232000</v>
      </c>
      <c r="C12" s="180">
        <f>-'PROJECT FUNDING'!B9</f>
        <v>-17050800</v>
      </c>
      <c r="D12" s="212"/>
      <c r="E12" s="212"/>
      <c r="F12" s="212"/>
      <c r="G12" s="212"/>
      <c r="H12" s="212"/>
      <c r="I12" s="212"/>
      <c r="J12" s="180">
        <f>B12-C12</f>
        <v>-9181200</v>
      </c>
      <c r="K12" s="224">
        <f>J12</f>
        <v>-9181200</v>
      </c>
    </row>
    <row r="13" spans="1:11" ht="14.4" x14ac:dyDescent="0.25">
      <c r="A13" s="222">
        <v>1</v>
      </c>
      <c r="B13" s="212">
        <f>'ALTERNATIVE 2 CF'!B10+'ALTERNATIVE 2 CF'!I10+'ALTERNATIVE 2 CF'!F10</f>
        <v>-5029480</v>
      </c>
      <c r="C13" s="177">
        <f>-PPMT($C$5,A13,$C$3,-$C$12)</f>
        <v>1305809.4601898105</v>
      </c>
      <c r="D13" s="177">
        <f>-IPMT($C$5,A13,$C$3,-$C$12)</f>
        <v>988946.4</v>
      </c>
      <c r="E13" s="177">
        <f>-'ALTERNATIVE 2 CF'!H10</f>
        <v>1160662.1485602574</v>
      </c>
      <c r="F13" s="177">
        <f>DB($H$4,$I$4,$C$3,A13)</f>
        <v>161000</v>
      </c>
      <c r="G13" s="177">
        <f>SLN($H$8,$I$8,$C$3)</f>
        <v>98000</v>
      </c>
      <c r="H13" s="180">
        <f>B13-D13-F13-G13-E13</f>
        <v>-7438088.548560258</v>
      </c>
      <c r="I13" s="180">
        <f>H13*$C$6</f>
        <v>-2975235.4194241036</v>
      </c>
      <c r="J13" s="180">
        <f>B13-C13-D13-I13-E13</f>
        <v>-5509662.5893259645</v>
      </c>
      <c r="K13" s="224">
        <f>K12+J13</f>
        <v>-14690862.589325964</v>
      </c>
    </row>
    <row r="14" spans="1:11" ht="14.4" x14ac:dyDescent="0.25">
      <c r="A14" s="222">
        <v>2</v>
      </c>
      <c r="B14" s="212">
        <f>'ALTERNATIVE 2 CF'!B11+'ALTERNATIVE 2 CF'!I11+'ALTERNATIVE 2 CF'!F11</f>
        <v>4274336</v>
      </c>
      <c r="C14" s="177">
        <f>-PPMT($C$5,A14,$C$3,-$C$12)</f>
        <v>1381546.4088808196</v>
      </c>
      <c r="D14" s="177">
        <f>-IPMT($C$5,A14,$C$3,-$C$12)</f>
        <v>913209.45130899095</v>
      </c>
      <c r="E14" s="177">
        <f>-'ALTERNATIVE 2 CF'!H11</f>
        <v>1160662.1485602574</v>
      </c>
      <c r="F14" s="177">
        <f>DB($H$4,$I$4,$C$3,A14)</f>
        <v>146188</v>
      </c>
      <c r="G14" s="177">
        <f>SLN($H$8,$I$8,$C$3)</f>
        <v>98000</v>
      </c>
      <c r="H14" s="180">
        <f t="shared" ref="H14:H16" si="0">B14-D14-F14-G14-E14</f>
        <v>1956276.4001307518</v>
      </c>
      <c r="I14" s="180">
        <f>H14*$C$4</f>
        <v>117376.58400784511</v>
      </c>
      <c r="J14" s="180">
        <f t="shared" ref="J14:J17" si="1">B14-C14-D14-I14-E14</f>
        <v>701541.40724208718</v>
      </c>
      <c r="K14" s="224">
        <f t="shared" ref="K14:K17" si="2">K13+J14</f>
        <v>-13989321.182083877</v>
      </c>
    </row>
    <row r="15" spans="1:11" ht="14.4" x14ac:dyDescent="0.25">
      <c r="A15" s="222">
        <v>3</v>
      </c>
      <c r="B15" s="212">
        <f>'ALTERNATIVE 2 CF'!B12+'ALTERNATIVE 2 CF'!I12+'ALTERNATIVE 2 CF'!F12</f>
        <v>5204123.3280000016</v>
      </c>
      <c r="C15" s="177">
        <f>-PPMT($C$5,A15,$C$3,-$C$12)</f>
        <v>1461676.1005959071</v>
      </c>
      <c r="D15" s="177">
        <f>-IPMT($C$5,A15,$C$3,-$C$12)</f>
        <v>833079.75959390332</v>
      </c>
      <c r="E15" s="177">
        <f>-'ALTERNATIVE 2 CF'!H12</f>
        <v>1160662.1485602574</v>
      </c>
      <c r="F15" s="177">
        <f>DB($H$4,$I$4,$C$3,A15)</f>
        <v>132738.704</v>
      </c>
      <c r="G15" s="177">
        <f>SLN($H$8,$I$8,$C$3)</f>
        <v>98000</v>
      </c>
      <c r="H15" s="180">
        <f t="shared" si="0"/>
        <v>2979642.715845841</v>
      </c>
      <c r="I15" s="180">
        <f>H15*$C$4</f>
        <v>178778.56295075046</v>
      </c>
      <c r="J15" s="180">
        <f t="shared" si="1"/>
        <v>1569926.7562991835</v>
      </c>
      <c r="K15" s="224">
        <f t="shared" si="2"/>
        <v>-12419394.425784694</v>
      </c>
    </row>
    <row r="16" spans="1:11" ht="14.4" x14ac:dyDescent="0.25">
      <c r="A16" s="222">
        <v>4</v>
      </c>
      <c r="B16" s="212">
        <f>'ALTERNATIVE 2 CF'!B13+'ALTERNATIVE 2 CF'!I13+'ALTERNATIVE 2 CF'!F13</f>
        <v>6187838.3210240044</v>
      </c>
      <c r="C16" s="177">
        <f>-PPMT($C$5,A16,$C$3,-$C$12)</f>
        <v>1546453.3144304699</v>
      </c>
      <c r="D16" s="177">
        <f>-IPMT($C$5,A16,$C$3,-$C$12)</f>
        <v>748302.54575934086</v>
      </c>
      <c r="E16" s="177">
        <f>-'ALTERNATIVE 2 CF'!H13</f>
        <v>1160662.1485602574</v>
      </c>
      <c r="F16" s="177">
        <f>DB($H$4,$I$4,$C$3,A16)</f>
        <v>120526.74323200001</v>
      </c>
      <c r="G16" s="177">
        <f>SLN($H$8,$I$8,$C$3)</f>
        <v>98000</v>
      </c>
      <c r="H16" s="180">
        <f t="shared" si="0"/>
        <v>4060346.8834724063</v>
      </c>
      <c r="I16" s="180">
        <f>H16*$C$4</f>
        <v>243620.81300834438</v>
      </c>
      <c r="J16" s="180">
        <f t="shared" si="1"/>
        <v>2488799.4992655925</v>
      </c>
      <c r="K16" s="224">
        <f t="shared" si="2"/>
        <v>-9930594.9265191015</v>
      </c>
    </row>
    <row r="17" spans="1:11" ht="14.4" x14ac:dyDescent="0.25">
      <c r="A17" s="222">
        <v>5</v>
      </c>
      <c r="B17" s="212">
        <f>'ALTERNATIVE 2 CF'!B14+'ALTERNATIVE 2 CF'!I14+'ALTERNATIVE 2 CF'!F14</f>
        <v>7228608.7836433984</v>
      </c>
      <c r="C17" s="177">
        <f>-PPMT($C$5,A17,$C$3,-$C$12)</f>
        <v>1636147.6066674367</v>
      </c>
      <c r="D17" s="177">
        <f>-IPMT($C$5,A17,$C$3,-$C$12)</f>
        <v>658608.2535223735</v>
      </c>
      <c r="E17" s="177">
        <f>-'ALTERNATIVE 2 CF'!H14</f>
        <v>1160662.1485602574</v>
      </c>
      <c r="F17" s="177">
        <f>DB($H$4,$I$4,$C$3,A17)</f>
        <v>109438.28285465602</v>
      </c>
      <c r="G17" s="177">
        <f>SLN($H$8,$I$8,$C$3)</f>
        <v>98000</v>
      </c>
      <c r="H17" s="180">
        <f>B17-D17-F17-G17-E17-I4-I8</f>
        <v>4531900.0987061113</v>
      </c>
      <c r="I17" s="180">
        <f>H17*$C$4</f>
        <v>271914.00592236669</v>
      </c>
      <c r="J17" s="180">
        <f t="shared" si="1"/>
        <v>3501276.7689709635</v>
      </c>
      <c r="K17" s="224">
        <f t="shared" si="2"/>
        <v>-6429318.1575481379</v>
      </c>
    </row>
    <row r="18" spans="1:11" ht="14.4" x14ac:dyDescent="0.3">
      <c r="A18" s="215">
        <v>6</v>
      </c>
      <c r="B18" s="212">
        <f>'ALTERNATIVE 2 CF'!B15+'ALTERNATIVE 2 CF'!I15+'ALTERNATIVE 2 CF'!F15</f>
        <v>8329743.9330947176</v>
      </c>
      <c r="C18" s="177">
        <f t="shared" ref="C18:C22" si="3">-PPMT($C$5,A18,$C$3,-$C$12)</f>
        <v>1731044.1678541482</v>
      </c>
      <c r="D18" s="177">
        <f t="shared" ref="D18:D22" si="4">-IPMT($C$5,A18,$C$3,-$C$12)</f>
        <v>563711.69233566208</v>
      </c>
      <c r="E18" s="177">
        <f>-'ALTERNATIVE 2 CF'!H15</f>
        <v>1160662.1485602574</v>
      </c>
      <c r="F18" s="177">
        <f t="shared" ref="F18:F22" si="5">DB($H$4,$I$4,$C$3,A18)</f>
        <v>99369.96083202766</v>
      </c>
      <c r="G18" s="177">
        <f t="shared" ref="G18:G22" si="6">SLN($H$8,$I$8,$C$3)</f>
        <v>98000</v>
      </c>
      <c r="H18" s="180">
        <f>B18-D18-F18-G18-E18</f>
        <v>6408000.1313667698</v>
      </c>
      <c r="I18" s="180">
        <f t="shared" ref="I18:I22" si="7">H18*$C$4</f>
        <v>384480.00788200623</v>
      </c>
      <c r="J18" s="180">
        <f t="shared" ref="J18:J22" si="8">B18-C18-D18-I18-E18</f>
        <v>4489845.9164626431</v>
      </c>
      <c r="K18" s="224">
        <f t="shared" ref="K18:K22" si="9">K17+J18</f>
        <v>-1939472.2410854949</v>
      </c>
    </row>
    <row r="19" spans="1:11" ht="14.4" x14ac:dyDescent="0.3">
      <c r="A19" s="215">
        <v>7</v>
      </c>
      <c r="B19" s="212">
        <f>'ALTERNATIVE 2 CF'!B16+'ALTERNATIVE 2 CF'!I16+'ALTERNATIVE 2 CF'!F16</f>
        <v>9494744.9212142117</v>
      </c>
      <c r="C19" s="177">
        <f t="shared" si="3"/>
        <v>1831444.7295896888</v>
      </c>
      <c r="D19" s="177">
        <f t="shared" si="4"/>
        <v>463311.13060012157</v>
      </c>
      <c r="E19" s="177">
        <f>-'ALTERNATIVE 2 CF'!H16</f>
        <v>1160662.1485602574</v>
      </c>
      <c r="F19" s="177">
        <f t="shared" si="5"/>
        <v>90227.924435481109</v>
      </c>
      <c r="G19" s="177">
        <f t="shared" si="6"/>
        <v>98000</v>
      </c>
      <c r="H19" s="180">
        <f>B19-D19-F19-G19-E19</f>
        <v>7682543.7176183518</v>
      </c>
      <c r="I19" s="180">
        <f t="shared" si="7"/>
        <v>460952.62305710115</v>
      </c>
      <c r="J19" s="180">
        <f t="shared" si="8"/>
        <v>5578374.2894070428</v>
      </c>
      <c r="K19" s="224">
        <f t="shared" si="9"/>
        <v>3638902.0483215479</v>
      </c>
    </row>
    <row r="20" spans="1:11" ht="14.4" x14ac:dyDescent="0.3">
      <c r="A20" s="215">
        <v>8</v>
      </c>
      <c r="B20" s="212">
        <f>'ALTERNATIVE 2 CF'!B17+'ALTERNATIVE 2 CF'!I17+'ALTERNATIVE 2 CF'!F17</f>
        <v>10727315.966644637</v>
      </c>
      <c r="C20" s="177">
        <f t="shared" si="3"/>
        <v>1937668.523905891</v>
      </c>
      <c r="D20" s="177">
        <f t="shared" si="4"/>
        <v>357087.33628391963</v>
      </c>
      <c r="E20" s="177">
        <f>-'ALTERNATIVE 2 CF'!H17</f>
        <v>1160662.1485602574</v>
      </c>
      <c r="F20" s="177">
        <f t="shared" si="5"/>
        <v>81926.955387416849</v>
      </c>
      <c r="G20" s="177">
        <f t="shared" si="6"/>
        <v>98000</v>
      </c>
      <c r="H20" s="180">
        <f>B20-D20-F20-G20-E20</f>
        <v>9029639.5264130421</v>
      </c>
      <c r="I20" s="180">
        <f t="shared" si="7"/>
        <v>541778.37158478261</v>
      </c>
      <c r="J20" s="180">
        <f t="shared" si="8"/>
        <v>6730119.586309785</v>
      </c>
      <c r="K20" s="224">
        <f t="shared" si="9"/>
        <v>10369021.634631332</v>
      </c>
    </row>
    <row r="21" spans="1:11" ht="14.4" x14ac:dyDescent="0.3">
      <c r="A21" s="215">
        <v>9</v>
      </c>
      <c r="B21" s="212">
        <f>'ALTERNATIVE 2 CF'!B18+'ALTERNATIVE 2 CF'!I18+'ALTERNATIVE 2 CF'!F18</f>
        <v>12031376.132710028</v>
      </c>
      <c r="C21" s="177">
        <f t="shared" si="3"/>
        <v>2050053.2982924324</v>
      </c>
      <c r="D21" s="177">
        <f t="shared" si="4"/>
        <v>244702.56189737795</v>
      </c>
      <c r="E21" s="177">
        <f>-'ALTERNATIVE 2 CF'!H18</f>
        <v>1160662.1485602574</v>
      </c>
      <c r="F21" s="177">
        <f t="shared" si="5"/>
        <v>74389.675491774498</v>
      </c>
      <c r="G21" s="177">
        <f t="shared" si="6"/>
        <v>98000</v>
      </c>
      <c r="H21" s="180">
        <f t="shared" ref="H21" si="10">B21-D21-F21-G21-E21-I8-I12</f>
        <v>10453621.746760618</v>
      </c>
      <c r="I21" s="180">
        <f t="shared" si="7"/>
        <v>627217.3048056371</v>
      </c>
      <c r="J21" s="180">
        <f t="shared" si="8"/>
        <v>7948740.819154324</v>
      </c>
      <c r="K21" s="224">
        <f t="shared" si="9"/>
        <v>18317762.453785658</v>
      </c>
    </row>
    <row r="22" spans="1:11" ht="15" thickBot="1" x14ac:dyDescent="0.35">
      <c r="A22" s="225">
        <v>10</v>
      </c>
      <c r="B22" s="226">
        <f>'ALTERNATIVE 2 CF'!B19+'ALTERNATIVE 2 CF'!I19+'ALTERNATIVE 2 CF'!F19+I4+I8</f>
        <v>14081071.78840721</v>
      </c>
      <c r="C22" s="227">
        <f t="shared" si="3"/>
        <v>2168956.3895933935</v>
      </c>
      <c r="D22" s="227">
        <f t="shared" si="4"/>
        <v>125799.47059641685</v>
      </c>
      <c r="E22" s="227">
        <f>-'ALTERNATIVE 2 CF'!H19</f>
        <v>1160662.1485602574</v>
      </c>
      <c r="F22" s="227">
        <f t="shared" si="5"/>
        <v>67545.825346531245</v>
      </c>
      <c r="G22" s="227">
        <f t="shared" si="6"/>
        <v>98000</v>
      </c>
      <c r="H22" s="228">
        <f>B22-D22-F22-G22-E22-I4-I8</f>
        <v>11959064.343904004</v>
      </c>
      <c r="I22" s="228">
        <f t="shared" si="7"/>
        <v>717543.86063424032</v>
      </c>
      <c r="J22" s="228">
        <f t="shared" si="8"/>
        <v>9908109.919022901</v>
      </c>
      <c r="K22" s="229">
        <f t="shared" si="9"/>
        <v>28225872.372808561</v>
      </c>
    </row>
    <row r="23" spans="1:11" ht="14.4" x14ac:dyDescent="0.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</row>
    <row r="24" spans="1:11" ht="14.4" x14ac:dyDescent="0.3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</row>
    <row r="25" spans="1:11" ht="14.4" x14ac:dyDescent="0.3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</row>
    <row r="26" spans="1:11" ht="14.4" x14ac:dyDescent="0.3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</row>
    <row r="27" spans="1:11" ht="14.4" x14ac:dyDescent="0.3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</row>
    <row r="28" spans="1:11" ht="14.4" x14ac:dyDescent="0.3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</row>
    <row r="29" spans="1:11" ht="14.4" x14ac:dyDescent="0.3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</row>
    <row r="30" spans="1:11" ht="15" thickBot="1" x14ac:dyDescent="0.35">
      <c r="A30" s="169"/>
      <c r="B30" s="169"/>
      <c r="C30" s="169"/>
      <c r="D30" s="169"/>
      <c r="E30" s="169"/>
      <c r="F30" s="169"/>
      <c r="G30" s="175"/>
      <c r="H30" s="176"/>
      <c r="I30" s="176"/>
      <c r="J30" s="175"/>
      <c r="K30" s="169"/>
    </row>
    <row r="31" spans="1:11" ht="14.4" x14ac:dyDescent="0.3">
      <c r="A31" s="169"/>
      <c r="B31" s="169"/>
      <c r="C31" s="169"/>
      <c r="D31" s="169"/>
      <c r="E31" s="169"/>
      <c r="F31" s="169"/>
      <c r="G31" s="175"/>
      <c r="H31" s="564" t="s">
        <v>201</v>
      </c>
      <c r="I31" s="565"/>
      <c r="J31" s="175"/>
      <c r="K31" s="169"/>
    </row>
    <row r="32" spans="1:11" ht="15" thickBot="1" x14ac:dyDescent="0.35">
      <c r="A32" s="169"/>
      <c r="B32" s="169"/>
      <c r="C32" s="169"/>
      <c r="D32" s="174"/>
      <c r="E32" s="169"/>
      <c r="F32" s="169"/>
      <c r="G32" s="175"/>
      <c r="H32" s="222" t="s">
        <v>125</v>
      </c>
      <c r="I32" s="223" t="s">
        <v>123</v>
      </c>
      <c r="J32" s="175"/>
      <c r="K32" s="169"/>
    </row>
    <row r="33" spans="1:11" ht="14.4" x14ac:dyDescent="0.3">
      <c r="A33" s="169"/>
      <c r="B33" s="169"/>
      <c r="C33" s="169"/>
      <c r="D33" s="174"/>
      <c r="E33" s="562" t="s">
        <v>126</v>
      </c>
      <c r="F33" s="563"/>
      <c r="G33" s="175"/>
      <c r="H33" s="230">
        <v>6</v>
      </c>
      <c r="I33" s="224">
        <f>K18</f>
        <v>-1939472.2410854949</v>
      </c>
      <c r="J33" s="175"/>
      <c r="K33" s="169"/>
    </row>
    <row r="34" spans="1:11" ht="14.4" x14ac:dyDescent="0.3">
      <c r="A34" s="169"/>
      <c r="B34" s="169"/>
      <c r="C34" s="169"/>
      <c r="D34" s="174"/>
      <c r="E34" s="188" t="s">
        <v>51</v>
      </c>
      <c r="F34" s="189">
        <f>NPV($C$4,J13:J22)+J12</f>
        <v>13486381.53261077</v>
      </c>
      <c r="G34" s="178"/>
      <c r="H34" s="230">
        <v>7</v>
      </c>
      <c r="I34" s="224">
        <f>K19</f>
        <v>3638902.0483215479</v>
      </c>
      <c r="J34" s="175"/>
      <c r="K34" s="169"/>
    </row>
    <row r="35" spans="1:11" ht="14.4" x14ac:dyDescent="0.3">
      <c r="A35" s="169"/>
      <c r="B35" s="169"/>
      <c r="C35" s="169"/>
      <c r="D35" s="174"/>
      <c r="E35" s="188" t="s">
        <v>52</v>
      </c>
      <c r="F35" s="189">
        <f>FV($C$4,$C$3,,-F34)</f>
        <v>24152055.302374091</v>
      </c>
      <c r="G35" s="178"/>
      <c r="H35" s="566" t="s">
        <v>124</v>
      </c>
      <c r="I35" s="567"/>
      <c r="J35" s="169"/>
      <c r="K35" s="169"/>
    </row>
    <row r="36" spans="1:11" ht="15" thickBot="1" x14ac:dyDescent="0.35">
      <c r="A36" s="169"/>
      <c r="B36" s="169"/>
      <c r="C36" s="169"/>
      <c r="D36" s="174"/>
      <c r="E36" s="188" t="s">
        <v>53</v>
      </c>
      <c r="F36" s="189">
        <f>PMT($C$4,$C$3,-F34)</f>
        <v>1832367.1226169164</v>
      </c>
      <c r="G36" s="178"/>
      <c r="H36" s="568">
        <f>H33+(H33-I33)*(H34-H33)/(I34-I33)</f>
        <v>6.3476780403151567</v>
      </c>
      <c r="I36" s="569"/>
      <c r="J36" s="176"/>
      <c r="K36" s="169"/>
    </row>
    <row r="37" spans="1:11" ht="14.4" x14ac:dyDescent="0.3">
      <c r="A37" s="169"/>
      <c r="B37" s="169"/>
      <c r="C37" s="169"/>
      <c r="D37" s="169"/>
      <c r="E37" s="188" t="s">
        <v>54</v>
      </c>
      <c r="F37" s="190">
        <f>IRR(J12:J22)</f>
        <v>0.17064452197059787</v>
      </c>
      <c r="G37" s="169"/>
      <c r="H37" s="169"/>
      <c r="I37" s="169"/>
      <c r="J37" s="169"/>
      <c r="K37" s="169"/>
    </row>
    <row r="38" spans="1:11" ht="15" thickBot="1" x14ac:dyDescent="0.35">
      <c r="A38" s="169"/>
      <c r="B38" s="169"/>
      <c r="C38" s="169"/>
      <c r="D38" s="169"/>
      <c r="E38" s="191" t="s">
        <v>217</v>
      </c>
      <c r="F38" s="192">
        <f>MIRR(J12:J22,,$C$4)</f>
        <v>0.13007593583609656</v>
      </c>
      <c r="G38" s="169"/>
      <c r="H38" s="169"/>
      <c r="I38" s="169"/>
      <c r="J38" s="169"/>
      <c r="K38" s="169"/>
    </row>
    <row r="39" spans="1:11" ht="15" thickBot="1" x14ac:dyDescent="0.3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</row>
    <row r="40" spans="1:11" ht="14.4" x14ac:dyDescent="0.3">
      <c r="A40" s="169"/>
      <c r="B40" s="169"/>
      <c r="C40" s="169"/>
      <c r="D40" s="169"/>
      <c r="E40" s="562" t="s">
        <v>127</v>
      </c>
      <c r="F40" s="563"/>
      <c r="G40" s="169"/>
      <c r="H40"/>
      <c r="I40" s="169"/>
      <c r="J40" s="169"/>
      <c r="K40" s="169"/>
    </row>
    <row r="41" spans="1:11" ht="14.4" x14ac:dyDescent="0.3">
      <c r="A41" s="169"/>
      <c r="B41" s="169"/>
      <c r="C41" s="169"/>
      <c r="D41" s="169"/>
      <c r="E41" s="215" t="s">
        <v>128</v>
      </c>
      <c r="F41" s="231" t="s">
        <v>129</v>
      </c>
      <c r="G41" s="169"/>
      <c r="H41"/>
      <c r="I41" s="169"/>
      <c r="J41" s="169"/>
      <c r="K41" s="169"/>
    </row>
    <row r="42" spans="1:11" ht="14.4" x14ac:dyDescent="0.3">
      <c r="A42" s="169"/>
      <c r="B42" s="169"/>
      <c r="C42" s="169"/>
      <c r="D42" s="169"/>
      <c r="E42" s="215">
        <v>0</v>
      </c>
      <c r="F42" s="216">
        <v>-9181200</v>
      </c>
      <c r="G42"/>
      <c r="H42"/>
      <c r="I42" s="169"/>
      <c r="J42" s="169"/>
      <c r="K42" s="169"/>
    </row>
    <row r="43" spans="1:11" ht="14.4" x14ac:dyDescent="0.3">
      <c r="A43" s="169"/>
      <c r="B43" s="169"/>
      <c r="C43" s="169"/>
      <c r="D43" s="169"/>
      <c r="E43" s="215">
        <v>1</v>
      </c>
      <c r="F43" s="216">
        <v>-5509662.5893259645</v>
      </c>
      <c r="G43" s="37"/>
      <c r="H43"/>
      <c r="I43" s="169"/>
      <c r="J43" s="169"/>
      <c r="K43" s="169"/>
    </row>
    <row r="44" spans="1:11" ht="14.4" x14ac:dyDescent="0.3">
      <c r="A44" s="169"/>
      <c r="B44" s="169"/>
      <c r="C44" s="169"/>
      <c r="D44" s="169"/>
      <c r="E44" s="215">
        <v>2</v>
      </c>
      <c r="F44" s="216">
        <v>701541.40724208718</v>
      </c>
      <c r="G44"/>
      <c r="H44"/>
      <c r="I44" s="169"/>
      <c r="J44" s="169"/>
      <c r="K44" s="169"/>
    </row>
    <row r="45" spans="1:11" ht="14.4" x14ac:dyDescent="0.3">
      <c r="A45" s="169"/>
      <c r="B45" s="169"/>
      <c r="C45" s="169"/>
      <c r="D45" s="169"/>
      <c r="E45" s="215">
        <v>3</v>
      </c>
      <c r="F45" s="216">
        <v>1569926.7562991835</v>
      </c>
      <c r="G45"/>
      <c r="H45"/>
      <c r="I45" s="169"/>
      <c r="J45" s="169"/>
      <c r="K45" s="169"/>
    </row>
    <row r="46" spans="1:11" ht="14.4" x14ac:dyDescent="0.3">
      <c r="A46" s="169"/>
      <c r="B46" s="169"/>
      <c r="C46" s="169"/>
      <c r="D46" s="169"/>
      <c r="E46" s="215">
        <v>4</v>
      </c>
      <c r="F46" s="216">
        <v>2488799.4992655925</v>
      </c>
      <c r="G46"/>
      <c r="H46"/>
      <c r="I46" s="169"/>
      <c r="J46" s="169"/>
      <c r="K46" s="169"/>
    </row>
    <row r="47" spans="1:11" ht="14.4" x14ac:dyDescent="0.3">
      <c r="A47" s="169"/>
      <c r="B47" s="169"/>
      <c r="C47" s="169"/>
      <c r="D47" s="169"/>
      <c r="E47" s="215">
        <v>5</v>
      </c>
      <c r="F47" s="216">
        <v>3501276.7689709635</v>
      </c>
      <c r="G47"/>
      <c r="H47"/>
      <c r="I47" s="169"/>
      <c r="J47" s="169"/>
      <c r="K47" s="169"/>
    </row>
    <row r="48" spans="1:11" ht="14.4" x14ac:dyDescent="0.3">
      <c r="A48" s="169"/>
      <c r="B48" s="169"/>
      <c r="C48" s="169"/>
      <c r="D48" s="169"/>
      <c r="E48" s="215">
        <v>6</v>
      </c>
      <c r="F48" s="216">
        <v>4489845.9164626431</v>
      </c>
      <c r="G48"/>
      <c r="H48"/>
      <c r="I48" s="169"/>
      <c r="J48" s="169"/>
      <c r="K48" s="169"/>
    </row>
    <row r="49" spans="1:11" ht="14.4" x14ac:dyDescent="0.3">
      <c r="A49" s="169"/>
      <c r="B49" s="169"/>
      <c r="C49" s="169"/>
      <c r="D49" s="169"/>
      <c r="E49" s="215">
        <f t="shared" ref="E49:E51" si="11">E48+1</f>
        <v>7</v>
      </c>
      <c r="F49" s="216">
        <v>5578374.2894070428</v>
      </c>
      <c r="G49"/>
      <c r="H49"/>
      <c r="I49" s="169"/>
      <c r="J49" s="169"/>
      <c r="K49" s="169"/>
    </row>
    <row r="50" spans="1:11" ht="14.4" x14ac:dyDescent="0.3">
      <c r="A50" s="169"/>
      <c r="B50" s="169"/>
      <c r="C50" s="169"/>
      <c r="D50" s="169"/>
      <c r="E50" s="215">
        <f t="shared" si="11"/>
        <v>8</v>
      </c>
      <c r="F50" s="216">
        <v>6730119.586309785</v>
      </c>
      <c r="G50"/>
      <c r="H50"/>
      <c r="I50" s="169"/>
      <c r="J50" s="169"/>
      <c r="K50" s="169"/>
    </row>
    <row r="51" spans="1:11" ht="14.4" x14ac:dyDescent="0.3">
      <c r="A51" s="169"/>
      <c r="B51" s="169"/>
      <c r="C51" s="169"/>
      <c r="D51" s="169"/>
      <c r="E51" s="215">
        <f t="shared" si="11"/>
        <v>9</v>
      </c>
      <c r="F51" s="216">
        <v>7948740.819154324</v>
      </c>
      <c r="G51"/>
      <c r="H51" s="169"/>
      <c r="I51" s="169"/>
      <c r="J51" s="169"/>
      <c r="K51" s="169"/>
    </row>
    <row r="52" spans="1:11" ht="15" thickBot="1" x14ac:dyDescent="0.35">
      <c r="A52" s="169"/>
      <c r="B52" s="169"/>
      <c r="C52" s="169"/>
      <c r="D52" s="169"/>
      <c r="E52" s="225">
        <f>E51+1</f>
        <v>10</v>
      </c>
      <c r="F52" s="232">
        <v>9908109.919022901</v>
      </c>
      <c r="G52"/>
      <c r="H52" s="169"/>
      <c r="I52" s="169"/>
      <c r="J52" s="169"/>
      <c r="K52" s="169"/>
    </row>
    <row r="53" spans="1:11" ht="14.4" x14ac:dyDescent="0.3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</row>
    <row r="54" spans="1:11" ht="14.4" x14ac:dyDescent="0.3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</row>
    <row r="55" spans="1:11" ht="14.4" x14ac:dyDescent="0.3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</row>
    <row r="56" spans="1:11" ht="14.4" x14ac:dyDescent="0.3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</row>
    <row r="57" spans="1:11" ht="14.4" x14ac:dyDescent="0.3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</row>
  </sheetData>
  <mergeCells count="10">
    <mergeCell ref="F1:I1"/>
    <mergeCell ref="F5:I5"/>
    <mergeCell ref="F8:G8"/>
    <mergeCell ref="F4:G4"/>
    <mergeCell ref="E40:F40"/>
    <mergeCell ref="H31:I31"/>
    <mergeCell ref="H35:I35"/>
    <mergeCell ref="H36:I36"/>
    <mergeCell ref="A10:K10"/>
    <mergeCell ref="E33:F3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GridLines="0" zoomScaleNormal="100" workbookViewId="0">
      <selection activeCell="R19" sqref="R19"/>
    </sheetView>
  </sheetViews>
  <sheetFormatPr defaultColWidth="9" defaultRowHeight="13.2" x14ac:dyDescent="0.25"/>
  <cols>
    <col min="1" max="1" width="7.77734375" style="21" bestFit="1" customWidth="1"/>
    <col min="2" max="2" width="17.109375" style="16" bestFit="1" customWidth="1"/>
    <col min="3" max="16384" width="9" style="16"/>
  </cols>
  <sheetData>
    <row r="1" spans="1:2" ht="15.6" x14ac:dyDescent="0.25">
      <c r="A1" s="396" t="s">
        <v>49</v>
      </c>
      <c r="B1" s="364" t="s">
        <v>51</v>
      </c>
    </row>
    <row r="2" spans="1:2" ht="15.6" x14ac:dyDescent="0.25">
      <c r="A2" s="233">
        <v>0</v>
      </c>
      <c r="B2" s="234">
        <f>NPV(A2,'ALTERNATIVE 2 (ATCF)'!$J$13:$J$22)+'ALTERNATIVE 2 (ATCF)'!$J$12</f>
        <v>28225872.372808561</v>
      </c>
    </row>
    <row r="3" spans="1:2" ht="15.6" x14ac:dyDescent="0.25">
      <c r="A3" s="233">
        <v>0.01</v>
      </c>
      <c r="B3" s="234">
        <f>NPV(A3,'ALTERNATIVE 2 (ATCF)'!$J$13:$J$22)+'ALTERNATIVE 2 (ATCF)'!$J$12</f>
        <v>25183568.177109703</v>
      </c>
    </row>
    <row r="4" spans="1:2" ht="15.6" x14ac:dyDescent="0.25">
      <c r="A4" s="233">
        <v>0.02</v>
      </c>
      <c r="B4" s="234">
        <f>NPV(A4,'ALTERNATIVE 2 (ATCF)'!$J$13:$J$22)+'ALTERNATIVE 2 (ATCF)'!$J$12</f>
        <v>22407836.363417782</v>
      </c>
    </row>
    <row r="5" spans="1:2" ht="15.6" x14ac:dyDescent="0.25">
      <c r="A5" s="233">
        <v>0.03</v>
      </c>
      <c r="B5" s="234">
        <f>NPV(A5,'ALTERNATIVE 2 (ATCF)'!$J$13:$J$22)+'ALTERNATIVE 2 (ATCF)'!$J$12</f>
        <v>19872421.539871097</v>
      </c>
    </row>
    <row r="6" spans="1:2" ht="15.6" x14ac:dyDescent="0.25">
      <c r="A6" s="233">
        <v>0.04</v>
      </c>
      <c r="B6" s="234">
        <f>NPV(A6,'ALTERNATIVE 2 (ATCF)'!$J$13:$J$22)+'ALTERNATIVE 2 (ATCF)'!$J$12</f>
        <v>17553924.47771652</v>
      </c>
    </row>
    <row r="7" spans="1:2" ht="15.6" x14ac:dyDescent="0.25">
      <c r="A7" s="233">
        <v>0.05</v>
      </c>
      <c r="B7" s="234">
        <f>NPV(A7,'ALTERNATIVE 2 (ATCF)'!$J$13:$J$22)+'ALTERNATIVE 2 (ATCF)'!$J$12</f>
        <v>15431463.923565552</v>
      </c>
    </row>
    <row r="8" spans="1:2" ht="15.6" x14ac:dyDescent="0.25">
      <c r="A8" s="390">
        <v>0.06</v>
      </c>
      <c r="B8" s="391">
        <f>NPV(A8,'ALTERNATIVE 2 (ATCF)'!$J$13:$J$22)+'ALTERNATIVE 2 (ATCF)'!$J$12</f>
        <v>13486381.53261077</v>
      </c>
    </row>
    <row r="9" spans="1:2" ht="15.6" x14ac:dyDescent="0.25">
      <c r="A9" s="233">
        <v>7.0000000000000007E-2</v>
      </c>
      <c r="B9" s="234">
        <f>NPV(A9,'ALTERNATIVE 2 (ATCF)'!$J$13:$J$22)+'ALTERNATIVE 2 (ATCF)'!$J$12</f>
        <v>11701984.049770512</v>
      </c>
    </row>
    <row r="10" spans="1:2" ht="15.6" x14ac:dyDescent="0.25">
      <c r="A10" s="388">
        <v>0.08</v>
      </c>
      <c r="B10" s="389">
        <f>NPV(A10,'ALTERNATIVE 2 (ATCF)'!$J$13:$J$22)+'ALTERNATIVE 2 (ATCF)'!$J$12</f>
        <v>10063317.71476147</v>
      </c>
    </row>
    <row r="11" spans="1:2" ht="15.6" x14ac:dyDescent="0.25">
      <c r="A11" s="235">
        <v>0.09</v>
      </c>
      <c r="B11" s="234">
        <f>NPV(A11,'ALTERNATIVE 2 (ATCF)'!$J$13:$J$22)+'ALTERNATIVE 2 (ATCF)'!$J$12</f>
        <v>8556970.5865204223</v>
      </c>
    </row>
    <row r="12" spans="1:2" ht="15.6" x14ac:dyDescent="0.25">
      <c r="A12" s="233">
        <v>0.1</v>
      </c>
      <c r="B12" s="234">
        <f>NPV(A12,'ALTERNATIVE 2 (ATCF)'!$J$13:$J$22)+'ALTERNATIVE 2 (ATCF)'!$J$12</f>
        <v>7170899.0930121709</v>
      </c>
    </row>
    <row r="13" spans="1:2" ht="15.6" x14ac:dyDescent="0.25">
      <c r="A13" s="233">
        <v>0.11</v>
      </c>
      <c r="B13" s="234">
        <f>NPV(A13,'ALTERNATIVE 2 (ATCF)'!$J$13:$J$22)+'ALTERNATIVE 2 (ATCF)'!$J$12</f>
        <v>5894275.6315760873</v>
      </c>
    </row>
    <row r="14" spans="1:2" ht="15.6" x14ac:dyDescent="0.25">
      <c r="A14" s="233">
        <v>0.12</v>
      </c>
      <c r="B14" s="234">
        <f>NPV(A14,'ALTERNATIVE 2 (ATCF)'!$J$13:$J$22)+'ALTERNATIVE 2 (ATCF)'!$J$12</f>
        <v>4717354.4870000873</v>
      </c>
    </row>
    <row r="15" spans="1:2" ht="15.6" x14ac:dyDescent="0.25">
      <c r="A15" s="233">
        <v>0.13</v>
      </c>
      <c r="B15" s="234">
        <f>NPV(A15,'ALTERNATIVE 2 (ATCF)'!$J$13:$J$22)+'ALTERNATIVE 2 (ATCF)'!$J$12</f>
        <v>3631353.7115084175</v>
      </c>
    </row>
    <row r="16" spans="1:2" ht="15.6" x14ac:dyDescent="0.25">
      <c r="A16" s="233">
        <v>0.14000000000000001</v>
      </c>
      <c r="B16" s="234">
        <f>NPV(A16,'ALTERNATIVE 2 (ATCF)'!$J$13:$J$22)+'ALTERNATIVE 2 (ATCF)'!$J$12</f>
        <v>2628350.9328755494</v>
      </c>
    </row>
    <row r="17" spans="1:2" ht="15.6" x14ac:dyDescent="0.25">
      <c r="A17" s="233">
        <v>0.15</v>
      </c>
      <c r="B17" s="234">
        <f>NPV(A17,'ALTERNATIVE 2 (ATCF)'!$J$13:$J$22)+'ALTERNATIVE 2 (ATCF)'!$J$12</f>
        <v>1701191.3323702477</v>
      </c>
    </row>
    <row r="18" spans="1:2" ht="15.6" x14ac:dyDescent="0.25">
      <c r="A18" s="233">
        <v>0.16</v>
      </c>
      <c r="B18" s="234">
        <f>NPV(A18,'ALTERNATIVE 2 (ATCF)'!$J$13:$J$22)+'ALTERNATIVE 2 (ATCF)'!$J$12</f>
        <v>843406.27026450075</v>
      </c>
    </row>
    <row r="19" spans="1:2" ht="15.6" x14ac:dyDescent="0.25">
      <c r="A19" s="233">
        <v>0.17</v>
      </c>
      <c r="B19" s="234">
        <f>NPV(A19,'ALTERNATIVE 2 (ATCF)'!$J$13:$J$22)+'ALTERNATIVE 2 (ATCF)'!$J$12</f>
        <v>49141.23916769214</v>
      </c>
    </row>
    <row r="20" spans="1:2" ht="15.6" x14ac:dyDescent="0.25">
      <c r="A20" s="233">
        <v>0.18</v>
      </c>
      <c r="B20" s="234">
        <f>NPV(A20,'ALTERNATIVE 2 (ATCF)'!$J$13:$J$22)+'ALTERNATIVE 2 (ATCF)'!$J$12</f>
        <v>-686908.00053290278</v>
      </c>
    </row>
    <row r="21" spans="1:2" ht="15.6" x14ac:dyDescent="0.25">
      <c r="A21" s="233">
        <v>0.19</v>
      </c>
      <c r="B21" s="234">
        <f>NPV(A21,'ALTERNATIVE 2 (ATCF)'!$J$13:$J$22)+'ALTERNATIVE 2 (ATCF)'!$J$12</f>
        <v>-1369552.099096939</v>
      </c>
    </row>
    <row r="22" spans="1:2" ht="16.2" thickBot="1" x14ac:dyDescent="0.3">
      <c r="A22" s="236">
        <v>0.2</v>
      </c>
      <c r="B22" s="237">
        <f>NPV(A22,'ALTERNATIVE 2 (ATCF)'!$J$13:$J$22)+'ALTERNATIVE 2 (ATCF)'!$J$12</f>
        <v>-2003158.4766585007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showGridLines="0" zoomScale="53" zoomScaleNormal="70" workbookViewId="0">
      <selection activeCell="AB21" sqref="AB21"/>
    </sheetView>
  </sheetViews>
  <sheetFormatPr defaultColWidth="9" defaultRowHeight="13.2" x14ac:dyDescent="0.25"/>
  <cols>
    <col min="1" max="1" width="5.44140625" style="16" bestFit="1" customWidth="1"/>
    <col min="2" max="3" width="22.5546875" style="16" bestFit="1" customWidth="1"/>
    <col min="4" max="5" width="21.33203125" style="16" bestFit="1" customWidth="1"/>
    <col min="6" max="6" width="19" style="16" bestFit="1" customWidth="1"/>
    <col min="7" max="7" width="21.33203125" style="16" bestFit="1" customWidth="1"/>
    <col min="8" max="8" width="20" style="16" bestFit="1" customWidth="1"/>
    <col min="9" max="9" width="21.6640625" style="16" bestFit="1" customWidth="1"/>
    <col min="10" max="10" width="17.88671875" style="16" bestFit="1" customWidth="1"/>
    <col min="11" max="11" width="23" style="16" bestFit="1" customWidth="1"/>
    <col min="12" max="16384" width="9" style="16"/>
  </cols>
  <sheetData>
    <row r="1" spans="1:11" ht="15.6" x14ac:dyDescent="0.3">
      <c r="A1" s="46"/>
      <c r="B1" s="240" t="s">
        <v>60</v>
      </c>
      <c r="C1" s="241">
        <f>'INVESTMENT COST'!G14</f>
        <v>8564000</v>
      </c>
      <c r="D1" s="46"/>
      <c r="E1" s="46"/>
      <c r="F1" s="46"/>
      <c r="G1" s="46"/>
      <c r="H1" s="46"/>
      <c r="I1" s="46"/>
      <c r="J1" s="46"/>
      <c r="K1" s="46"/>
    </row>
    <row r="2" spans="1:11" ht="15.6" x14ac:dyDescent="0.3">
      <c r="A2" s="46"/>
      <c r="B2" s="182" t="s">
        <v>50</v>
      </c>
      <c r="C2" s="242">
        <f>'PROJECT FUNDING'!B2</f>
        <v>26232000</v>
      </c>
      <c r="D2" s="46"/>
      <c r="E2" s="46"/>
      <c r="F2" s="46"/>
      <c r="G2" s="46"/>
      <c r="H2" s="46"/>
      <c r="I2" s="46"/>
      <c r="J2" s="46"/>
      <c r="K2" s="46"/>
    </row>
    <row r="3" spans="1:11" ht="15.6" x14ac:dyDescent="0.3">
      <c r="A3" s="46"/>
      <c r="B3" s="182" t="s">
        <v>80</v>
      </c>
      <c r="C3" s="243">
        <v>10</v>
      </c>
      <c r="D3" s="46"/>
      <c r="E3" s="46"/>
      <c r="F3" s="46"/>
      <c r="G3" s="46"/>
      <c r="H3" s="46"/>
      <c r="I3" s="46"/>
      <c r="J3" s="46"/>
      <c r="K3" s="46"/>
    </row>
    <row r="4" spans="1:11" ht="15.6" x14ac:dyDescent="0.3">
      <c r="A4" s="46"/>
      <c r="B4" s="182" t="s">
        <v>49</v>
      </c>
      <c r="C4" s="244">
        <f>'PROJECT FUNDING'!J4</f>
        <v>6.0000000000000005E-2</v>
      </c>
      <c r="D4" s="46"/>
      <c r="E4" s="46"/>
      <c r="F4" s="46"/>
      <c r="G4" s="46"/>
      <c r="H4" s="46"/>
      <c r="I4" s="46"/>
      <c r="J4" s="46"/>
      <c r="K4" s="46"/>
    </row>
    <row r="5" spans="1:11" ht="16.2" thickBot="1" x14ac:dyDescent="0.35">
      <c r="A5" s="46"/>
      <c r="B5" s="245" t="s">
        <v>47</v>
      </c>
      <c r="C5" s="246">
        <f>'PROJECT FUNDING'!B11</f>
        <v>5.8000000000000003E-2</v>
      </c>
      <c r="D5" s="46"/>
      <c r="E5" s="46"/>
      <c r="F5" s="46"/>
      <c r="G5" s="46"/>
      <c r="H5" s="46"/>
      <c r="I5" s="46"/>
      <c r="J5" s="46"/>
      <c r="K5" s="46"/>
    </row>
    <row r="6" spans="1:11" ht="16.2" thickBot="1" x14ac:dyDescent="0.35">
      <c r="A6" s="46"/>
      <c r="B6" s="239"/>
      <c r="C6" s="46"/>
      <c r="D6" s="46"/>
      <c r="E6" s="46"/>
      <c r="F6" s="46"/>
      <c r="G6" s="46"/>
      <c r="H6" s="46"/>
      <c r="I6" s="46"/>
      <c r="J6" s="46"/>
      <c r="K6" s="46"/>
    </row>
    <row r="7" spans="1:11" ht="15.6" x14ac:dyDescent="0.25">
      <c r="A7" s="571" t="s">
        <v>202</v>
      </c>
      <c r="B7" s="572"/>
      <c r="C7" s="572"/>
      <c r="D7" s="572"/>
      <c r="E7" s="572"/>
      <c r="F7" s="572"/>
      <c r="G7" s="572"/>
      <c r="H7" s="572"/>
      <c r="I7" s="572"/>
      <c r="J7" s="572"/>
      <c r="K7" s="573"/>
    </row>
    <row r="8" spans="1:11" ht="15.6" x14ac:dyDescent="0.25">
      <c r="A8" s="450" t="s">
        <v>31</v>
      </c>
      <c r="B8" s="450" t="s">
        <v>60</v>
      </c>
      <c r="C8" s="450" t="s">
        <v>89</v>
      </c>
      <c r="D8" s="450" t="s">
        <v>97</v>
      </c>
      <c r="E8" s="450" t="s">
        <v>88</v>
      </c>
      <c r="F8" s="450" t="s">
        <v>98</v>
      </c>
      <c r="G8" s="450" t="s">
        <v>99</v>
      </c>
      <c r="H8" s="450" t="s">
        <v>100</v>
      </c>
      <c r="I8" s="450" t="s">
        <v>101</v>
      </c>
      <c r="J8" s="450" t="s">
        <v>102</v>
      </c>
      <c r="K8" s="450" t="s">
        <v>103</v>
      </c>
    </row>
    <row r="9" spans="1:11" ht="15.6" x14ac:dyDescent="0.25">
      <c r="A9" s="450">
        <v>0</v>
      </c>
      <c r="B9" s="56"/>
      <c r="C9" s="57">
        <f>-'PROJECT FUNDING'!$B$9</f>
        <v>-17050800</v>
      </c>
      <c r="D9" s="56"/>
      <c r="E9" s="57">
        <f>-'PROJECT FUNDING'!$E$9</f>
        <v>-2623200</v>
      </c>
      <c r="F9" s="56"/>
      <c r="G9" s="57">
        <f>-'PROJECT FUNDING'!$I$9</f>
        <v>-6558000</v>
      </c>
      <c r="H9" s="56"/>
      <c r="I9" s="56"/>
      <c r="J9" s="56"/>
      <c r="K9" s="57">
        <f t="shared" ref="K9:K19" si="0">SUM(B9:J9)</f>
        <v>-26232000</v>
      </c>
    </row>
    <row r="10" spans="1:11" ht="15.6" x14ac:dyDescent="0.25">
      <c r="A10" s="450">
        <v>1</v>
      </c>
      <c r="B10" s="57">
        <f>-($C$1+'INVESTMENT COST'!$F$14)</f>
        <v>-16709000</v>
      </c>
      <c r="C10" s="57"/>
      <c r="D10" s="57">
        <f>PMT($C$5,$C$3,-$C$9)</f>
        <v>-2294755.8601898104</v>
      </c>
      <c r="E10" s="57"/>
      <c r="F10" s="57">
        <f>$E$9*0.15</f>
        <v>-393480</v>
      </c>
      <c r="G10" s="57"/>
      <c r="H10" s="57">
        <f>PMT('PROJECT FUNDING'!$I$13,'ALTERNATIVE 1 CF'!$C$3,-'ALTERNATIVE 1 CF'!$G$9)</f>
        <v>-1160662.1485602574</v>
      </c>
      <c r="I10" s="57">
        <f>'REVENUE GENERATED FROM SALES'!H16</f>
        <v>13338000</v>
      </c>
      <c r="J10" s="57"/>
      <c r="K10" s="57">
        <f t="shared" si="0"/>
        <v>-7219898.0087500662</v>
      </c>
    </row>
    <row r="11" spans="1:11" ht="15.6" x14ac:dyDescent="0.25">
      <c r="A11" s="450">
        <v>2</v>
      </c>
      <c r="B11" s="57">
        <f>-$C$1</f>
        <v>-8564000</v>
      </c>
      <c r="C11" s="57"/>
      <c r="D11" s="57">
        <f>PMT($C$5,$C$3,-$C$9)</f>
        <v>-2294755.8601898104</v>
      </c>
      <c r="E11" s="57"/>
      <c r="F11" s="57">
        <f t="shared" ref="F11:F19" si="1">$E$9*0.15</f>
        <v>-393480</v>
      </c>
      <c r="G11" s="57"/>
      <c r="H11" s="57">
        <f>PMT('PROJECT FUNDING'!$I$13,'ALTERNATIVE 1 CF'!$C$3,-'ALTERNATIVE 1 CF'!$G$9)</f>
        <v>-1160662.1485602574</v>
      </c>
      <c r="I11" s="57">
        <f>I10*1.058</f>
        <v>14111604</v>
      </c>
      <c r="J11" s="57"/>
      <c r="K11" s="57">
        <f t="shared" si="0"/>
        <v>1698705.991249932</v>
      </c>
    </row>
    <row r="12" spans="1:11" ht="15.6" x14ac:dyDescent="0.25">
      <c r="A12" s="450">
        <v>3</v>
      </c>
      <c r="B12" s="57">
        <f>-$C$1</f>
        <v>-8564000</v>
      </c>
      <c r="C12" s="57"/>
      <c r="D12" s="57">
        <f>PMT($C$5,$C$3,-$C$9)</f>
        <v>-2294755.8601898104</v>
      </c>
      <c r="E12" s="57"/>
      <c r="F12" s="57">
        <f t="shared" si="1"/>
        <v>-393480</v>
      </c>
      <c r="G12" s="57"/>
      <c r="H12" s="57">
        <f>PMT('PROJECT FUNDING'!$I$13,'ALTERNATIVE 1 CF'!$C$3,-'ALTERNATIVE 1 CF'!$G$9)</f>
        <v>-1160662.1485602574</v>
      </c>
      <c r="I12" s="57">
        <f t="shared" ref="I12:I19" si="2">I11*1.058</f>
        <v>14930077.032000002</v>
      </c>
      <c r="J12" s="57"/>
      <c r="K12" s="57">
        <f t="shared" si="0"/>
        <v>2517179.0232499335</v>
      </c>
    </row>
    <row r="13" spans="1:11" ht="15.6" x14ac:dyDescent="0.25">
      <c r="A13" s="450">
        <v>4</v>
      </c>
      <c r="B13" s="57">
        <f>-$C$1</f>
        <v>-8564000</v>
      </c>
      <c r="C13" s="57"/>
      <c r="D13" s="57">
        <f>PMT($C$5,$C$3,-$C$9)</f>
        <v>-2294755.8601898104</v>
      </c>
      <c r="E13" s="57"/>
      <c r="F13" s="57">
        <f t="shared" si="1"/>
        <v>-393480</v>
      </c>
      <c r="G13" s="57"/>
      <c r="H13" s="57">
        <f>PMT('PROJECT FUNDING'!$I$13,'ALTERNATIVE 1 CF'!$C$3,-'ALTERNATIVE 1 CF'!$G$9)</f>
        <v>-1160662.1485602574</v>
      </c>
      <c r="I13" s="57">
        <f t="shared" si="2"/>
        <v>15796021.499856003</v>
      </c>
      <c r="J13" s="57"/>
      <c r="K13" s="57">
        <f t="shared" si="0"/>
        <v>3383123.4911059346</v>
      </c>
    </row>
    <row r="14" spans="1:11" ht="15.6" x14ac:dyDescent="0.25">
      <c r="A14" s="450">
        <v>5</v>
      </c>
      <c r="B14" s="57">
        <f>-$C$1</f>
        <v>-8564000</v>
      </c>
      <c r="C14" s="57"/>
      <c r="D14" s="57">
        <f>PMT($C$5,$C$3,-$C$9)</f>
        <v>-2294755.8601898104</v>
      </c>
      <c r="E14" s="57"/>
      <c r="F14" s="57">
        <f t="shared" si="1"/>
        <v>-393480</v>
      </c>
      <c r="G14" s="57"/>
      <c r="H14" s="57">
        <f>PMT('PROJECT FUNDING'!$I$13,'ALTERNATIVE 1 CF'!$C$3,-'ALTERNATIVE 1 CF'!$G$9)</f>
        <v>-1160662.1485602574</v>
      </c>
      <c r="I14" s="57">
        <f t="shared" si="2"/>
        <v>16712190.746847652</v>
      </c>
      <c r="J14" s="57"/>
      <c r="K14" s="57">
        <f t="shared" si="0"/>
        <v>4299292.7380975839</v>
      </c>
    </row>
    <row r="15" spans="1:11" ht="15.6" x14ac:dyDescent="0.3">
      <c r="A15" s="450">
        <v>6</v>
      </c>
      <c r="B15" s="57">
        <f t="shared" ref="B15:B19" si="3">-$C$1</f>
        <v>-8564000</v>
      </c>
      <c r="C15" s="451"/>
      <c r="D15" s="57">
        <f t="shared" ref="D15:D19" si="4">PMT($C$5,$C$3,-$C$9)</f>
        <v>-2294755.8601898104</v>
      </c>
      <c r="E15" s="451"/>
      <c r="F15" s="57">
        <f t="shared" si="1"/>
        <v>-393480</v>
      </c>
      <c r="G15" s="451"/>
      <c r="H15" s="57">
        <f>PMT('PROJECT FUNDING'!$I$13,'ALTERNATIVE 1 CF'!$C$3,-'ALTERNATIVE 1 CF'!$G$9)</f>
        <v>-1160662.1485602574</v>
      </c>
      <c r="I15" s="57">
        <f t="shared" si="2"/>
        <v>17681497.810164817</v>
      </c>
      <c r="J15" s="57"/>
      <c r="K15" s="57">
        <f t="shared" si="0"/>
        <v>5268599.8014147487</v>
      </c>
    </row>
    <row r="16" spans="1:11" ht="15.6" x14ac:dyDescent="0.3">
      <c r="A16" s="450">
        <v>7</v>
      </c>
      <c r="B16" s="57">
        <f t="shared" si="3"/>
        <v>-8564000</v>
      </c>
      <c r="C16" s="451"/>
      <c r="D16" s="57">
        <f t="shared" si="4"/>
        <v>-2294755.8601898104</v>
      </c>
      <c r="E16" s="451"/>
      <c r="F16" s="57">
        <f t="shared" si="1"/>
        <v>-393480</v>
      </c>
      <c r="G16" s="451"/>
      <c r="H16" s="57">
        <f>PMT('PROJECT FUNDING'!$I$13,'ALTERNATIVE 1 CF'!$C$3,-'ALTERNATIVE 1 CF'!$G$9)</f>
        <v>-1160662.1485602574</v>
      </c>
      <c r="I16" s="57">
        <f t="shared" si="2"/>
        <v>18707024.683154378</v>
      </c>
      <c r="J16" s="57"/>
      <c r="K16" s="57">
        <f t="shared" si="0"/>
        <v>6294126.6744043101</v>
      </c>
    </row>
    <row r="17" spans="1:11" ht="15.6" x14ac:dyDescent="0.3">
      <c r="A17" s="450">
        <v>8</v>
      </c>
      <c r="B17" s="57">
        <f t="shared" si="3"/>
        <v>-8564000</v>
      </c>
      <c r="C17" s="451"/>
      <c r="D17" s="57">
        <f t="shared" si="4"/>
        <v>-2294755.8601898104</v>
      </c>
      <c r="E17" s="451"/>
      <c r="F17" s="57">
        <f t="shared" si="1"/>
        <v>-393480</v>
      </c>
      <c r="G17" s="451"/>
      <c r="H17" s="57">
        <f>PMT('PROJECT FUNDING'!$I$13,'ALTERNATIVE 1 CF'!$C$3,-'ALTERNATIVE 1 CF'!$G$9)</f>
        <v>-1160662.1485602574</v>
      </c>
      <c r="I17" s="57">
        <f t="shared" si="2"/>
        <v>19792032.114777334</v>
      </c>
      <c r="J17" s="57"/>
      <c r="K17" s="57">
        <f t="shared" si="0"/>
        <v>7379134.106027266</v>
      </c>
    </row>
    <row r="18" spans="1:11" ht="15.6" x14ac:dyDescent="0.3">
      <c r="A18" s="450">
        <v>9</v>
      </c>
      <c r="B18" s="57">
        <f t="shared" si="3"/>
        <v>-8564000</v>
      </c>
      <c r="C18" s="451"/>
      <c r="D18" s="57">
        <f t="shared" si="4"/>
        <v>-2294755.8601898104</v>
      </c>
      <c r="E18" s="451"/>
      <c r="F18" s="57">
        <f t="shared" si="1"/>
        <v>-393480</v>
      </c>
      <c r="G18" s="451"/>
      <c r="H18" s="57">
        <f>PMT('PROJECT FUNDING'!$I$13,'ALTERNATIVE 1 CF'!$C$3,-'ALTERNATIVE 1 CF'!$G$9)</f>
        <v>-1160662.1485602574</v>
      </c>
      <c r="I18" s="57">
        <f t="shared" si="2"/>
        <v>20939969.977434419</v>
      </c>
      <c r="J18" s="57"/>
      <c r="K18" s="57">
        <f t="shared" si="0"/>
        <v>8527071.9686843511</v>
      </c>
    </row>
    <row r="19" spans="1:11" ht="15.6" x14ac:dyDescent="0.3">
      <c r="A19" s="450">
        <v>10</v>
      </c>
      <c r="B19" s="57">
        <f t="shared" si="3"/>
        <v>-8564000</v>
      </c>
      <c r="C19" s="451"/>
      <c r="D19" s="57">
        <f t="shared" si="4"/>
        <v>-2294755.8601898104</v>
      </c>
      <c r="E19" s="451"/>
      <c r="F19" s="57">
        <f t="shared" si="1"/>
        <v>-393480</v>
      </c>
      <c r="G19" s="451"/>
      <c r="H19" s="57">
        <f>PMT('PROJECT FUNDING'!$I$13,'ALTERNATIVE 1 CF'!$C$3,-'ALTERNATIVE 1 CF'!$G$9)</f>
        <v>-1160662.1485602574</v>
      </c>
      <c r="I19" s="57">
        <f t="shared" si="2"/>
        <v>22154488.236125618</v>
      </c>
      <c r="J19" s="57">
        <f>DEPRECIATION!$D$4+DEPRECIATION!$D$8</f>
        <v>700000</v>
      </c>
      <c r="K19" s="57">
        <f t="shared" si="0"/>
        <v>10441590.22737555</v>
      </c>
    </row>
    <row r="20" spans="1:11" ht="16.2" thickBot="1" x14ac:dyDescent="0.35">
      <c r="A20" s="46"/>
      <c r="B20" s="46"/>
      <c r="C20" s="46"/>
      <c r="D20" s="46"/>
      <c r="E20" s="46"/>
      <c r="F20" s="46"/>
      <c r="G20" s="46"/>
      <c r="H20" s="46"/>
      <c r="I20" s="46"/>
      <c r="J20" s="353" t="s">
        <v>104</v>
      </c>
      <c r="K20" s="354">
        <f>NPV($C$4,K10:K19)+K9</f>
        <v>-117918.93714553118</v>
      </c>
    </row>
    <row r="21" spans="1:11" ht="15.6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spans="1:11" ht="16.2" thickBot="1" x14ac:dyDescent="0.3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</row>
    <row r="23" spans="1:11" ht="15.6" x14ac:dyDescent="0.25">
      <c r="A23" s="548" t="s">
        <v>105</v>
      </c>
      <c r="B23" s="549"/>
      <c r="C23" s="549"/>
      <c r="D23" s="549"/>
      <c r="E23" s="549"/>
      <c r="F23" s="549"/>
      <c r="G23" s="549"/>
      <c r="H23" s="549"/>
      <c r="I23" s="549"/>
      <c r="J23" s="549"/>
      <c r="K23" s="550"/>
    </row>
    <row r="24" spans="1:11" ht="15.6" x14ac:dyDescent="0.25">
      <c r="A24" s="209" t="s">
        <v>31</v>
      </c>
      <c r="B24" s="207" t="s">
        <v>60</v>
      </c>
      <c r="C24" s="207" t="s">
        <v>89</v>
      </c>
      <c r="D24" s="207" t="s">
        <v>97</v>
      </c>
      <c r="E24" s="207" t="s">
        <v>88</v>
      </c>
      <c r="F24" s="207" t="s">
        <v>98</v>
      </c>
      <c r="G24" s="207" t="s">
        <v>99</v>
      </c>
      <c r="H24" s="207" t="s">
        <v>100</v>
      </c>
      <c r="I24" s="207" t="s">
        <v>101</v>
      </c>
      <c r="J24" s="207" t="s">
        <v>102</v>
      </c>
      <c r="K24" s="210" t="s">
        <v>103</v>
      </c>
    </row>
    <row r="25" spans="1:11" ht="15.6" x14ac:dyDescent="0.25">
      <c r="A25" s="211">
        <v>0</v>
      </c>
      <c r="B25" s="56"/>
      <c r="C25" s="57">
        <f>-'PROJECT FUNDING'!$B$9</f>
        <v>-17050800</v>
      </c>
      <c r="D25" s="56"/>
      <c r="E25" s="57">
        <f>-'PROJECT FUNDING'!$E$9</f>
        <v>-2623200</v>
      </c>
      <c r="F25" s="56"/>
      <c r="G25" s="57">
        <f>-'PROJECT FUNDING'!$I$9</f>
        <v>-6558000</v>
      </c>
      <c r="H25" s="56"/>
      <c r="I25" s="56"/>
      <c r="J25" s="56"/>
      <c r="K25" s="95">
        <f t="shared" ref="K25:K30" si="5">SUM(B25:J25)</f>
        <v>-26232000</v>
      </c>
    </row>
    <row r="26" spans="1:11" ht="15.6" x14ac:dyDescent="0.25">
      <c r="A26" s="211">
        <v>1</v>
      </c>
      <c r="B26" s="57">
        <f>-($C$1+'INVESTMENT COST'!$F$14)</f>
        <v>-16709000</v>
      </c>
      <c r="C26" s="57"/>
      <c r="D26" s="57">
        <f>--$C$25*$C$5</f>
        <v>-988946.4</v>
      </c>
      <c r="E26" s="57"/>
      <c r="F26" s="57">
        <f>$E$9*0.15</f>
        <v>-393480</v>
      </c>
      <c r="G26" s="57"/>
      <c r="H26" s="57">
        <f>PMT('PROJECT FUNDING'!$I$13,'ALTERNATIVE 1 CF'!$C$3,-'ALTERNATIVE 1 CF'!$G$9)</f>
        <v>-1160662.1485602574</v>
      </c>
      <c r="I26" s="57">
        <f>I10</f>
        <v>13338000</v>
      </c>
      <c r="J26" s="57"/>
      <c r="K26" s="95">
        <f t="shared" si="5"/>
        <v>-5914088.5485602543</v>
      </c>
    </row>
    <row r="27" spans="1:11" ht="15.6" x14ac:dyDescent="0.25">
      <c r="A27" s="211">
        <v>2</v>
      </c>
      <c r="B27" s="57">
        <f>-$C$1</f>
        <v>-8564000</v>
      </c>
      <c r="C27" s="57"/>
      <c r="D27" s="57">
        <f>--$C$25*$C$5</f>
        <v>-988946.4</v>
      </c>
      <c r="E27" s="57"/>
      <c r="F27" s="57">
        <f t="shared" ref="F27:F35" si="6">$E$9*0.15</f>
        <v>-393480</v>
      </c>
      <c r="G27" s="57"/>
      <c r="H27" s="57">
        <f>PMT('PROJECT FUNDING'!$I$13,'ALTERNATIVE 1 CF'!$C$3,-'ALTERNATIVE 1 CF'!$G$9)</f>
        <v>-1160662.1485602574</v>
      </c>
      <c r="I27" s="57">
        <f>I26*1.058</f>
        <v>14111604</v>
      </c>
      <c r="J27" s="57"/>
      <c r="K27" s="95">
        <f t="shared" si="5"/>
        <v>3004515.451439742</v>
      </c>
    </row>
    <row r="28" spans="1:11" ht="15.6" x14ac:dyDescent="0.25">
      <c r="A28" s="211">
        <v>3</v>
      </c>
      <c r="B28" s="57">
        <f>-$C$1</f>
        <v>-8564000</v>
      </c>
      <c r="C28" s="57"/>
      <c r="D28" s="57">
        <f>--$C$25*$C$5</f>
        <v>-988946.4</v>
      </c>
      <c r="E28" s="57"/>
      <c r="F28" s="57">
        <f t="shared" si="6"/>
        <v>-393480</v>
      </c>
      <c r="G28" s="57"/>
      <c r="H28" s="57">
        <f>PMT('PROJECT FUNDING'!$I$13,'ALTERNATIVE 1 CF'!$C$3,-'ALTERNATIVE 1 CF'!$G$9)</f>
        <v>-1160662.1485602574</v>
      </c>
      <c r="I28" s="57">
        <f t="shared" ref="I28:I35" si="7">I27*1.058</f>
        <v>14930077.032000002</v>
      </c>
      <c r="J28" s="57"/>
      <c r="K28" s="95">
        <f t="shared" si="5"/>
        <v>3822988.4834397435</v>
      </c>
    </row>
    <row r="29" spans="1:11" ht="15.6" x14ac:dyDescent="0.25">
      <c r="A29" s="211">
        <v>4</v>
      </c>
      <c r="B29" s="57">
        <f>-$C$1</f>
        <v>-8564000</v>
      </c>
      <c r="C29" s="57"/>
      <c r="D29" s="57">
        <f>--$C$25*$C$5</f>
        <v>-988946.4</v>
      </c>
      <c r="E29" s="57"/>
      <c r="F29" s="57">
        <f t="shared" si="6"/>
        <v>-393480</v>
      </c>
      <c r="G29" s="57"/>
      <c r="H29" s="57">
        <f>PMT('PROJECT FUNDING'!$I$13,'ALTERNATIVE 1 CF'!$C$3,-'ALTERNATIVE 1 CF'!$G$9)</f>
        <v>-1160662.1485602574</v>
      </c>
      <c r="I29" s="57">
        <f t="shared" si="7"/>
        <v>15796021.499856003</v>
      </c>
      <c r="J29" s="57"/>
      <c r="K29" s="95">
        <f t="shared" si="5"/>
        <v>4688932.9512957446</v>
      </c>
    </row>
    <row r="30" spans="1:11" ht="15.6" x14ac:dyDescent="0.25">
      <c r="A30" s="211">
        <v>5</v>
      </c>
      <c r="B30" s="57">
        <f>-$C$1</f>
        <v>-8564000</v>
      </c>
      <c r="C30" s="57"/>
      <c r="D30" s="57">
        <f>--$C$25*$C$5</f>
        <v>-988946.4</v>
      </c>
      <c r="E30" s="57"/>
      <c r="F30" s="57">
        <f t="shared" si="6"/>
        <v>-393480</v>
      </c>
      <c r="G30" s="57"/>
      <c r="H30" s="57">
        <f>PMT('PROJECT FUNDING'!$I$13,'ALTERNATIVE 1 CF'!$C$3,-'ALTERNATIVE 1 CF'!$G$9)</f>
        <v>-1160662.1485602574</v>
      </c>
      <c r="I30" s="57">
        <f t="shared" si="7"/>
        <v>16712190.746847652</v>
      </c>
      <c r="J30" s="57"/>
      <c r="K30" s="95">
        <f t="shared" si="5"/>
        <v>5605102.1982873939</v>
      </c>
    </row>
    <row r="31" spans="1:11" ht="15.6" x14ac:dyDescent="0.25">
      <c r="A31" s="211">
        <v>6</v>
      </c>
      <c r="B31" s="57">
        <f t="shared" ref="B31:B35" si="8">-$C$1</f>
        <v>-8564000</v>
      </c>
      <c r="C31" s="57"/>
      <c r="D31" s="57">
        <f t="shared" ref="D31:D34" si="9">--$C$25*$C$5</f>
        <v>-988946.4</v>
      </c>
      <c r="E31" s="57"/>
      <c r="F31" s="57">
        <f t="shared" si="6"/>
        <v>-393480</v>
      </c>
      <c r="G31" s="57"/>
      <c r="H31" s="57">
        <f>PMT('PROJECT FUNDING'!$I$13,'ALTERNATIVE 1 CF'!$C$3,-'ALTERNATIVE 1 CF'!$G$9)</f>
        <v>-1160662.1485602574</v>
      </c>
      <c r="I31" s="57">
        <f t="shared" si="7"/>
        <v>17681497.810164817</v>
      </c>
      <c r="J31" s="57"/>
      <c r="K31" s="95">
        <f t="shared" ref="K31:K35" si="10">SUM(B31:J31)</f>
        <v>6574409.2616045587</v>
      </c>
    </row>
    <row r="32" spans="1:11" ht="15.6" x14ac:dyDescent="0.25">
      <c r="A32" s="211">
        <v>7</v>
      </c>
      <c r="B32" s="57">
        <f t="shared" si="8"/>
        <v>-8564000</v>
      </c>
      <c r="C32" s="57"/>
      <c r="D32" s="57">
        <f t="shared" si="9"/>
        <v>-988946.4</v>
      </c>
      <c r="E32" s="57"/>
      <c r="F32" s="57">
        <f t="shared" si="6"/>
        <v>-393480</v>
      </c>
      <c r="G32" s="57"/>
      <c r="H32" s="57">
        <f>PMT('PROJECT FUNDING'!$I$13,'ALTERNATIVE 1 CF'!$C$3,-'ALTERNATIVE 1 CF'!$G$9)</f>
        <v>-1160662.1485602574</v>
      </c>
      <c r="I32" s="57">
        <f t="shared" si="7"/>
        <v>18707024.683154378</v>
      </c>
      <c r="J32" s="57"/>
      <c r="K32" s="95">
        <f t="shared" si="10"/>
        <v>7599936.1345941201</v>
      </c>
    </row>
    <row r="33" spans="1:11" ht="15.6" x14ac:dyDescent="0.25">
      <c r="A33" s="211">
        <v>8</v>
      </c>
      <c r="B33" s="57">
        <f t="shared" si="8"/>
        <v>-8564000</v>
      </c>
      <c r="C33" s="57"/>
      <c r="D33" s="57">
        <f t="shared" si="9"/>
        <v>-988946.4</v>
      </c>
      <c r="E33" s="57"/>
      <c r="F33" s="57">
        <f t="shared" si="6"/>
        <v>-393480</v>
      </c>
      <c r="G33" s="57"/>
      <c r="H33" s="57">
        <f>PMT('PROJECT FUNDING'!$I$13,'ALTERNATIVE 1 CF'!$C$3,-'ALTERNATIVE 1 CF'!$G$9)</f>
        <v>-1160662.1485602574</v>
      </c>
      <c r="I33" s="57">
        <f t="shared" si="7"/>
        <v>19792032.114777334</v>
      </c>
      <c r="J33" s="57"/>
      <c r="K33" s="95">
        <f t="shared" si="10"/>
        <v>8684943.566217076</v>
      </c>
    </row>
    <row r="34" spans="1:11" ht="15.6" x14ac:dyDescent="0.25">
      <c r="A34" s="211">
        <v>9</v>
      </c>
      <c r="B34" s="57">
        <f t="shared" si="8"/>
        <v>-8564000</v>
      </c>
      <c r="C34" s="57"/>
      <c r="D34" s="57">
        <f t="shared" si="9"/>
        <v>-988946.4</v>
      </c>
      <c r="E34" s="57"/>
      <c r="F34" s="57">
        <f t="shared" si="6"/>
        <v>-393480</v>
      </c>
      <c r="G34" s="57"/>
      <c r="H34" s="57">
        <f>PMT('PROJECT FUNDING'!$I$13,'ALTERNATIVE 1 CF'!$C$3,-'ALTERNATIVE 1 CF'!$G$9)</f>
        <v>-1160662.1485602574</v>
      </c>
      <c r="I34" s="57">
        <f t="shared" si="7"/>
        <v>20939969.977434419</v>
      </c>
      <c r="J34" s="57"/>
      <c r="K34" s="95">
        <f t="shared" si="10"/>
        <v>9832881.4288741611</v>
      </c>
    </row>
    <row r="35" spans="1:11" ht="16.2" thickBot="1" x14ac:dyDescent="0.3">
      <c r="A35" s="247">
        <v>10</v>
      </c>
      <c r="B35" s="96">
        <f t="shared" si="8"/>
        <v>-8564000</v>
      </c>
      <c r="C35" s="96"/>
      <c r="D35" s="96">
        <f>($C$25*$C$5)+C25</f>
        <v>-18039746.399999999</v>
      </c>
      <c r="E35" s="96"/>
      <c r="F35" s="96">
        <f t="shared" si="6"/>
        <v>-393480</v>
      </c>
      <c r="G35" s="96"/>
      <c r="H35" s="96">
        <f>PMT('PROJECT FUNDING'!$I$13,'ALTERNATIVE 1 CF'!$C$3,-'ALTERNATIVE 1 CF'!$G$9)</f>
        <v>-1160662.1485602574</v>
      </c>
      <c r="I35" s="96">
        <f t="shared" si="7"/>
        <v>22154488.236125618</v>
      </c>
      <c r="J35" s="96">
        <f>DEPRECIATION!$D$4+DEPRECIATION!$D$8</f>
        <v>700000</v>
      </c>
      <c r="K35" s="97">
        <f t="shared" si="10"/>
        <v>-5303400.3124346361</v>
      </c>
    </row>
    <row r="36" spans="1:11" ht="16.2" thickBot="1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355" t="s">
        <v>104</v>
      </c>
      <c r="K36" s="356">
        <f>NPV($C$4,K26:K35)+K25</f>
        <v>-28125.299811981618</v>
      </c>
    </row>
    <row r="37" spans="1:11" ht="15.6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</row>
    <row r="38" spans="1:11" ht="15.6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</row>
    <row r="39" spans="1:11" ht="15.6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</row>
    <row r="40" spans="1:11" ht="15.6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</row>
    <row r="41" spans="1:11" ht="15.6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</row>
    <row r="42" spans="1:11" ht="15.6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</row>
    <row r="43" spans="1:11" ht="15.6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</row>
    <row r="44" spans="1:11" ht="15.6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</row>
    <row r="45" spans="1:11" ht="15.6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</row>
    <row r="46" spans="1:11" ht="15.6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15.6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spans="1:11" ht="15.6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1" ht="15.6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ht="15.6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ht="15.6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ht="15.6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spans="1:11" ht="15.6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1" ht="15.6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 ht="15.6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1:11" ht="15.6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spans="1:11" ht="15.6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spans="1:11" ht="15.6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spans="1:11" ht="15.6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spans="1:11" ht="15.6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pans="1:11" ht="15.6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1" ht="15.6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 spans="1:11" ht="15.6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 spans="1:11" ht="15.6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</row>
    <row r="65" spans="1:11" ht="15.6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spans="1:11" ht="15.6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spans="1:11" ht="15.6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 ht="15.6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spans="1:11" ht="13.8" x14ac:dyDescent="0.3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</row>
    <row r="70" spans="1:11" ht="13.8" x14ac:dyDescent="0.3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</row>
    <row r="71" spans="1:11" ht="13.8" x14ac:dyDescent="0.3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</row>
    <row r="72" spans="1:11" ht="13.8" x14ac:dyDescent="0.3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</row>
    <row r="73" spans="1:11" ht="13.8" x14ac:dyDescent="0.3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</row>
    <row r="74" spans="1:11" ht="13.8" x14ac:dyDescent="0.3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</row>
    <row r="75" spans="1:11" ht="13.8" x14ac:dyDescent="0.3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</row>
    <row r="76" spans="1:11" ht="13.8" x14ac:dyDescent="0.3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</row>
    <row r="77" spans="1:11" ht="13.8" x14ac:dyDescent="0.3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</row>
    <row r="78" spans="1:11" ht="13.8" x14ac:dyDescent="0.3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</row>
    <row r="79" spans="1:11" ht="13.8" x14ac:dyDescent="0.3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</row>
    <row r="80" spans="1:11" ht="13.8" x14ac:dyDescent="0.3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</row>
    <row r="81" spans="1:11" ht="13.8" x14ac:dyDescent="0.3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</row>
    <row r="82" spans="1:11" ht="13.8" x14ac:dyDescent="0.3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</row>
    <row r="83" spans="1:11" ht="13.8" x14ac:dyDescent="0.3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</row>
    <row r="84" spans="1:11" ht="13.8" x14ac:dyDescent="0.3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</row>
    <row r="85" spans="1:11" ht="13.8" x14ac:dyDescent="0.3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</row>
    <row r="86" spans="1:11" ht="13.8" x14ac:dyDescent="0.3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</row>
    <row r="87" spans="1:11" ht="13.8" x14ac:dyDescent="0.3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</row>
    <row r="88" spans="1:11" ht="13.8" x14ac:dyDescent="0.3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</row>
    <row r="89" spans="1:11" ht="13.8" x14ac:dyDescent="0.3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</row>
    <row r="90" spans="1:11" ht="13.8" x14ac:dyDescent="0.3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</row>
    <row r="91" spans="1:11" ht="13.8" x14ac:dyDescent="0.3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</row>
    <row r="92" spans="1:11" ht="13.8" x14ac:dyDescent="0.3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</row>
    <row r="93" spans="1:11" ht="13.8" x14ac:dyDescent="0.3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</row>
    <row r="94" spans="1:11" ht="13.8" x14ac:dyDescent="0.3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</row>
    <row r="95" spans="1:11" ht="13.8" x14ac:dyDescent="0.3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</row>
    <row r="96" spans="1:11" ht="13.8" x14ac:dyDescent="0.3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</row>
    <row r="97" spans="1:11" ht="13.8" x14ac:dyDescent="0.3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</row>
    <row r="98" spans="1:11" ht="13.8" x14ac:dyDescent="0.3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</row>
    <row r="99" spans="1:11" ht="13.8" x14ac:dyDescent="0.3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</row>
    <row r="100" spans="1:11" ht="13.8" x14ac:dyDescent="0.3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</row>
    <row r="101" spans="1:11" ht="13.8" x14ac:dyDescent="0.3">
      <c r="A101" s="238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</row>
    <row r="102" spans="1:11" ht="13.8" x14ac:dyDescent="0.3">
      <c r="A102" s="238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</row>
    <row r="103" spans="1:11" ht="13.8" x14ac:dyDescent="0.3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</row>
  </sheetData>
  <mergeCells count="2">
    <mergeCell ref="A7:K7"/>
    <mergeCell ref="A23:K2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zoomScale="53" zoomScaleNormal="70" workbookViewId="0">
      <selection activeCell="B13" sqref="B13"/>
    </sheetView>
  </sheetViews>
  <sheetFormatPr defaultColWidth="9.109375" defaultRowHeight="13.8" x14ac:dyDescent="0.25"/>
  <cols>
    <col min="1" max="1" width="6.21875" style="1" bestFit="1" customWidth="1"/>
    <col min="2" max="2" width="26.109375" style="1" bestFit="1" customWidth="1"/>
    <col min="3" max="3" width="25.44140625" style="1" bestFit="1" customWidth="1"/>
    <col min="4" max="4" width="24.88671875" style="1" bestFit="1" customWidth="1"/>
    <col min="5" max="5" width="22.6640625" style="1" bestFit="1" customWidth="1"/>
    <col min="6" max="6" width="29.33203125" style="1" bestFit="1" customWidth="1"/>
    <col min="7" max="7" width="33.88671875" style="1" customWidth="1"/>
    <col min="8" max="8" width="31.88671875" style="1" customWidth="1"/>
    <col min="9" max="9" width="25.44140625" style="1" bestFit="1" customWidth="1"/>
    <col min="10" max="10" width="24.88671875" style="1" bestFit="1" customWidth="1"/>
    <col min="11" max="11" width="26.6640625" style="1" bestFit="1" customWidth="1"/>
    <col min="12" max="12" width="14" style="1" bestFit="1" customWidth="1"/>
    <col min="13" max="16384" width="9.109375" style="1"/>
  </cols>
  <sheetData>
    <row r="1" spans="1:11" ht="18" x14ac:dyDescent="0.35">
      <c r="A1" s="50"/>
      <c r="B1" s="261" t="s">
        <v>60</v>
      </c>
      <c r="C1" s="262">
        <v>4564000</v>
      </c>
      <c r="D1" s="50"/>
      <c r="E1" s="50"/>
      <c r="F1" s="544" t="s">
        <v>28</v>
      </c>
      <c r="G1" s="578"/>
      <c r="H1" s="578"/>
      <c r="I1" s="545"/>
      <c r="J1" s="50"/>
      <c r="K1" s="50"/>
    </row>
    <row r="2" spans="1:11" ht="18" x14ac:dyDescent="0.35">
      <c r="A2" s="50"/>
      <c r="B2" s="193" t="s">
        <v>50</v>
      </c>
      <c r="C2" s="195">
        <f>'PROJECT FUNDING'!B2</f>
        <v>26232000</v>
      </c>
      <c r="D2" s="50"/>
      <c r="E2" s="50"/>
      <c r="F2" s="357" t="s">
        <v>96</v>
      </c>
      <c r="G2" s="248" t="s">
        <v>36</v>
      </c>
      <c r="H2" s="248" t="s">
        <v>39</v>
      </c>
      <c r="I2" s="248" t="s">
        <v>37</v>
      </c>
      <c r="J2" s="50"/>
      <c r="K2" s="50"/>
    </row>
    <row r="3" spans="1:11" ht="18" x14ac:dyDescent="0.35">
      <c r="A3" s="50"/>
      <c r="B3" s="193" t="s">
        <v>80</v>
      </c>
      <c r="C3" s="156">
        <v>10</v>
      </c>
      <c r="D3" s="50"/>
      <c r="E3" s="50"/>
      <c r="F3" s="357" t="s">
        <v>236</v>
      </c>
      <c r="G3" s="248" t="s">
        <v>239</v>
      </c>
      <c r="H3" s="249">
        <v>1100000</v>
      </c>
      <c r="I3" s="250">
        <v>655000</v>
      </c>
      <c r="J3" s="50"/>
      <c r="K3" s="50"/>
    </row>
    <row r="4" spans="1:11" ht="18" x14ac:dyDescent="0.35">
      <c r="A4" s="50"/>
      <c r="B4" s="193" t="s">
        <v>49</v>
      </c>
      <c r="C4" s="157">
        <f>'PROJECT FUNDING'!J4</f>
        <v>6.0000000000000005E-2</v>
      </c>
      <c r="D4" s="50"/>
      <c r="E4" s="50"/>
      <c r="F4" s="358" t="s">
        <v>38</v>
      </c>
      <c r="G4" s="344"/>
      <c r="H4" s="345">
        <v>1100000</v>
      </c>
      <c r="I4" s="345">
        <v>655000</v>
      </c>
      <c r="J4" s="50"/>
      <c r="K4" s="50"/>
    </row>
    <row r="5" spans="1:11" ht="18" x14ac:dyDescent="0.35">
      <c r="A5" s="50"/>
      <c r="B5" s="263" t="s">
        <v>47</v>
      </c>
      <c r="C5" s="157">
        <f>'PROJECT FUNDING'!B11</f>
        <v>5.8000000000000003E-2</v>
      </c>
      <c r="D5" s="50"/>
      <c r="E5" s="50"/>
      <c r="F5" s="251"/>
      <c r="G5" s="252"/>
      <c r="H5" s="252"/>
      <c r="I5" s="253"/>
      <c r="J5" s="50"/>
      <c r="K5" s="50"/>
    </row>
    <row r="6" spans="1:11" ht="18.600000000000001" thickBot="1" x14ac:dyDescent="0.4">
      <c r="A6" s="50"/>
      <c r="B6" s="264" t="s">
        <v>48</v>
      </c>
      <c r="C6" s="265">
        <f>'PROJECT FUNDING'!B13</f>
        <v>0.4</v>
      </c>
      <c r="D6" s="50"/>
      <c r="E6" s="50"/>
      <c r="F6" s="58" t="s">
        <v>96</v>
      </c>
      <c r="G6" s="248" t="s">
        <v>36</v>
      </c>
      <c r="H6" s="248" t="s">
        <v>39</v>
      </c>
      <c r="I6" s="248" t="s">
        <v>37</v>
      </c>
      <c r="J6" s="50"/>
      <c r="K6" s="50"/>
    </row>
    <row r="7" spans="1:11" ht="18" x14ac:dyDescent="0.35">
      <c r="A7" s="50"/>
      <c r="B7" s="254"/>
      <c r="C7" s="255"/>
      <c r="D7" s="50"/>
      <c r="E7" s="50"/>
      <c r="F7" s="168" t="s">
        <v>237</v>
      </c>
      <c r="G7" s="248" t="s">
        <v>238</v>
      </c>
      <c r="H7" s="249">
        <v>1000000</v>
      </c>
      <c r="I7" s="250">
        <v>0</v>
      </c>
      <c r="J7" s="50"/>
      <c r="K7" s="50"/>
    </row>
    <row r="8" spans="1:11" ht="18" x14ac:dyDescent="0.35">
      <c r="A8" s="50"/>
      <c r="B8" s="254"/>
      <c r="C8" s="255"/>
      <c r="D8" s="50"/>
      <c r="E8" s="50"/>
      <c r="F8" s="574" t="s">
        <v>38</v>
      </c>
      <c r="G8" s="575"/>
      <c r="H8" s="272">
        <v>1000000</v>
      </c>
      <c r="I8" s="272">
        <v>0</v>
      </c>
      <c r="J8" s="50"/>
      <c r="K8" s="50"/>
    </row>
    <row r="9" spans="1:11" ht="18.600000000000001" thickBot="1" x14ac:dyDescent="0.4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ht="18" x14ac:dyDescent="0.25">
      <c r="A10" s="539" t="s">
        <v>28</v>
      </c>
      <c r="B10" s="540"/>
      <c r="C10" s="540"/>
      <c r="D10" s="540"/>
      <c r="E10" s="540"/>
      <c r="F10" s="540"/>
      <c r="G10" s="540"/>
      <c r="H10" s="540"/>
      <c r="I10" s="540"/>
      <c r="J10" s="540"/>
      <c r="K10" s="541"/>
    </row>
    <row r="11" spans="1:11" ht="18" x14ac:dyDescent="0.25">
      <c r="A11" s="161" t="s">
        <v>31</v>
      </c>
      <c r="B11" s="58" t="s">
        <v>40</v>
      </c>
      <c r="C11" s="58" t="s">
        <v>45</v>
      </c>
      <c r="D11" s="58" t="s">
        <v>44</v>
      </c>
      <c r="E11" s="58" t="s">
        <v>208</v>
      </c>
      <c r="F11" s="58" t="s">
        <v>109</v>
      </c>
      <c r="G11" s="58" t="s">
        <v>110</v>
      </c>
      <c r="H11" s="58" t="s">
        <v>41</v>
      </c>
      <c r="I11" s="58" t="s">
        <v>42</v>
      </c>
      <c r="J11" s="58" t="s">
        <v>43</v>
      </c>
      <c r="K11" s="162" t="s">
        <v>122</v>
      </c>
    </row>
    <row r="12" spans="1:11" ht="18" x14ac:dyDescent="0.25">
      <c r="A12" s="161">
        <v>0</v>
      </c>
      <c r="B12" s="65">
        <f>-C2</f>
        <v>-26232000</v>
      </c>
      <c r="C12" s="65">
        <f>-'PROJECT FUNDING'!B9</f>
        <v>-17050800</v>
      </c>
      <c r="D12" s="172"/>
      <c r="E12" s="172"/>
      <c r="F12" s="172"/>
      <c r="G12" s="172"/>
      <c r="H12" s="172"/>
      <c r="I12" s="172"/>
      <c r="J12" s="65">
        <f>B12-C12</f>
        <v>-9181200</v>
      </c>
      <c r="K12" s="181">
        <f>J12</f>
        <v>-9181200</v>
      </c>
    </row>
    <row r="13" spans="1:11" ht="18" x14ac:dyDescent="0.25">
      <c r="A13" s="161">
        <v>1</v>
      </c>
      <c r="B13" s="65">
        <f>'ALTERNATIVE 3 CF'!B10+'ALTERNATIVE 3 CF'!F10+'ALTERNATIVE 3 CF'!I10</f>
        <v>-3764480</v>
      </c>
      <c r="C13" s="173">
        <f>-PPMT($C$5,A13,$C$3,-$C$12)</f>
        <v>1305809.4601898105</v>
      </c>
      <c r="D13" s="173">
        <f>-IPMT($C$5,A13,$C$3,-$C$12)</f>
        <v>988946.4</v>
      </c>
      <c r="E13" s="173">
        <f>-'ALTERNATIVE 3 CF'!H10</f>
        <v>1160662.1485602574</v>
      </c>
      <c r="F13" s="173">
        <f>DB($H$4,$I$4,$C$3,A13)</f>
        <v>56100</v>
      </c>
      <c r="G13" s="173">
        <f>SLN($H$8,$I$8,$C$3)</f>
        <v>100000</v>
      </c>
      <c r="H13" s="65">
        <f>B13-D13-F13-G13-E13</f>
        <v>-6070188.548560258</v>
      </c>
      <c r="I13" s="65">
        <f>H13*$C$6</f>
        <v>-2428075.4194241031</v>
      </c>
      <c r="J13" s="65">
        <f>B13-C13-D13-I13-E13</f>
        <v>-4791822.5893259645</v>
      </c>
      <c r="K13" s="181">
        <f>K12+J13</f>
        <v>-13973022.589325964</v>
      </c>
    </row>
    <row r="14" spans="1:11" ht="18" x14ac:dyDescent="0.25">
      <c r="A14" s="161">
        <v>2</v>
      </c>
      <c r="B14" s="65">
        <f>'ALTERNATIVE 3 CF'!B11+'ALTERNATIVE 3 CF'!F11+'ALTERNATIVE 3 CF'!I11</f>
        <v>5154124</v>
      </c>
      <c r="C14" s="173">
        <f>-PPMT($C$5,A14,$C$3,-$C$12)</f>
        <v>1381546.4088808196</v>
      </c>
      <c r="D14" s="173">
        <f>-IPMT($C$5,A14,$C$3,-$C$12)</f>
        <v>913209.45130899095</v>
      </c>
      <c r="E14" s="173">
        <f>-'ALTERNATIVE 3 CF'!H11</f>
        <v>1160662.1485602574</v>
      </c>
      <c r="F14" s="173">
        <f>DB($H$4,$I$4,$C$3,A14)</f>
        <v>53238.899999999994</v>
      </c>
      <c r="G14" s="173">
        <f>SLN($H$8,$I$8,$C$3)</f>
        <v>100000</v>
      </c>
      <c r="H14" s="65">
        <f t="shared" ref="H14:H16" si="0">B14-D14-F14-G14-E14</f>
        <v>2927013.5001307521</v>
      </c>
      <c r="I14" s="65">
        <f>H14*$C$4</f>
        <v>175620.81000784514</v>
      </c>
      <c r="J14" s="65">
        <f t="shared" ref="J14:J17" si="1">B14-C14-D14-I14-E14</f>
        <v>1523085.1812420872</v>
      </c>
      <c r="K14" s="181">
        <f t="shared" ref="K14:K17" si="2">K13+J14</f>
        <v>-12449937.408083877</v>
      </c>
    </row>
    <row r="15" spans="1:11" ht="18" x14ac:dyDescent="0.25">
      <c r="A15" s="161">
        <v>3</v>
      </c>
      <c r="B15" s="65">
        <f>'ALTERNATIVE 3 CF'!B12+'ALTERNATIVE 3 CF'!F12+'ALTERNATIVE 3 CF'!I12</f>
        <v>5972597.0320000015</v>
      </c>
      <c r="C15" s="173">
        <f>-PPMT($C$5,A15,$C$3,-$C$12)</f>
        <v>1461676.1005959071</v>
      </c>
      <c r="D15" s="173">
        <f>-IPMT($C$5,A15,$C$3,-$C$12)</f>
        <v>833079.75959390332</v>
      </c>
      <c r="E15" s="173">
        <f>-'ALTERNATIVE 3 CF'!H12</f>
        <v>1160662.1485602574</v>
      </c>
      <c r="F15" s="173">
        <f>DB($H$4,$I$4,$C$3,A15)</f>
        <v>50523.716099999998</v>
      </c>
      <c r="G15" s="173">
        <f>SLN($H$8,$I$8,$C$3)</f>
        <v>100000</v>
      </c>
      <c r="H15" s="65">
        <f t="shared" si="0"/>
        <v>3828331.407745841</v>
      </c>
      <c r="I15" s="65">
        <f>H15*$C$4</f>
        <v>229699.88446475047</v>
      </c>
      <c r="J15" s="65">
        <f t="shared" si="1"/>
        <v>2287479.1387851834</v>
      </c>
      <c r="K15" s="181">
        <f t="shared" si="2"/>
        <v>-10162458.269298693</v>
      </c>
    </row>
    <row r="16" spans="1:11" ht="18" x14ac:dyDescent="0.25">
      <c r="A16" s="161">
        <v>4</v>
      </c>
      <c r="B16" s="65">
        <f>'ALTERNATIVE 3 CF'!B13+'ALTERNATIVE 3 CF'!F13+'ALTERNATIVE 3 CF'!I13</f>
        <v>6838541.4998560026</v>
      </c>
      <c r="C16" s="173">
        <f>-PPMT($C$5,A16,$C$3,-$C$12)</f>
        <v>1546453.3144304699</v>
      </c>
      <c r="D16" s="173">
        <f>-IPMT($C$5,A16,$C$3,-$C$12)</f>
        <v>748302.54575934086</v>
      </c>
      <c r="E16" s="173">
        <f>-'ALTERNATIVE 3 CF'!H13</f>
        <v>1160662.1485602574</v>
      </c>
      <c r="F16" s="173">
        <f>DB($H$4,$I$4,$C$3,A16)</f>
        <v>47947.0065789</v>
      </c>
      <c r="G16" s="173">
        <f>SLN($H$8,$I$8,$C$3)</f>
        <v>100000</v>
      </c>
      <c r="H16" s="65">
        <f t="shared" si="0"/>
        <v>4781629.7989575043</v>
      </c>
      <c r="I16" s="65">
        <f>H16*$C$4</f>
        <v>286897.78793745028</v>
      </c>
      <c r="J16" s="65">
        <f t="shared" si="1"/>
        <v>3096225.7031684844</v>
      </c>
      <c r="K16" s="181">
        <f t="shared" si="2"/>
        <v>-7066232.5661302088</v>
      </c>
    </row>
    <row r="17" spans="1:11" ht="18" x14ac:dyDescent="0.25">
      <c r="A17" s="161">
        <v>5</v>
      </c>
      <c r="B17" s="65">
        <f>'ALTERNATIVE 3 CF'!B14+'ALTERNATIVE 3 CF'!F14+'ALTERNATIVE 3 CF'!I14</f>
        <v>7754710.7468476519</v>
      </c>
      <c r="C17" s="173">
        <f>-PPMT($C$5,A17,$C$3,-$C$12)</f>
        <v>1636147.6066674367</v>
      </c>
      <c r="D17" s="173">
        <f>-IPMT($C$5,A17,$C$3,-$C$12)</f>
        <v>658608.2535223735</v>
      </c>
      <c r="E17" s="173">
        <f>-'ALTERNATIVE 3 CF'!H14</f>
        <v>1160662.1485602574</v>
      </c>
      <c r="F17" s="173">
        <f>DB($H$4,$I$4,$C$3,A17)</f>
        <v>45501.709243376099</v>
      </c>
      <c r="G17" s="173">
        <f>SLN($H$8,$I$8,$C$3)</f>
        <v>100000</v>
      </c>
      <c r="H17" s="65">
        <f>B17-D17-F17-G17-E17</f>
        <v>5789938.6355216447</v>
      </c>
      <c r="I17" s="65">
        <f>H17*$C$4</f>
        <v>347396.3181312987</v>
      </c>
      <c r="J17" s="65">
        <f t="shared" si="1"/>
        <v>3951896.4199662851</v>
      </c>
      <c r="K17" s="181">
        <f t="shared" si="2"/>
        <v>-3114336.1461639237</v>
      </c>
    </row>
    <row r="18" spans="1:11" ht="18" x14ac:dyDescent="0.25">
      <c r="A18" s="161">
        <v>6</v>
      </c>
      <c r="B18" s="65">
        <f>'ALTERNATIVE 3 CF'!B15+'ALTERNATIVE 3 CF'!F15+'ALTERNATIVE 3 CF'!I15</f>
        <v>8724017.8101648167</v>
      </c>
      <c r="C18" s="173">
        <f t="shared" ref="C18:C22" si="3">-PPMT($C$5,A18,$C$3,-$C$12)</f>
        <v>1731044.1678541482</v>
      </c>
      <c r="D18" s="173">
        <f t="shared" ref="D18:D22" si="4">-IPMT($C$5,A18,$C$3,-$C$12)</f>
        <v>563711.69233566208</v>
      </c>
      <c r="E18" s="173">
        <f>-'ALTERNATIVE 3 CF'!H15</f>
        <v>1160662.1485602574</v>
      </c>
      <c r="F18" s="173">
        <f t="shared" ref="F18:F22" si="5">DB($H$4,$I$4,$C$3,A18)</f>
        <v>43181.12207196391</v>
      </c>
      <c r="G18" s="173">
        <f t="shared" ref="G18:G22" si="6">SLN($H$8,$I$8,$C$3)</f>
        <v>100000</v>
      </c>
      <c r="H18" s="65">
        <f t="shared" ref="H18:H21" si="7">B18-D18-F18-G18-E18</f>
        <v>6856462.8471969329</v>
      </c>
      <c r="I18" s="65">
        <f t="shared" ref="I18:I22" si="8">H18*$C$4</f>
        <v>411387.77083181601</v>
      </c>
      <c r="J18" s="65">
        <f t="shared" ref="J18:J22" si="9">B18-C18-D18-I18-E18</f>
        <v>4857212.0305829328</v>
      </c>
      <c r="K18" s="181">
        <f t="shared" ref="K18:K22" si="10">K17+J18</f>
        <v>1742875.8844190091</v>
      </c>
    </row>
    <row r="19" spans="1:11" ht="18" x14ac:dyDescent="0.25">
      <c r="A19" s="161">
        <v>7</v>
      </c>
      <c r="B19" s="65">
        <f>'ALTERNATIVE 3 CF'!B16+'ALTERNATIVE 3 CF'!F16+'ALTERNATIVE 3 CF'!I16</f>
        <v>9749544.6831543781</v>
      </c>
      <c r="C19" s="173">
        <f t="shared" si="3"/>
        <v>1831444.7295896888</v>
      </c>
      <c r="D19" s="173">
        <f t="shared" si="4"/>
        <v>463311.13060012157</v>
      </c>
      <c r="E19" s="173">
        <f>-'ALTERNATIVE 3 CF'!H16</f>
        <v>1160662.1485602574</v>
      </c>
      <c r="F19" s="173">
        <f t="shared" si="5"/>
        <v>40978.884846293753</v>
      </c>
      <c r="G19" s="173">
        <f t="shared" si="6"/>
        <v>100000</v>
      </c>
      <c r="H19" s="65">
        <f t="shared" si="7"/>
        <v>7984592.5191477053</v>
      </c>
      <c r="I19" s="65">
        <f t="shared" si="8"/>
        <v>479075.55114886235</v>
      </c>
      <c r="J19" s="65">
        <f t="shared" si="9"/>
        <v>5815051.1232554475</v>
      </c>
      <c r="K19" s="181">
        <f t="shared" si="10"/>
        <v>7557927.0076744566</v>
      </c>
    </row>
    <row r="20" spans="1:11" ht="18" x14ac:dyDescent="0.25">
      <c r="A20" s="161">
        <v>8</v>
      </c>
      <c r="B20" s="65">
        <f>'ALTERNATIVE 3 CF'!B17+'ALTERNATIVE 3 CF'!F17+'ALTERNATIVE 3 CF'!I17</f>
        <v>10834552.114777334</v>
      </c>
      <c r="C20" s="173">
        <f t="shared" si="3"/>
        <v>1937668.523905891</v>
      </c>
      <c r="D20" s="173">
        <f t="shared" si="4"/>
        <v>357087.33628391963</v>
      </c>
      <c r="E20" s="173">
        <f>-'ALTERNATIVE 3 CF'!H17</f>
        <v>1160662.1485602574</v>
      </c>
      <c r="F20" s="173">
        <f t="shared" si="5"/>
        <v>38888.961719132771</v>
      </c>
      <c r="G20" s="173">
        <f t="shared" si="6"/>
        <v>100000</v>
      </c>
      <c r="H20" s="65">
        <f t="shared" si="7"/>
        <v>9177913.6682140231</v>
      </c>
      <c r="I20" s="65">
        <f t="shared" si="8"/>
        <v>550674.8200928414</v>
      </c>
      <c r="J20" s="65">
        <f t="shared" si="9"/>
        <v>6828459.2859344231</v>
      </c>
      <c r="K20" s="181">
        <f t="shared" si="10"/>
        <v>14386386.29360888</v>
      </c>
    </row>
    <row r="21" spans="1:11" ht="18" x14ac:dyDescent="0.25">
      <c r="A21" s="161">
        <v>9</v>
      </c>
      <c r="B21" s="65">
        <f>'ALTERNATIVE 3 CF'!B18+'ALTERNATIVE 3 CF'!F18+'ALTERNATIVE 3 CF'!I18</f>
        <v>11982489.977434419</v>
      </c>
      <c r="C21" s="173">
        <f t="shared" si="3"/>
        <v>2050053.2982924324</v>
      </c>
      <c r="D21" s="173">
        <f t="shared" si="4"/>
        <v>244702.56189737795</v>
      </c>
      <c r="E21" s="173">
        <f>-'ALTERNATIVE 3 CF'!H18</f>
        <v>1160662.1485602574</v>
      </c>
      <c r="F21" s="173">
        <f t="shared" si="5"/>
        <v>36905.624671457001</v>
      </c>
      <c r="G21" s="173">
        <f t="shared" si="6"/>
        <v>100000</v>
      </c>
      <c r="H21" s="65">
        <f t="shared" si="7"/>
        <v>10440219.642305326</v>
      </c>
      <c r="I21" s="65">
        <f t="shared" si="8"/>
        <v>626413.17853831954</v>
      </c>
      <c r="J21" s="65">
        <f t="shared" si="9"/>
        <v>7900658.7901460323</v>
      </c>
      <c r="K21" s="181">
        <f t="shared" si="10"/>
        <v>22287045.083754912</v>
      </c>
    </row>
    <row r="22" spans="1:11" ht="18.600000000000001" thickBot="1" x14ac:dyDescent="0.3">
      <c r="A22" s="280">
        <v>10</v>
      </c>
      <c r="B22" s="186">
        <f>'ALTERNATIVE 3 CF'!B19+'ALTERNATIVE 3 CF'!F19+'ALTERNATIVE 3 CF'!I19</f>
        <v>13197008.236125618</v>
      </c>
      <c r="C22" s="185">
        <f t="shared" si="3"/>
        <v>2168956.3895933935</v>
      </c>
      <c r="D22" s="185">
        <f t="shared" si="4"/>
        <v>125799.47059641685</v>
      </c>
      <c r="E22" s="185">
        <f>-'ALTERNATIVE 3 CF'!H19</f>
        <v>1160662.1485602574</v>
      </c>
      <c r="F22" s="185">
        <f t="shared" si="5"/>
        <v>35023.437813212695</v>
      </c>
      <c r="G22" s="185">
        <f t="shared" si="6"/>
        <v>100000</v>
      </c>
      <c r="H22" s="186">
        <f>B22-D22-F22-G22-E22-I4-I8</f>
        <v>11120523.17915573</v>
      </c>
      <c r="I22" s="186">
        <f t="shared" si="8"/>
        <v>667231.39074934379</v>
      </c>
      <c r="J22" s="186">
        <f t="shared" si="9"/>
        <v>9074358.8366262056</v>
      </c>
      <c r="K22" s="187">
        <f t="shared" si="10"/>
        <v>31361403.920381118</v>
      </c>
    </row>
    <row r="23" spans="1:11" ht="18" x14ac:dyDescent="0.3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</row>
    <row r="24" spans="1:11" ht="18" x14ac:dyDescent="0.3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 ht="18" x14ac:dyDescent="0.3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ht="18.600000000000001" thickBot="1" x14ac:dyDescent="0.4">
      <c r="A26" s="50"/>
      <c r="B26" s="50"/>
      <c r="C26" s="50"/>
      <c r="D26" s="50"/>
      <c r="E26" s="256"/>
      <c r="F26" s="256"/>
      <c r="G26" s="257"/>
      <c r="H26" s="257"/>
      <c r="I26" s="50"/>
      <c r="J26" s="50"/>
      <c r="K26" s="50"/>
    </row>
    <row r="27" spans="1:11" ht="18" x14ac:dyDescent="0.35">
      <c r="A27" s="50"/>
      <c r="B27" s="50"/>
      <c r="C27" s="576" t="s">
        <v>126</v>
      </c>
      <c r="D27" s="577"/>
      <c r="E27" s="256"/>
      <c r="F27" s="256"/>
      <c r="G27" s="576" t="s">
        <v>201</v>
      </c>
      <c r="H27" s="577"/>
      <c r="I27" s="50"/>
      <c r="J27" s="50"/>
      <c r="K27" s="50"/>
    </row>
    <row r="28" spans="1:11" ht="18" x14ac:dyDescent="0.35">
      <c r="A28" s="50"/>
      <c r="B28" s="50"/>
      <c r="C28" s="120" t="s">
        <v>51</v>
      </c>
      <c r="D28" s="276">
        <f>NPV($C$4,J13:J22)+J12</f>
        <v>16299158.436651409</v>
      </c>
      <c r="E28" s="258"/>
      <c r="F28" s="258"/>
      <c r="G28" s="161" t="s">
        <v>125</v>
      </c>
      <c r="H28" s="162" t="s">
        <v>123</v>
      </c>
      <c r="I28" s="50"/>
      <c r="J28" s="50"/>
      <c r="K28" s="50"/>
    </row>
    <row r="29" spans="1:11" ht="18" x14ac:dyDescent="0.35">
      <c r="A29" s="50"/>
      <c r="B29" s="50"/>
      <c r="C29" s="120" t="s">
        <v>52</v>
      </c>
      <c r="D29" s="276">
        <f>FV($C$4,$C$3,,-D28)</f>
        <v>29189310.34186421</v>
      </c>
      <c r="E29" s="258"/>
      <c r="F29" s="258"/>
      <c r="G29" s="281">
        <v>5</v>
      </c>
      <c r="H29" s="181">
        <f>K17</f>
        <v>-3114336.1461639237</v>
      </c>
      <c r="I29" s="50"/>
      <c r="J29" s="50"/>
      <c r="K29" s="50"/>
    </row>
    <row r="30" spans="1:11" ht="18" x14ac:dyDescent="0.35">
      <c r="A30" s="50"/>
      <c r="B30" s="50"/>
      <c r="C30" s="120" t="s">
        <v>53</v>
      </c>
      <c r="D30" s="276">
        <f>PMT($C$4,$C$3,-D28)</f>
        <v>2214533.3774983706</v>
      </c>
      <c r="E30" s="258"/>
      <c r="F30" s="258"/>
      <c r="G30" s="281">
        <v>6</v>
      </c>
      <c r="H30" s="181">
        <f>K18</f>
        <v>1742875.8844190091</v>
      </c>
      <c r="I30" s="50"/>
      <c r="J30" s="50"/>
      <c r="K30" s="50"/>
    </row>
    <row r="31" spans="1:11" ht="18" x14ac:dyDescent="0.35">
      <c r="A31" s="50"/>
      <c r="B31" s="50"/>
      <c r="C31" s="120" t="s">
        <v>54</v>
      </c>
      <c r="D31" s="277">
        <f>IRR(J12:J22)</f>
        <v>0.20189561641454024</v>
      </c>
      <c r="E31" s="50"/>
      <c r="F31" s="50"/>
      <c r="G31" s="579" t="s">
        <v>124</v>
      </c>
      <c r="H31" s="580"/>
      <c r="I31" s="50"/>
      <c r="J31" s="50"/>
      <c r="K31" s="50"/>
    </row>
    <row r="32" spans="1:11" ht="18.600000000000001" thickBot="1" x14ac:dyDescent="0.4">
      <c r="A32" s="50"/>
      <c r="B32" s="50"/>
      <c r="C32" s="122" t="s">
        <v>217</v>
      </c>
      <c r="D32" s="278">
        <f>MIRR(J12:J22,,$C$4)</f>
        <v>0.14416938703108872</v>
      </c>
      <c r="E32" s="50"/>
      <c r="F32" s="50"/>
      <c r="G32" s="581">
        <f>G29+(G29-H29)*(G30-G29)/(H30-H29)</f>
        <v>5.6411787516284644</v>
      </c>
      <c r="H32" s="582"/>
      <c r="I32" s="50"/>
      <c r="J32" s="50"/>
      <c r="K32" s="50"/>
    </row>
    <row r="33" spans="1:11" ht="18.600000000000001" thickBot="1" x14ac:dyDescent="0.4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1:11" ht="18" x14ac:dyDescent="0.35">
      <c r="A34" s="50"/>
      <c r="B34" s="50"/>
      <c r="C34" s="539" t="s">
        <v>127</v>
      </c>
      <c r="D34" s="541"/>
      <c r="E34" s="50"/>
      <c r="F34" s="50"/>
      <c r="G34" s="50"/>
      <c r="H34" s="50"/>
      <c r="I34" s="50"/>
      <c r="J34" s="50"/>
      <c r="K34" s="50"/>
    </row>
    <row r="35" spans="1:11" ht="18" x14ac:dyDescent="0.35">
      <c r="A35" s="50"/>
      <c r="B35" s="50"/>
      <c r="C35" s="193" t="s">
        <v>128</v>
      </c>
      <c r="D35" s="194" t="s">
        <v>129</v>
      </c>
      <c r="E35" s="50"/>
      <c r="F35" s="50"/>
      <c r="G35" s="50"/>
      <c r="H35" s="50"/>
      <c r="I35" s="50"/>
      <c r="J35" s="50"/>
      <c r="K35" s="50"/>
    </row>
    <row r="36" spans="1:11" ht="18" x14ac:dyDescent="0.35">
      <c r="A36" s="50"/>
      <c r="B36" s="50"/>
      <c r="C36" s="193">
        <v>0</v>
      </c>
      <c r="D36" s="195">
        <v>-9181200</v>
      </c>
      <c r="E36" s="50"/>
      <c r="F36" s="50"/>
      <c r="G36" s="50"/>
      <c r="H36" s="50"/>
      <c r="I36" s="50"/>
      <c r="J36" s="50"/>
      <c r="K36" s="50"/>
    </row>
    <row r="37" spans="1:11" ht="18" x14ac:dyDescent="0.35">
      <c r="A37" s="50"/>
      <c r="B37" s="50"/>
      <c r="C37" s="193">
        <v>1</v>
      </c>
      <c r="D37" s="195">
        <v>-4791822.5893259645</v>
      </c>
      <c r="E37" s="50"/>
      <c r="F37" s="50"/>
      <c r="G37" s="50"/>
      <c r="H37" s="50"/>
      <c r="I37" s="50"/>
      <c r="J37" s="50"/>
      <c r="K37" s="50"/>
    </row>
    <row r="38" spans="1:11" ht="18" x14ac:dyDescent="0.35">
      <c r="A38" s="50"/>
      <c r="B38" s="50"/>
      <c r="C38" s="193">
        <v>2</v>
      </c>
      <c r="D38" s="195">
        <v>1523085.1812420872</v>
      </c>
      <c r="E38" s="50"/>
      <c r="F38" s="50"/>
      <c r="G38" s="50"/>
      <c r="H38" s="50"/>
      <c r="I38" s="50"/>
      <c r="J38" s="50"/>
      <c r="K38" s="50"/>
    </row>
    <row r="39" spans="1:11" ht="18" x14ac:dyDescent="0.35">
      <c r="A39" s="50"/>
      <c r="B39" s="50"/>
      <c r="C39" s="193">
        <v>3</v>
      </c>
      <c r="D39" s="195">
        <v>2287479.1387851834</v>
      </c>
      <c r="E39" s="50"/>
      <c r="F39" s="50"/>
      <c r="G39" s="50"/>
      <c r="H39" s="50"/>
      <c r="I39" s="50"/>
      <c r="J39" s="50"/>
      <c r="K39" s="50"/>
    </row>
    <row r="40" spans="1:11" ht="18" x14ac:dyDescent="0.35">
      <c r="A40" s="50"/>
      <c r="B40" s="50"/>
      <c r="C40" s="193">
        <v>4</v>
      </c>
      <c r="D40" s="195">
        <v>3096225.7031684844</v>
      </c>
      <c r="E40" s="50"/>
      <c r="F40" s="50"/>
      <c r="G40" s="50"/>
      <c r="H40" s="50"/>
      <c r="I40" s="50"/>
      <c r="J40" s="50"/>
      <c r="K40" s="50"/>
    </row>
    <row r="41" spans="1:11" ht="18" x14ac:dyDescent="0.35">
      <c r="A41" s="50"/>
      <c r="B41" s="50"/>
      <c r="C41" s="193">
        <v>5</v>
      </c>
      <c r="D41" s="195">
        <v>3951896.4199662851</v>
      </c>
      <c r="E41" s="50"/>
      <c r="F41" s="50"/>
      <c r="G41" s="50"/>
      <c r="H41" s="50"/>
      <c r="I41" s="50"/>
      <c r="J41" s="50"/>
      <c r="K41" s="50"/>
    </row>
    <row r="42" spans="1:11" ht="18" x14ac:dyDescent="0.35">
      <c r="A42" s="50"/>
      <c r="B42" s="50"/>
      <c r="C42" s="193">
        <f>C41+1</f>
        <v>6</v>
      </c>
      <c r="D42" s="195">
        <v>4857212.0305829328</v>
      </c>
      <c r="E42" s="50"/>
      <c r="F42" s="50"/>
      <c r="G42" s="50"/>
      <c r="H42" s="50"/>
      <c r="I42" s="50"/>
      <c r="J42" s="50"/>
      <c r="K42" s="50"/>
    </row>
    <row r="43" spans="1:11" ht="18" x14ac:dyDescent="0.35">
      <c r="A43" s="50"/>
      <c r="B43" s="50"/>
      <c r="C43" s="193">
        <f t="shared" ref="C43:C46" si="11">C42+1</f>
        <v>7</v>
      </c>
      <c r="D43" s="195">
        <v>5815051.1232554475</v>
      </c>
      <c r="E43" s="50"/>
      <c r="F43" s="50"/>
      <c r="G43" s="50"/>
      <c r="H43" s="50"/>
      <c r="I43" s="50"/>
      <c r="J43" s="50"/>
      <c r="K43" s="50"/>
    </row>
    <row r="44" spans="1:11" ht="18" x14ac:dyDescent="0.35">
      <c r="A44" s="260"/>
      <c r="B44" s="260"/>
      <c r="C44" s="193">
        <f t="shared" si="11"/>
        <v>8</v>
      </c>
      <c r="D44" s="195">
        <v>6828459.2859344231</v>
      </c>
      <c r="E44" s="260"/>
      <c r="F44" s="260"/>
      <c r="G44" s="260"/>
      <c r="H44" s="260"/>
      <c r="I44" s="260"/>
      <c r="J44" s="260"/>
      <c r="K44" s="260"/>
    </row>
    <row r="45" spans="1:11" ht="18" x14ac:dyDescent="0.35">
      <c r="A45" s="260"/>
      <c r="B45" s="260"/>
      <c r="C45" s="193">
        <f t="shared" si="11"/>
        <v>9</v>
      </c>
      <c r="D45" s="195">
        <v>7900658.7901460323</v>
      </c>
      <c r="E45" s="260"/>
      <c r="F45" s="260"/>
      <c r="G45" s="260"/>
      <c r="H45" s="260"/>
      <c r="I45" s="260"/>
      <c r="J45" s="260"/>
      <c r="K45" s="260"/>
    </row>
    <row r="46" spans="1:11" ht="18.600000000000001" thickBot="1" x14ac:dyDescent="0.4">
      <c r="A46" s="260"/>
      <c r="B46" s="260"/>
      <c r="C46" s="196">
        <f t="shared" si="11"/>
        <v>10</v>
      </c>
      <c r="D46" s="282">
        <v>9074358.8366262056</v>
      </c>
      <c r="E46" s="260"/>
      <c r="F46" s="260"/>
      <c r="G46" s="260"/>
      <c r="H46" s="260"/>
      <c r="I46" s="260"/>
      <c r="J46" s="260"/>
      <c r="K46" s="260"/>
    </row>
    <row r="47" spans="1:11" ht="18" x14ac:dyDescent="0.35">
      <c r="A47" s="260"/>
      <c r="B47" s="260"/>
      <c r="C47" s="50"/>
      <c r="D47" s="260"/>
      <c r="E47" s="260"/>
      <c r="F47" s="260"/>
      <c r="G47" s="260"/>
      <c r="H47" s="260"/>
      <c r="I47" s="260"/>
      <c r="J47" s="260"/>
      <c r="K47" s="260"/>
    </row>
  </sheetData>
  <mergeCells count="8">
    <mergeCell ref="F8:G8"/>
    <mergeCell ref="C34:D34"/>
    <mergeCell ref="A10:K10"/>
    <mergeCell ref="C27:D27"/>
    <mergeCell ref="F1:I1"/>
    <mergeCell ref="G27:H27"/>
    <mergeCell ref="G31:H31"/>
    <mergeCell ref="G32:H3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Q18" sqref="Q18"/>
    </sheetView>
  </sheetViews>
  <sheetFormatPr defaultColWidth="9" defaultRowHeight="13.2" x14ac:dyDescent="0.25"/>
  <cols>
    <col min="1" max="1" width="9" style="21"/>
    <col min="2" max="2" width="17.77734375" style="16" bestFit="1" customWidth="1"/>
    <col min="3" max="16384" width="9" style="16"/>
  </cols>
  <sheetData>
    <row r="1" spans="1:2" ht="15.6" x14ac:dyDescent="0.25">
      <c r="A1" s="359" t="s">
        <v>49</v>
      </c>
      <c r="B1" s="208" t="s">
        <v>51</v>
      </c>
    </row>
    <row r="2" spans="1:2" ht="15.6" x14ac:dyDescent="0.25">
      <c r="A2" s="62">
        <v>0</v>
      </c>
      <c r="B2" s="63">
        <f>NPV(A2,'ALTERNATIVE 3 (ATCF)'!$J$13:$J$22)+'ALTERNATIVE 3 (ATCF)'!$J$12</f>
        <v>31361403.920381114</v>
      </c>
    </row>
    <row r="3" spans="1:2" ht="15.6" x14ac:dyDescent="0.25">
      <c r="A3" s="62">
        <v>0.01</v>
      </c>
      <c r="B3" s="63">
        <f>NPV(A3,'ALTERNATIVE 3 (ATCF)'!$J$13:$J$22)+'ALTERNATIVE 3 (ATCF)'!$J$12</f>
        <v>28267476.042126954</v>
      </c>
    </row>
    <row r="4" spans="1:2" ht="15.6" x14ac:dyDescent="0.25">
      <c r="A4" s="62">
        <v>0.02</v>
      </c>
      <c r="B4" s="63">
        <f>NPV(A4,'ALTERNATIVE 3 (ATCF)'!$J$13:$J$22)+'ALTERNATIVE 3 (ATCF)'!$J$12</f>
        <v>25438701.790737204</v>
      </c>
    </row>
    <row r="5" spans="1:2" ht="15.6" x14ac:dyDescent="0.25">
      <c r="A5" s="62">
        <v>0.03</v>
      </c>
      <c r="B5" s="63">
        <f>NPV(A5,'ALTERNATIVE 3 (ATCF)'!$J$13:$J$22)+'ALTERNATIVE 3 (ATCF)'!$J$12</f>
        <v>22849291.791355781</v>
      </c>
    </row>
    <row r="6" spans="1:2" ht="15.6" x14ac:dyDescent="0.25">
      <c r="A6" s="62">
        <v>0.04</v>
      </c>
      <c r="B6" s="63">
        <f>NPV(A6,'ALTERNATIVE 3 (ATCF)'!$J$13:$J$22)+'ALTERNATIVE 3 (ATCF)'!$J$12</f>
        <v>20476238.494234353</v>
      </c>
    </row>
    <row r="7" spans="1:2" ht="15.6" x14ac:dyDescent="0.25">
      <c r="A7" s="62">
        <v>0.05</v>
      </c>
      <c r="B7" s="63">
        <f>NPV(A7,'ALTERNATIVE 3 (ATCF)'!$J$13:$J$22)+'ALTERNATIVE 3 (ATCF)'!$J$12</f>
        <v>18298988.836035348</v>
      </c>
    </row>
    <row r="8" spans="1:2" ht="15.6" x14ac:dyDescent="0.25">
      <c r="A8" s="394">
        <v>0.06</v>
      </c>
      <c r="B8" s="395">
        <f>NPV(A8,'ALTERNATIVE 3 (ATCF)'!$J$13:$J$22)+'ALTERNATIVE 3 (ATCF)'!$J$12</f>
        <v>16299158.436651409</v>
      </c>
    </row>
    <row r="9" spans="1:2" ht="15.6" x14ac:dyDescent="0.25">
      <c r="A9" s="62">
        <v>7.0000000000000007E-2</v>
      </c>
      <c r="B9" s="63">
        <f>NPV(A9,'ALTERNATIVE 3 (ATCF)'!$J$13:$J$22)+'ALTERNATIVE 3 (ATCF)'!$J$12</f>
        <v>14460281.696607374</v>
      </c>
    </row>
    <row r="10" spans="1:2" ht="15.6" x14ac:dyDescent="0.25">
      <c r="A10" s="392">
        <v>0.08</v>
      </c>
      <c r="B10" s="393">
        <f>NPV(A10,'ALTERNATIVE 3 (ATCF)'!$J$13:$J$22)+'ALTERNATIVE 3 (ATCF)'!$J$12</f>
        <v>12767592.972069923</v>
      </c>
    </row>
    <row r="11" spans="1:2" ht="15.6" x14ac:dyDescent="0.25">
      <c r="A11" s="64">
        <v>0.09</v>
      </c>
      <c r="B11" s="63">
        <f>NPV(A11,'ALTERNATIVE 3 (ATCF)'!$J$13:$J$22)+'ALTERNATIVE 3 (ATCF)'!$J$12</f>
        <v>11207834.692840792</v>
      </c>
    </row>
    <row r="12" spans="1:2" ht="15.6" x14ac:dyDescent="0.25">
      <c r="A12" s="62">
        <v>0.1</v>
      </c>
      <c r="B12" s="63">
        <f>NPV(A12,'ALTERNATIVE 3 (ATCF)'!$J$13:$J$22)+'ALTERNATIVE 3 (ATCF)'!$J$12</f>
        <v>9769088.8732450269</v>
      </c>
    </row>
    <row r="13" spans="1:2" ht="15.6" x14ac:dyDescent="0.25">
      <c r="A13" s="62">
        <v>0.11</v>
      </c>
      <c r="B13" s="63">
        <f>NPV(A13,'ALTERNATIVE 3 (ATCF)'!$J$13:$J$22)+'ALTERNATIVE 3 (ATCF)'!$J$12</f>
        <v>8440628.9630187266</v>
      </c>
    </row>
    <row r="14" spans="1:2" ht="15.6" x14ac:dyDescent="0.25">
      <c r="A14" s="62">
        <v>0.12</v>
      </c>
      <c r="B14" s="63">
        <f>NPV(A14,'ALTERNATIVE 3 (ATCF)'!$J$13:$J$22)+'ALTERNATIVE 3 (ATCF)'!$J$12</f>
        <v>7212789.4088828787</v>
      </c>
    </row>
    <row r="15" spans="1:2" ht="15.6" x14ac:dyDescent="0.25">
      <c r="A15" s="62">
        <v>0.13</v>
      </c>
      <c r="B15" s="63">
        <f>NPV(A15,'ALTERNATIVE 3 (ATCF)'!$J$13:$J$22)+'ALTERNATIVE 3 (ATCF)'!$J$12</f>
        <v>6076850.6589312423</v>
      </c>
    </row>
    <row r="16" spans="1:2" ht="15.6" x14ac:dyDescent="0.25">
      <c r="A16" s="62">
        <v>0.14000000000000001</v>
      </c>
      <c r="B16" s="63">
        <f>NPV(A16,'ALTERNATIVE 3 (ATCF)'!$J$13:$J$22)+'ALTERNATIVE 3 (ATCF)'!$J$12</f>
        <v>5024937.6508554742</v>
      </c>
    </row>
    <row r="17" spans="1:2" ht="15.6" x14ac:dyDescent="0.25">
      <c r="A17" s="62">
        <v>0.15</v>
      </c>
      <c r="B17" s="63">
        <f>NPV(A17,'ALTERNATIVE 3 (ATCF)'!$J$13:$J$22)+'ALTERNATIVE 3 (ATCF)'!$J$12</f>
        <v>4049930.0894236881</v>
      </c>
    </row>
    <row r="18" spans="1:2" ht="15.6" x14ac:dyDescent="0.25">
      <c r="A18" s="62">
        <v>0.16</v>
      </c>
      <c r="B18" s="63">
        <f>NPV(A18,'ALTERNATIVE 3 (ATCF)'!$J$13:$J$22)+'ALTERNATIVE 3 (ATCF)'!$J$12</f>
        <v>3145383.0452667344</v>
      </c>
    </row>
    <row r="19" spans="1:2" ht="15.6" x14ac:dyDescent="0.25">
      <c r="A19" s="62">
        <v>0.17</v>
      </c>
      <c r="B19" s="63">
        <f>NPV(A19,'ALTERNATIVE 3 (ATCF)'!$J$13:$J$22)+'ALTERNATIVE 3 (ATCF)'!$J$12</f>
        <v>2305456.60159293</v>
      </c>
    </row>
    <row r="20" spans="1:2" ht="15.6" x14ac:dyDescent="0.25">
      <c r="A20" s="62">
        <v>0.18</v>
      </c>
      <c r="B20" s="63">
        <f>NPV(A20,'ALTERNATIVE 3 (ATCF)'!$J$13:$J$22)+'ALTERNATIVE 3 (ATCF)'!$J$12</f>
        <v>1524853.4427201878</v>
      </c>
    </row>
    <row r="21" spans="1:2" ht="15.6" x14ac:dyDescent="0.25">
      <c r="A21" s="62">
        <v>0.19</v>
      </c>
      <c r="B21" s="63">
        <f>NPV(A21,'ALTERNATIVE 3 (ATCF)'!$J$13:$J$22)+'ALTERNATIVE 3 (ATCF)'!$J$12</f>
        <v>798763.42232582904</v>
      </c>
    </row>
    <row r="22" spans="1:2" ht="15.6" x14ac:dyDescent="0.25">
      <c r="A22" s="62">
        <v>0.2</v>
      </c>
      <c r="B22" s="63">
        <f>NPV(A22,'ALTERNATIVE 3 (ATCF)'!$J$13:$J$22)+'ALTERNATIVE 3 (ATCF)'!$J$12</f>
        <v>122814.27347113192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zoomScale="80" zoomScaleNormal="80" workbookViewId="0">
      <selection activeCell="D2" sqref="D2"/>
    </sheetView>
  </sheetViews>
  <sheetFormatPr defaultColWidth="9" defaultRowHeight="14.4" x14ac:dyDescent="0.3"/>
  <cols>
    <col min="1" max="1" width="9.109375" style="23" bestFit="1" customWidth="1"/>
    <col min="2" max="2" width="22.6640625" style="23" customWidth="1"/>
    <col min="3" max="3" width="22.109375" style="23" customWidth="1"/>
    <col min="4" max="4" width="25.44140625" style="23" customWidth="1"/>
    <col min="6" max="16384" width="9" style="23"/>
  </cols>
  <sheetData>
    <row r="1" spans="1:4" ht="18" x14ac:dyDescent="0.3">
      <c r="A1" s="299" t="s">
        <v>49</v>
      </c>
      <c r="B1" s="300" t="s">
        <v>324</v>
      </c>
      <c r="C1" s="300" t="s">
        <v>325</v>
      </c>
      <c r="D1" s="301" t="s">
        <v>326</v>
      </c>
    </row>
    <row r="2" spans="1:4" ht="18" x14ac:dyDescent="0.3">
      <c r="A2" s="283">
        <v>0</v>
      </c>
      <c r="B2" s="65">
        <f>NPV(A2,'ALTERNATIVE 1 (ATCF)'!$J$13:$J$22)+'ALTERNATIVE 1 (ATCF)'!$J$12</f>
        <v>-8877947.1314630285</v>
      </c>
      <c r="C2" s="65">
        <f>NPV(A2,'ALTERNATIVE 2 (ATCF)'!$J$13:$J$22)+'ALTERNATIVE 2 (ATCF)'!$J$12</f>
        <v>28225872.372808561</v>
      </c>
      <c r="D2" s="181">
        <f>NPV(A2,'ALTERNATIVE 3 (ATCF)'!$J$13:$J$22)+'ALTERNATIVE 3 (ATCF)'!$J$12</f>
        <v>31361403.920381114</v>
      </c>
    </row>
    <row r="3" spans="1:4" ht="18" x14ac:dyDescent="0.3">
      <c r="A3" s="283">
        <v>0.01</v>
      </c>
      <c r="B3" s="65">
        <f>NPV(A3,'ALTERNATIVE 1 (ATCF)'!$J$13:$J$22)+'ALTERNATIVE 1 (ATCF)'!$J$12</f>
        <v>-9962112.3630297668</v>
      </c>
      <c r="C3" s="65">
        <f>NPV(A3,'ALTERNATIVE 2 (ATCF)'!$J$13:$J$22)+'ALTERNATIVE 2 (ATCF)'!$J$12</f>
        <v>25183568.177109703</v>
      </c>
      <c r="D3" s="181">
        <f>NPV(A3,'ALTERNATIVE 3 (ATCF)'!$J$13:$J$22)+'ALTERNATIVE 3 (ATCF)'!$J$12</f>
        <v>28267476.042126954</v>
      </c>
    </row>
    <row r="4" spans="1:4" ht="18" x14ac:dyDescent="0.3">
      <c r="A4" s="283">
        <v>0.02</v>
      </c>
      <c r="B4" s="65">
        <f>NPV(A4,'ALTERNATIVE 1 (ATCF)'!$J$13:$J$22)+'ALTERNATIVE 1 (ATCF)'!$J$12</f>
        <v>-10927507.856267031</v>
      </c>
      <c r="C4" s="65">
        <f>NPV(A4,'ALTERNATIVE 2 (ATCF)'!$J$13:$J$22)+'ALTERNATIVE 2 (ATCF)'!$J$12</f>
        <v>22407836.363417782</v>
      </c>
      <c r="D4" s="181">
        <f>NPV(A4,'ALTERNATIVE 3 (ATCF)'!$J$13:$J$22)+'ALTERNATIVE 3 (ATCF)'!$J$12</f>
        <v>25438701.790737204</v>
      </c>
    </row>
    <row r="5" spans="1:4" ht="18" x14ac:dyDescent="0.3">
      <c r="A5" s="283">
        <v>0.03</v>
      </c>
      <c r="B5" s="65">
        <f>NPV(A5,'ALTERNATIVE 1 (ATCF)'!$J$13:$J$22)+'ALTERNATIVE 1 (ATCF)'!$J$12</f>
        <v>-11786954.003066942</v>
      </c>
      <c r="C5" s="65">
        <f>NPV(A5,'ALTERNATIVE 2 (ATCF)'!$J$13:$J$22)+'ALTERNATIVE 2 (ATCF)'!$J$12</f>
        <v>19872421.539871097</v>
      </c>
      <c r="D5" s="181">
        <f>NPV(A5,'ALTERNATIVE 3 (ATCF)'!$J$13:$J$22)+'ALTERNATIVE 3 (ATCF)'!$J$12</f>
        <v>22849291.791355781</v>
      </c>
    </row>
    <row r="6" spans="1:4" ht="18" x14ac:dyDescent="0.3">
      <c r="A6" s="283">
        <v>0.04</v>
      </c>
      <c r="B6" s="65">
        <f>NPV(A6,'ALTERNATIVE 1 (ATCF)'!$J$13:$J$22)+'ALTERNATIVE 1 (ATCF)'!$J$12</f>
        <v>-12551803.224608716</v>
      </c>
      <c r="C6" s="65">
        <f>NPV(A6,'ALTERNATIVE 2 (ATCF)'!$J$13:$J$22)+'ALTERNATIVE 2 (ATCF)'!$J$12</f>
        <v>17553924.47771652</v>
      </c>
      <c r="D6" s="181">
        <f>NPV(A6,'ALTERNATIVE 3 (ATCF)'!$J$13:$J$22)+'ALTERNATIVE 3 (ATCF)'!$J$12</f>
        <v>20476238.494234353</v>
      </c>
    </row>
    <row r="7" spans="1:4" ht="18" x14ac:dyDescent="0.3">
      <c r="A7" s="283">
        <v>0.05</v>
      </c>
      <c r="B7" s="65">
        <f>NPV(A7,'ALTERNATIVE 1 (ATCF)'!$J$13:$J$22)+'ALTERNATIVE 1 (ATCF)'!$J$12</f>
        <v>-13232119.644067978</v>
      </c>
      <c r="C7" s="65">
        <f>NPV(A7,'ALTERNATIVE 2 (ATCF)'!$J$13:$J$22)+'ALTERNATIVE 2 (ATCF)'!$J$12</f>
        <v>15431463.923565552</v>
      </c>
      <c r="D7" s="181">
        <f>NPV(A7,'ALTERNATIVE 3 (ATCF)'!$J$13:$J$22)+'ALTERNATIVE 3 (ATCF)'!$J$12</f>
        <v>18298988.836035348</v>
      </c>
    </row>
    <row r="8" spans="1:4" ht="18" x14ac:dyDescent="0.3">
      <c r="A8" s="386">
        <v>0.06</v>
      </c>
      <c r="B8" s="399">
        <f>NPV(A8,'ALTERNATIVE 1 (ATCF)'!$J$13:$J$22)+'ALTERNATIVE 1 (ATCF)'!$J$12</f>
        <v>-13836835.309025731</v>
      </c>
      <c r="C8" s="399">
        <f>NPV(A8,'ALTERNATIVE 2 (ATCF)'!$J$13:$J$22)+'ALTERNATIVE 2 (ATCF)'!$J$12</f>
        <v>13486381.53261077</v>
      </c>
      <c r="D8" s="387">
        <f>NPV(A8,'ALTERNATIVE 3 (ATCF)'!$J$13:$J$22)+'ALTERNATIVE 3 (ATCF)'!$J$12</f>
        <v>16299158.436651409</v>
      </c>
    </row>
    <row r="9" spans="1:4" ht="18" x14ac:dyDescent="0.3">
      <c r="A9" s="283">
        <v>7.0000000000000007E-2</v>
      </c>
      <c r="B9" s="65">
        <f>NPV(A9,'ALTERNATIVE 1 (ATCF)'!$J$13:$J$22)+'ALTERNATIVE 1 (ATCF)'!$J$12</f>
        <v>-14373886.213534452</v>
      </c>
      <c r="C9" s="65">
        <f>NPV(A9,'ALTERNATIVE 2 (ATCF)'!$J$13:$J$22)+'ALTERNATIVE 2 (ATCF)'!$J$12</f>
        <v>11701984.049770512</v>
      </c>
      <c r="D9" s="181">
        <f>NPV(A9,'ALTERNATIVE 3 (ATCF)'!$J$13:$J$22)+'ALTERNATIVE 3 (ATCF)'!$J$12</f>
        <v>14460281.696607374</v>
      </c>
    </row>
    <row r="10" spans="1:4" ht="18" x14ac:dyDescent="0.3">
      <c r="A10" s="397">
        <v>0.08</v>
      </c>
      <c r="B10" s="398">
        <f>NPV(A10,'ALTERNATIVE 1 (ATCF)'!$J$13:$J$22)+'ALTERNATIVE 1 (ATCF)'!$J$12</f>
        <v>-14850330.893583316</v>
      </c>
      <c r="C10" s="398">
        <f>NPV(A10,'ALTERNATIVE 2 (ATCF)'!$J$13:$J$22)+'ALTERNATIVE 2 (ATCF)'!$J$12</f>
        <v>10063317.71476147</v>
      </c>
      <c r="D10" s="380">
        <f>NPV(A10,'ALTERNATIVE 3 (ATCF)'!$J$13:$J$22)+'ALTERNATIVE 3 (ATCF)'!$J$12</f>
        <v>12767592.972069923</v>
      </c>
    </row>
    <row r="11" spans="1:4" ht="18" x14ac:dyDescent="0.3">
      <c r="A11" s="284">
        <v>0.09</v>
      </c>
      <c r="B11" s="65">
        <f>NPV(A11,'ALTERNATIVE 1 (ATCF)'!$J$13:$J$22)+'ALTERNATIVE 1 (ATCF)'!$J$12</f>
        <v>-15272453.966975484</v>
      </c>
      <c r="C11" s="65">
        <f>NPV(A11,'ALTERNATIVE 2 (ATCF)'!$J$13:$J$22)+'ALTERNATIVE 2 (ATCF)'!$J$12</f>
        <v>8556970.5865204223</v>
      </c>
      <c r="D11" s="181">
        <f>NPV(A11,'ALTERNATIVE 3 (ATCF)'!$J$13:$J$22)+'ALTERNATIVE 3 (ATCF)'!$J$12</f>
        <v>11207834.692840792</v>
      </c>
    </row>
    <row r="12" spans="1:4" ht="18" x14ac:dyDescent="0.3">
      <c r="A12" s="283">
        <v>0.1</v>
      </c>
      <c r="B12" s="65">
        <f>NPV(A12,'ALTERNATIVE 1 (ATCF)'!$J$13:$J$22)+'ALTERNATIVE 1 (ATCF)'!$J$12</f>
        <v>-15645856.647488575</v>
      </c>
      <c r="C12" s="65">
        <f>NPV(A12,'ALTERNATIVE 2 (ATCF)'!$J$13:$J$22)+'ALTERNATIVE 2 (ATCF)'!$J$12</f>
        <v>7170899.0930121709</v>
      </c>
      <c r="D12" s="181">
        <f>NPV(A12,'ALTERNATIVE 3 (ATCF)'!$J$13:$J$22)+'ALTERNATIVE 3 (ATCF)'!$J$12</f>
        <v>9769088.8732450269</v>
      </c>
    </row>
    <row r="13" spans="1:4" ht="18" x14ac:dyDescent="0.3">
      <c r="A13" s="283">
        <v>0.11</v>
      </c>
      <c r="B13" s="65">
        <f>NPV(A13,'ALTERNATIVE 1 (ATCF)'!$J$13:$J$22)+'ALTERNATIVE 1 (ATCF)'!$J$12</f>
        <v>-15975535.973749433</v>
      </c>
      <c r="C13" s="65">
        <f>NPV(A13,'ALTERNATIVE 2 (ATCF)'!$J$13:$J$22)+'ALTERNATIVE 2 (ATCF)'!$J$12</f>
        <v>5894275.6315760873</v>
      </c>
      <c r="D13" s="181">
        <f>NPV(A13,'ALTERNATIVE 3 (ATCF)'!$J$13:$J$22)+'ALTERNATIVE 3 (ATCF)'!$J$12</f>
        <v>8440628.9630187266</v>
      </c>
    </row>
    <row r="14" spans="1:4" ht="18" x14ac:dyDescent="0.3">
      <c r="A14" s="283">
        <v>0.12</v>
      </c>
      <c r="B14" s="65">
        <f>NPV(A14,'ALTERNATIVE 1 (ATCF)'!$J$13:$J$22)+'ALTERNATIVE 1 (ATCF)'!$J$12</f>
        <v>-16265954.247292064</v>
      </c>
      <c r="C14" s="65">
        <f>NPV(A14,'ALTERNATIVE 2 (ATCF)'!$J$13:$J$22)+'ALTERNATIVE 2 (ATCF)'!$J$12</f>
        <v>4717354.4870000873</v>
      </c>
      <c r="D14" s="181">
        <f>NPV(A14,'ALTERNATIVE 3 (ATCF)'!$J$13:$J$22)+'ALTERNATIVE 3 (ATCF)'!$J$12</f>
        <v>7212789.4088828787</v>
      </c>
    </row>
    <row r="15" spans="1:4" ht="18" x14ac:dyDescent="0.3">
      <c r="A15" s="283">
        <v>0.13</v>
      </c>
      <c r="B15" s="65">
        <f>NPV(A15,'ALTERNATIVE 1 (ATCF)'!$J$13:$J$22)+'ALTERNATIVE 1 (ATCF)'!$J$12</f>
        <v>-16521099.964926869</v>
      </c>
      <c r="C15" s="65">
        <f>NPV(A15,'ALTERNATIVE 2 (ATCF)'!$J$13:$J$22)+'ALTERNATIVE 2 (ATCF)'!$J$12</f>
        <v>3631353.7115084175</v>
      </c>
      <c r="D15" s="181">
        <f>NPV(A15,'ALTERNATIVE 3 (ATCF)'!$J$13:$J$22)+'ALTERNATIVE 3 (ATCF)'!$J$12</f>
        <v>6076850.6589312423</v>
      </c>
    </row>
    <row r="16" spans="1:4" ht="18" x14ac:dyDescent="0.3">
      <c r="A16" s="283">
        <v>0.14000000000000001</v>
      </c>
      <c r="B16" s="65">
        <f>NPV(A16,'ALTERNATIVE 1 (ATCF)'!$J$13:$J$22)+'ALTERNATIVE 1 (ATCF)'!$J$12</f>
        <v>-16744541.352106251</v>
      </c>
      <c r="C16" s="65">
        <f>NPV(A16,'ALTERNATIVE 2 (ATCF)'!$J$13:$J$22)+'ALTERNATIVE 2 (ATCF)'!$J$12</f>
        <v>2628350.9328755494</v>
      </c>
      <c r="D16" s="181">
        <f>NPV(A16,'ALTERNATIVE 3 (ATCF)'!$J$13:$J$22)+'ALTERNATIVE 3 (ATCF)'!$J$12</f>
        <v>5024937.6508554742</v>
      </c>
    </row>
    <row r="17" spans="1:6" ht="18" x14ac:dyDescent="0.3">
      <c r="A17" s="283">
        <v>0.15</v>
      </c>
      <c r="B17" s="65">
        <f>NPV(A17,'ALTERNATIVE 1 (ATCF)'!$J$13:$J$22)+'ALTERNATIVE 1 (ATCF)'!$J$12</f>
        <v>-16939473.451637316</v>
      </c>
      <c r="C17" s="65">
        <f>NPV(A17,'ALTERNATIVE 2 (ATCF)'!$J$13:$J$22)+'ALTERNATIVE 2 (ATCF)'!$J$12</f>
        <v>1701191.3323702477</v>
      </c>
      <c r="D17" s="181">
        <f>NPV(A17,'ALTERNATIVE 3 (ATCF)'!$J$13:$J$22)+'ALTERNATIVE 3 (ATCF)'!$J$12</f>
        <v>4049930.0894236881</v>
      </c>
    </row>
    <row r="18" spans="1:6" ht="18" x14ac:dyDescent="0.3">
      <c r="A18" s="283">
        <v>0.16</v>
      </c>
      <c r="B18" s="65">
        <f>NPV(A18,'ALTERNATIVE 1 (ATCF)'!$J$13:$J$22)+'ALTERNATIVE 1 (ATCF)'!$J$12</f>
        <v>-17108759.591856837</v>
      </c>
      <c r="C18" s="65">
        <f>NPV(A18,'ALTERNATIVE 2 (ATCF)'!$J$13:$J$22)+'ALTERNATIVE 2 (ATCF)'!$J$12</f>
        <v>843406.27026450075</v>
      </c>
      <c r="D18" s="181">
        <f>NPV(A18,'ALTERNATIVE 3 (ATCF)'!$J$13:$J$22)+'ALTERNATIVE 3 (ATCF)'!$J$12</f>
        <v>3145383.0452667344</v>
      </c>
    </row>
    <row r="19" spans="1:6" ht="18" x14ac:dyDescent="0.3">
      <c r="A19" s="285">
        <v>0.17</v>
      </c>
      <c r="B19" s="65">
        <f>NPV(A19,'ALTERNATIVE 1 (ATCF)'!$J$13:$J$22)+'ALTERNATIVE 1 (ATCF)'!$J$12</f>
        <v>-17254967.94687837</v>
      </c>
      <c r="C19" s="65">
        <f>NPV(A19,'ALTERNATIVE 2 (ATCF)'!$J$13:$J$22)+'ALTERNATIVE 2 (ATCF)'!$J$12</f>
        <v>49141.23916769214</v>
      </c>
      <c r="D19" s="181">
        <f>NPV(A19,'ALTERNATIVE 3 (ATCF)'!$J$13:$J$22)+'ALTERNATIVE 3 (ATCF)'!$J$12</f>
        <v>2305456.60159293</v>
      </c>
      <c r="F19" s="24"/>
    </row>
    <row r="20" spans="1:6" ht="18" x14ac:dyDescent="0.3">
      <c r="A20" s="283">
        <v>0.18</v>
      </c>
      <c r="B20" s="65">
        <f>NPV(A20,'ALTERNATIVE 1 (ATCF)'!$J$13:$J$22)+'ALTERNATIVE 1 (ATCF)'!$J$12</f>
        <v>-17380403.805919435</v>
      </c>
      <c r="C20" s="65">
        <f>NPV(A20,'ALTERNATIVE 2 (ATCF)'!$J$13:$J$22)+'ALTERNATIVE 2 (ATCF)'!$J$12</f>
        <v>-686908.00053290278</v>
      </c>
      <c r="D20" s="181">
        <f>NPV(A20,'ALTERNATIVE 3 (ATCF)'!$J$13:$J$22)+'ALTERNATIVE 3 (ATCF)'!$J$12</f>
        <v>1524853.4427201878</v>
      </c>
    </row>
    <row r="21" spans="1:6" ht="18" x14ac:dyDescent="0.3">
      <c r="A21" s="283">
        <v>0.19</v>
      </c>
      <c r="B21" s="65">
        <f>NPV(A21,'ALTERNATIVE 1 (ATCF)'!$J$13:$J$22)+'ALTERNATIVE 1 (ATCF)'!$J$12</f>
        <v>-17487138.086633906</v>
      </c>
      <c r="C21" s="65">
        <f>NPV(A21,'ALTERNATIVE 2 (ATCF)'!$J$13:$J$22)+'ALTERNATIVE 2 (ATCF)'!$J$12</f>
        <v>-1369552.099096939</v>
      </c>
      <c r="D21" s="181">
        <f>NPV(A21,'ALTERNATIVE 3 (ATCF)'!$J$13:$J$22)+'ALTERNATIVE 3 (ATCF)'!$J$12</f>
        <v>798763.42232582904</v>
      </c>
    </row>
    <row r="22" spans="1:6" ht="18.600000000000001" thickBot="1" x14ac:dyDescent="0.35">
      <c r="A22" s="286">
        <v>0.2</v>
      </c>
      <c r="B22" s="186">
        <f>NPV(A22,'ALTERNATIVE 1 (ATCF)'!$J$13:$J$22)+'ALTERNATIVE 1 (ATCF)'!$J$12</f>
        <v>-17577032.556803901</v>
      </c>
      <c r="C22" s="186">
        <f>NPV(A22,'ALTERNATIVE 2 (ATCF)'!$J$13:$J$22)+'ALTERNATIVE 2 (ATCF)'!$J$12</f>
        <v>-2003158.4766585007</v>
      </c>
      <c r="D22" s="187">
        <f>NPV(A22,'ALTERNATIVE 3 (ATCF)'!$J$13:$J$22)+'ALTERNATIVE 3 (ATCF)'!$J$12</f>
        <v>122814.27347113192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0" zoomScale="95" zoomScaleNormal="90" workbookViewId="0">
      <selection activeCell="C9" sqref="C9"/>
    </sheetView>
  </sheetViews>
  <sheetFormatPr defaultColWidth="9" defaultRowHeight="13.2" x14ac:dyDescent="0.3"/>
  <cols>
    <col min="1" max="1" width="35.77734375" style="22" customWidth="1"/>
    <col min="2" max="2" width="17.6640625" style="22" bestFit="1" customWidth="1"/>
    <col min="3" max="3" width="22.109375" style="22" customWidth="1"/>
    <col min="4" max="4" width="33.44140625" style="22" customWidth="1"/>
    <col min="5" max="5" width="28.6640625" style="22" customWidth="1"/>
    <col min="6" max="6" width="7" style="22" bestFit="1" customWidth="1"/>
    <col min="7" max="7" width="10.77734375" style="22" bestFit="1" customWidth="1"/>
    <col min="8" max="8" width="7.33203125" style="22" customWidth="1"/>
    <col min="9" max="9" width="6.33203125" style="22" customWidth="1"/>
    <col min="10" max="16384" width="9" style="22"/>
  </cols>
  <sheetData>
    <row r="1" spans="1:7" ht="18" x14ac:dyDescent="0.3">
      <c r="A1" s="587" t="s">
        <v>206</v>
      </c>
      <c r="B1" s="588"/>
      <c r="C1" s="588"/>
      <c r="D1" s="411">
        <v>4</v>
      </c>
      <c r="E1" s="410"/>
      <c r="F1" s="66"/>
      <c r="G1" s="66"/>
    </row>
    <row r="2" spans="1:7" ht="18" x14ac:dyDescent="0.3">
      <c r="A2" s="583" t="s">
        <v>113</v>
      </c>
      <c r="B2" s="584"/>
      <c r="C2" s="584"/>
      <c r="D2" s="584"/>
      <c r="E2" s="585"/>
      <c r="F2" s="66"/>
      <c r="G2" s="66"/>
    </row>
    <row r="3" spans="1:7" ht="18" x14ac:dyDescent="0.3">
      <c r="A3" s="161"/>
      <c r="B3" s="67" t="s">
        <v>267</v>
      </c>
      <c r="C3" s="67" t="s">
        <v>111</v>
      </c>
      <c r="D3" s="67" t="s">
        <v>209</v>
      </c>
      <c r="E3" s="287" t="s">
        <v>245</v>
      </c>
      <c r="F3" s="66"/>
      <c r="G3" s="66"/>
    </row>
    <row r="4" spans="1:7" ht="18" x14ac:dyDescent="0.3">
      <c r="A4" s="288" t="s">
        <v>246</v>
      </c>
      <c r="B4" s="68">
        <v>1</v>
      </c>
      <c r="C4" s="400">
        <f>1/B5</f>
        <v>0.2</v>
      </c>
      <c r="D4" s="400">
        <f>1/B6</f>
        <v>0.16666666666666666</v>
      </c>
      <c r="E4" s="401">
        <f>1/B7</f>
        <v>0.25</v>
      </c>
      <c r="F4" s="66"/>
      <c r="G4" s="66"/>
    </row>
    <row r="5" spans="1:7" ht="18" x14ac:dyDescent="0.3">
      <c r="A5" s="288" t="s">
        <v>111</v>
      </c>
      <c r="B5" s="402">
        <v>5</v>
      </c>
      <c r="C5" s="69">
        <v>1</v>
      </c>
      <c r="D5" s="400">
        <f>1/C6</f>
        <v>0.33333333333333331</v>
      </c>
      <c r="E5" s="401">
        <f>1/C7</f>
        <v>0.2</v>
      </c>
      <c r="F5" s="66"/>
      <c r="G5" s="66"/>
    </row>
    <row r="6" spans="1:7" ht="18" x14ac:dyDescent="0.3">
      <c r="A6" s="288" t="s">
        <v>209</v>
      </c>
      <c r="B6" s="402">
        <v>6</v>
      </c>
      <c r="C6" s="402">
        <v>3</v>
      </c>
      <c r="D6" s="69">
        <v>1</v>
      </c>
      <c r="E6" s="401">
        <f>1/D7</f>
        <v>0.1111111111111111</v>
      </c>
      <c r="F6" s="66"/>
      <c r="G6" s="66"/>
    </row>
    <row r="7" spans="1:7" ht="18" x14ac:dyDescent="0.3">
      <c r="A7" s="288" t="s">
        <v>245</v>
      </c>
      <c r="B7" s="402">
        <v>4</v>
      </c>
      <c r="C7" s="402">
        <v>5</v>
      </c>
      <c r="D7" s="402">
        <v>9</v>
      </c>
      <c r="E7" s="289">
        <v>1</v>
      </c>
      <c r="F7" s="66"/>
      <c r="G7" s="66"/>
    </row>
    <row r="8" spans="1:7" ht="18.600000000000001" thickBot="1" x14ac:dyDescent="0.35">
      <c r="A8" s="403" t="s">
        <v>112</v>
      </c>
      <c r="B8" s="404">
        <f>SUM(B4:B7)</f>
        <v>16</v>
      </c>
      <c r="C8" s="404">
        <f>SUM(C4:C7)</f>
        <v>9.1999999999999993</v>
      </c>
      <c r="D8" s="404">
        <f>SUM(D4:D7)</f>
        <v>10.5</v>
      </c>
      <c r="E8" s="405">
        <f>SUM(E4:E7)</f>
        <v>1.5611111111111111</v>
      </c>
      <c r="F8" s="66"/>
      <c r="G8" s="66"/>
    </row>
    <row r="9" spans="1:7" ht="18.600000000000001" thickBot="1" x14ac:dyDescent="0.35">
      <c r="A9" s="66"/>
      <c r="B9" s="66"/>
      <c r="C9" s="66"/>
      <c r="D9" s="66"/>
      <c r="E9" s="66"/>
      <c r="F9" s="66"/>
      <c r="G9" s="66"/>
    </row>
    <row r="10" spans="1:7" ht="18" x14ac:dyDescent="0.3">
      <c r="A10" s="576" t="s">
        <v>114</v>
      </c>
      <c r="B10" s="586"/>
      <c r="C10" s="586"/>
      <c r="D10" s="586"/>
      <c r="E10" s="586"/>
      <c r="F10" s="586"/>
      <c r="G10" s="577"/>
    </row>
    <row r="11" spans="1:7" ht="18" x14ac:dyDescent="0.3">
      <c r="A11" s="290"/>
      <c r="B11" s="67" t="s">
        <v>267</v>
      </c>
      <c r="C11" s="67" t="s">
        <v>111</v>
      </c>
      <c r="D11" s="67" t="s">
        <v>209</v>
      </c>
      <c r="E11" s="287" t="s">
        <v>245</v>
      </c>
      <c r="F11" s="70" t="s">
        <v>203</v>
      </c>
      <c r="G11" s="162" t="s">
        <v>204</v>
      </c>
    </row>
    <row r="12" spans="1:7" ht="18" x14ac:dyDescent="0.3">
      <c r="A12" s="288" t="s">
        <v>246</v>
      </c>
      <c r="B12" s="71">
        <f>B4/$B$8</f>
        <v>6.25E-2</v>
      </c>
      <c r="C12" s="71">
        <f>C4/$C$8</f>
        <v>2.1739130434782612E-2</v>
      </c>
      <c r="D12" s="71">
        <f>D4/$D$8</f>
        <v>1.5873015873015872E-2</v>
      </c>
      <c r="E12" s="71">
        <f>E4/$E$8</f>
        <v>0.16014234875444841</v>
      </c>
      <c r="F12" s="408">
        <f>AVERAGE(B12:E12)</f>
        <v>6.5063623765561726E-2</v>
      </c>
      <c r="G12" s="407">
        <f>F12</f>
        <v>6.5063623765561726E-2</v>
      </c>
    </row>
    <row r="13" spans="1:7" ht="18" x14ac:dyDescent="0.3">
      <c r="A13" s="288" t="s">
        <v>111</v>
      </c>
      <c r="B13" s="71">
        <f t="shared" ref="B13:B15" si="0">B5/$B$8</f>
        <v>0.3125</v>
      </c>
      <c r="C13" s="71">
        <f t="shared" ref="C13:C15" si="1">C5/$C$8</f>
        <v>0.10869565217391305</v>
      </c>
      <c r="D13" s="71">
        <f t="shared" ref="D13:D15" si="2">D5/$D$8</f>
        <v>3.1746031746031744E-2</v>
      </c>
      <c r="E13" s="71">
        <f t="shared" ref="E13:E15" si="3">E5/$E$8</f>
        <v>0.12811387900355872</v>
      </c>
      <c r="F13" s="408">
        <f>AVERAGE(B13:E13)</f>
        <v>0.14526389073087589</v>
      </c>
      <c r="G13" s="407">
        <f t="shared" ref="G13:G16" si="4">F13</f>
        <v>0.14526389073087589</v>
      </c>
    </row>
    <row r="14" spans="1:7" ht="18" x14ac:dyDescent="0.3">
      <c r="A14" s="288" t="s">
        <v>209</v>
      </c>
      <c r="B14" s="71">
        <f t="shared" si="0"/>
        <v>0.375</v>
      </c>
      <c r="C14" s="71">
        <f t="shared" si="1"/>
        <v>0.32608695652173914</v>
      </c>
      <c r="D14" s="71">
        <f t="shared" si="2"/>
        <v>9.5238095238095233E-2</v>
      </c>
      <c r="E14" s="71">
        <f t="shared" si="3"/>
        <v>7.1174377224199281E-2</v>
      </c>
      <c r="F14" s="408">
        <f>AVERAGE(B14:E14)</f>
        <v>0.21687485724600841</v>
      </c>
      <c r="G14" s="407">
        <f t="shared" si="4"/>
        <v>0.21687485724600841</v>
      </c>
    </row>
    <row r="15" spans="1:7" ht="18" x14ac:dyDescent="0.3">
      <c r="A15" s="288" t="s">
        <v>245</v>
      </c>
      <c r="B15" s="71">
        <f t="shared" si="0"/>
        <v>0.25</v>
      </c>
      <c r="C15" s="71">
        <f t="shared" si="1"/>
        <v>0.5434782608695653</v>
      </c>
      <c r="D15" s="71">
        <f t="shared" si="2"/>
        <v>0.8571428571428571</v>
      </c>
      <c r="E15" s="71">
        <f t="shared" si="3"/>
        <v>0.64056939501779364</v>
      </c>
      <c r="F15" s="408">
        <f>AVERAGE(B15:E15)</f>
        <v>0.57279762825755398</v>
      </c>
      <c r="G15" s="407">
        <f t="shared" si="4"/>
        <v>0.57279762825755398</v>
      </c>
    </row>
    <row r="16" spans="1:7" ht="18.600000000000001" thickBot="1" x14ac:dyDescent="0.35">
      <c r="A16" s="403" t="s">
        <v>115</v>
      </c>
      <c r="B16" s="404">
        <f>SUM(B12:B15)</f>
        <v>1</v>
      </c>
      <c r="C16" s="404">
        <f t="shared" ref="C16:E16" si="5">SUM(C12:C15)</f>
        <v>1</v>
      </c>
      <c r="D16" s="404">
        <f t="shared" si="5"/>
        <v>1</v>
      </c>
      <c r="E16" s="404">
        <f t="shared" si="5"/>
        <v>1</v>
      </c>
      <c r="F16" s="409">
        <f>AVERAGE(B16:E16)</f>
        <v>1</v>
      </c>
      <c r="G16" s="406">
        <f t="shared" si="4"/>
        <v>1</v>
      </c>
    </row>
    <row r="17" spans="1:7" ht="18.600000000000001" thickBot="1" x14ac:dyDescent="0.35">
      <c r="A17" s="66"/>
      <c r="B17" s="66"/>
      <c r="C17" s="66"/>
      <c r="D17" s="66"/>
      <c r="E17" s="66"/>
      <c r="F17" s="66"/>
      <c r="G17" s="66"/>
    </row>
    <row r="18" spans="1:7" ht="18" x14ac:dyDescent="0.3">
      <c r="A18" s="539" t="s">
        <v>121</v>
      </c>
      <c r="B18" s="540"/>
      <c r="C18" s="540"/>
      <c r="D18" s="540"/>
      <c r="E18" s="540"/>
      <c r="F18" s="540"/>
      <c r="G18" s="541"/>
    </row>
    <row r="19" spans="1:7" ht="18" x14ac:dyDescent="0.3">
      <c r="A19" s="161"/>
      <c r="B19" s="67" t="s">
        <v>267</v>
      </c>
      <c r="C19" s="67" t="s">
        <v>111</v>
      </c>
      <c r="D19" s="67" t="s">
        <v>209</v>
      </c>
      <c r="E19" s="287" t="s">
        <v>245</v>
      </c>
      <c r="F19" s="58" t="s">
        <v>120</v>
      </c>
      <c r="G19" s="162" t="s">
        <v>119</v>
      </c>
    </row>
    <row r="20" spans="1:7" ht="18" x14ac:dyDescent="0.3">
      <c r="A20" s="288" t="s">
        <v>246</v>
      </c>
      <c r="B20" s="71">
        <v>6.25E-2</v>
      </c>
      <c r="C20" s="71">
        <v>2.1739130434782612E-2</v>
      </c>
      <c r="D20" s="71">
        <v>1.5873015873015872E-2</v>
      </c>
      <c r="E20" s="71">
        <v>0.16014234875444841</v>
      </c>
      <c r="F20" s="71">
        <f>SUM(B20:E20)</f>
        <v>0.2602544950622469</v>
      </c>
      <c r="G20" s="294">
        <f>AVERAGE(B20:E20)</f>
        <v>6.5063623765561726E-2</v>
      </c>
    </row>
    <row r="21" spans="1:7" ht="18" x14ac:dyDescent="0.3">
      <c r="A21" s="288" t="s">
        <v>111</v>
      </c>
      <c r="B21" s="71">
        <v>0.3125</v>
      </c>
      <c r="C21" s="71">
        <v>0.10869565217391305</v>
      </c>
      <c r="D21" s="71">
        <v>3.1746031746031744E-2</v>
      </c>
      <c r="E21" s="71">
        <v>0.12811387900355872</v>
      </c>
      <c r="F21" s="71">
        <f t="shared" ref="F21:F23" si="6">SUM(B21:E21)</f>
        <v>0.58105556292350358</v>
      </c>
      <c r="G21" s="294">
        <f t="shared" ref="G21:G23" si="7">AVERAGE(B21:E21)</f>
        <v>0.14526389073087589</v>
      </c>
    </row>
    <row r="22" spans="1:7" ht="18" x14ac:dyDescent="0.3">
      <c r="A22" s="288" t="s">
        <v>209</v>
      </c>
      <c r="B22" s="71">
        <v>0.375</v>
      </c>
      <c r="C22" s="71">
        <v>0.32608695652173914</v>
      </c>
      <c r="D22" s="71">
        <v>9.5238095238095233E-2</v>
      </c>
      <c r="E22" s="71">
        <v>7.1174377224199281E-2</v>
      </c>
      <c r="F22" s="71">
        <f t="shared" si="6"/>
        <v>0.86749942898403365</v>
      </c>
      <c r="G22" s="294">
        <f t="shared" si="7"/>
        <v>0.21687485724600841</v>
      </c>
    </row>
    <row r="23" spans="1:7" ht="18" x14ac:dyDescent="0.3">
      <c r="A23" s="288" t="s">
        <v>245</v>
      </c>
      <c r="B23" s="71">
        <v>0.25</v>
      </c>
      <c r="C23" s="71">
        <v>0.5434782608695653</v>
      </c>
      <c r="D23" s="71">
        <v>0.8571428571428571</v>
      </c>
      <c r="E23" s="71">
        <v>0.64056939501779364</v>
      </c>
      <c r="F23" s="71">
        <f t="shared" si="6"/>
        <v>2.2911905130302159</v>
      </c>
      <c r="G23" s="294">
        <f t="shared" si="7"/>
        <v>0.57279762825755398</v>
      </c>
    </row>
    <row r="24" spans="1:7" ht="18.600000000000001" thickBot="1" x14ac:dyDescent="0.35">
      <c r="A24" s="403" t="s">
        <v>112</v>
      </c>
      <c r="B24" s="404">
        <f>SUM(B20:B23)</f>
        <v>1</v>
      </c>
      <c r="C24" s="404">
        <f t="shared" ref="C24:E24" si="8">SUM(C20:C23)</f>
        <v>1</v>
      </c>
      <c r="D24" s="404">
        <f t="shared" si="8"/>
        <v>1</v>
      </c>
      <c r="E24" s="404">
        <f t="shared" si="8"/>
        <v>1</v>
      </c>
      <c r="F24" s="295"/>
      <c r="G24" s="296"/>
    </row>
    <row r="25" spans="1:7" ht="18.600000000000001" thickBot="1" x14ac:dyDescent="0.35">
      <c r="A25" s="66"/>
      <c r="B25" s="66"/>
      <c r="C25" s="66"/>
      <c r="D25" s="66"/>
      <c r="E25" s="66"/>
      <c r="F25" s="66"/>
      <c r="G25" s="66"/>
    </row>
    <row r="26" spans="1:7" ht="18" x14ac:dyDescent="0.3">
      <c r="A26" s="297" t="s">
        <v>268</v>
      </c>
      <c r="B26" s="412">
        <f>MMULT(B8:E8,F12:F15)</f>
        <v>5.5488325179470923</v>
      </c>
      <c r="C26" s="66"/>
      <c r="D26" s="66"/>
      <c r="E26" s="66"/>
      <c r="F26" s="66"/>
      <c r="G26" s="66"/>
    </row>
    <row r="27" spans="1:7" ht="18" x14ac:dyDescent="0.3">
      <c r="A27" s="269" t="s">
        <v>270</v>
      </c>
      <c r="B27" s="413">
        <f>(B26-D1)/(D1-1)</f>
        <v>0.5162775059823641</v>
      </c>
      <c r="C27" s="66"/>
      <c r="D27" s="66"/>
      <c r="E27" s="66"/>
      <c r="F27" s="66"/>
      <c r="G27" s="66"/>
    </row>
    <row r="28" spans="1:7" ht="18" x14ac:dyDescent="0.3">
      <c r="A28" s="269" t="s">
        <v>271</v>
      </c>
      <c r="B28" s="413">
        <v>0.9</v>
      </c>
      <c r="C28" s="66"/>
      <c r="D28" s="66"/>
      <c r="E28" s="66"/>
      <c r="F28" s="66"/>
      <c r="G28" s="66"/>
    </row>
    <row r="29" spans="1:7" ht="18.600000000000001" thickBot="1" x14ac:dyDescent="0.35">
      <c r="A29" s="298" t="s">
        <v>269</v>
      </c>
      <c r="B29" s="405">
        <f>B27/B28</f>
        <v>0.57364167331373783</v>
      </c>
      <c r="C29" s="66"/>
      <c r="D29" s="66"/>
      <c r="E29" s="66"/>
      <c r="F29" s="66"/>
      <c r="G29" s="66"/>
    </row>
    <row r="30" spans="1:7" ht="18" x14ac:dyDescent="0.3">
      <c r="A30" s="66"/>
      <c r="B30" s="66"/>
      <c r="C30" s="66"/>
      <c r="D30" s="66"/>
      <c r="E30" s="66"/>
      <c r="F30" s="66"/>
      <c r="G30" s="66"/>
    </row>
  </sheetData>
  <mergeCells count="4">
    <mergeCell ref="A2:E2"/>
    <mergeCell ref="A10:G10"/>
    <mergeCell ref="A18:G18"/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opLeftCell="A16" zoomScale="75" zoomScaleNormal="90" workbookViewId="0">
      <selection activeCell="E52" sqref="E52"/>
    </sheetView>
  </sheetViews>
  <sheetFormatPr defaultColWidth="9.109375" defaultRowHeight="13.8" x14ac:dyDescent="0.25"/>
  <cols>
    <col min="1" max="1" width="14.6640625" style="1" bestFit="1" customWidth="1"/>
    <col min="2" max="2" width="20.77734375" style="1" bestFit="1" customWidth="1"/>
    <col min="3" max="3" width="16.6640625" style="1" bestFit="1" customWidth="1"/>
    <col min="4" max="4" width="17.6640625" style="1" bestFit="1" customWidth="1"/>
    <col min="5" max="5" width="20.109375" style="1" bestFit="1" customWidth="1"/>
    <col min="6" max="6" width="10.77734375" style="1" bestFit="1" customWidth="1"/>
    <col min="7" max="7" width="9.109375" style="1"/>
    <col min="8" max="10" width="14.6640625" style="1" bestFit="1" customWidth="1"/>
    <col min="11" max="11" width="14.109375" style="1" bestFit="1" customWidth="1"/>
    <col min="12" max="12" width="10.109375" style="1" bestFit="1" customWidth="1"/>
    <col min="13" max="13" width="11.33203125" style="1" bestFit="1" customWidth="1"/>
    <col min="14" max="16384" width="9.109375" style="1"/>
  </cols>
  <sheetData>
    <row r="1" spans="1:13" ht="18.600000000000001" thickBot="1" x14ac:dyDescent="0.4">
      <c r="A1" s="592" t="s">
        <v>207</v>
      </c>
      <c r="B1" s="592"/>
      <c r="C1" s="592"/>
      <c r="D1" s="417">
        <v>3</v>
      </c>
      <c r="E1" s="66"/>
      <c r="F1" s="66"/>
      <c r="G1" s="50"/>
      <c r="H1" s="50"/>
      <c r="I1" s="50"/>
      <c r="J1" s="50"/>
      <c r="K1" s="50"/>
      <c r="L1" s="50"/>
      <c r="M1" s="50"/>
    </row>
    <row r="2" spans="1:13" ht="18.600000000000001" thickBot="1" x14ac:dyDescent="0.4">
      <c r="A2" s="590" t="s">
        <v>209</v>
      </c>
      <c r="B2" s="591"/>
      <c r="C2" s="591"/>
      <c r="D2" s="591"/>
      <c r="E2" s="540"/>
      <c r="F2" s="541"/>
      <c r="G2" s="50"/>
      <c r="H2" s="590" t="s">
        <v>111</v>
      </c>
      <c r="I2" s="591"/>
      <c r="J2" s="591"/>
      <c r="K2" s="591"/>
      <c r="L2" s="540"/>
      <c r="M2" s="541"/>
    </row>
    <row r="3" spans="1:13" ht="18" x14ac:dyDescent="0.35">
      <c r="A3" s="266"/>
      <c r="B3" s="308" t="s">
        <v>93</v>
      </c>
      <c r="C3" s="308" t="s">
        <v>95</v>
      </c>
      <c r="D3" s="312" t="s">
        <v>94</v>
      </c>
      <c r="E3" s="72"/>
      <c r="F3" s="302"/>
      <c r="G3" s="50"/>
      <c r="H3" s="266"/>
      <c r="I3" s="308" t="s">
        <v>93</v>
      </c>
      <c r="J3" s="308" t="s">
        <v>95</v>
      </c>
      <c r="K3" s="312" t="s">
        <v>94</v>
      </c>
      <c r="L3" s="72"/>
      <c r="M3" s="302"/>
    </row>
    <row r="4" spans="1:13" ht="18" x14ac:dyDescent="0.35">
      <c r="A4" s="288" t="s">
        <v>93</v>
      </c>
      <c r="B4" s="68">
        <v>1</v>
      </c>
      <c r="C4" s="400">
        <f>1/B5</f>
        <v>0.33333333333333331</v>
      </c>
      <c r="D4" s="401">
        <f>1/B6</f>
        <v>0.2</v>
      </c>
      <c r="E4" s="72"/>
      <c r="F4" s="302"/>
      <c r="G4" s="50"/>
      <c r="H4" s="288" t="s">
        <v>93</v>
      </c>
      <c r="I4" s="68">
        <v>1</v>
      </c>
      <c r="J4" s="400">
        <f>1/I5</f>
        <v>0.16666666666666666</v>
      </c>
      <c r="K4" s="401">
        <f>1/I6</f>
        <v>0.125</v>
      </c>
      <c r="L4" s="72"/>
      <c r="M4" s="302"/>
    </row>
    <row r="5" spans="1:13" ht="18" x14ac:dyDescent="0.35">
      <c r="A5" s="288" t="s">
        <v>95</v>
      </c>
      <c r="B5" s="361">
        <v>3</v>
      </c>
      <c r="C5" s="69">
        <v>1</v>
      </c>
      <c r="D5" s="401">
        <f>1/C6</f>
        <v>0.33333333333333331</v>
      </c>
      <c r="E5" s="72"/>
      <c r="F5" s="302"/>
      <c r="G5" s="50"/>
      <c r="H5" s="288" t="s">
        <v>95</v>
      </c>
      <c r="I5" s="361">
        <v>6</v>
      </c>
      <c r="J5" s="69">
        <v>1</v>
      </c>
      <c r="K5" s="401">
        <f>1/J6</f>
        <v>0.2</v>
      </c>
      <c r="L5" s="72"/>
      <c r="M5" s="302"/>
    </row>
    <row r="6" spans="1:13" ht="18" x14ac:dyDescent="0.35">
      <c r="A6" s="288" t="s">
        <v>94</v>
      </c>
      <c r="B6" s="361">
        <v>5</v>
      </c>
      <c r="C6" s="361">
        <v>3</v>
      </c>
      <c r="D6" s="289">
        <v>1</v>
      </c>
      <c r="E6" s="72"/>
      <c r="F6" s="302"/>
      <c r="G6" s="50"/>
      <c r="H6" s="288" t="s">
        <v>94</v>
      </c>
      <c r="I6" s="361">
        <v>8</v>
      </c>
      <c r="J6" s="361">
        <v>5</v>
      </c>
      <c r="K6" s="289">
        <v>1</v>
      </c>
      <c r="L6" s="72"/>
      <c r="M6" s="302"/>
    </row>
    <row r="7" spans="1:13" ht="18.600000000000001" thickBot="1" x14ac:dyDescent="0.4">
      <c r="A7" s="414" t="s">
        <v>112</v>
      </c>
      <c r="B7" s="415">
        <f>SUM(B4:B6)</f>
        <v>9</v>
      </c>
      <c r="C7" s="415">
        <f>SUM(C4:C6)</f>
        <v>4.333333333333333</v>
      </c>
      <c r="D7" s="416">
        <f>SUM(D4:D6)</f>
        <v>1.5333333333333332</v>
      </c>
      <c r="E7" s="72"/>
      <c r="F7" s="302"/>
      <c r="G7" s="50"/>
      <c r="H7" s="414" t="s">
        <v>112</v>
      </c>
      <c r="I7" s="415">
        <f>SUM(I4:I6)</f>
        <v>15</v>
      </c>
      <c r="J7" s="415">
        <f>SUM(J4:J6)</f>
        <v>6.166666666666667</v>
      </c>
      <c r="K7" s="416">
        <f>SUM(K4:K6)</f>
        <v>1.325</v>
      </c>
      <c r="L7" s="72"/>
      <c r="M7" s="302"/>
    </row>
    <row r="8" spans="1:13" ht="18.600000000000001" thickBot="1" x14ac:dyDescent="0.4">
      <c r="A8" s="303"/>
      <c r="B8" s="72"/>
      <c r="C8" s="72"/>
      <c r="D8" s="72"/>
      <c r="E8" s="72"/>
      <c r="F8" s="302"/>
      <c r="G8" s="50"/>
      <c r="H8" s="303"/>
      <c r="I8" s="72"/>
      <c r="J8" s="72"/>
      <c r="K8" s="72"/>
      <c r="L8" s="72"/>
      <c r="M8" s="302"/>
    </row>
    <row r="9" spans="1:13" ht="18" x14ac:dyDescent="0.35">
      <c r="A9" s="266"/>
      <c r="B9" s="308" t="s">
        <v>93</v>
      </c>
      <c r="C9" s="308" t="s">
        <v>95</v>
      </c>
      <c r="D9" s="308" t="s">
        <v>94</v>
      </c>
      <c r="E9" s="309" t="s">
        <v>203</v>
      </c>
      <c r="F9" s="310" t="s">
        <v>204</v>
      </c>
      <c r="G9" s="50"/>
      <c r="H9" s="266"/>
      <c r="I9" s="308" t="s">
        <v>93</v>
      </c>
      <c r="J9" s="308" t="s">
        <v>95</v>
      </c>
      <c r="K9" s="308" t="s">
        <v>94</v>
      </c>
      <c r="L9" s="309" t="s">
        <v>203</v>
      </c>
      <c r="M9" s="310" t="s">
        <v>204</v>
      </c>
    </row>
    <row r="10" spans="1:13" ht="18" x14ac:dyDescent="0.35">
      <c r="A10" s="288" t="s">
        <v>93</v>
      </c>
      <c r="B10" s="71">
        <f>B4/$B$7</f>
        <v>0.1111111111111111</v>
      </c>
      <c r="C10" s="71">
        <f>C4/$C$7</f>
        <v>7.6923076923076927E-2</v>
      </c>
      <c r="D10" s="71">
        <f>D4/$D$7</f>
        <v>0.13043478260869568</v>
      </c>
      <c r="E10" s="420">
        <f>AVERAGE(B10:D10)</f>
        <v>0.1061563235476279</v>
      </c>
      <c r="F10" s="407">
        <f>E10</f>
        <v>0.1061563235476279</v>
      </c>
      <c r="G10" s="50"/>
      <c r="H10" s="288" t="s">
        <v>93</v>
      </c>
      <c r="I10" s="71">
        <f>I4/$I$7</f>
        <v>6.6666666666666666E-2</v>
      </c>
      <c r="J10" s="71">
        <f>J4/$J$7</f>
        <v>2.7027027027027025E-2</v>
      </c>
      <c r="K10" s="71">
        <f>K4/$K$7</f>
        <v>9.4339622641509441E-2</v>
      </c>
      <c r="L10" s="420">
        <f>AVERAGE(I10:K10)</f>
        <v>6.2677772111734378E-2</v>
      </c>
      <c r="M10" s="407">
        <f>L10</f>
        <v>6.2677772111734378E-2</v>
      </c>
    </row>
    <row r="11" spans="1:13" ht="18" x14ac:dyDescent="0.35">
      <c r="A11" s="288" t="s">
        <v>95</v>
      </c>
      <c r="B11" s="71">
        <f>B5/$B$7</f>
        <v>0.33333333333333331</v>
      </c>
      <c r="C11" s="71">
        <f>C5/$C$7</f>
        <v>0.23076923076923078</v>
      </c>
      <c r="D11" s="71">
        <f>D5/$D$7</f>
        <v>0.21739130434782608</v>
      </c>
      <c r="E11" s="420">
        <f>AVERAGE(B11:D11)</f>
        <v>0.26049795615013005</v>
      </c>
      <c r="F11" s="407">
        <f t="shared" ref="F11:F12" si="0">E11</f>
        <v>0.26049795615013005</v>
      </c>
      <c r="G11" s="50"/>
      <c r="H11" s="288" t="s">
        <v>95</v>
      </c>
      <c r="I11" s="71">
        <f t="shared" ref="I11:I12" si="1">I5/$I$7</f>
        <v>0.4</v>
      </c>
      <c r="J11" s="71">
        <f t="shared" ref="J11:J12" si="2">J5/$J$7</f>
        <v>0.16216216216216214</v>
      </c>
      <c r="K11" s="71">
        <f t="shared" ref="K11:K12" si="3">K5/$K$7</f>
        <v>0.15094339622641512</v>
      </c>
      <c r="L11" s="420">
        <f>AVERAGE(I11:K11)</f>
        <v>0.23770185279619241</v>
      </c>
      <c r="M11" s="407">
        <f t="shared" ref="M11:M12" si="4">L11</f>
        <v>0.23770185279619241</v>
      </c>
    </row>
    <row r="12" spans="1:13" ht="18" x14ac:dyDescent="0.35">
      <c r="A12" s="288" t="s">
        <v>94</v>
      </c>
      <c r="B12" s="71">
        <f>B6/$B$7</f>
        <v>0.55555555555555558</v>
      </c>
      <c r="C12" s="71">
        <f>C6/$C$7</f>
        <v>0.6923076923076924</v>
      </c>
      <c r="D12" s="71">
        <f>D6/$D$7</f>
        <v>0.65217391304347827</v>
      </c>
      <c r="E12" s="420">
        <f>AVERAGE(B12:D12)</f>
        <v>0.63334572030224201</v>
      </c>
      <c r="F12" s="407">
        <f t="shared" si="0"/>
        <v>0.63334572030224201</v>
      </c>
      <c r="G12" s="50"/>
      <c r="H12" s="288" t="s">
        <v>94</v>
      </c>
      <c r="I12" s="71">
        <f t="shared" si="1"/>
        <v>0.53333333333333333</v>
      </c>
      <c r="J12" s="71">
        <f t="shared" si="2"/>
        <v>0.81081081081081074</v>
      </c>
      <c r="K12" s="71">
        <f t="shared" si="3"/>
        <v>0.75471698113207553</v>
      </c>
      <c r="L12" s="420">
        <f>AVERAGE(I12:K12)</f>
        <v>0.69962037509207331</v>
      </c>
      <c r="M12" s="407">
        <f t="shared" si="4"/>
        <v>0.69962037509207331</v>
      </c>
    </row>
    <row r="13" spans="1:13" ht="18.600000000000001" thickBot="1" x14ac:dyDescent="0.4">
      <c r="A13" s="311" t="s">
        <v>115</v>
      </c>
      <c r="B13" s="291">
        <f>SUM(B10:B12)</f>
        <v>1</v>
      </c>
      <c r="C13" s="291">
        <f>SUM(C10:C12)</f>
        <v>1</v>
      </c>
      <c r="D13" s="291">
        <f>SUM(D10:D12)</f>
        <v>1</v>
      </c>
      <c r="E13" s="292">
        <f>SUM(E10:E12)</f>
        <v>1</v>
      </c>
      <c r="F13" s="293">
        <f>SUM(F10:F12)</f>
        <v>1</v>
      </c>
      <c r="G13" s="50"/>
      <c r="H13" s="311" t="s">
        <v>115</v>
      </c>
      <c r="I13" s="291">
        <f>SUM(I10:I12)</f>
        <v>1</v>
      </c>
      <c r="J13" s="291">
        <f>SUM(J10:J12)</f>
        <v>0.99999999999999989</v>
      </c>
      <c r="K13" s="291">
        <f>SUM(K10:K12)</f>
        <v>1</v>
      </c>
      <c r="L13" s="292">
        <f>AVERAGE(I13:K13)</f>
        <v>1</v>
      </c>
      <c r="M13" s="293">
        <f>SUM(M10:M12)</f>
        <v>1</v>
      </c>
    </row>
    <row r="14" spans="1:13" ht="18.600000000000001" thickBot="1" x14ac:dyDescent="0.4">
      <c r="A14" s="304"/>
      <c r="B14" s="73"/>
      <c r="C14" s="73"/>
      <c r="D14" s="73"/>
      <c r="E14" s="73"/>
      <c r="F14" s="305"/>
      <c r="G14" s="50"/>
      <c r="H14" s="304"/>
      <c r="I14" s="73"/>
      <c r="J14" s="73"/>
      <c r="K14" s="73"/>
      <c r="L14" s="73"/>
      <c r="M14" s="305"/>
    </row>
    <row r="15" spans="1:13" ht="18" x14ac:dyDescent="0.35">
      <c r="A15" s="362" t="s">
        <v>205</v>
      </c>
      <c r="B15" s="412">
        <f>MMULT(B7:D7,E10:E12)</f>
        <v>3.0553614930426525</v>
      </c>
      <c r="C15" s="73"/>
      <c r="D15" s="73"/>
      <c r="E15" s="73"/>
      <c r="F15" s="305"/>
      <c r="G15" s="50"/>
      <c r="H15" s="362" t="s">
        <v>205</v>
      </c>
      <c r="I15" s="412">
        <f>MMULT(I7:K7,L10:L12)</f>
        <v>3.3329916709161989</v>
      </c>
      <c r="J15" s="73"/>
      <c r="K15" s="73"/>
      <c r="L15" s="73"/>
      <c r="M15" s="305"/>
    </row>
    <row r="16" spans="1:13" ht="18" x14ac:dyDescent="0.35">
      <c r="A16" s="363" t="s">
        <v>116</v>
      </c>
      <c r="B16" s="413">
        <f>(B15-$D$1)/($D$1-1)</f>
        <v>2.7680746521326238E-2</v>
      </c>
      <c r="C16" s="73"/>
      <c r="D16" s="73"/>
      <c r="E16" s="73"/>
      <c r="F16" s="305"/>
      <c r="G16" s="50"/>
      <c r="H16" s="363" t="s">
        <v>116</v>
      </c>
      <c r="I16" s="413">
        <f>(I15-$D$1)/($D$1-1)</f>
        <v>0.16649583545809943</v>
      </c>
      <c r="J16" s="73"/>
      <c r="K16" s="73"/>
      <c r="L16" s="73"/>
      <c r="M16" s="305"/>
    </row>
    <row r="17" spans="1:13" ht="18" x14ac:dyDescent="0.35">
      <c r="A17" s="363" t="s">
        <v>117</v>
      </c>
      <c r="B17" s="413">
        <v>0.57999999999999996</v>
      </c>
      <c r="C17" s="73"/>
      <c r="D17" s="73"/>
      <c r="E17" s="73"/>
      <c r="F17" s="305"/>
      <c r="G17" s="50"/>
      <c r="H17" s="363" t="s">
        <v>117</v>
      </c>
      <c r="I17" s="413">
        <v>0.57999999999999996</v>
      </c>
      <c r="J17" s="73"/>
      <c r="K17" s="73"/>
      <c r="L17" s="73"/>
      <c r="M17" s="305"/>
    </row>
    <row r="18" spans="1:13" ht="18.600000000000001" thickBot="1" x14ac:dyDescent="0.4">
      <c r="A18" s="360" t="s">
        <v>118</v>
      </c>
      <c r="B18" s="405">
        <f>B16/B17</f>
        <v>4.7725425036769381E-2</v>
      </c>
      <c r="C18" s="306"/>
      <c r="D18" s="306"/>
      <c r="E18" s="306"/>
      <c r="F18" s="307"/>
      <c r="G18" s="50"/>
      <c r="H18" s="360" t="s">
        <v>118</v>
      </c>
      <c r="I18" s="405">
        <f>I16/I17</f>
        <v>0.28706178527258525</v>
      </c>
      <c r="J18" s="306"/>
      <c r="K18" s="306"/>
      <c r="L18" s="306"/>
      <c r="M18" s="307"/>
    </row>
    <row r="19" spans="1:13" ht="18" x14ac:dyDescent="0.3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ht="18.600000000000001" thickBot="1" x14ac:dyDescent="0.4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ht="18.600000000000001" thickBot="1" x14ac:dyDescent="0.4">
      <c r="A21" s="590" t="s">
        <v>267</v>
      </c>
      <c r="B21" s="591"/>
      <c r="C21" s="591"/>
      <c r="D21" s="591"/>
      <c r="E21" s="540"/>
      <c r="F21" s="541"/>
      <c r="G21" s="50"/>
      <c r="H21" s="590" t="s">
        <v>245</v>
      </c>
      <c r="I21" s="591"/>
      <c r="J21" s="591"/>
      <c r="K21" s="591"/>
      <c r="L21" s="540"/>
      <c r="M21" s="541"/>
    </row>
    <row r="22" spans="1:13" ht="18" x14ac:dyDescent="0.35">
      <c r="A22" s="266"/>
      <c r="B22" s="308" t="s">
        <v>93</v>
      </c>
      <c r="C22" s="308" t="s">
        <v>95</v>
      </c>
      <c r="D22" s="312" t="s">
        <v>94</v>
      </c>
      <c r="E22" s="72"/>
      <c r="F22" s="302"/>
      <c r="G22" s="50"/>
      <c r="H22" s="266"/>
      <c r="I22" s="308" t="s">
        <v>93</v>
      </c>
      <c r="J22" s="308" t="s">
        <v>95</v>
      </c>
      <c r="K22" s="312" t="s">
        <v>94</v>
      </c>
      <c r="L22" s="72"/>
      <c r="M22" s="302"/>
    </row>
    <row r="23" spans="1:13" ht="18" x14ac:dyDescent="0.35">
      <c r="A23" s="288" t="s">
        <v>93</v>
      </c>
      <c r="B23" s="68">
        <v>1</v>
      </c>
      <c r="C23" s="400">
        <f>1/B24</f>
        <v>0.16666666666666666</v>
      </c>
      <c r="D23" s="401">
        <f>1/B25</f>
        <v>0.1111111111111111</v>
      </c>
      <c r="E23" s="72"/>
      <c r="F23" s="302"/>
      <c r="G23" s="50"/>
      <c r="H23" s="288" t="s">
        <v>93</v>
      </c>
      <c r="I23" s="68">
        <v>1</v>
      </c>
      <c r="J23" s="400">
        <f>1/I24</f>
        <v>0.2</v>
      </c>
      <c r="K23" s="401">
        <f>1/I25</f>
        <v>0.14285714285714285</v>
      </c>
      <c r="L23" s="72"/>
      <c r="M23" s="302"/>
    </row>
    <row r="24" spans="1:13" ht="18" x14ac:dyDescent="0.35">
      <c r="A24" s="288" t="s">
        <v>95</v>
      </c>
      <c r="B24" s="361">
        <v>6</v>
      </c>
      <c r="C24" s="69">
        <v>1</v>
      </c>
      <c r="D24" s="401">
        <f>1/C25</f>
        <v>0.33333333333333331</v>
      </c>
      <c r="E24" s="72"/>
      <c r="F24" s="302"/>
      <c r="G24" s="50"/>
      <c r="H24" s="288" t="s">
        <v>95</v>
      </c>
      <c r="I24" s="361">
        <v>5</v>
      </c>
      <c r="J24" s="69">
        <v>1</v>
      </c>
      <c r="K24" s="401">
        <f>1/J25</f>
        <v>0.33333333333333331</v>
      </c>
      <c r="L24" s="72"/>
      <c r="M24" s="302"/>
    </row>
    <row r="25" spans="1:13" ht="18" x14ac:dyDescent="0.35">
      <c r="A25" s="288" t="s">
        <v>94</v>
      </c>
      <c r="B25" s="361">
        <v>9</v>
      </c>
      <c r="C25" s="361">
        <v>3</v>
      </c>
      <c r="D25" s="289">
        <v>1</v>
      </c>
      <c r="E25" s="72"/>
      <c r="F25" s="302"/>
      <c r="G25" s="50"/>
      <c r="H25" s="288" t="s">
        <v>94</v>
      </c>
      <c r="I25" s="361">
        <v>7</v>
      </c>
      <c r="J25" s="361">
        <v>3</v>
      </c>
      <c r="K25" s="289">
        <v>1</v>
      </c>
      <c r="L25" s="72"/>
      <c r="M25" s="302"/>
    </row>
    <row r="26" spans="1:13" ht="18.600000000000001" thickBot="1" x14ac:dyDescent="0.4">
      <c r="A26" s="414" t="s">
        <v>112</v>
      </c>
      <c r="B26" s="415">
        <f>SUM(B23:B25)</f>
        <v>16</v>
      </c>
      <c r="C26" s="415">
        <f>SUM(C23:C25)</f>
        <v>4.166666666666667</v>
      </c>
      <c r="D26" s="416">
        <f>SUM(D23:D25)</f>
        <v>1.4444444444444444</v>
      </c>
      <c r="E26" s="72"/>
      <c r="F26" s="302"/>
      <c r="G26" s="50"/>
      <c r="H26" s="414" t="s">
        <v>112</v>
      </c>
      <c r="I26" s="415">
        <f>SUM(I23:I25)</f>
        <v>13</v>
      </c>
      <c r="J26" s="415">
        <f>SUM(J23:J25)</f>
        <v>4.2</v>
      </c>
      <c r="K26" s="416">
        <f>SUM(K23:K25)</f>
        <v>1.4761904761904763</v>
      </c>
      <c r="L26" s="72"/>
      <c r="M26" s="302"/>
    </row>
    <row r="27" spans="1:13" ht="18.600000000000001" thickBot="1" x14ac:dyDescent="0.4">
      <c r="A27" s="303"/>
      <c r="B27" s="72"/>
      <c r="C27" s="72"/>
      <c r="D27" s="72"/>
      <c r="E27" s="72"/>
      <c r="F27" s="302"/>
      <c r="G27" s="50"/>
      <c r="H27" s="303"/>
      <c r="I27" s="72"/>
      <c r="J27" s="72"/>
      <c r="K27" s="72"/>
      <c r="L27" s="72"/>
      <c r="M27" s="302"/>
    </row>
    <row r="28" spans="1:13" ht="18" x14ac:dyDescent="0.35">
      <c r="A28" s="266"/>
      <c r="B28" s="308" t="s">
        <v>93</v>
      </c>
      <c r="C28" s="308" t="s">
        <v>95</v>
      </c>
      <c r="D28" s="308" t="s">
        <v>94</v>
      </c>
      <c r="E28" s="309" t="s">
        <v>203</v>
      </c>
      <c r="F28" s="310" t="s">
        <v>204</v>
      </c>
      <c r="G28" s="50"/>
      <c r="H28" s="266"/>
      <c r="I28" s="308" t="s">
        <v>93</v>
      </c>
      <c r="J28" s="308" t="s">
        <v>95</v>
      </c>
      <c r="K28" s="308" t="s">
        <v>94</v>
      </c>
      <c r="L28" s="309" t="s">
        <v>203</v>
      </c>
      <c r="M28" s="310" t="s">
        <v>204</v>
      </c>
    </row>
    <row r="29" spans="1:13" ht="18" x14ac:dyDescent="0.35">
      <c r="A29" s="288" t="s">
        <v>93</v>
      </c>
      <c r="B29" s="71">
        <f>B23/$B$7</f>
        <v>0.1111111111111111</v>
      </c>
      <c r="C29" s="71">
        <f>C23/$C$7</f>
        <v>3.8461538461538464E-2</v>
      </c>
      <c r="D29" s="71">
        <f>D23/$D$7</f>
        <v>7.2463768115942032E-2</v>
      </c>
      <c r="E29" s="420">
        <f>AVERAGE(B29:D29)</f>
        <v>7.4012139229530538E-2</v>
      </c>
      <c r="F29" s="407">
        <f>E29</f>
        <v>7.4012139229530538E-2</v>
      </c>
      <c r="G29" s="50"/>
      <c r="H29" s="288" t="s">
        <v>93</v>
      </c>
      <c r="I29" s="71">
        <f>I23/$B$7</f>
        <v>0.1111111111111111</v>
      </c>
      <c r="J29" s="71">
        <f>J23/$C$7</f>
        <v>4.6153846153846156E-2</v>
      </c>
      <c r="K29" s="71">
        <f>K23/$D$7</f>
        <v>9.3167701863354033E-2</v>
      </c>
      <c r="L29" s="420">
        <f>AVERAGE(I29:K29)</f>
        <v>8.3477553042770436E-2</v>
      </c>
      <c r="M29" s="407">
        <f>L29</f>
        <v>8.3477553042770436E-2</v>
      </c>
    </row>
    <row r="30" spans="1:13" ht="18" x14ac:dyDescent="0.35">
      <c r="A30" s="288" t="s">
        <v>95</v>
      </c>
      <c r="B30" s="71">
        <f>B24/$B$7</f>
        <v>0.66666666666666663</v>
      </c>
      <c r="C30" s="71">
        <f>C24/$C$7</f>
        <v>0.23076923076923078</v>
      </c>
      <c r="D30" s="71">
        <f>D24/$D$7</f>
        <v>0.21739130434782608</v>
      </c>
      <c r="E30" s="420">
        <f>AVERAGE(B30:D30)</f>
        <v>0.37160906726124115</v>
      </c>
      <c r="F30" s="407">
        <f t="shared" ref="F30:F31" si="5">E30</f>
        <v>0.37160906726124115</v>
      </c>
      <c r="G30" s="50"/>
      <c r="H30" s="288" t="s">
        <v>95</v>
      </c>
      <c r="I30" s="71">
        <f>I24/$B$7</f>
        <v>0.55555555555555558</v>
      </c>
      <c r="J30" s="71">
        <f>J24/$C$7</f>
        <v>0.23076923076923078</v>
      </c>
      <c r="K30" s="71">
        <f>K24/$D$7</f>
        <v>0.21739130434782608</v>
      </c>
      <c r="L30" s="420">
        <f>AVERAGE(I30:K30)</f>
        <v>0.33457203022420418</v>
      </c>
      <c r="M30" s="407">
        <f t="shared" ref="M30:M31" si="6">L30</f>
        <v>0.33457203022420418</v>
      </c>
    </row>
    <row r="31" spans="1:13" ht="18" x14ac:dyDescent="0.35">
      <c r="A31" s="288" t="s">
        <v>94</v>
      </c>
      <c r="B31" s="71">
        <f>B25/$B$7</f>
        <v>1</v>
      </c>
      <c r="C31" s="71">
        <f>C25/$C$7</f>
        <v>0.6923076923076924</v>
      </c>
      <c r="D31" s="71">
        <f>D25/$D$7</f>
        <v>0.65217391304347827</v>
      </c>
      <c r="E31" s="420">
        <f>AVERAGE(B31:D31)</f>
        <v>0.78149386845039037</v>
      </c>
      <c r="F31" s="407">
        <f t="shared" si="5"/>
        <v>0.78149386845039037</v>
      </c>
      <c r="G31" s="50"/>
      <c r="H31" s="288" t="s">
        <v>94</v>
      </c>
      <c r="I31" s="71">
        <f>I25/$B$7</f>
        <v>0.77777777777777779</v>
      </c>
      <c r="J31" s="71">
        <f>J25/$C$7</f>
        <v>0.6923076923076924</v>
      </c>
      <c r="K31" s="71">
        <f>K25/$D$7</f>
        <v>0.65217391304347827</v>
      </c>
      <c r="L31" s="420">
        <f>AVERAGE(I31:K31)</f>
        <v>0.70741979437631619</v>
      </c>
      <c r="M31" s="407">
        <f t="shared" si="6"/>
        <v>0.70741979437631619</v>
      </c>
    </row>
    <row r="32" spans="1:13" ht="18.600000000000001" thickBot="1" x14ac:dyDescent="0.4">
      <c r="A32" s="418" t="s">
        <v>115</v>
      </c>
      <c r="B32" s="415">
        <f>SUM(B29:B31)</f>
        <v>1.7777777777777777</v>
      </c>
      <c r="C32" s="415">
        <f>SUM(C29:C31)</f>
        <v>0.96153846153846168</v>
      </c>
      <c r="D32" s="415">
        <f>SUM(D29:D31)</f>
        <v>0.94202898550724634</v>
      </c>
      <c r="E32" s="292">
        <f>SUM(E29:E31)</f>
        <v>1.2271150749411621</v>
      </c>
      <c r="F32" s="313">
        <f>SUM(F29:F31)</f>
        <v>1.2271150749411621</v>
      </c>
      <c r="G32" s="50"/>
      <c r="H32" s="418" t="s">
        <v>115</v>
      </c>
      <c r="I32" s="415">
        <f>SUM(I29:I31)</f>
        <v>1.4444444444444446</v>
      </c>
      <c r="J32" s="415">
        <f>SUM(J29:J31)</f>
        <v>0.96923076923076934</v>
      </c>
      <c r="K32" s="415">
        <f>SUM(K29:K31)</f>
        <v>0.96273291925465831</v>
      </c>
      <c r="L32" s="292">
        <f>SUM(L29:L31)</f>
        <v>1.1254693776432907</v>
      </c>
      <c r="M32" s="293">
        <f>SUM(M29:M31)</f>
        <v>1.1254693776432907</v>
      </c>
    </row>
    <row r="33" spans="1:13" ht="18.600000000000001" thickBot="1" x14ac:dyDescent="0.4">
      <c r="A33" s="304"/>
      <c r="B33" s="73"/>
      <c r="C33" s="73"/>
      <c r="D33" s="73"/>
      <c r="E33" s="73"/>
      <c r="F33" s="305"/>
      <c r="G33" s="50"/>
      <c r="H33" s="304"/>
      <c r="I33" s="73"/>
      <c r="J33" s="73"/>
      <c r="K33" s="73"/>
      <c r="L33" s="73"/>
      <c r="M33" s="305"/>
    </row>
    <row r="34" spans="1:13" ht="18" x14ac:dyDescent="0.35">
      <c r="A34" s="363" t="s">
        <v>205</v>
      </c>
      <c r="B34" s="419">
        <f>MMULT(B26:D26,E29:E31)</f>
        <v>3.861389817911558</v>
      </c>
      <c r="C34" s="73"/>
      <c r="D34" s="73"/>
      <c r="E34" s="73"/>
      <c r="F34" s="305"/>
      <c r="G34" s="50"/>
      <c r="H34" s="362" t="s">
        <v>205</v>
      </c>
      <c r="I34" s="412">
        <f>MMULT(I26:K26,L29:L31)</f>
        <v>3.5346970796246167</v>
      </c>
      <c r="J34" s="73"/>
      <c r="K34" s="73"/>
      <c r="L34" s="73"/>
      <c r="M34" s="305"/>
    </row>
    <row r="35" spans="1:13" ht="18" x14ac:dyDescent="0.35">
      <c r="A35" s="363" t="s">
        <v>116</v>
      </c>
      <c r="B35" s="419">
        <f>(B34-$D$1)/($D$1-1)</f>
        <v>0.430694908955779</v>
      </c>
      <c r="C35" s="73"/>
      <c r="D35" s="73"/>
      <c r="E35" s="73"/>
      <c r="F35" s="305"/>
      <c r="G35" s="50"/>
      <c r="H35" s="363" t="s">
        <v>116</v>
      </c>
      <c r="I35" s="413">
        <f>(I34-$D$1)/($D$1-1)</f>
        <v>0.26734853981230833</v>
      </c>
      <c r="J35" s="73"/>
      <c r="K35" s="73"/>
      <c r="L35" s="73"/>
      <c r="M35" s="305"/>
    </row>
    <row r="36" spans="1:13" ht="18" x14ac:dyDescent="0.35">
      <c r="A36" s="363" t="s">
        <v>117</v>
      </c>
      <c r="B36" s="419">
        <v>0.57999999999999996</v>
      </c>
      <c r="C36" s="73"/>
      <c r="D36" s="73"/>
      <c r="E36" s="73"/>
      <c r="F36" s="305"/>
      <c r="G36" s="50"/>
      <c r="H36" s="363" t="s">
        <v>117</v>
      </c>
      <c r="I36" s="413">
        <v>0.57999999999999996</v>
      </c>
      <c r="J36" s="73"/>
      <c r="K36" s="73"/>
      <c r="L36" s="73"/>
      <c r="M36" s="305"/>
    </row>
    <row r="37" spans="1:13" ht="18.600000000000001" thickBot="1" x14ac:dyDescent="0.4">
      <c r="A37" s="360" t="s">
        <v>118</v>
      </c>
      <c r="B37" s="404">
        <f>B35/B36</f>
        <v>0.74257742923410175</v>
      </c>
      <c r="C37" s="306"/>
      <c r="D37" s="306"/>
      <c r="E37" s="306"/>
      <c r="F37" s="307"/>
      <c r="G37" s="50"/>
      <c r="H37" s="360" t="s">
        <v>118</v>
      </c>
      <c r="I37" s="405">
        <f>I35/I36</f>
        <v>0.46094575829708334</v>
      </c>
      <c r="J37" s="306"/>
      <c r="K37" s="306"/>
      <c r="L37" s="306"/>
      <c r="M37" s="307"/>
    </row>
    <row r="38" spans="1:13" ht="18.600000000000001" thickBot="1" x14ac:dyDescent="0.4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1:13" ht="18" x14ac:dyDescent="0.35">
      <c r="A39" s="531" t="s">
        <v>214</v>
      </c>
      <c r="B39" s="589"/>
      <c r="C39" s="589"/>
      <c r="D39" s="589"/>
      <c r="E39" s="589"/>
      <c r="F39" s="532"/>
      <c r="G39" s="50"/>
      <c r="H39" s="50"/>
      <c r="I39" s="50"/>
      <c r="J39" s="50"/>
      <c r="K39" s="50"/>
      <c r="L39" s="50"/>
      <c r="M39" s="50"/>
    </row>
    <row r="40" spans="1:13" ht="18" x14ac:dyDescent="0.35">
      <c r="A40" s="161" t="s">
        <v>213</v>
      </c>
      <c r="B40" s="58" t="s">
        <v>209</v>
      </c>
      <c r="C40" s="58" t="s">
        <v>111</v>
      </c>
      <c r="D40" s="58" t="s">
        <v>267</v>
      </c>
      <c r="E40" s="58" t="s">
        <v>245</v>
      </c>
      <c r="F40" s="162" t="s">
        <v>204</v>
      </c>
      <c r="G40" s="50"/>
      <c r="H40" s="50"/>
      <c r="I40" s="50"/>
      <c r="J40" s="50"/>
      <c r="K40" s="50"/>
      <c r="L40" s="50"/>
      <c r="M40" s="50"/>
    </row>
    <row r="41" spans="1:13" ht="18" x14ac:dyDescent="0.35">
      <c r="A41" s="161" t="s">
        <v>93</v>
      </c>
      <c r="B41" s="74">
        <f>F10</f>
        <v>0.1061563235476279</v>
      </c>
      <c r="C41" s="74">
        <f>M10</f>
        <v>6.2677772111734378E-2</v>
      </c>
      <c r="D41" s="74">
        <f>F29</f>
        <v>7.4012139229530538E-2</v>
      </c>
      <c r="E41" s="74">
        <f>M29</f>
        <v>8.3477553042770436E-2</v>
      </c>
      <c r="F41" s="314">
        <f>AVERAGE(B41:E41)</f>
        <v>8.158094698291582E-2</v>
      </c>
      <c r="G41" s="50"/>
      <c r="H41" s="50"/>
      <c r="I41" s="50"/>
      <c r="J41" s="50"/>
      <c r="K41" s="50"/>
      <c r="L41" s="50"/>
      <c r="M41" s="50"/>
    </row>
    <row r="42" spans="1:13" ht="18" x14ac:dyDescent="0.35">
      <c r="A42" s="161" t="s">
        <v>95</v>
      </c>
      <c r="B42" s="74">
        <f t="shared" ref="B42:B43" si="7">F11</f>
        <v>0.26049795615013005</v>
      </c>
      <c r="C42" s="74">
        <f t="shared" ref="C42:C43" si="8">M11</f>
        <v>0.23770185279619241</v>
      </c>
      <c r="D42" s="74">
        <f t="shared" ref="D42:D43" si="9">F30</f>
        <v>0.37160906726124115</v>
      </c>
      <c r="E42" s="74">
        <f t="shared" ref="E42:E43" si="10">M30</f>
        <v>0.33457203022420418</v>
      </c>
      <c r="F42" s="314">
        <f t="shared" ref="F42:F43" si="11">AVERAGE(B42:E42)</f>
        <v>0.30109522660794191</v>
      </c>
      <c r="G42" s="50"/>
      <c r="H42" s="50"/>
      <c r="I42" s="50"/>
      <c r="J42" s="50"/>
      <c r="K42" s="50"/>
      <c r="L42" s="50"/>
      <c r="M42" s="50"/>
    </row>
    <row r="43" spans="1:13" ht="18.600000000000001" thickBot="1" x14ac:dyDescent="0.4">
      <c r="A43" s="280" t="s">
        <v>94</v>
      </c>
      <c r="B43" s="315">
        <f t="shared" si="7"/>
        <v>0.63334572030224201</v>
      </c>
      <c r="C43" s="315">
        <f t="shared" si="8"/>
        <v>0.69962037509207331</v>
      </c>
      <c r="D43" s="315">
        <f t="shared" si="9"/>
        <v>0.78149386845039037</v>
      </c>
      <c r="E43" s="315">
        <f t="shared" si="10"/>
        <v>0.70741979437631619</v>
      </c>
      <c r="F43" s="316">
        <f t="shared" si="11"/>
        <v>0.7054699395552555</v>
      </c>
      <c r="G43" s="50"/>
      <c r="H43" s="50"/>
      <c r="I43" s="50"/>
      <c r="J43" s="50"/>
      <c r="K43" s="50"/>
      <c r="L43" s="50"/>
      <c r="M43" s="50"/>
    </row>
  </sheetData>
  <mergeCells count="6">
    <mergeCell ref="A39:F39"/>
    <mergeCell ref="A21:F21"/>
    <mergeCell ref="H2:M2"/>
    <mergeCell ref="H21:M21"/>
    <mergeCell ref="A1:C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abSelected="1" zoomScale="90" zoomScaleNormal="90" workbookViewId="0">
      <selection activeCell="B20" sqref="B20"/>
    </sheetView>
  </sheetViews>
  <sheetFormatPr defaultColWidth="9" defaultRowHeight="13.2" x14ac:dyDescent="0.25"/>
  <cols>
    <col min="1" max="1" width="30.33203125" style="16" bestFit="1" customWidth="1"/>
    <col min="2" max="2" width="22.77734375" style="16" bestFit="1" customWidth="1"/>
    <col min="3" max="3" width="21.77734375" style="16" bestFit="1" customWidth="1"/>
    <col min="4" max="4" width="22.77734375" style="16" bestFit="1" customWidth="1"/>
    <col min="5" max="5" width="19.44140625" style="16" bestFit="1" customWidth="1"/>
    <col min="6" max="6" width="22.77734375" style="16" bestFit="1" customWidth="1"/>
    <col min="7" max="7" width="19.44140625" style="16" bestFit="1" customWidth="1"/>
    <col min="8" max="8" width="15.77734375" style="16" bestFit="1" customWidth="1"/>
    <col min="9" max="16384" width="9" style="16"/>
  </cols>
  <sheetData>
    <row r="1" spans="1:8" ht="15.6" x14ac:dyDescent="0.3">
      <c r="A1" s="98"/>
      <c r="B1" s="490" t="s">
        <v>93</v>
      </c>
      <c r="C1" s="490"/>
      <c r="D1" s="490" t="s">
        <v>95</v>
      </c>
      <c r="E1" s="490"/>
      <c r="F1" s="490" t="s">
        <v>94</v>
      </c>
      <c r="G1" s="490"/>
    </row>
    <row r="2" spans="1:8" ht="15.6" x14ac:dyDescent="0.25">
      <c r="A2" s="491" t="s">
        <v>215</v>
      </c>
      <c r="B2" s="493" t="s">
        <v>227</v>
      </c>
      <c r="C2" s="493"/>
      <c r="D2" s="493" t="s">
        <v>320</v>
      </c>
      <c r="E2" s="493"/>
      <c r="F2" s="493" t="s">
        <v>228</v>
      </c>
      <c r="G2" s="493"/>
    </row>
    <row r="3" spans="1:8" ht="16.2" thickBot="1" x14ac:dyDescent="0.3">
      <c r="A3" s="492"/>
      <c r="B3" s="99" t="s">
        <v>59</v>
      </c>
      <c r="C3" s="99" t="s">
        <v>60</v>
      </c>
      <c r="D3" s="99" t="s">
        <v>59</v>
      </c>
      <c r="E3" s="99" t="s">
        <v>60</v>
      </c>
      <c r="F3" s="99" t="s">
        <v>59</v>
      </c>
      <c r="G3" s="99" t="s">
        <v>60</v>
      </c>
    </row>
    <row r="4" spans="1:8" ht="18" x14ac:dyDescent="0.35">
      <c r="A4" s="90" t="s">
        <v>229</v>
      </c>
      <c r="B4" s="93"/>
      <c r="C4" s="93">
        <v>1800000</v>
      </c>
      <c r="D4" s="93"/>
      <c r="E4" s="93">
        <v>2300000</v>
      </c>
      <c r="F4" s="93"/>
      <c r="G4" s="94">
        <v>1900000</v>
      </c>
    </row>
    <row r="5" spans="1:8" ht="18" x14ac:dyDescent="0.35">
      <c r="A5" s="91" t="s">
        <v>220</v>
      </c>
      <c r="B5" s="57">
        <v>2300000</v>
      </c>
      <c r="C5" s="57"/>
      <c r="D5" s="57">
        <v>1750000</v>
      </c>
      <c r="E5" s="57"/>
      <c r="F5" s="57">
        <v>1100000</v>
      </c>
      <c r="G5" s="95"/>
    </row>
    <row r="6" spans="1:8" ht="18" x14ac:dyDescent="0.35">
      <c r="A6" s="91" t="s">
        <v>235</v>
      </c>
      <c r="B6" s="57">
        <v>1250000</v>
      </c>
      <c r="C6" s="57"/>
      <c r="D6" s="57">
        <v>980000</v>
      </c>
      <c r="E6" s="57"/>
      <c r="F6" s="57">
        <v>1000000</v>
      </c>
      <c r="G6" s="95"/>
    </row>
    <row r="7" spans="1:8" ht="18" x14ac:dyDescent="0.35">
      <c r="A7" s="91" t="s">
        <v>221</v>
      </c>
      <c r="B7" s="57"/>
      <c r="C7" s="57">
        <v>13600000</v>
      </c>
      <c r="D7" s="57"/>
      <c r="E7" s="57">
        <v>8900000</v>
      </c>
      <c r="F7" s="57"/>
      <c r="G7" s="95">
        <v>6500000</v>
      </c>
    </row>
    <row r="8" spans="1:8" ht="18" x14ac:dyDescent="0.35">
      <c r="A8" s="91" t="s">
        <v>222</v>
      </c>
      <c r="B8" s="57">
        <v>480000</v>
      </c>
      <c r="C8" s="57"/>
      <c r="D8" s="57">
        <v>600000</v>
      </c>
      <c r="E8" s="57"/>
      <c r="F8" s="57">
        <v>450000</v>
      </c>
      <c r="G8" s="95"/>
    </row>
    <row r="9" spans="1:8" ht="18" x14ac:dyDescent="0.35">
      <c r="A9" s="91" t="s">
        <v>223</v>
      </c>
      <c r="B9" s="57">
        <v>500000</v>
      </c>
      <c r="C9" s="57"/>
      <c r="D9" s="57">
        <v>450000</v>
      </c>
      <c r="E9" s="57"/>
      <c r="F9" s="57">
        <v>400000</v>
      </c>
      <c r="G9" s="95"/>
    </row>
    <row r="10" spans="1:8" ht="18" x14ac:dyDescent="0.35">
      <c r="A10" s="91" t="s">
        <v>224</v>
      </c>
      <c r="B10" s="57">
        <v>5200000</v>
      </c>
      <c r="C10" s="57"/>
      <c r="D10" s="57">
        <v>3900000</v>
      </c>
      <c r="E10" s="57"/>
      <c r="F10" s="57">
        <v>4100000</v>
      </c>
      <c r="G10" s="95"/>
    </row>
    <row r="11" spans="1:8" ht="18" x14ac:dyDescent="0.35">
      <c r="A11" s="91" t="s">
        <v>225</v>
      </c>
      <c r="B11" s="57">
        <v>835000</v>
      </c>
      <c r="C11" s="57">
        <v>60000</v>
      </c>
      <c r="D11" s="57">
        <v>650000</v>
      </c>
      <c r="E11" s="57">
        <v>65000</v>
      </c>
      <c r="F11" s="57">
        <v>1000000</v>
      </c>
      <c r="G11" s="95">
        <v>85000</v>
      </c>
    </row>
    <row r="12" spans="1:8" ht="18" x14ac:dyDescent="0.35">
      <c r="A12" s="91" t="s">
        <v>226</v>
      </c>
      <c r="B12" s="57">
        <v>102000</v>
      </c>
      <c r="C12" s="57"/>
      <c r="D12" s="57">
        <v>95000</v>
      </c>
      <c r="E12" s="57"/>
      <c r="F12" s="57">
        <v>95000</v>
      </c>
      <c r="G12" s="95"/>
    </row>
    <row r="13" spans="1:8" ht="18.600000000000001" thickBot="1" x14ac:dyDescent="0.4">
      <c r="A13" s="92" t="s">
        <v>9</v>
      </c>
      <c r="B13" s="96"/>
      <c r="C13" s="96">
        <v>105000</v>
      </c>
      <c r="D13" s="96"/>
      <c r="E13" s="96">
        <v>98000</v>
      </c>
      <c r="F13" s="96"/>
      <c r="G13" s="97">
        <v>79000</v>
      </c>
    </row>
    <row r="14" spans="1:8" s="46" customFormat="1" ht="15.6" x14ac:dyDescent="0.3">
      <c r="A14" s="317" t="s">
        <v>61</v>
      </c>
      <c r="B14" s="318">
        <f>SUM(B4:B13)</f>
        <v>10667000</v>
      </c>
      <c r="C14" s="318">
        <f>SUM(C4:C13)</f>
        <v>15565000</v>
      </c>
      <c r="D14" s="318">
        <f t="shared" ref="D14:G14" si="0">SUM(D4:D13)</f>
        <v>8425000</v>
      </c>
      <c r="E14" s="318">
        <f t="shared" si="0"/>
        <v>11363000</v>
      </c>
      <c r="F14" s="318">
        <f t="shared" si="0"/>
        <v>8145000</v>
      </c>
      <c r="G14" s="318">
        <f t="shared" si="0"/>
        <v>8564000</v>
      </c>
      <c r="H14" s="47"/>
    </row>
    <row r="16" spans="1:8" ht="13.8" thickBot="1" x14ac:dyDescent="0.3"/>
    <row r="17" spans="2:7" ht="16.2" thickBot="1" x14ac:dyDescent="0.35">
      <c r="B17" s="319" t="s">
        <v>240</v>
      </c>
      <c r="C17" s="320">
        <f>SUM(C14,B14)</f>
        <v>26232000</v>
      </c>
      <c r="D17" s="321" t="s">
        <v>240</v>
      </c>
      <c r="E17" s="320">
        <f>SUM(E14,D14)</f>
        <v>19788000</v>
      </c>
      <c r="F17" s="321" t="s">
        <v>240</v>
      </c>
      <c r="G17" s="322">
        <f>SUM(G14,F14)</f>
        <v>16709000</v>
      </c>
    </row>
  </sheetData>
  <mergeCells count="7">
    <mergeCell ref="B1:C1"/>
    <mergeCell ref="F1:G1"/>
    <mergeCell ref="D1:E1"/>
    <mergeCell ref="A2:A3"/>
    <mergeCell ref="B2:C2"/>
    <mergeCell ref="F2:G2"/>
    <mergeCell ref="D2:E2"/>
  </mergeCell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workbookViewId="0">
      <selection activeCell="B7" sqref="B7"/>
    </sheetView>
  </sheetViews>
  <sheetFormatPr defaultColWidth="9.33203125" defaultRowHeight="13.8" x14ac:dyDescent="0.25"/>
  <cols>
    <col min="1" max="1" width="29.77734375" style="1" bestFit="1" customWidth="1"/>
    <col min="2" max="2" width="17.77734375" style="1" bestFit="1" customWidth="1"/>
    <col min="3" max="12" width="17.109375" style="1" bestFit="1" customWidth="1"/>
    <col min="13" max="16384" width="9.33203125" style="1"/>
  </cols>
  <sheetData>
    <row r="1" spans="1:12" x14ac:dyDescent="0.25">
      <c r="A1" s="593" t="s">
        <v>130</v>
      </c>
      <c r="B1" s="593"/>
    </row>
    <row r="2" spans="1:12" x14ac:dyDescent="0.25">
      <c r="A2" s="3" t="s">
        <v>49</v>
      </c>
      <c r="B2" s="25">
        <v>0.06</v>
      </c>
    </row>
    <row r="3" spans="1:12" x14ac:dyDescent="0.25">
      <c r="A3" s="31"/>
      <c r="B3" s="32"/>
    </row>
    <row r="4" spans="1:12" x14ac:dyDescent="0.25">
      <c r="D4" s="594" t="s">
        <v>148</v>
      </c>
      <c r="E4" s="594"/>
      <c r="F4" s="594"/>
      <c r="G4" s="594"/>
    </row>
    <row r="5" spans="1:12" x14ac:dyDescent="0.25">
      <c r="A5" s="593" t="s">
        <v>131</v>
      </c>
      <c r="B5" s="593"/>
      <c r="D5" s="34" t="s">
        <v>142</v>
      </c>
      <c r="E5" s="26" t="s">
        <v>143</v>
      </c>
      <c r="F5" s="26" t="s">
        <v>144</v>
      </c>
      <c r="G5" s="26" t="s">
        <v>145</v>
      </c>
    </row>
    <row r="6" spans="1:12" x14ac:dyDescent="0.25">
      <c r="A6" s="3" t="s">
        <v>132</v>
      </c>
      <c r="B6" s="5">
        <f ca="1">_xll.RiskTriang(15038100,16709000,18379900,_xll.RiskStatic(16709000))</f>
        <v>16978796.16377404</v>
      </c>
      <c r="D6" s="34" t="s">
        <v>146</v>
      </c>
      <c r="E6" s="27">
        <f ca="1">F6-200000</f>
        <v>16778796.16377404</v>
      </c>
      <c r="F6" s="27">
        <f ca="1">B6</f>
        <v>16978796.16377404</v>
      </c>
      <c r="G6" s="27">
        <f ca="1">F6+200000</f>
        <v>17178796.16377404</v>
      </c>
    </row>
    <row r="7" spans="1:12" x14ac:dyDescent="0.25">
      <c r="A7" s="3" t="s">
        <v>133</v>
      </c>
      <c r="B7" s="5">
        <f ca="1">_xll.RiskTriang(12004200,13338000,14671800,_xll.RiskStatic(13338000))</f>
        <v>14360634.699833456</v>
      </c>
      <c r="D7" s="34" t="s">
        <v>146</v>
      </c>
      <c r="E7" s="27">
        <f ca="1">F7-100000</f>
        <v>14260634.699833456</v>
      </c>
      <c r="F7" s="27">
        <f ca="1">B7</f>
        <v>14360634.699833456</v>
      </c>
      <c r="G7" s="27">
        <f ca="1">F7+100000</f>
        <v>14460634.699833456</v>
      </c>
    </row>
    <row r="8" spans="1:12" x14ac:dyDescent="0.25">
      <c r="A8" s="3" t="s">
        <v>134</v>
      </c>
      <c r="B8" s="5">
        <f ca="1">_xll.RiskTriang(7707600,8564000,9420400,_xll.RiskStatic(8564000))</f>
        <v>8081949.8876078371</v>
      </c>
      <c r="D8" s="34" t="s">
        <v>146</v>
      </c>
      <c r="E8" s="27">
        <f ca="1">F8-100000</f>
        <v>7981949.8876078371</v>
      </c>
      <c r="F8" s="27">
        <f ca="1">B8</f>
        <v>8081949.8876078371</v>
      </c>
      <c r="G8" s="27">
        <f ca="1">F8+100000</f>
        <v>8181949.8876078371</v>
      </c>
    </row>
    <row r="9" spans="1:12" x14ac:dyDescent="0.25">
      <c r="A9" s="3" t="s">
        <v>135</v>
      </c>
      <c r="B9" s="18">
        <f ca="1">_xll.RiskNormal(0.05,0.08)</f>
        <v>-2.0618326562624162E-2</v>
      </c>
      <c r="D9" s="34" t="s">
        <v>147</v>
      </c>
      <c r="E9" s="33">
        <v>0.05</v>
      </c>
      <c r="F9" s="33">
        <v>7.0000000000000007E-2</v>
      </c>
      <c r="G9" s="33"/>
    </row>
    <row r="11" spans="1:12" x14ac:dyDescent="0.25">
      <c r="A11" s="595" t="s">
        <v>136</v>
      </c>
      <c r="B11" s="595"/>
      <c r="C11" s="595"/>
      <c r="D11" s="595"/>
      <c r="E11" s="595"/>
      <c r="F11" s="595"/>
      <c r="G11" s="595"/>
    </row>
    <row r="12" spans="1:12" x14ac:dyDescent="0.25">
      <c r="A12" s="28" t="s">
        <v>137</v>
      </c>
      <c r="B12" s="29">
        <v>0</v>
      </c>
      <c r="C12" s="29">
        <v>1</v>
      </c>
      <c r="D12" s="29">
        <v>2</v>
      </c>
      <c r="E12" s="29">
        <v>3</v>
      </c>
      <c r="F12" s="29">
        <v>4</v>
      </c>
      <c r="G12" s="29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</row>
    <row r="13" spans="1:12" x14ac:dyDescent="0.25">
      <c r="A13" s="3" t="s">
        <v>132</v>
      </c>
      <c r="B13" s="6">
        <f ca="1">-B6</f>
        <v>-16978796.16377404</v>
      </c>
      <c r="C13" s="9"/>
      <c r="D13" s="9"/>
      <c r="E13" s="9"/>
      <c r="F13" s="9"/>
      <c r="G13" s="9"/>
      <c r="H13" s="3"/>
      <c r="I13" s="3"/>
      <c r="J13" s="3"/>
      <c r="K13" s="3"/>
      <c r="L13" s="3"/>
    </row>
    <row r="14" spans="1:12" x14ac:dyDescent="0.25">
      <c r="A14" s="3" t="s">
        <v>101</v>
      </c>
      <c r="B14" s="9"/>
      <c r="C14" s="6">
        <f ca="1">B7</f>
        <v>14360634.699833456</v>
      </c>
      <c r="D14" s="6">
        <f ca="1">C14*1.058</f>
        <v>15193551.512423798</v>
      </c>
      <c r="E14" s="6">
        <f t="shared" ref="E14:L14" ca="1" si="0">D14*1.058</f>
        <v>16074777.500144379</v>
      </c>
      <c r="F14" s="6">
        <f t="shared" ca="1" si="0"/>
        <v>17007114.595152754</v>
      </c>
      <c r="G14" s="6">
        <f t="shared" ca="1" si="0"/>
        <v>17993527.241671614</v>
      </c>
      <c r="H14" s="6">
        <f t="shared" ca="1" si="0"/>
        <v>19037151.82168857</v>
      </c>
      <c r="I14" s="6">
        <f t="shared" ca="1" si="0"/>
        <v>20141306.627346508</v>
      </c>
      <c r="J14" s="6">
        <f t="shared" ca="1" si="0"/>
        <v>21309502.411732607</v>
      </c>
      <c r="K14" s="6">
        <f t="shared" ca="1" si="0"/>
        <v>22545453.5516131</v>
      </c>
      <c r="L14" s="6">
        <f t="shared" ca="1" si="0"/>
        <v>23853089.857606661</v>
      </c>
    </row>
    <row r="15" spans="1:12" x14ac:dyDescent="0.25">
      <c r="A15" s="3" t="s">
        <v>138</v>
      </c>
      <c r="B15" s="9"/>
      <c r="C15" s="6">
        <f ca="1">-$B$8</f>
        <v>-8081949.8876078371</v>
      </c>
      <c r="D15" s="6">
        <f t="shared" ref="D15:L15" ca="1" si="1">-$B$8</f>
        <v>-8081949.8876078371</v>
      </c>
      <c r="E15" s="6">
        <f t="shared" ca="1" si="1"/>
        <v>-8081949.8876078371</v>
      </c>
      <c r="F15" s="6">
        <f t="shared" ca="1" si="1"/>
        <v>-8081949.8876078371</v>
      </c>
      <c r="G15" s="6">
        <f t="shared" ca="1" si="1"/>
        <v>-8081949.8876078371</v>
      </c>
      <c r="H15" s="6">
        <f t="shared" ca="1" si="1"/>
        <v>-8081949.8876078371</v>
      </c>
      <c r="I15" s="6">
        <f t="shared" ca="1" si="1"/>
        <v>-8081949.8876078371</v>
      </c>
      <c r="J15" s="6">
        <f t="shared" ca="1" si="1"/>
        <v>-8081949.8876078371</v>
      </c>
      <c r="K15" s="6">
        <f t="shared" ca="1" si="1"/>
        <v>-8081949.8876078371</v>
      </c>
      <c r="L15" s="6">
        <f t="shared" ca="1" si="1"/>
        <v>-8081949.8876078371</v>
      </c>
    </row>
    <row r="16" spans="1:12" x14ac:dyDescent="0.25">
      <c r="A16" s="30" t="s">
        <v>139</v>
      </c>
      <c r="B16" s="35">
        <f ca="1">SUM(B13:B15)</f>
        <v>-16978796.16377404</v>
      </c>
      <c r="C16" s="35">
        <f ca="1">SUM(C14:C15)</f>
        <v>6278684.8122256193</v>
      </c>
      <c r="D16" s="35">
        <f t="shared" ref="D16:L16" ca="1" si="2">SUM(D14:D15)</f>
        <v>7111601.6248159613</v>
      </c>
      <c r="E16" s="35">
        <f t="shared" ca="1" si="2"/>
        <v>7992827.6125365421</v>
      </c>
      <c r="F16" s="35">
        <f t="shared" ca="1" si="2"/>
        <v>8925164.7075449172</v>
      </c>
      <c r="G16" s="35">
        <f t="shared" ca="1" si="2"/>
        <v>9911577.3540637773</v>
      </c>
      <c r="H16" s="35">
        <f t="shared" ca="1" si="2"/>
        <v>10955201.934080733</v>
      </c>
      <c r="I16" s="35">
        <f t="shared" ca="1" si="2"/>
        <v>12059356.739738671</v>
      </c>
      <c r="J16" s="35">
        <f t="shared" ca="1" si="2"/>
        <v>13227552.524124769</v>
      </c>
      <c r="K16" s="35">
        <f t="shared" ca="1" si="2"/>
        <v>14463503.664005263</v>
      </c>
      <c r="L16" s="35">
        <f t="shared" ca="1" si="2"/>
        <v>15771139.969998823</v>
      </c>
    </row>
    <row r="18" spans="1:2" x14ac:dyDescent="0.25">
      <c r="A18" s="593" t="s">
        <v>140</v>
      </c>
      <c r="B18" s="593"/>
    </row>
    <row r="19" spans="1:2" x14ac:dyDescent="0.25">
      <c r="A19" s="3" t="s">
        <v>111</v>
      </c>
      <c r="B19" s="5">
        <f ca="1">_xll.RiskOutput("Present Worth")+NPV(B2,C16:G16)+B16</f>
        <v>16460797.30527401</v>
      </c>
    </row>
    <row r="20" spans="1:2" x14ac:dyDescent="0.25">
      <c r="A20" s="3" t="s">
        <v>141</v>
      </c>
      <c r="B20" s="5">
        <f ca="1">_xll.RiskOutput("Future Worth")+FV(B2,G12,,-B19)</f>
        <v>22028259.981606845</v>
      </c>
    </row>
    <row r="21" spans="1:2" x14ac:dyDescent="0.25">
      <c r="A21" s="3" t="s">
        <v>54</v>
      </c>
      <c r="B21" s="25">
        <f ca="1">_xll.RiskOutput("IRR")+IRR(B16:G16)</f>
        <v>0.34153607584305523</v>
      </c>
    </row>
  </sheetData>
  <mergeCells count="5">
    <mergeCell ref="A1:B1"/>
    <mergeCell ref="D4:G4"/>
    <mergeCell ref="A5:B5"/>
    <mergeCell ref="A11:G11"/>
    <mergeCell ref="A18:B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5" zoomScaleNormal="85" workbookViewId="0">
      <selection activeCell="H14" sqref="H14"/>
    </sheetView>
  </sheetViews>
  <sheetFormatPr defaultColWidth="8.77734375" defaultRowHeight="14.4" x14ac:dyDescent="0.3"/>
  <cols>
    <col min="1" max="1" width="23.6640625" bestFit="1" customWidth="1"/>
    <col min="2" max="2" width="14.33203125" bestFit="1" customWidth="1"/>
    <col min="3" max="3" width="5.77734375" customWidth="1"/>
    <col min="4" max="4" width="20.77734375" bestFit="1" customWidth="1"/>
    <col min="5" max="5" width="14.33203125" bestFit="1" customWidth="1"/>
    <col min="6" max="6" width="4.33203125" customWidth="1"/>
    <col min="7" max="7" width="20.77734375" customWidth="1"/>
    <col min="8" max="8" width="14.33203125" bestFit="1" customWidth="1"/>
    <col min="9" max="9" width="4.109375" customWidth="1"/>
    <col min="10" max="10" width="20.77734375" bestFit="1" customWidth="1"/>
    <col min="11" max="11" width="14.33203125" bestFit="1" customWidth="1"/>
  </cols>
  <sheetData>
    <row r="1" spans="1:11" ht="18" x14ac:dyDescent="0.3">
      <c r="A1" s="596" t="s">
        <v>34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</row>
    <row r="2" spans="1:11" x14ac:dyDescent="0.3">
      <c r="A2" s="597" t="s">
        <v>26</v>
      </c>
      <c r="B2" s="598"/>
      <c r="C2" s="599"/>
      <c r="D2" s="601" t="s">
        <v>27</v>
      </c>
      <c r="E2" s="602"/>
      <c r="F2" s="602"/>
      <c r="G2" s="602"/>
      <c r="H2" s="603"/>
      <c r="I2" s="599"/>
      <c r="J2" s="597" t="s">
        <v>28</v>
      </c>
      <c r="K2" s="598"/>
    </row>
    <row r="3" spans="1:11" ht="13.95" customHeight="1" x14ac:dyDescent="0.3">
      <c r="A3" s="604" t="s">
        <v>58</v>
      </c>
      <c r="B3" s="604"/>
      <c r="C3" s="600"/>
      <c r="D3" s="604" t="s">
        <v>58</v>
      </c>
      <c r="E3" s="604"/>
      <c r="F3" s="600"/>
      <c r="G3" s="604" t="s">
        <v>58</v>
      </c>
      <c r="H3" s="604"/>
      <c r="I3" s="600"/>
      <c r="J3" s="604" t="s">
        <v>58</v>
      </c>
      <c r="K3" s="604"/>
    </row>
    <row r="4" spans="1:11" ht="13.95" customHeight="1" x14ac:dyDescent="0.3">
      <c r="A4" s="605"/>
      <c r="B4" s="605"/>
      <c r="C4" s="600"/>
      <c r="D4" s="605"/>
      <c r="E4" s="605"/>
      <c r="F4" s="600"/>
      <c r="G4" s="605"/>
      <c r="H4" s="605"/>
      <c r="I4" s="600"/>
      <c r="J4" s="605"/>
      <c r="K4" s="605"/>
    </row>
    <row r="5" spans="1:11" x14ac:dyDescent="0.3">
      <c r="A5" s="609" t="s">
        <v>18</v>
      </c>
      <c r="B5" s="609"/>
      <c r="C5" s="600"/>
      <c r="D5" s="609" t="s">
        <v>18</v>
      </c>
      <c r="E5" s="609"/>
      <c r="F5" s="600"/>
      <c r="G5" s="609" t="s">
        <v>18</v>
      </c>
      <c r="H5" s="609"/>
      <c r="I5" s="600"/>
      <c r="J5" s="609" t="s">
        <v>18</v>
      </c>
      <c r="K5" s="609"/>
    </row>
    <row r="6" spans="1:11" x14ac:dyDescent="0.3">
      <c r="A6" s="3" t="s">
        <v>19</v>
      </c>
      <c r="B6" s="8">
        <f>('SALES VOLUME'!$B$5+'SALES VOLUME'!$B$9)</f>
        <v>26030000</v>
      </c>
      <c r="C6" s="600"/>
      <c r="D6" s="3" t="s">
        <v>19</v>
      </c>
      <c r="E6" s="8">
        <f>('SALES VOLUME'!$J$5+'SALES VOLUME'!$J$9)</f>
        <v>23360000</v>
      </c>
      <c r="F6" s="600"/>
      <c r="G6" s="3" t="s">
        <v>19</v>
      </c>
      <c r="H6" s="8">
        <f>('SALES VOLUME'!$F$34+'SALES VOLUME'!$F$38)</f>
        <v>0</v>
      </c>
      <c r="I6" s="600"/>
      <c r="J6" s="3" t="s">
        <v>19</v>
      </c>
      <c r="K6" s="8" t="e">
        <f>('SALES VOLUME'!$F$9+'SALES VOLUME'!#REF!)+'SALES VOLUME'!$F$5</f>
        <v>#REF!</v>
      </c>
    </row>
    <row r="7" spans="1:11" x14ac:dyDescent="0.3">
      <c r="A7" s="3" t="s">
        <v>20</v>
      </c>
      <c r="B7" s="8" t="e">
        <f>'SALES VOLUME'!#REF!</f>
        <v>#REF!</v>
      </c>
      <c r="C7" s="600"/>
      <c r="D7" s="3" t="s">
        <v>20</v>
      </c>
      <c r="E7" s="8" t="e">
        <f>'SALES VOLUME'!#REF!</f>
        <v>#REF!</v>
      </c>
      <c r="F7" s="600"/>
      <c r="G7" s="3" t="s">
        <v>20</v>
      </c>
      <c r="H7" s="8">
        <f>'SALES VOLUME'!$F$42</f>
        <v>0</v>
      </c>
      <c r="I7" s="600"/>
      <c r="J7" s="3" t="s">
        <v>20</v>
      </c>
      <c r="K7" s="8" t="e">
        <f>'SALES VOLUME'!#REF!</f>
        <v>#REF!</v>
      </c>
    </row>
    <row r="8" spans="1:11" x14ac:dyDescent="0.3">
      <c r="A8" s="10" t="s">
        <v>38</v>
      </c>
      <c r="B8" s="7" t="e">
        <f>B6+B7</f>
        <v>#REF!</v>
      </c>
      <c r="C8" s="600"/>
      <c r="D8" s="10" t="s">
        <v>38</v>
      </c>
      <c r="E8" s="7" t="e">
        <f>E6+E7</f>
        <v>#REF!</v>
      </c>
      <c r="F8" s="600"/>
      <c r="G8" s="10" t="s">
        <v>38</v>
      </c>
      <c r="H8" s="7">
        <f>H6+H7</f>
        <v>0</v>
      </c>
      <c r="I8" s="600"/>
      <c r="J8" s="10" t="s">
        <v>38</v>
      </c>
      <c r="K8" s="7" t="e">
        <f>K6+K7</f>
        <v>#REF!</v>
      </c>
    </row>
    <row r="9" spans="1:11" x14ac:dyDescent="0.3">
      <c r="C9" s="600"/>
      <c r="F9" s="600"/>
      <c r="I9" s="600"/>
    </row>
    <row r="10" spans="1:11" x14ac:dyDescent="0.3">
      <c r="A10" s="609" t="s">
        <v>22</v>
      </c>
      <c r="B10" s="609"/>
      <c r="C10" s="600"/>
      <c r="D10" s="609" t="s">
        <v>22</v>
      </c>
      <c r="E10" s="609"/>
      <c r="F10" s="600"/>
      <c r="G10" s="609" t="s">
        <v>22</v>
      </c>
      <c r="H10" s="609"/>
      <c r="I10" s="600"/>
      <c r="J10" s="609" t="s">
        <v>22</v>
      </c>
      <c r="K10" s="609"/>
    </row>
    <row r="11" spans="1:11" x14ac:dyDescent="0.3">
      <c r="A11" s="3" t="s">
        <v>19</v>
      </c>
      <c r="B11" s="8">
        <f>('SALES VOLUME'!$B$5*0.45+'SALES VOLUME'!$B$9*0.1)</f>
        <v>8483000</v>
      </c>
      <c r="C11" s="600"/>
      <c r="D11" s="3" t="s">
        <v>19</v>
      </c>
      <c r="E11" s="8">
        <f>('SALES VOLUME'!$J$5*0.45+'SALES VOLUME'!$J$9*0.1)</f>
        <v>8797000</v>
      </c>
      <c r="F11" s="600"/>
      <c r="G11" s="3" t="s">
        <v>19</v>
      </c>
      <c r="H11" s="8">
        <f>('SALES VOLUME'!$F$34*0.45+'SALES VOLUME'!$F$38*0.1)</f>
        <v>0</v>
      </c>
      <c r="I11" s="600"/>
      <c r="J11" s="3" t="s">
        <v>19</v>
      </c>
      <c r="K11" s="8" t="e">
        <f>('SALES VOLUME'!$F$5*0.45)+'SALES VOLUME'!$F$9*0.1+'SALES VOLUME'!#REF!*0.2</f>
        <v>#REF!</v>
      </c>
    </row>
    <row r="12" spans="1:11" x14ac:dyDescent="0.3">
      <c r="A12" s="3" t="s">
        <v>20</v>
      </c>
      <c r="B12" s="8" t="e">
        <f>('SALES VOLUME'!#REF!*0.25)</f>
        <v>#REF!</v>
      </c>
      <c r="C12" s="600"/>
      <c r="D12" s="3" t="s">
        <v>20</v>
      </c>
      <c r="E12" s="8" t="e">
        <f>('SALES VOLUME'!#REF!*0.25)</f>
        <v>#REF!</v>
      </c>
      <c r="F12" s="600"/>
      <c r="G12" s="3" t="s">
        <v>20</v>
      </c>
      <c r="H12" s="8">
        <f>('SALES VOLUME'!$F$42*0.25)</f>
        <v>0</v>
      </c>
      <c r="I12" s="600"/>
      <c r="J12" s="3" t="s">
        <v>20</v>
      </c>
      <c r="K12" s="8" t="e">
        <f>('SALES VOLUME'!#REF!*0.25)</f>
        <v>#REF!</v>
      </c>
    </row>
    <row r="13" spans="1:11" x14ac:dyDescent="0.3">
      <c r="A13" s="10" t="s">
        <v>38</v>
      </c>
      <c r="B13" s="7" t="e">
        <f>B11+B12</f>
        <v>#REF!</v>
      </c>
      <c r="C13" s="600"/>
      <c r="D13" s="10" t="s">
        <v>38</v>
      </c>
      <c r="E13" s="7" t="e">
        <f>E11+E12</f>
        <v>#REF!</v>
      </c>
      <c r="F13" s="600"/>
      <c r="G13" s="10" t="s">
        <v>38</v>
      </c>
      <c r="H13" s="7">
        <f>H11+H12</f>
        <v>0</v>
      </c>
      <c r="I13" s="600"/>
      <c r="J13" s="10" t="s">
        <v>38</v>
      </c>
      <c r="K13" s="7" t="e">
        <f>K11+K12</f>
        <v>#REF!</v>
      </c>
    </row>
    <row r="14" spans="1:11" x14ac:dyDescent="0.3">
      <c r="C14" s="600"/>
      <c r="F14" s="600"/>
      <c r="I14" s="600"/>
    </row>
    <row r="15" spans="1:11" x14ac:dyDescent="0.3">
      <c r="A15" s="609" t="s">
        <v>1</v>
      </c>
      <c r="B15" s="609"/>
      <c r="C15" s="600"/>
      <c r="D15" s="609" t="s">
        <v>1</v>
      </c>
      <c r="E15" s="609"/>
      <c r="F15" s="600"/>
      <c r="G15" s="609" t="s">
        <v>1</v>
      </c>
      <c r="H15" s="609"/>
      <c r="I15" s="600"/>
      <c r="J15" s="609" t="s">
        <v>1</v>
      </c>
      <c r="K15" s="609"/>
    </row>
    <row r="16" spans="1:11" x14ac:dyDescent="0.3">
      <c r="A16" s="11" t="s">
        <v>2</v>
      </c>
      <c r="B16" s="4">
        <v>500</v>
      </c>
      <c r="C16" s="600"/>
      <c r="D16" s="11" t="s">
        <v>2</v>
      </c>
      <c r="E16" s="4">
        <v>500</v>
      </c>
      <c r="F16" s="600"/>
      <c r="G16" s="11" t="s">
        <v>2</v>
      </c>
      <c r="H16" s="4">
        <v>500</v>
      </c>
      <c r="I16" s="600"/>
      <c r="J16" s="11" t="s">
        <v>2</v>
      </c>
      <c r="K16" s="4">
        <v>500</v>
      </c>
    </row>
    <row r="17" spans="1:11" x14ac:dyDescent="0.3">
      <c r="A17" s="11" t="s">
        <v>3</v>
      </c>
      <c r="B17" s="4">
        <v>2000</v>
      </c>
      <c r="C17" s="600"/>
      <c r="D17" s="11" t="s">
        <v>3</v>
      </c>
      <c r="E17" s="4">
        <v>2000</v>
      </c>
      <c r="F17" s="600"/>
      <c r="G17" s="11" t="s">
        <v>3</v>
      </c>
      <c r="H17" s="4">
        <v>2000</v>
      </c>
      <c r="I17" s="600"/>
      <c r="J17" s="11" t="s">
        <v>3</v>
      </c>
      <c r="K17" s="4">
        <v>3000</v>
      </c>
    </row>
    <row r="18" spans="1:11" x14ac:dyDescent="0.3">
      <c r="A18" s="11" t="s">
        <v>4</v>
      </c>
      <c r="B18" s="4">
        <v>15000</v>
      </c>
      <c r="C18" s="600"/>
      <c r="D18" s="11" t="s">
        <v>4</v>
      </c>
      <c r="E18" s="4">
        <v>15000</v>
      </c>
      <c r="F18" s="600"/>
      <c r="G18" s="11" t="s">
        <v>4</v>
      </c>
      <c r="H18" s="4">
        <v>13500</v>
      </c>
      <c r="I18" s="600"/>
      <c r="J18" s="11" t="s">
        <v>4</v>
      </c>
      <c r="K18" s="4">
        <v>25000</v>
      </c>
    </row>
    <row r="19" spans="1:11" x14ac:dyDescent="0.3">
      <c r="A19" s="11" t="s">
        <v>16</v>
      </c>
      <c r="B19" s="4">
        <v>2000</v>
      </c>
      <c r="C19" s="600"/>
      <c r="D19" s="11" t="s">
        <v>16</v>
      </c>
      <c r="E19" s="4">
        <v>2000</v>
      </c>
      <c r="F19" s="600"/>
      <c r="G19" s="11" t="s">
        <v>16</v>
      </c>
      <c r="H19" s="4">
        <v>2000</v>
      </c>
      <c r="I19" s="600"/>
      <c r="J19" s="11" t="s">
        <v>16</v>
      </c>
      <c r="K19" s="4">
        <v>4000</v>
      </c>
    </row>
    <row r="20" spans="1:11" x14ac:dyDescent="0.3">
      <c r="A20" s="11" t="s">
        <v>17</v>
      </c>
      <c r="B20" s="4">
        <v>500</v>
      </c>
      <c r="C20" s="600"/>
      <c r="D20" s="11" t="s">
        <v>17</v>
      </c>
      <c r="E20" s="4">
        <v>500</v>
      </c>
      <c r="F20" s="600"/>
      <c r="G20" s="11" t="s">
        <v>17</v>
      </c>
      <c r="H20" s="4">
        <v>500</v>
      </c>
      <c r="I20" s="600"/>
      <c r="J20" s="11" t="s">
        <v>17</v>
      </c>
      <c r="K20" s="4">
        <v>1500</v>
      </c>
    </row>
    <row r="21" spans="1:11" x14ac:dyDescent="0.3">
      <c r="A21" s="11" t="s">
        <v>5</v>
      </c>
      <c r="B21" s="4">
        <v>2000</v>
      </c>
      <c r="C21" s="600"/>
      <c r="D21" s="11" t="s">
        <v>5</v>
      </c>
      <c r="E21" s="4">
        <v>2000</v>
      </c>
      <c r="F21" s="600"/>
      <c r="G21" s="11" t="s">
        <v>5</v>
      </c>
      <c r="H21" s="4">
        <v>2000</v>
      </c>
      <c r="I21" s="600"/>
      <c r="J21" s="11" t="s">
        <v>5</v>
      </c>
      <c r="K21" s="4">
        <v>3000</v>
      </c>
    </row>
    <row r="22" spans="1:11" x14ac:dyDescent="0.3">
      <c r="A22" s="11" t="s">
        <v>6</v>
      </c>
      <c r="B22" s="4">
        <v>1500</v>
      </c>
      <c r="C22" s="600"/>
      <c r="D22" s="11" t="s">
        <v>6</v>
      </c>
      <c r="E22" s="4">
        <v>1500</v>
      </c>
      <c r="F22" s="600"/>
      <c r="G22" s="11" t="s">
        <v>6</v>
      </c>
      <c r="H22" s="4">
        <v>1500</v>
      </c>
      <c r="I22" s="600"/>
      <c r="J22" s="11" t="s">
        <v>6</v>
      </c>
      <c r="K22" s="4">
        <v>1500</v>
      </c>
    </row>
    <row r="23" spans="1:11" x14ac:dyDescent="0.3">
      <c r="A23" s="11" t="s">
        <v>7</v>
      </c>
      <c r="B23" s="4">
        <v>500</v>
      </c>
      <c r="C23" s="600"/>
      <c r="D23" s="11" t="s">
        <v>7</v>
      </c>
      <c r="E23" s="4">
        <v>500</v>
      </c>
      <c r="F23" s="600"/>
      <c r="G23" s="11" t="s">
        <v>7</v>
      </c>
      <c r="H23" s="4">
        <v>500</v>
      </c>
      <c r="I23" s="600"/>
      <c r="J23" s="11" t="s">
        <v>7</v>
      </c>
      <c r="K23" s="4">
        <v>500</v>
      </c>
    </row>
    <row r="24" spans="1:11" x14ac:dyDescent="0.3">
      <c r="A24" s="11" t="s">
        <v>8</v>
      </c>
      <c r="B24" s="4">
        <v>10000</v>
      </c>
      <c r="C24" s="600"/>
      <c r="D24" s="11" t="s">
        <v>8</v>
      </c>
      <c r="E24" s="4">
        <v>10000</v>
      </c>
      <c r="F24" s="600"/>
      <c r="G24" s="11" t="s">
        <v>8</v>
      </c>
      <c r="H24" s="4">
        <v>9500</v>
      </c>
      <c r="I24" s="600"/>
      <c r="J24" s="11" t="s">
        <v>8</v>
      </c>
      <c r="K24" s="4">
        <v>18000</v>
      </c>
    </row>
    <row r="25" spans="1:11" x14ac:dyDescent="0.3">
      <c r="A25" s="11" t="s">
        <v>9</v>
      </c>
      <c r="B25" s="4">
        <v>8000</v>
      </c>
      <c r="C25" s="600"/>
      <c r="D25" s="11" t="s">
        <v>9</v>
      </c>
      <c r="E25" s="4">
        <v>8000</v>
      </c>
      <c r="F25" s="600"/>
      <c r="G25" s="11" t="s">
        <v>9</v>
      </c>
      <c r="H25" s="4">
        <v>8000</v>
      </c>
      <c r="I25" s="600"/>
      <c r="J25" s="11" t="s">
        <v>9</v>
      </c>
      <c r="K25" s="4">
        <v>8000</v>
      </c>
    </row>
    <row r="26" spans="1:11" x14ac:dyDescent="0.3">
      <c r="A26" s="11" t="s">
        <v>10</v>
      </c>
      <c r="B26" s="4">
        <v>500</v>
      </c>
      <c r="C26" s="600"/>
      <c r="D26" s="11" t="s">
        <v>10</v>
      </c>
      <c r="E26" s="4">
        <v>500</v>
      </c>
      <c r="F26" s="600"/>
      <c r="G26" s="11" t="s">
        <v>10</v>
      </c>
      <c r="H26" s="4">
        <v>500</v>
      </c>
      <c r="I26" s="600"/>
      <c r="J26" s="11" t="s">
        <v>10</v>
      </c>
      <c r="K26" s="4">
        <v>500</v>
      </c>
    </row>
    <row r="27" spans="1:11" x14ac:dyDescent="0.3">
      <c r="A27" s="11" t="s">
        <v>11</v>
      </c>
      <c r="B27" s="4">
        <v>2500</v>
      </c>
      <c r="C27" s="600"/>
      <c r="D27" s="11" t="s">
        <v>11</v>
      </c>
      <c r="E27" s="4">
        <v>2500</v>
      </c>
      <c r="F27" s="600"/>
      <c r="G27" s="11" t="s">
        <v>11</v>
      </c>
      <c r="H27" s="4">
        <v>2500</v>
      </c>
      <c r="I27" s="600"/>
      <c r="J27" s="11" t="s">
        <v>11</v>
      </c>
      <c r="K27" s="4">
        <v>2500</v>
      </c>
    </row>
    <row r="28" spans="1:11" x14ac:dyDescent="0.3">
      <c r="A28" s="11" t="s">
        <v>12</v>
      </c>
      <c r="B28" s="4">
        <v>280000</v>
      </c>
      <c r="C28" s="600"/>
      <c r="D28" s="11" t="s">
        <v>12</v>
      </c>
      <c r="E28" s="4">
        <v>280000</v>
      </c>
      <c r="F28" s="600"/>
      <c r="G28" s="11" t="s">
        <v>12</v>
      </c>
      <c r="H28" s="4">
        <v>250000</v>
      </c>
      <c r="I28" s="600"/>
      <c r="J28" s="11" t="s">
        <v>12</v>
      </c>
      <c r="K28" s="4">
        <v>350000</v>
      </c>
    </row>
    <row r="29" spans="1:11" x14ac:dyDescent="0.3">
      <c r="A29" s="11" t="s">
        <v>13</v>
      </c>
      <c r="B29" s="4">
        <v>500</v>
      </c>
      <c r="C29" s="600"/>
      <c r="D29" s="11" t="s">
        <v>13</v>
      </c>
      <c r="E29" s="4">
        <v>500</v>
      </c>
      <c r="F29" s="600"/>
      <c r="G29" s="11" t="s">
        <v>13</v>
      </c>
      <c r="H29" s="4">
        <v>500</v>
      </c>
      <c r="I29" s="600"/>
      <c r="J29" s="11" t="s">
        <v>13</v>
      </c>
      <c r="K29" s="4">
        <v>500</v>
      </c>
    </row>
    <row r="30" spans="1:11" x14ac:dyDescent="0.3">
      <c r="A30" s="11" t="s">
        <v>14</v>
      </c>
      <c r="B30" s="4">
        <v>1000</v>
      </c>
      <c r="C30" s="600"/>
      <c r="D30" s="11" t="s">
        <v>14</v>
      </c>
      <c r="E30" s="4">
        <v>1000</v>
      </c>
      <c r="F30" s="600"/>
      <c r="G30" s="11" t="s">
        <v>14</v>
      </c>
      <c r="H30" s="4">
        <v>1000</v>
      </c>
      <c r="I30" s="600"/>
      <c r="J30" s="11" t="s">
        <v>14</v>
      </c>
      <c r="K30" s="4">
        <v>1000</v>
      </c>
    </row>
    <row r="31" spans="1:11" x14ac:dyDescent="0.3">
      <c r="A31" s="11" t="s">
        <v>57</v>
      </c>
      <c r="B31" s="4">
        <v>40000</v>
      </c>
      <c r="C31" s="600"/>
      <c r="D31" s="11" t="s">
        <v>57</v>
      </c>
      <c r="E31" s="4">
        <v>40000</v>
      </c>
      <c r="F31" s="600"/>
      <c r="G31" s="11" t="s">
        <v>57</v>
      </c>
      <c r="H31" s="4">
        <v>35000</v>
      </c>
      <c r="I31" s="600"/>
      <c r="J31" s="11" t="s">
        <v>57</v>
      </c>
      <c r="K31" s="4">
        <v>40000</v>
      </c>
    </row>
    <row r="32" spans="1:11" x14ac:dyDescent="0.3">
      <c r="A32" s="11" t="s">
        <v>15</v>
      </c>
      <c r="B32" s="4">
        <v>500</v>
      </c>
      <c r="C32" s="600"/>
      <c r="D32" s="11" t="s">
        <v>15</v>
      </c>
      <c r="E32" s="4">
        <v>500</v>
      </c>
      <c r="F32" s="600"/>
      <c r="G32" s="11" t="s">
        <v>15</v>
      </c>
      <c r="H32" s="4">
        <v>500</v>
      </c>
      <c r="I32" s="600"/>
      <c r="J32" s="11" t="s">
        <v>15</v>
      </c>
      <c r="K32" s="4">
        <v>500</v>
      </c>
    </row>
    <row r="33" spans="1:11" x14ac:dyDescent="0.3">
      <c r="A33" s="10" t="s">
        <v>38</v>
      </c>
      <c r="B33" s="7">
        <f>SUM(B16:B32)</f>
        <v>367000</v>
      </c>
      <c r="C33" s="600"/>
      <c r="D33" s="10" t="s">
        <v>38</v>
      </c>
      <c r="E33" s="7">
        <f>SUM(E16:E32)</f>
        <v>367000</v>
      </c>
      <c r="F33" s="600"/>
      <c r="G33" s="10" t="s">
        <v>38</v>
      </c>
      <c r="H33" s="7">
        <f>SUM(H16:H32)</f>
        <v>330000</v>
      </c>
      <c r="I33" s="600"/>
      <c r="J33" s="10" t="s">
        <v>38</v>
      </c>
      <c r="K33" s="7">
        <f>SUM(K16:K32)</f>
        <v>460000</v>
      </c>
    </row>
    <row r="34" spans="1:11" x14ac:dyDescent="0.3">
      <c r="C34" s="600"/>
      <c r="F34" s="600"/>
      <c r="I34" s="600"/>
    </row>
    <row r="35" spans="1:11" x14ac:dyDescent="0.3">
      <c r="A35" s="12" t="s">
        <v>56</v>
      </c>
      <c r="B35" s="7" t="e">
        <f>B33+B13</f>
        <v>#REF!</v>
      </c>
      <c r="C35" s="600"/>
      <c r="D35" s="12" t="s">
        <v>56</v>
      </c>
      <c r="E35" s="7" t="e">
        <f>E33+E13</f>
        <v>#REF!</v>
      </c>
      <c r="F35" s="600"/>
      <c r="G35" s="12" t="s">
        <v>56</v>
      </c>
      <c r="H35" s="7">
        <f>H33+H13</f>
        <v>330000</v>
      </c>
      <c r="I35" s="600"/>
      <c r="J35" s="12" t="s">
        <v>56</v>
      </c>
      <c r="K35" s="7" t="e">
        <f>K33+K13</f>
        <v>#REF!</v>
      </c>
    </row>
    <row r="37" spans="1:11" ht="13.95" customHeight="1" x14ac:dyDescent="0.3">
      <c r="D37" s="610" t="s">
        <v>25</v>
      </c>
      <c r="E37" s="610"/>
      <c r="F37" s="610"/>
      <c r="G37" s="610"/>
      <c r="H37" s="610"/>
    </row>
    <row r="38" spans="1:11" ht="13.95" customHeight="1" x14ac:dyDescent="0.3">
      <c r="D38" s="606" t="s">
        <v>58</v>
      </c>
      <c r="E38" s="607"/>
      <c r="F38" s="607"/>
      <c r="G38" s="607"/>
      <c r="H38" s="608"/>
    </row>
    <row r="39" spans="1:11" x14ac:dyDescent="0.3">
      <c r="D39" s="611" t="s">
        <v>21</v>
      </c>
      <c r="E39" s="612"/>
      <c r="F39" s="612"/>
      <c r="G39" s="613"/>
      <c r="H39" s="15" t="e">
        <f>E8+H8</f>
        <v>#REF!</v>
      </c>
    </row>
    <row r="40" spans="1:11" x14ac:dyDescent="0.3">
      <c r="D40" s="611"/>
      <c r="E40" s="612"/>
      <c r="F40" s="612"/>
      <c r="G40" s="613"/>
      <c r="H40" s="14"/>
    </row>
    <row r="41" spans="1:11" x14ac:dyDescent="0.3">
      <c r="D41" s="614" t="s">
        <v>23</v>
      </c>
      <c r="E41" s="615"/>
      <c r="F41" s="615"/>
      <c r="G41" s="616"/>
      <c r="H41" s="13" t="e">
        <f>E13+H13</f>
        <v>#REF!</v>
      </c>
    </row>
    <row r="42" spans="1:11" x14ac:dyDescent="0.3">
      <c r="D42" s="614" t="s">
        <v>24</v>
      </c>
      <c r="E42" s="615"/>
      <c r="F42" s="615"/>
      <c r="G42" s="616"/>
      <c r="H42" s="13">
        <f>E33+H33</f>
        <v>697000</v>
      </c>
    </row>
    <row r="43" spans="1:11" x14ac:dyDescent="0.3">
      <c r="D43" s="611" t="s">
        <v>33</v>
      </c>
      <c r="E43" s="612"/>
      <c r="F43" s="612"/>
      <c r="G43" s="613"/>
      <c r="H43" s="15" t="e">
        <f>E35+H35</f>
        <v>#REF!</v>
      </c>
    </row>
  </sheetData>
  <mergeCells count="30">
    <mergeCell ref="D39:G39"/>
    <mergeCell ref="D40:G40"/>
    <mergeCell ref="D41:G41"/>
    <mergeCell ref="D42:G42"/>
    <mergeCell ref="D43:G43"/>
    <mergeCell ref="D38:H38"/>
    <mergeCell ref="J3:K4"/>
    <mergeCell ref="A5:B5"/>
    <mergeCell ref="D5:E5"/>
    <mergeCell ref="G5:H5"/>
    <mergeCell ref="J5:K5"/>
    <mergeCell ref="A10:B10"/>
    <mergeCell ref="D10:E10"/>
    <mergeCell ref="G10:H10"/>
    <mergeCell ref="J10:K10"/>
    <mergeCell ref="A15:B15"/>
    <mergeCell ref="D15:E15"/>
    <mergeCell ref="G15:H15"/>
    <mergeCell ref="J15:K15"/>
    <mergeCell ref="D37:H37"/>
    <mergeCell ref="A1:K1"/>
    <mergeCell ref="A2:B2"/>
    <mergeCell ref="C2:C35"/>
    <mergeCell ref="D2:H2"/>
    <mergeCell ref="I2:I35"/>
    <mergeCell ref="J2:K2"/>
    <mergeCell ref="A3:B4"/>
    <mergeCell ref="D3:E4"/>
    <mergeCell ref="F3:F35"/>
    <mergeCell ref="G3:H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workbookViewId="0"/>
  </sheetViews>
  <sheetFormatPr defaultColWidth="8.77734375" defaultRowHeight="14.4" x14ac:dyDescent="0.3"/>
  <sheetData>
    <row r="1" spans="1:48" x14ac:dyDescent="0.3">
      <c r="A1">
        <v>1</v>
      </c>
      <c r="B1">
        <v>0</v>
      </c>
    </row>
    <row r="2" spans="1:48" x14ac:dyDescent="0.3">
      <c r="A2" s="37">
        <v>0</v>
      </c>
      <c r="G2" s="37"/>
    </row>
    <row r="3" spans="1:48" x14ac:dyDescent="0.3">
      <c r="A3" s="37">
        <f ca="1">'@RISK ANALYSIS'!$B$6</f>
        <v>16978796.16377404</v>
      </c>
      <c r="B3" t="b">
        <v>0</v>
      </c>
      <c r="C3">
        <v>1</v>
      </c>
      <c r="D3">
        <v>1</v>
      </c>
      <c r="E3" t="s">
        <v>290</v>
      </c>
      <c r="F3">
        <v>2</v>
      </c>
      <c r="G3" s="37">
        <v>0</v>
      </c>
      <c r="H3">
        <v>0</v>
      </c>
      <c r="AG3" s="37">
        <f ca="1">'@RISK ANALYSIS'!$B$6</f>
        <v>16978796.16377404</v>
      </c>
      <c r="AH3">
        <v>1</v>
      </c>
      <c r="AI3">
        <v>1</v>
      </c>
      <c r="AJ3" t="b">
        <v>0</v>
      </c>
      <c r="AK3" t="b">
        <v>0</v>
      </c>
      <c r="AL3">
        <v>1</v>
      </c>
      <c r="AM3" t="b">
        <v>0</v>
      </c>
      <c r="AN3" t="e">
        <f>_</f>
        <v>#NAME?</v>
      </c>
      <c r="AO3" s="37">
        <f ca="1">'@RISK ANALYSIS'!$B$6</f>
        <v>16978796.16377404</v>
      </c>
      <c r="AP3">
        <v>0</v>
      </c>
      <c r="AQ3">
        <v>1</v>
      </c>
      <c r="AR3" t="b">
        <v>1</v>
      </c>
      <c r="AS3" t="b">
        <v>0</v>
      </c>
      <c r="AT3">
        <v>1</v>
      </c>
      <c r="AU3" t="b">
        <v>1</v>
      </c>
      <c r="AV3" t="e">
        <f ca="1">_RiskTriang(15038100,16709000,18379900,_xll.RiskStatic(16709000))</f>
        <v>#NAME?</v>
      </c>
    </row>
    <row r="4" spans="1:48" x14ac:dyDescent="0.3">
      <c r="A4" s="37">
        <v>0</v>
      </c>
      <c r="G4" s="37"/>
    </row>
    <row r="5" spans="1:48" x14ac:dyDescent="0.3">
      <c r="A5" s="38" t="b">
        <v>0</v>
      </c>
      <c r="B5">
        <v>15680</v>
      </c>
      <c r="C5">
        <v>7345</v>
      </c>
      <c r="D5">
        <v>7360</v>
      </c>
      <c r="E5">
        <v>0</v>
      </c>
      <c r="G5" s="38"/>
    </row>
    <row r="6" spans="1:48" x14ac:dyDescent="0.3">
      <c r="A6" s="37" t="b">
        <v>0</v>
      </c>
      <c r="B6">
        <v>15680</v>
      </c>
      <c r="C6">
        <v>7345</v>
      </c>
      <c r="D6">
        <v>7360</v>
      </c>
      <c r="E6">
        <v>0</v>
      </c>
      <c r="G6" s="37"/>
    </row>
    <row r="7" spans="1:48" x14ac:dyDescent="0.3">
      <c r="A7" s="37" t="b">
        <v>0</v>
      </c>
      <c r="B7">
        <v>15680</v>
      </c>
      <c r="C7">
        <v>7345</v>
      </c>
      <c r="D7">
        <v>7360</v>
      </c>
      <c r="E7">
        <v>0</v>
      </c>
      <c r="G7" s="37"/>
    </row>
    <row r="8" spans="1:48" x14ac:dyDescent="0.3">
      <c r="A8" s="37" t="b">
        <v>0</v>
      </c>
      <c r="B8">
        <v>15680</v>
      </c>
      <c r="C8">
        <v>7345</v>
      </c>
      <c r="D8">
        <v>7360</v>
      </c>
      <c r="E8">
        <v>0</v>
      </c>
      <c r="G8" s="37"/>
      <c r="AG8" s="37"/>
    </row>
    <row r="9" spans="1:48" x14ac:dyDescent="0.3">
      <c r="A9" s="38" t="b">
        <v>0</v>
      </c>
      <c r="B9">
        <v>15680</v>
      </c>
      <c r="C9">
        <v>7345</v>
      </c>
      <c r="D9">
        <v>7360</v>
      </c>
      <c r="E9">
        <v>0</v>
      </c>
      <c r="G9" s="37"/>
      <c r="AG9" s="38"/>
    </row>
    <row r="10" spans="1:48" x14ac:dyDescent="0.3">
      <c r="A10" s="37">
        <v>0</v>
      </c>
      <c r="G10" s="37"/>
    </row>
    <row r="11" spans="1:48" x14ac:dyDescent="0.3">
      <c r="A11" s="37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  <c r="G11" s="37"/>
    </row>
    <row r="12" spans="1:48" x14ac:dyDescent="0.3">
      <c r="A12" s="37"/>
      <c r="G12" s="37"/>
    </row>
    <row r="13" spans="1:48" x14ac:dyDescent="0.3">
      <c r="A13" s="37"/>
      <c r="G13" s="37"/>
    </row>
    <row r="14" spans="1:48" x14ac:dyDescent="0.3">
      <c r="A14" s="37"/>
      <c r="G14" s="37"/>
    </row>
    <row r="15" spans="1:48" x14ac:dyDescent="0.3">
      <c r="A15" s="38"/>
      <c r="G15" s="38"/>
    </row>
    <row r="16" spans="1:48" x14ac:dyDescent="0.3">
      <c r="A16" s="38"/>
      <c r="G16" s="38"/>
    </row>
    <row r="17" spans="1:33" x14ac:dyDescent="0.3">
      <c r="A17" s="38"/>
      <c r="G17" s="38"/>
    </row>
    <row r="18" spans="1:33" x14ac:dyDescent="0.3">
      <c r="A18" s="38"/>
      <c r="G18" s="38"/>
    </row>
    <row r="20" spans="1:33" x14ac:dyDescent="0.3">
      <c r="A20" s="38"/>
      <c r="AG20" s="3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topLeftCell="A5" workbookViewId="0">
      <selection activeCell="P26" sqref="P26"/>
    </sheetView>
  </sheetViews>
  <sheetFormatPr defaultColWidth="9.109375" defaultRowHeight="14.4" x14ac:dyDescent="0.3"/>
  <cols>
    <col min="1" max="1" width="0.33203125" customWidth="1"/>
    <col min="2" max="6" width="10.77734375" customWidth="1"/>
    <col min="7" max="7" width="9.77734375" customWidth="1"/>
    <col min="8" max="8" width="20.77734375" bestFit="1" customWidth="1"/>
    <col min="9" max="9" width="8.77734375" customWidth="1"/>
    <col min="10" max="10" width="9.44140625" bestFit="1" customWidth="1"/>
    <col min="11" max="11" width="1.77734375" customWidth="1"/>
  </cols>
  <sheetData>
    <row r="1" spans="2:11" s="76" customFormat="1" ht="17.399999999999999" x14ac:dyDescent="0.3">
      <c r="B1" s="77" t="s">
        <v>149</v>
      </c>
    </row>
    <row r="2" spans="2:11" s="75" customFormat="1" ht="10.199999999999999" x14ac:dyDescent="0.2">
      <c r="B2" s="78" t="s">
        <v>272</v>
      </c>
    </row>
    <row r="3" spans="2:11" s="75" customFormat="1" ht="12.75" customHeight="1" x14ac:dyDescent="0.2">
      <c r="B3" s="78" t="s">
        <v>282</v>
      </c>
    </row>
    <row r="4" spans="2:11" ht="12.75" customHeight="1" x14ac:dyDescent="0.3"/>
    <row r="5" spans="2:11" ht="12.75" customHeight="1" x14ac:dyDescent="0.3">
      <c r="G5" s="617" t="s">
        <v>150</v>
      </c>
      <c r="H5" s="618"/>
      <c r="I5" s="618"/>
      <c r="J5" s="618"/>
    </row>
    <row r="6" spans="2:11" ht="12.75" customHeight="1" x14ac:dyDescent="0.3">
      <c r="G6" s="82" t="s">
        <v>151</v>
      </c>
      <c r="H6" s="87"/>
      <c r="I6" s="79" t="s">
        <v>247</v>
      </c>
      <c r="J6" s="79"/>
      <c r="K6" t="s">
        <v>152</v>
      </c>
    </row>
    <row r="7" spans="2:11" ht="12.75" customHeight="1" x14ac:dyDescent="0.3">
      <c r="G7" s="83" t="s">
        <v>153</v>
      </c>
      <c r="H7" s="81"/>
      <c r="I7" s="80">
        <v>1</v>
      </c>
      <c r="J7" s="80"/>
    </row>
    <row r="8" spans="2:11" ht="12.75" customHeight="1" x14ac:dyDescent="0.3">
      <c r="G8" s="83" t="s">
        <v>154</v>
      </c>
      <c r="H8" s="81"/>
      <c r="I8" s="621">
        <v>1000</v>
      </c>
      <c r="J8" s="622"/>
    </row>
    <row r="9" spans="2:11" ht="12.75" customHeight="1" x14ac:dyDescent="0.3">
      <c r="G9" s="83" t="s">
        <v>155</v>
      </c>
      <c r="H9" s="81"/>
      <c r="I9" s="80">
        <v>4</v>
      </c>
      <c r="J9" s="80"/>
    </row>
    <row r="10" spans="2:11" ht="12.75" customHeight="1" x14ac:dyDescent="0.3">
      <c r="G10" s="83" t="s">
        <v>156</v>
      </c>
      <c r="H10" s="81"/>
      <c r="I10" s="80">
        <v>3</v>
      </c>
      <c r="J10" s="80"/>
    </row>
    <row r="11" spans="2:11" ht="12.75" customHeight="1" x14ac:dyDescent="0.3">
      <c r="G11" s="83" t="s">
        <v>157</v>
      </c>
      <c r="H11" s="81"/>
      <c r="I11" s="80" t="s">
        <v>158</v>
      </c>
      <c r="J11" s="80"/>
    </row>
    <row r="12" spans="2:11" ht="12.75" customHeight="1" x14ac:dyDescent="0.3">
      <c r="G12" s="83" t="s">
        <v>159</v>
      </c>
      <c r="H12" s="81"/>
      <c r="I12" s="623">
        <v>43211.620243055557</v>
      </c>
      <c r="J12" s="622"/>
    </row>
    <row r="13" spans="2:11" ht="12.75" customHeight="1" x14ac:dyDescent="0.3">
      <c r="G13" s="83" t="s">
        <v>160</v>
      </c>
      <c r="H13" s="81"/>
      <c r="I13" s="624">
        <v>8.1018515629693866E-5</v>
      </c>
      <c r="J13" s="622"/>
    </row>
    <row r="14" spans="2:11" ht="12.75" customHeight="1" x14ac:dyDescent="0.3">
      <c r="G14" s="83" t="s">
        <v>161</v>
      </c>
      <c r="H14" s="81"/>
      <c r="I14" s="621" t="s">
        <v>162</v>
      </c>
      <c r="J14" s="622"/>
    </row>
    <row r="15" spans="2:11" ht="12.75" customHeight="1" x14ac:dyDescent="0.3">
      <c r="G15" s="83" t="s">
        <v>163</v>
      </c>
      <c r="H15" s="81"/>
      <c r="I15" s="621">
        <v>1978567892</v>
      </c>
      <c r="J15" s="622"/>
    </row>
    <row r="16" spans="2:11" ht="12.75" customHeight="1" x14ac:dyDescent="0.3"/>
    <row r="17" spans="7:10" ht="12.75" customHeight="1" x14ac:dyDescent="0.3">
      <c r="G17" s="625" t="s">
        <v>164</v>
      </c>
      <c r="H17" s="626"/>
      <c r="I17" s="626"/>
      <c r="J17" s="626"/>
    </row>
    <row r="18" spans="7:10" ht="12.75" customHeight="1" x14ac:dyDescent="0.3">
      <c r="G18" s="85" t="s">
        <v>165</v>
      </c>
      <c r="H18" s="86"/>
      <c r="I18" s="85" t="s">
        <v>166</v>
      </c>
      <c r="J18" s="84"/>
    </row>
    <row r="19" spans="7:10" ht="12.75" customHeight="1" x14ac:dyDescent="0.3">
      <c r="G19" s="455" t="s">
        <v>167</v>
      </c>
      <c r="H19" s="456">
        <v>1018627.2994723208</v>
      </c>
      <c r="I19" s="457">
        <v>0.05</v>
      </c>
      <c r="J19" s="456">
        <v>4726393.0124004539</v>
      </c>
    </row>
    <row r="20" spans="7:10" ht="12.75" customHeight="1" x14ac:dyDescent="0.3">
      <c r="G20" s="455" t="s">
        <v>168</v>
      </c>
      <c r="H20" s="458">
        <v>19026965.804519925</v>
      </c>
      <c r="I20" s="457">
        <v>0.1</v>
      </c>
      <c r="J20" s="458">
        <v>5710080.5453513563</v>
      </c>
    </row>
    <row r="21" spans="7:10" ht="12.75" customHeight="1" x14ac:dyDescent="0.3">
      <c r="G21" s="455" t="s">
        <v>169</v>
      </c>
      <c r="H21" s="458">
        <v>9894124.6641537789</v>
      </c>
      <c r="I21" s="457">
        <v>0.15</v>
      </c>
      <c r="J21" s="458">
        <v>6546897.4356845208</v>
      </c>
    </row>
    <row r="22" spans="7:10" ht="12.75" customHeight="1" x14ac:dyDescent="0.3">
      <c r="G22" s="455" t="s">
        <v>170</v>
      </c>
      <c r="H22" s="458">
        <v>3116274.0467090057</v>
      </c>
      <c r="I22" s="457">
        <v>0.2</v>
      </c>
      <c r="J22" s="458">
        <v>7207901.5415468588</v>
      </c>
    </row>
    <row r="23" spans="7:10" ht="12.75" customHeight="1" x14ac:dyDescent="0.3">
      <c r="G23" s="455" t="s">
        <v>171</v>
      </c>
      <c r="H23" s="459">
        <v>9711163934192.123</v>
      </c>
      <c r="I23" s="457">
        <v>0.25</v>
      </c>
      <c r="J23" s="458">
        <v>7660588.5481119379</v>
      </c>
    </row>
    <row r="24" spans="7:10" ht="12.75" customHeight="1" x14ac:dyDescent="0.3">
      <c r="G24" s="455" t="s">
        <v>172</v>
      </c>
      <c r="H24" s="459">
        <v>-4.4572683473274227E-2</v>
      </c>
      <c r="I24" s="457">
        <v>0.3</v>
      </c>
      <c r="J24" s="458">
        <v>8212201.7985601984</v>
      </c>
    </row>
    <row r="25" spans="7:10" ht="12.75" customHeight="1" x14ac:dyDescent="0.3">
      <c r="G25" s="455" t="s">
        <v>173</v>
      </c>
      <c r="H25" s="459">
        <v>2.6569141585732003</v>
      </c>
      <c r="I25" s="457">
        <v>0.35</v>
      </c>
      <c r="J25" s="458">
        <v>8691034.7435118761</v>
      </c>
    </row>
    <row r="26" spans="7:10" ht="12.75" customHeight="1" x14ac:dyDescent="0.3">
      <c r="G26" s="455" t="s">
        <v>174</v>
      </c>
      <c r="H26" s="458">
        <v>9867635.118627537</v>
      </c>
      <c r="I26" s="457">
        <v>0.4</v>
      </c>
      <c r="J26" s="458">
        <v>9095303.4190208316</v>
      </c>
    </row>
    <row r="27" spans="7:10" ht="12.75" customHeight="1" x14ac:dyDescent="0.3">
      <c r="G27" s="455" t="s">
        <v>175</v>
      </c>
      <c r="H27" s="458">
        <v>11876762.577892656</v>
      </c>
      <c r="I27" s="457">
        <v>0.45</v>
      </c>
      <c r="J27" s="458">
        <v>9452217.7781259343</v>
      </c>
    </row>
    <row r="28" spans="7:10" ht="12.75" customHeight="1" x14ac:dyDescent="0.3">
      <c r="G28" s="455" t="s">
        <v>176</v>
      </c>
      <c r="H28" s="458">
        <v>4726393.0124004539</v>
      </c>
      <c r="I28" s="457">
        <v>0.5</v>
      </c>
      <c r="J28" s="458">
        <v>9867635.118627537</v>
      </c>
    </row>
    <row r="29" spans="7:10" ht="12.75" customHeight="1" x14ac:dyDescent="0.3">
      <c r="G29" s="455" t="s">
        <v>177</v>
      </c>
      <c r="H29" s="460">
        <v>0.05</v>
      </c>
      <c r="I29" s="457">
        <v>0.55000000000000004</v>
      </c>
      <c r="J29" s="458">
        <v>10335321.734806526</v>
      </c>
    </row>
    <row r="30" spans="7:10" ht="12.75" customHeight="1" x14ac:dyDescent="0.3">
      <c r="G30" s="455" t="s">
        <v>178</v>
      </c>
      <c r="H30" s="458">
        <v>14974653.243348416</v>
      </c>
      <c r="I30" s="457">
        <v>0.6</v>
      </c>
      <c r="J30" s="458">
        <v>10733939.531185422</v>
      </c>
    </row>
    <row r="31" spans="7:10" ht="12.75" customHeight="1" x14ac:dyDescent="0.3">
      <c r="G31" s="455" t="s">
        <v>179</v>
      </c>
      <c r="H31" s="460">
        <v>0.95</v>
      </c>
      <c r="I31" s="457">
        <v>0.65</v>
      </c>
      <c r="J31" s="458">
        <v>11181666.116696805</v>
      </c>
    </row>
    <row r="32" spans="7:10" ht="12.75" customHeight="1" x14ac:dyDescent="0.3">
      <c r="G32" s="455" t="s">
        <v>180</v>
      </c>
      <c r="H32" s="458">
        <v>10248260.230947962</v>
      </c>
      <c r="I32" s="457">
        <v>0.7</v>
      </c>
      <c r="J32" s="458">
        <v>11667887.166441619</v>
      </c>
    </row>
    <row r="33" spans="7:10" ht="12.75" customHeight="1" x14ac:dyDescent="0.3">
      <c r="G33" s="455" t="s">
        <v>181</v>
      </c>
      <c r="H33" s="460">
        <v>0.89999999999999991</v>
      </c>
      <c r="I33" s="457">
        <v>0.75</v>
      </c>
      <c r="J33" s="458">
        <v>12077146.412463538</v>
      </c>
    </row>
    <row r="34" spans="7:10" ht="12.75" customHeight="1" x14ac:dyDescent="0.3">
      <c r="G34" s="455" t="s">
        <v>182</v>
      </c>
      <c r="H34" s="459">
        <v>0</v>
      </c>
      <c r="I34" s="457">
        <v>0.8</v>
      </c>
      <c r="J34" s="458">
        <v>12598873.359974418</v>
      </c>
    </row>
    <row r="35" spans="7:10" ht="12.75" customHeight="1" x14ac:dyDescent="0.3">
      <c r="G35" s="455" t="s">
        <v>183</v>
      </c>
      <c r="H35" s="459" t="s">
        <v>184</v>
      </c>
      <c r="I35" s="457">
        <v>0.85</v>
      </c>
      <c r="J35" s="458">
        <v>13242007.446381252</v>
      </c>
    </row>
    <row r="36" spans="7:10" ht="12.75" customHeight="1" x14ac:dyDescent="0.3">
      <c r="G36" s="455" t="s">
        <v>185</v>
      </c>
      <c r="H36" s="459" t="s">
        <v>184</v>
      </c>
      <c r="I36" s="457">
        <v>0.9</v>
      </c>
      <c r="J36" s="458">
        <v>14006305.741781501</v>
      </c>
    </row>
    <row r="37" spans="7:10" ht="12.75" customHeight="1" x14ac:dyDescent="0.3">
      <c r="G37" s="455" t="s">
        <v>186</v>
      </c>
      <c r="H37" s="459">
        <v>0</v>
      </c>
      <c r="I37" s="457">
        <v>0.95</v>
      </c>
      <c r="J37" s="458">
        <v>14974653.243348416</v>
      </c>
    </row>
    <row r="38" spans="7:10" ht="12.75" customHeight="1" x14ac:dyDescent="0.3">
      <c r="G38" s="366"/>
      <c r="H38" s="366"/>
      <c r="I38" s="366"/>
      <c r="J38" s="366"/>
    </row>
    <row r="39" spans="7:10" ht="12.75" customHeight="1" x14ac:dyDescent="0.3">
      <c r="G39" s="619" t="s">
        <v>187</v>
      </c>
      <c r="H39" s="620"/>
      <c r="I39" s="620"/>
      <c r="J39" s="620"/>
    </row>
    <row r="40" spans="7:10" ht="12.75" customHeight="1" x14ac:dyDescent="0.3">
      <c r="G40" s="461" t="s">
        <v>188</v>
      </c>
      <c r="H40" s="462" t="s">
        <v>189</v>
      </c>
      <c r="I40" s="463" t="s">
        <v>190</v>
      </c>
      <c r="J40" s="461" t="s">
        <v>191</v>
      </c>
    </row>
    <row r="41" spans="7:10" ht="12.75" customHeight="1" x14ac:dyDescent="0.3">
      <c r="G41" s="464">
        <v>1</v>
      </c>
      <c r="H41" s="465" t="s">
        <v>192</v>
      </c>
      <c r="I41" s="466">
        <v>5181677.8074313495</v>
      </c>
      <c r="J41" s="456">
        <v>14412029.037477873</v>
      </c>
    </row>
    <row r="42" spans="7:10" ht="12.75" customHeight="1" x14ac:dyDescent="0.3">
      <c r="G42" s="459">
        <v>2</v>
      </c>
      <c r="H42" s="467" t="s">
        <v>193</v>
      </c>
      <c r="I42" s="425">
        <v>6912616.2494442929</v>
      </c>
      <c r="J42" s="458">
        <v>12612333.292432003</v>
      </c>
    </row>
    <row r="43" spans="7:10" ht="12.75" customHeight="1" x14ac:dyDescent="0.3">
      <c r="G43" s="459">
        <v>3</v>
      </c>
      <c r="H43" s="467" t="s">
        <v>194</v>
      </c>
      <c r="I43" s="425">
        <v>8816006.4193730708</v>
      </c>
      <c r="J43" s="458">
        <v>11130449.280324578</v>
      </c>
    </row>
    <row r="44" spans="7:10" ht="12.75" customHeight="1" x14ac:dyDescent="0.3">
      <c r="G44" s="459"/>
      <c r="H44" s="467"/>
      <c r="I44" s="468"/>
      <c r="J44" s="459"/>
    </row>
    <row r="45" spans="7:10" ht="12.75" customHeight="1" x14ac:dyDescent="0.3">
      <c r="G45" s="459"/>
      <c r="H45" s="467"/>
      <c r="I45" s="468"/>
      <c r="J45" s="459"/>
    </row>
    <row r="46" spans="7:10" ht="12.75" customHeight="1" x14ac:dyDescent="0.3">
      <c r="G46" s="459"/>
      <c r="H46" s="467"/>
      <c r="I46" s="468"/>
      <c r="J46" s="459"/>
    </row>
    <row r="47" spans="7:10" ht="12.75" customHeight="1" x14ac:dyDescent="0.3">
      <c r="G47" s="80"/>
      <c r="H47" s="88"/>
      <c r="I47" s="89"/>
      <c r="J47" s="80"/>
    </row>
    <row r="48" spans="7:10" ht="12.75" customHeight="1" x14ac:dyDescent="0.3">
      <c r="G48" s="80"/>
      <c r="H48" s="88"/>
      <c r="I48" s="89"/>
      <c r="J48" s="80"/>
    </row>
    <row r="49" spans="7:10" ht="12.75" customHeight="1" x14ac:dyDescent="0.3">
      <c r="G49" s="80"/>
      <c r="H49" s="88"/>
      <c r="I49" s="89"/>
      <c r="J49" s="80"/>
    </row>
    <row r="50" spans="7:10" ht="12.75" customHeight="1" x14ac:dyDescent="0.3">
      <c r="G50" s="80"/>
      <c r="H50" s="88"/>
      <c r="I50" s="89"/>
      <c r="J50" s="80"/>
    </row>
    <row r="51" spans="7:10" ht="12.75" customHeight="1" x14ac:dyDescent="0.3">
      <c r="G51" s="80"/>
      <c r="H51" s="88"/>
      <c r="I51" s="89"/>
      <c r="J51" s="80"/>
    </row>
    <row r="52" spans="7:10" ht="12.75" customHeight="1" x14ac:dyDescent="0.3">
      <c r="G52" s="80"/>
      <c r="H52" s="88"/>
      <c r="I52" s="89"/>
      <c r="J52" s="80"/>
    </row>
    <row r="53" spans="7:10" ht="12.75" customHeight="1" x14ac:dyDescent="0.3">
      <c r="G53" s="80"/>
      <c r="H53" s="88"/>
      <c r="I53" s="89"/>
      <c r="J53" s="80"/>
    </row>
    <row r="54" spans="7:10" ht="12.75" customHeight="1" x14ac:dyDescent="0.3">
      <c r="G54" s="80"/>
      <c r="H54" s="88"/>
      <c r="I54" s="89"/>
      <c r="J54" s="80"/>
    </row>
    <row r="55" spans="7:10" ht="12.75" customHeight="1" x14ac:dyDescent="0.3"/>
  </sheetData>
  <mergeCells count="8">
    <mergeCell ref="G5:J5"/>
    <mergeCell ref="G39:J39"/>
    <mergeCell ref="I8:J8"/>
    <mergeCell ref="I12:J12"/>
    <mergeCell ref="I13:J13"/>
    <mergeCell ref="I14:J14"/>
    <mergeCell ref="I15:J15"/>
    <mergeCell ref="G17:J17"/>
  </mergeCells>
  <pageMargins left="0.5" right="0.5" top="0.5" bottom="0.5" header="0" footer="0"/>
  <pageSetup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workbookViewId="0">
      <selection activeCell="N16" sqref="N16"/>
    </sheetView>
  </sheetViews>
  <sheetFormatPr defaultColWidth="9.109375" defaultRowHeight="14.4" x14ac:dyDescent="0.3"/>
  <cols>
    <col min="1" max="1" width="0.33203125" customWidth="1"/>
    <col min="2" max="6" width="10.77734375" customWidth="1"/>
    <col min="7" max="7" width="9.77734375" customWidth="1"/>
    <col min="8" max="8" width="20.77734375" bestFit="1" customWidth="1"/>
    <col min="9" max="9" width="16.44140625" bestFit="1" customWidth="1"/>
    <col min="10" max="10" width="9.44140625" bestFit="1" customWidth="1"/>
    <col min="11" max="11" width="1.77734375" customWidth="1"/>
  </cols>
  <sheetData>
    <row r="1" spans="2:11" s="76" customFormat="1" ht="17.399999999999999" x14ac:dyDescent="0.3">
      <c r="B1" s="77" t="s">
        <v>195</v>
      </c>
    </row>
    <row r="2" spans="2:11" s="75" customFormat="1" ht="10.199999999999999" x14ac:dyDescent="0.2">
      <c r="B2" s="78" t="s">
        <v>272</v>
      </c>
    </row>
    <row r="3" spans="2:11" s="75" customFormat="1" ht="12.75" customHeight="1" x14ac:dyDescent="0.2">
      <c r="B3" s="78" t="s">
        <v>283</v>
      </c>
    </row>
    <row r="4" spans="2:11" ht="12.75" customHeight="1" x14ac:dyDescent="0.3"/>
    <row r="5" spans="2:11" ht="12.75" customHeight="1" x14ac:dyDescent="0.3">
      <c r="G5" s="617" t="s">
        <v>150</v>
      </c>
      <c r="H5" s="618"/>
      <c r="I5" s="618"/>
      <c r="J5" s="618"/>
    </row>
    <row r="6" spans="2:11" ht="12.75" customHeight="1" x14ac:dyDescent="0.3">
      <c r="G6" s="82" t="s">
        <v>151</v>
      </c>
      <c r="H6" s="87"/>
      <c r="I6" s="79" t="s">
        <v>247</v>
      </c>
      <c r="J6" s="79"/>
      <c r="K6" t="s">
        <v>152</v>
      </c>
    </row>
    <row r="7" spans="2:11" ht="12.75" customHeight="1" x14ac:dyDescent="0.3">
      <c r="G7" s="83" t="s">
        <v>153</v>
      </c>
      <c r="H7" s="81"/>
      <c r="I7" s="80">
        <v>1</v>
      </c>
      <c r="J7" s="80"/>
    </row>
    <row r="8" spans="2:11" ht="12.75" customHeight="1" x14ac:dyDescent="0.3">
      <c r="G8" s="83" t="s">
        <v>154</v>
      </c>
      <c r="H8" s="81"/>
      <c r="I8" s="621">
        <v>1000</v>
      </c>
      <c r="J8" s="622"/>
    </row>
    <row r="9" spans="2:11" ht="12.75" customHeight="1" x14ac:dyDescent="0.3">
      <c r="G9" s="83" t="s">
        <v>155</v>
      </c>
      <c r="H9" s="81"/>
      <c r="I9" s="80">
        <v>4</v>
      </c>
      <c r="J9" s="80"/>
    </row>
    <row r="10" spans="2:11" ht="12.75" customHeight="1" x14ac:dyDescent="0.3">
      <c r="G10" s="83" t="s">
        <v>156</v>
      </c>
      <c r="H10" s="81"/>
      <c r="I10" s="80">
        <v>3</v>
      </c>
      <c r="J10" s="80"/>
    </row>
    <row r="11" spans="2:11" ht="12.75" customHeight="1" x14ac:dyDescent="0.3">
      <c r="G11" s="83" t="s">
        <v>157</v>
      </c>
      <c r="H11" s="81"/>
      <c r="I11" s="80" t="s">
        <v>158</v>
      </c>
      <c r="J11" s="80"/>
    </row>
    <row r="12" spans="2:11" ht="12.75" customHeight="1" x14ac:dyDescent="0.3">
      <c r="G12" s="83" t="s">
        <v>159</v>
      </c>
      <c r="H12" s="81"/>
      <c r="I12" s="623">
        <v>43211.620243055557</v>
      </c>
      <c r="J12" s="622"/>
    </row>
    <row r="13" spans="2:11" ht="12.75" customHeight="1" x14ac:dyDescent="0.3">
      <c r="G13" s="83" t="s">
        <v>160</v>
      </c>
      <c r="H13" s="81"/>
      <c r="I13" s="624">
        <v>8.1018515629693866E-5</v>
      </c>
      <c r="J13" s="622"/>
    </row>
    <row r="14" spans="2:11" ht="12.75" customHeight="1" x14ac:dyDescent="0.3">
      <c r="G14" s="83" t="s">
        <v>161</v>
      </c>
      <c r="H14" s="81"/>
      <c r="I14" s="621" t="s">
        <v>162</v>
      </c>
      <c r="J14" s="622"/>
    </row>
    <row r="15" spans="2:11" ht="12.75" customHeight="1" x14ac:dyDescent="0.3">
      <c r="G15" s="83" t="s">
        <v>163</v>
      </c>
      <c r="H15" s="81"/>
      <c r="I15" s="621">
        <v>1978567892</v>
      </c>
      <c r="J15" s="622"/>
    </row>
    <row r="16" spans="2:11" ht="12.75" customHeight="1" x14ac:dyDescent="0.3"/>
    <row r="17" spans="7:10" ht="12.75" customHeight="1" x14ac:dyDescent="0.3">
      <c r="G17" s="625" t="s">
        <v>196</v>
      </c>
      <c r="H17" s="626"/>
      <c r="I17" s="626"/>
      <c r="J17" s="626"/>
    </row>
    <row r="18" spans="7:10" ht="12.75" customHeight="1" x14ac:dyDescent="0.3">
      <c r="G18" s="85" t="s">
        <v>165</v>
      </c>
      <c r="H18" s="86"/>
      <c r="I18" s="85" t="s">
        <v>166</v>
      </c>
      <c r="J18" s="84"/>
    </row>
    <row r="19" spans="7:10" ht="12.75" customHeight="1" x14ac:dyDescent="0.3">
      <c r="G19" s="455" t="s">
        <v>167</v>
      </c>
      <c r="H19" s="456">
        <v>1363153.1061954752</v>
      </c>
      <c r="I19" s="457">
        <v>0.05</v>
      </c>
      <c r="J19" s="456">
        <v>6324980.0189842042</v>
      </c>
    </row>
    <row r="20" spans="7:10" ht="12.75" customHeight="1" x14ac:dyDescent="0.3">
      <c r="G20" s="455" t="s">
        <v>168</v>
      </c>
      <c r="H20" s="458">
        <v>25462372.303729136</v>
      </c>
      <c r="I20" s="457">
        <v>0.1</v>
      </c>
      <c r="J20" s="458">
        <v>7641375.8359453445</v>
      </c>
    </row>
    <row r="21" spans="7:10" ht="12.75" customHeight="1" x14ac:dyDescent="0.3">
      <c r="G21" s="455" t="s">
        <v>169</v>
      </c>
      <c r="H21" s="458">
        <v>13240570.693533599</v>
      </c>
      <c r="I21" s="457">
        <v>0.15</v>
      </c>
      <c r="J21" s="458">
        <v>8761225.602356879</v>
      </c>
    </row>
    <row r="22" spans="7:10" ht="12.75" customHeight="1" x14ac:dyDescent="0.3">
      <c r="G22" s="455" t="s">
        <v>170</v>
      </c>
      <c r="H22" s="458">
        <v>4170277.6361170495</v>
      </c>
      <c r="I22" s="457">
        <v>0.2</v>
      </c>
      <c r="J22" s="458">
        <v>9645798.2037204783</v>
      </c>
    </row>
    <row r="23" spans="7:10" ht="12.75" customHeight="1" x14ac:dyDescent="0.3">
      <c r="G23" s="455" t="s">
        <v>171</v>
      </c>
      <c r="H23" s="459">
        <v>17391215562298.006</v>
      </c>
      <c r="I23" s="457">
        <v>0.25</v>
      </c>
      <c r="J23" s="458">
        <v>10251595.534553047</v>
      </c>
    </row>
    <row r="24" spans="7:10" ht="12.75" customHeight="1" x14ac:dyDescent="0.3">
      <c r="G24" s="455" t="s">
        <v>172</v>
      </c>
      <c r="H24" s="459">
        <v>-4.4572683473272506E-2</v>
      </c>
      <c r="I24" s="457">
        <v>0.3</v>
      </c>
      <c r="J24" s="458">
        <v>10989778.495245984</v>
      </c>
    </row>
    <row r="25" spans="7:10" ht="12.75" customHeight="1" x14ac:dyDescent="0.3">
      <c r="G25" s="455" t="s">
        <v>173</v>
      </c>
      <c r="H25" s="459">
        <v>2.6569141585732017</v>
      </c>
      <c r="I25" s="457">
        <v>0.35</v>
      </c>
      <c r="J25" s="458">
        <v>11630564.989577852</v>
      </c>
    </row>
    <row r="26" spans="7:10" ht="12.75" customHeight="1" x14ac:dyDescent="0.3">
      <c r="G26" s="455" t="s">
        <v>174</v>
      </c>
      <c r="H26" s="458">
        <v>13205121.706171386</v>
      </c>
      <c r="I26" s="457">
        <v>0.4</v>
      </c>
      <c r="J26" s="458">
        <v>12171567.671366412</v>
      </c>
    </row>
    <row r="27" spans="7:10" ht="12.75" customHeight="1" x14ac:dyDescent="0.3">
      <c r="G27" s="455" t="s">
        <v>175</v>
      </c>
      <c r="H27" s="458">
        <v>15893787.460818466</v>
      </c>
      <c r="I27" s="457">
        <v>0.45</v>
      </c>
      <c r="J27" s="458">
        <v>12649199.595733572</v>
      </c>
    </row>
    <row r="28" spans="7:10" ht="12.75" customHeight="1" x14ac:dyDescent="0.3">
      <c r="G28" s="455" t="s">
        <v>176</v>
      </c>
      <c r="H28" s="458">
        <v>6324980.0189842042</v>
      </c>
      <c r="I28" s="457">
        <v>0.5</v>
      </c>
      <c r="J28" s="458">
        <v>13205121.706171386</v>
      </c>
    </row>
    <row r="29" spans="7:10" ht="12.75" customHeight="1" x14ac:dyDescent="0.3">
      <c r="G29" s="455" t="s">
        <v>177</v>
      </c>
      <c r="H29" s="460">
        <v>0.05</v>
      </c>
      <c r="I29" s="457">
        <v>0.55000000000000004</v>
      </c>
      <c r="J29" s="458">
        <v>13830991.898243302</v>
      </c>
    </row>
    <row r="30" spans="7:10" ht="12.75" customHeight="1" x14ac:dyDescent="0.3">
      <c r="G30" s="455" t="s">
        <v>178</v>
      </c>
      <c r="H30" s="458">
        <v>20039463.985939655</v>
      </c>
      <c r="I30" s="457">
        <v>0.6</v>
      </c>
      <c r="J30" s="458">
        <v>14364432.42904409</v>
      </c>
    </row>
    <row r="31" spans="7:10" ht="12.75" customHeight="1" x14ac:dyDescent="0.3">
      <c r="G31" s="455" t="s">
        <v>179</v>
      </c>
      <c r="H31" s="460">
        <v>0.95</v>
      </c>
      <c r="I31" s="457">
        <v>0.65</v>
      </c>
      <c r="J31" s="458">
        <v>14963591.597546937</v>
      </c>
    </row>
    <row r="32" spans="7:10" ht="12.75" customHeight="1" x14ac:dyDescent="0.3">
      <c r="G32" s="455" t="s">
        <v>180</v>
      </c>
      <c r="H32" s="458">
        <v>13714483.966955451</v>
      </c>
      <c r="I32" s="457">
        <v>0.7</v>
      </c>
      <c r="J32" s="458">
        <v>15614265.04268297</v>
      </c>
    </row>
    <row r="33" spans="7:10" ht="12.75" customHeight="1" x14ac:dyDescent="0.3">
      <c r="G33" s="455" t="s">
        <v>181</v>
      </c>
      <c r="H33" s="460">
        <v>0.89999999999999991</v>
      </c>
      <c r="I33" s="457">
        <v>0.75</v>
      </c>
      <c r="J33" s="458">
        <v>16161946.233578792</v>
      </c>
    </row>
    <row r="34" spans="7:10" ht="12.75" customHeight="1" x14ac:dyDescent="0.3">
      <c r="G34" s="455" t="s">
        <v>182</v>
      </c>
      <c r="H34" s="459">
        <v>0</v>
      </c>
      <c r="I34" s="457">
        <v>0.8</v>
      </c>
      <c r="J34" s="458">
        <v>16860134.579261024</v>
      </c>
    </row>
    <row r="35" spans="7:10" ht="12.75" customHeight="1" x14ac:dyDescent="0.3">
      <c r="G35" s="455" t="s">
        <v>183</v>
      </c>
      <c r="H35" s="459" t="s">
        <v>184</v>
      </c>
      <c r="I35" s="457">
        <v>0.85</v>
      </c>
      <c r="J35" s="458">
        <v>17720793.06351706</v>
      </c>
    </row>
    <row r="36" spans="7:10" ht="12.75" customHeight="1" x14ac:dyDescent="0.3">
      <c r="G36" s="455" t="s">
        <v>185</v>
      </c>
      <c r="H36" s="459" t="s">
        <v>184</v>
      </c>
      <c r="I36" s="457">
        <v>0.9</v>
      </c>
      <c r="J36" s="458">
        <v>18743596.591337752</v>
      </c>
    </row>
    <row r="37" spans="7:10" ht="12.75" customHeight="1" x14ac:dyDescent="0.3">
      <c r="G37" s="455" t="s">
        <v>186</v>
      </c>
      <c r="H37" s="459">
        <v>0</v>
      </c>
      <c r="I37" s="457">
        <v>0.95</v>
      </c>
      <c r="J37" s="458">
        <v>20039463.985939655</v>
      </c>
    </row>
    <row r="38" spans="7:10" ht="12.75" customHeight="1" x14ac:dyDescent="0.3">
      <c r="G38" s="366"/>
      <c r="H38" s="366"/>
      <c r="I38" s="366"/>
      <c r="J38" s="366"/>
    </row>
    <row r="39" spans="7:10" ht="12.75" customHeight="1" x14ac:dyDescent="0.3">
      <c r="G39" s="619" t="s">
        <v>197</v>
      </c>
      <c r="H39" s="620"/>
      <c r="I39" s="620"/>
      <c r="J39" s="620"/>
    </row>
    <row r="40" spans="7:10" ht="12.75" customHeight="1" x14ac:dyDescent="0.3">
      <c r="G40" s="461" t="s">
        <v>188</v>
      </c>
      <c r="H40" s="462" t="s">
        <v>189</v>
      </c>
      <c r="I40" s="463" t="s">
        <v>190</v>
      </c>
      <c r="J40" s="461" t="s">
        <v>191</v>
      </c>
    </row>
    <row r="41" spans="7:10" ht="12.75" customHeight="1" x14ac:dyDescent="0.3">
      <c r="G41" s="464">
        <v>1</v>
      </c>
      <c r="H41" s="465" t="s">
        <v>192</v>
      </c>
      <c r="I41" s="466">
        <v>6934253.7767869206</v>
      </c>
      <c r="J41" s="456">
        <v>19286545.883066814</v>
      </c>
    </row>
    <row r="42" spans="7:10" ht="12.75" customHeight="1" x14ac:dyDescent="0.3">
      <c r="G42" s="459">
        <v>2</v>
      </c>
      <c r="H42" s="467" t="s">
        <v>193</v>
      </c>
      <c r="I42" s="425">
        <v>9250639.8731397372</v>
      </c>
      <c r="J42" s="458">
        <v>16878147.005148541</v>
      </c>
    </row>
    <row r="43" spans="7:10" ht="12.75" customHeight="1" x14ac:dyDescent="0.3">
      <c r="G43" s="459">
        <v>3</v>
      </c>
      <c r="H43" s="467" t="s">
        <v>194</v>
      </c>
      <c r="I43" s="425">
        <v>11797805.282690831</v>
      </c>
      <c r="J43" s="458">
        <v>14895051.917109866</v>
      </c>
    </row>
    <row r="44" spans="7:10" ht="12.75" customHeight="1" x14ac:dyDescent="0.3">
      <c r="G44" s="459"/>
      <c r="H44" s="467"/>
      <c r="I44" s="468"/>
      <c r="J44" s="459"/>
    </row>
    <row r="45" spans="7:10" ht="12.75" customHeight="1" x14ac:dyDescent="0.3">
      <c r="G45" s="459"/>
      <c r="H45" s="467"/>
      <c r="I45" s="468"/>
      <c r="J45" s="459"/>
    </row>
    <row r="46" spans="7:10" ht="12.75" customHeight="1" x14ac:dyDescent="0.3">
      <c r="G46" s="459"/>
      <c r="H46" s="467"/>
      <c r="I46" s="468"/>
      <c r="J46" s="459"/>
    </row>
    <row r="47" spans="7:10" ht="12.75" customHeight="1" x14ac:dyDescent="0.3">
      <c r="G47" s="459"/>
      <c r="H47" s="467"/>
      <c r="I47" s="468"/>
      <c r="J47" s="459"/>
    </row>
    <row r="48" spans="7:10" ht="12.75" customHeight="1" x14ac:dyDescent="0.3">
      <c r="G48" s="80"/>
      <c r="H48" s="88"/>
      <c r="I48" s="89"/>
      <c r="J48" s="80"/>
    </row>
    <row r="49" spans="7:10" ht="12.75" customHeight="1" x14ac:dyDescent="0.3">
      <c r="G49" s="80"/>
      <c r="H49" s="88"/>
      <c r="I49" s="89"/>
      <c r="J49" s="80"/>
    </row>
    <row r="50" spans="7:10" ht="12.75" customHeight="1" x14ac:dyDescent="0.3">
      <c r="G50" s="80"/>
      <c r="H50" s="88"/>
      <c r="I50" s="89"/>
      <c r="J50" s="80"/>
    </row>
    <row r="51" spans="7:10" ht="12.75" customHeight="1" x14ac:dyDescent="0.3">
      <c r="G51" s="80"/>
      <c r="H51" s="88"/>
      <c r="I51" s="89"/>
      <c r="J51" s="80"/>
    </row>
    <row r="52" spans="7:10" ht="12.75" customHeight="1" x14ac:dyDescent="0.3">
      <c r="G52" s="80"/>
      <c r="H52" s="88"/>
      <c r="I52" s="89"/>
      <c r="J52" s="80"/>
    </row>
    <row r="53" spans="7:10" ht="12.75" customHeight="1" x14ac:dyDescent="0.3">
      <c r="G53" s="80"/>
      <c r="H53" s="88"/>
      <c r="I53" s="89"/>
      <c r="J53" s="80"/>
    </row>
    <row r="54" spans="7:10" ht="12.75" customHeight="1" x14ac:dyDescent="0.3">
      <c r="G54" s="80"/>
      <c r="H54" s="88"/>
      <c r="I54" s="89"/>
      <c r="J54" s="80"/>
    </row>
    <row r="55" spans="7:10" ht="12.75" customHeight="1" x14ac:dyDescent="0.3"/>
  </sheetData>
  <mergeCells count="8">
    <mergeCell ref="G5:J5"/>
    <mergeCell ref="G39:J39"/>
    <mergeCell ref="I8:J8"/>
    <mergeCell ref="I12:J12"/>
    <mergeCell ref="I13:J13"/>
    <mergeCell ref="I14:J14"/>
    <mergeCell ref="I15:J15"/>
    <mergeCell ref="G17:J17"/>
  </mergeCells>
  <pageMargins left="0.5" right="0.5" top="0.5" bottom="0.5" header="0" footer="0"/>
  <pageSetup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workbookViewId="0">
      <selection activeCell="M28" sqref="M28"/>
    </sheetView>
  </sheetViews>
  <sheetFormatPr defaultColWidth="9.109375" defaultRowHeight="14.4" x14ac:dyDescent="0.3"/>
  <cols>
    <col min="1" max="1" width="0.33203125" customWidth="1"/>
    <col min="2" max="6" width="10.77734375" customWidth="1"/>
    <col min="7" max="7" width="9.77734375" customWidth="1"/>
    <col min="8" max="8" width="20.77734375" bestFit="1" customWidth="1"/>
    <col min="9" max="10" width="8.77734375" customWidth="1"/>
    <col min="11" max="11" width="1.77734375" customWidth="1"/>
  </cols>
  <sheetData>
    <row r="1" spans="2:11" s="76" customFormat="1" ht="17.399999999999999" x14ac:dyDescent="0.3">
      <c r="B1" s="77" t="s">
        <v>198</v>
      </c>
    </row>
    <row r="2" spans="2:11" s="75" customFormat="1" ht="10.199999999999999" x14ac:dyDescent="0.2">
      <c r="B2" s="78" t="s">
        <v>272</v>
      </c>
    </row>
    <row r="3" spans="2:11" s="75" customFormat="1" ht="12.75" customHeight="1" x14ac:dyDescent="0.2">
      <c r="B3" s="78" t="s">
        <v>284</v>
      </c>
    </row>
    <row r="4" spans="2:11" ht="12.75" customHeight="1" x14ac:dyDescent="0.3"/>
    <row r="5" spans="2:11" ht="12.75" customHeight="1" x14ac:dyDescent="0.3">
      <c r="G5" s="617" t="s">
        <v>150</v>
      </c>
      <c r="H5" s="618"/>
      <c r="I5" s="618"/>
      <c r="J5" s="618"/>
    </row>
    <row r="6" spans="2:11" ht="12.75" customHeight="1" x14ac:dyDescent="0.3">
      <c r="G6" s="82" t="s">
        <v>151</v>
      </c>
      <c r="H6" s="87"/>
      <c r="I6" s="79" t="s">
        <v>247</v>
      </c>
      <c r="J6" s="79"/>
      <c r="K6" t="s">
        <v>152</v>
      </c>
    </row>
    <row r="7" spans="2:11" ht="12.75" customHeight="1" x14ac:dyDescent="0.3">
      <c r="G7" s="83" t="s">
        <v>153</v>
      </c>
      <c r="H7" s="81"/>
      <c r="I7" s="80">
        <v>1</v>
      </c>
      <c r="J7" s="80"/>
    </row>
    <row r="8" spans="2:11" ht="12.75" customHeight="1" x14ac:dyDescent="0.3">
      <c r="G8" s="83" t="s">
        <v>154</v>
      </c>
      <c r="H8" s="81"/>
      <c r="I8" s="621">
        <v>1000</v>
      </c>
      <c r="J8" s="622"/>
    </row>
    <row r="9" spans="2:11" ht="12.75" customHeight="1" x14ac:dyDescent="0.3">
      <c r="G9" s="83" t="s">
        <v>155</v>
      </c>
      <c r="H9" s="81"/>
      <c r="I9" s="80">
        <v>4</v>
      </c>
      <c r="J9" s="80"/>
    </row>
    <row r="10" spans="2:11" ht="12.75" customHeight="1" x14ac:dyDescent="0.3">
      <c r="G10" s="83" t="s">
        <v>156</v>
      </c>
      <c r="H10" s="81"/>
      <c r="I10" s="80">
        <v>3</v>
      </c>
      <c r="J10" s="80"/>
    </row>
    <row r="11" spans="2:11" ht="12.75" customHeight="1" x14ac:dyDescent="0.3">
      <c r="G11" s="83" t="s">
        <v>157</v>
      </c>
      <c r="H11" s="81"/>
      <c r="I11" s="80" t="s">
        <v>158</v>
      </c>
      <c r="J11" s="80"/>
    </row>
    <row r="12" spans="2:11" ht="12.75" customHeight="1" x14ac:dyDescent="0.3">
      <c r="G12" s="83" t="s">
        <v>159</v>
      </c>
      <c r="H12" s="81"/>
      <c r="I12" s="623">
        <v>43211.620243055557</v>
      </c>
      <c r="J12" s="622"/>
    </row>
    <row r="13" spans="2:11" ht="12.75" customHeight="1" x14ac:dyDescent="0.3">
      <c r="G13" s="83" t="s">
        <v>160</v>
      </c>
      <c r="H13" s="81"/>
      <c r="I13" s="624">
        <v>8.1018515629693866E-5</v>
      </c>
      <c r="J13" s="622"/>
    </row>
    <row r="14" spans="2:11" ht="12.75" customHeight="1" x14ac:dyDescent="0.3">
      <c r="G14" s="83" t="s">
        <v>161</v>
      </c>
      <c r="H14" s="81"/>
      <c r="I14" s="621" t="s">
        <v>162</v>
      </c>
      <c r="J14" s="622"/>
    </row>
    <row r="15" spans="2:11" ht="12.75" customHeight="1" x14ac:dyDescent="0.3">
      <c r="G15" s="83" t="s">
        <v>163</v>
      </c>
      <c r="H15" s="81"/>
      <c r="I15" s="621">
        <v>1978567892</v>
      </c>
      <c r="J15" s="622"/>
    </row>
    <row r="16" spans="2:11" ht="12.75" customHeight="1" x14ac:dyDescent="0.3"/>
    <row r="17" spans="7:10" ht="12.75" customHeight="1" x14ac:dyDescent="0.3">
      <c r="G17" s="625" t="s">
        <v>199</v>
      </c>
      <c r="H17" s="626"/>
      <c r="I17" s="626"/>
      <c r="J17" s="626"/>
    </row>
    <row r="18" spans="7:10" ht="12.75" customHeight="1" x14ac:dyDescent="0.3">
      <c r="G18" s="85" t="s">
        <v>165</v>
      </c>
      <c r="H18" s="86"/>
      <c r="I18" s="85" t="s">
        <v>166</v>
      </c>
      <c r="J18" s="84"/>
    </row>
    <row r="19" spans="7:10" ht="12.75" customHeight="1" x14ac:dyDescent="0.3">
      <c r="G19" s="455" t="s">
        <v>167</v>
      </c>
      <c r="H19" s="469">
        <v>7.8751925447998694E-2</v>
      </c>
      <c r="I19" s="457">
        <v>0.05</v>
      </c>
      <c r="J19" s="469">
        <v>0.14752605075000269</v>
      </c>
    </row>
    <row r="20" spans="7:10" ht="12.75" customHeight="1" x14ac:dyDescent="0.3">
      <c r="G20" s="455" t="s">
        <v>168</v>
      </c>
      <c r="H20" s="470">
        <v>0.39678711185219839</v>
      </c>
      <c r="I20" s="457">
        <v>0.1</v>
      </c>
      <c r="J20" s="470">
        <v>0.16508106007590251</v>
      </c>
    </row>
    <row r="21" spans="7:10" ht="12.75" customHeight="1" x14ac:dyDescent="0.3">
      <c r="G21" s="455" t="s">
        <v>169</v>
      </c>
      <c r="H21" s="470">
        <v>0.23777678555098164</v>
      </c>
      <c r="I21" s="457">
        <v>0.15</v>
      </c>
      <c r="J21" s="470">
        <v>0.1807950512407317</v>
      </c>
    </row>
    <row r="22" spans="7:10" ht="12.75" customHeight="1" x14ac:dyDescent="0.3">
      <c r="G22" s="455" t="s">
        <v>170</v>
      </c>
      <c r="H22" s="470">
        <v>5.4456674505227488E-2</v>
      </c>
      <c r="I22" s="457">
        <v>0.2</v>
      </c>
      <c r="J22" s="470">
        <v>0.19048874895655388</v>
      </c>
    </row>
    <row r="23" spans="7:10" ht="12.75" customHeight="1" x14ac:dyDescent="0.3">
      <c r="G23" s="455" t="s">
        <v>171</v>
      </c>
      <c r="H23" s="459">
        <v>2.9655293981682936E-3</v>
      </c>
      <c r="I23" s="457">
        <v>0.25</v>
      </c>
      <c r="J23" s="470">
        <v>0.19928245418613111</v>
      </c>
    </row>
    <row r="24" spans="7:10" ht="12.75" customHeight="1" x14ac:dyDescent="0.3">
      <c r="G24" s="455" t="s">
        <v>172</v>
      </c>
      <c r="H24" s="459">
        <v>-6.0607779088880882E-2</v>
      </c>
      <c r="I24" s="457">
        <v>0.3</v>
      </c>
      <c r="J24" s="470">
        <v>0.2085888307788224</v>
      </c>
    </row>
    <row r="25" spans="7:10" ht="12.75" customHeight="1" x14ac:dyDescent="0.3">
      <c r="G25" s="455" t="s">
        <v>173</v>
      </c>
      <c r="H25" s="459">
        <v>2.6986754698935052</v>
      </c>
      <c r="I25" s="457">
        <v>0.35</v>
      </c>
      <c r="J25" s="470">
        <v>0.21728965046639059</v>
      </c>
    </row>
    <row r="26" spans="7:10" ht="12.75" customHeight="1" x14ac:dyDescent="0.3">
      <c r="G26" s="455" t="s">
        <v>174</v>
      </c>
      <c r="H26" s="470">
        <v>0.23745369145590844</v>
      </c>
      <c r="I26" s="457">
        <v>0.4</v>
      </c>
      <c r="J26" s="470">
        <v>0.22411772330732771</v>
      </c>
    </row>
    <row r="27" spans="7:10" ht="12.75" customHeight="1" x14ac:dyDescent="0.3">
      <c r="G27" s="455" t="s">
        <v>175</v>
      </c>
      <c r="H27" s="470">
        <v>0.258612291944878</v>
      </c>
      <c r="I27" s="457">
        <v>0.45</v>
      </c>
      <c r="J27" s="470">
        <v>0.23032530063929602</v>
      </c>
    </row>
    <row r="28" spans="7:10" ht="12.75" customHeight="1" x14ac:dyDescent="0.3">
      <c r="G28" s="455" t="s">
        <v>176</v>
      </c>
      <c r="H28" s="470">
        <v>0.14752605075000269</v>
      </c>
      <c r="I28" s="457">
        <v>0.5</v>
      </c>
      <c r="J28" s="470">
        <v>0.23745369145590844</v>
      </c>
    </row>
    <row r="29" spans="7:10" ht="12.75" customHeight="1" x14ac:dyDescent="0.3">
      <c r="G29" s="455" t="s">
        <v>177</v>
      </c>
      <c r="H29" s="460">
        <v>0.05</v>
      </c>
      <c r="I29" s="457">
        <v>0.55000000000000004</v>
      </c>
      <c r="J29" s="470">
        <v>0.24545568365774306</v>
      </c>
    </row>
    <row r="30" spans="7:10" ht="12.75" customHeight="1" x14ac:dyDescent="0.3">
      <c r="G30" s="455" t="s">
        <v>178</v>
      </c>
      <c r="H30" s="470">
        <v>0.32518097769890519</v>
      </c>
      <c r="I30" s="457">
        <v>0.6</v>
      </c>
      <c r="J30" s="470">
        <v>0.25376917454295889</v>
      </c>
    </row>
    <row r="31" spans="7:10" ht="12.75" customHeight="1" x14ac:dyDescent="0.3">
      <c r="G31" s="455" t="s">
        <v>179</v>
      </c>
      <c r="H31" s="460">
        <v>0.95</v>
      </c>
      <c r="I31" s="457">
        <v>0.65</v>
      </c>
      <c r="J31" s="470">
        <v>0.26095384457459803</v>
      </c>
    </row>
    <row r="32" spans="7:10" ht="12.75" customHeight="1" x14ac:dyDescent="0.3">
      <c r="G32" s="455" t="s">
        <v>180</v>
      </c>
      <c r="H32" s="470">
        <v>0.1776549269489025</v>
      </c>
      <c r="I32" s="457">
        <v>0.7</v>
      </c>
      <c r="J32" s="470">
        <v>0.26784555006299415</v>
      </c>
    </row>
    <row r="33" spans="7:10" ht="12.75" customHeight="1" x14ac:dyDescent="0.3">
      <c r="G33" s="455" t="s">
        <v>181</v>
      </c>
      <c r="H33" s="460">
        <v>0.89999999999999991</v>
      </c>
      <c r="I33" s="457">
        <v>0.75</v>
      </c>
      <c r="J33" s="470">
        <v>0.27721469396874632</v>
      </c>
    </row>
    <row r="34" spans="7:10" ht="12.75" customHeight="1" x14ac:dyDescent="0.3">
      <c r="G34" s="455" t="s">
        <v>182</v>
      </c>
      <c r="H34" s="459">
        <v>0</v>
      </c>
      <c r="I34" s="457">
        <v>0.8</v>
      </c>
      <c r="J34" s="470">
        <v>0.2852440811816479</v>
      </c>
    </row>
    <row r="35" spans="7:10" ht="12.75" customHeight="1" x14ac:dyDescent="0.3">
      <c r="G35" s="455" t="s">
        <v>183</v>
      </c>
      <c r="H35" s="459" t="s">
        <v>184</v>
      </c>
      <c r="I35" s="457">
        <v>0.85</v>
      </c>
      <c r="J35" s="470">
        <v>0.29346272683845354</v>
      </c>
    </row>
    <row r="36" spans="7:10" ht="12.75" customHeight="1" x14ac:dyDescent="0.3">
      <c r="G36" s="455" t="s">
        <v>185</v>
      </c>
      <c r="H36" s="459" t="s">
        <v>184</v>
      </c>
      <c r="I36" s="457">
        <v>0.9</v>
      </c>
      <c r="J36" s="470">
        <v>0.30891018914080814</v>
      </c>
    </row>
    <row r="37" spans="7:10" ht="12.75" customHeight="1" x14ac:dyDescent="0.3">
      <c r="G37" s="455" t="s">
        <v>186</v>
      </c>
      <c r="H37" s="459">
        <v>0</v>
      </c>
      <c r="I37" s="457">
        <v>0.95</v>
      </c>
      <c r="J37" s="470">
        <v>0.32518097769890519</v>
      </c>
    </row>
    <row r="38" spans="7:10" ht="12.75" customHeight="1" x14ac:dyDescent="0.3">
      <c r="G38" s="366"/>
      <c r="H38" s="366"/>
      <c r="I38" s="366"/>
      <c r="J38" s="366"/>
    </row>
    <row r="39" spans="7:10" ht="12.75" customHeight="1" x14ac:dyDescent="0.3">
      <c r="G39" s="619" t="s">
        <v>200</v>
      </c>
      <c r="H39" s="620"/>
      <c r="I39" s="620"/>
      <c r="J39" s="620"/>
    </row>
    <row r="40" spans="7:10" ht="12.75" customHeight="1" x14ac:dyDescent="0.3">
      <c r="G40" s="461" t="s">
        <v>188</v>
      </c>
      <c r="H40" s="462" t="s">
        <v>189</v>
      </c>
      <c r="I40" s="463" t="s">
        <v>190</v>
      </c>
      <c r="J40" s="461" t="s">
        <v>191</v>
      </c>
    </row>
    <row r="41" spans="7:10" ht="12.75" customHeight="1" x14ac:dyDescent="0.3">
      <c r="G41" s="464">
        <v>1</v>
      </c>
      <c r="H41" s="465" t="s">
        <v>192</v>
      </c>
      <c r="I41" s="471">
        <v>0.1567490246353056</v>
      </c>
      <c r="J41" s="469">
        <v>0.31163025035464831</v>
      </c>
    </row>
    <row r="42" spans="7:10" ht="12.75" customHeight="1" x14ac:dyDescent="0.3">
      <c r="G42" s="459">
        <v>2</v>
      </c>
      <c r="H42" s="467" t="s">
        <v>193</v>
      </c>
      <c r="I42" s="472">
        <v>0.18593808048043767</v>
      </c>
      <c r="J42" s="470">
        <v>0.28359123225177074</v>
      </c>
    </row>
    <row r="43" spans="7:10" ht="12.75" customHeight="1" x14ac:dyDescent="0.3">
      <c r="G43" s="459">
        <v>3</v>
      </c>
      <c r="H43" s="467" t="s">
        <v>194</v>
      </c>
      <c r="I43" s="472">
        <v>0.21002937462709079</v>
      </c>
      <c r="J43" s="470">
        <v>0.27088581892063074</v>
      </c>
    </row>
    <row r="44" spans="7:10" ht="12.75" customHeight="1" x14ac:dyDescent="0.3">
      <c r="G44" s="459"/>
      <c r="H44" s="467"/>
      <c r="I44" s="468"/>
      <c r="J44" s="459"/>
    </row>
    <row r="45" spans="7:10" ht="12.75" customHeight="1" x14ac:dyDescent="0.3">
      <c r="G45" s="459"/>
      <c r="H45" s="467"/>
      <c r="I45" s="468"/>
      <c r="J45" s="459"/>
    </row>
    <row r="46" spans="7:10" ht="12.75" customHeight="1" x14ac:dyDescent="0.3">
      <c r="G46" s="459"/>
      <c r="H46" s="467"/>
      <c r="I46" s="468"/>
      <c r="J46" s="459"/>
    </row>
    <row r="47" spans="7:10" ht="12.75" customHeight="1" x14ac:dyDescent="0.3">
      <c r="G47" s="459"/>
      <c r="H47" s="467"/>
      <c r="I47" s="468"/>
      <c r="J47" s="459"/>
    </row>
    <row r="48" spans="7:10" ht="12.75" customHeight="1" x14ac:dyDescent="0.3">
      <c r="G48" s="459"/>
      <c r="H48" s="467"/>
      <c r="I48" s="468"/>
      <c r="J48" s="459"/>
    </row>
    <row r="49" spans="7:10" ht="12.75" customHeight="1" x14ac:dyDescent="0.3">
      <c r="G49" s="459"/>
      <c r="H49" s="467"/>
      <c r="I49" s="468"/>
      <c r="J49" s="459"/>
    </row>
    <row r="50" spans="7:10" ht="12.75" customHeight="1" x14ac:dyDescent="0.3">
      <c r="G50" s="459"/>
      <c r="H50" s="467"/>
      <c r="I50" s="468"/>
      <c r="J50" s="459"/>
    </row>
    <row r="51" spans="7:10" ht="12.75" customHeight="1" x14ac:dyDescent="0.3">
      <c r="G51" s="459"/>
      <c r="H51" s="467"/>
      <c r="I51" s="468"/>
      <c r="J51" s="459"/>
    </row>
    <row r="52" spans="7:10" ht="12.75" customHeight="1" x14ac:dyDescent="0.3">
      <c r="G52" s="459"/>
      <c r="H52" s="467"/>
      <c r="I52" s="468"/>
      <c r="J52" s="459"/>
    </row>
    <row r="53" spans="7:10" ht="12.75" customHeight="1" x14ac:dyDescent="0.3">
      <c r="G53" s="80"/>
      <c r="H53" s="88"/>
      <c r="I53" s="89"/>
      <c r="J53" s="80"/>
    </row>
    <row r="54" spans="7:10" ht="12.75" customHeight="1" x14ac:dyDescent="0.3">
      <c r="G54" s="80"/>
      <c r="H54" s="88"/>
      <c r="I54" s="89"/>
      <c r="J54" s="80"/>
    </row>
    <row r="55" spans="7:10" ht="12.75" customHeight="1" x14ac:dyDescent="0.3"/>
  </sheetData>
  <mergeCells count="8">
    <mergeCell ref="G5:J5"/>
    <mergeCell ref="G39:J39"/>
    <mergeCell ref="I8:J8"/>
    <mergeCell ref="I12:J12"/>
    <mergeCell ref="I13:J13"/>
    <mergeCell ref="I14:J14"/>
    <mergeCell ref="I15:J15"/>
    <mergeCell ref="G17:J17"/>
  </mergeCells>
  <pageMargins left="0.5" right="0.5" top="0.5" bottom="0.5" header="0" footer="0"/>
  <pageSetup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8"/>
  <sheetViews>
    <sheetView showGridLines="0" workbookViewId="0">
      <selection activeCell="K24" sqref="K24"/>
    </sheetView>
  </sheetViews>
  <sheetFormatPr defaultColWidth="9.109375" defaultRowHeight="14.4" x14ac:dyDescent="0.3"/>
  <cols>
    <col min="1" max="1" width="0.33203125" customWidth="1"/>
    <col min="2" max="2" width="31.109375" customWidth="1"/>
    <col min="3" max="3" width="6" customWidth="1"/>
    <col min="4" max="4" width="15" customWidth="1"/>
    <col min="5" max="9" width="14.44140625" customWidth="1"/>
    <col min="10" max="10" width="8.6640625" customWidth="1"/>
  </cols>
  <sheetData>
    <row r="1" spans="2:10" s="76" customFormat="1" ht="17.399999999999999" x14ac:dyDescent="0.3">
      <c r="B1" s="77" t="s">
        <v>273</v>
      </c>
    </row>
    <row r="2" spans="2:10" s="75" customFormat="1" ht="10.199999999999999" x14ac:dyDescent="0.2">
      <c r="B2" s="78" t="s">
        <v>272</v>
      </c>
    </row>
    <row r="3" spans="2:10" s="75" customFormat="1" ht="10.199999999999999" x14ac:dyDescent="0.2">
      <c r="B3" s="78" t="s">
        <v>285</v>
      </c>
    </row>
    <row r="5" spans="2:10" ht="15" customHeight="1" x14ac:dyDescent="0.3">
      <c r="B5" s="440" t="s">
        <v>189</v>
      </c>
      <c r="C5" s="432" t="s">
        <v>274</v>
      </c>
      <c r="D5" s="441" t="s">
        <v>275</v>
      </c>
      <c r="E5" s="432" t="s">
        <v>276</v>
      </c>
      <c r="F5" s="432" t="s">
        <v>169</v>
      </c>
      <c r="G5" s="432" t="s">
        <v>277</v>
      </c>
      <c r="H5" s="433">
        <v>0.05</v>
      </c>
      <c r="I5" s="433">
        <v>0.95</v>
      </c>
      <c r="J5" s="442" t="s">
        <v>278</v>
      </c>
    </row>
    <row r="6" spans="2:10" ht="40.200000000000003" customHeight="1" x14ac:dyDescent="0.3">
      <c r="B6" s="439" t="s">
        <v>111</v>
      </c>
      <c r="C6" s="434" t="s">
        <v>279</v>
      </c>
      <c r="D6" s="435"/>
      <c r="E6" s="436">
        <v>1018627</v>
      </c>
      <c r="F6" s="436">
        <v>9894125</v>
      </c>
      <c r="G6" s="436">
        <v>19026970</v>
      </c>
      <c r="H6" s="436">
        <v>4726393</v>
      </c>
      <c r="I6" s="436">
        <v>14974650</v>
      </c>
      <c r="J6" s="437">
        <v>0</v>
      </c>
    </row>
    <row r="7" spans="2:10" ht="40.200000000000003" customHeight="1" x14ac:dyDescent="0.3">
      <c r="B7" s="438" t="s">
        <v>141</v>
      </c>
      <c r="C7" s="427" t="s">
        <v>280</v>
      </c>
      <c r="D7" s="428"/>
      <c r="E7" s="429">
        <v>1363153</v>
      </c>
      <c r="F7" s="429">
        <v>13240570</v>
      </c>
      <c r="G7" s="429">
        <v>25462370</v>
      </c>
      <c r="H7" s="429">
        <v>6324980</v>
      </c>
      <c r="I7" s="429">
        <v>20039460</v>
      </c>
      <c r="J7" s="430">
        <v>0</v>
      </c>
    </row>
    <row r="8" spans="2:10" ht="40.200000000000003" customHeight="1" x14ac:dyDescent="0.3">
      <c r="B8" s="438" t="s">
        <v>54</v>
      </c>
      <c r="C8" s="427" t="s">
        <v>281</v>
      </c>
      <c r="D8" s="428"/>
      <c r="E8" s="431">
        <v>7.8752000000000003E-2</v>
      </c>
      <c r="F8" s="431">
        <v>0.23777699999999999</v>
      </c>
      <c r="G8" s="431">
        <v>0.396787</v>
      </c>
      <c r="H8" s="431">
        <v>0.14752599999999999</v>
      </c>
      <c r="I8" s="431">
        <v>0.325181</v>
      </c>
      <c r="J8" s="430">
        <v>0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7"/>
  <sheetViews>
    <sheetView showGridLines="0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109375" defaultRowHeight="14.4" x14ac:dyDescent="0.3"/>
  <cols>
    <col min="1" max="1" width="0.33203125" customWidth="1"/>
    <col min="2" max="5" width="15.109375" customWidth="1"/>
  </cols>
  <sheetData>
    <row r="1" spans="2:5" s="76" customFormat="1" ht="17.399999999999999" x14ac:dyDescent="0.3">
      <c r="B1" s="77" t="s">
        <v>248</v>
      </c>
    </row>
    <row r="2" spans="2:5" s="75" customFormat="1" ht="10.199999999999999" x14ac:dyDescent="0.2">
      <c r="B2" s="78" t="s">
        <v>272</v>
      </c>
    </row>
    <row r="3" spans="2:5" s="75" customFormat="1" ht="10.199999999999999" x14ac:dyDescent="0.2">
      <c r="B3" s="78" t="s">
        <v>286</v>
      </c>
    </row>
    <row r="5" spans="2:5" x14ac:dyDescent="0.3">
      <c r="B5" s="423" t="s">
        <v>189</v>
      </c>
      <c r="C5" s="421" t="s">
        <v>111</v>
      </c>
      <c r="D5" s="421" t="s">
        <v>141</v>
      </c>
      <c r="E5" s="421" t="s">
        <v>54</v>
      </c>
    </row>
    <row r="6" spans="2:5" x14ac:dyDescent="0.3">
      <c r="B6" s="423" t="s">
        <v>253</v>
      </c>
      <c r="C6" s="422" t="s">
        <v>249</v>
      </c>
      <c r="D6" s="422" t="s">
        <v>249</v>
      </c>
      <c r="E6" s="422" t="s">
        <v>249</v>
      </c>
    </row>
    <row r="7" spans="2:5" x14ac:dyDescent="0.3">
      <c r="B7" s="423" t="s">
        <v>254</v>
      </c>
      <c r="C7" s="422" t="s">
        <v>250</v>
      </c>
      <c r="D7" s="422" t="s">
        <v>251</v>
      </c>
      <c r="E7" s="422" t="s">
        <v>252</v>
      </c>
    </row>
    <row r="8" spans="2:5" x14ac:dyDescent="0.3">
      <c r="B8" s="424">
        <v>1</v>
      </c>
      <c r="C8" s="425">
        <v>6838422.8955493085</v>
      </c>
      <c r="D8" s="425">
        <v>9151352.4292695411</v>
      </c>
      <c r="E8" s="426">
        <v>0.1963700048278969</v>
      </c>
    </row>
    <row r="9" spans="2:5" x14ac:dyDescent="0.3">
      <c r="B9" s="424">
        <v>2</v>
      </c>
      <c r="C9" s="425">
        <v>10556799.011975398</v>
      </c>
      <c r="D9" s="425">
        <v>14127378.455407891</v>
      </c>
      <c r="E9" s="426">
        <v>0.24949402797324538</v>
      </c>
    </row>
    <row r="10" spans="2:5" x14ac:dyDescent="0.3">
      <c r="B10" s="424">
        <v>3</v>
      </c>
      <c r="C10" s="425">
        <v>8631909.4451762401</v>
      </c>
      <c r="D10" s="425">
        <v>11551442.003061874</v>
      </c>
      <c r="E10" s="426">
        <v>0.2085888307788224</v>
      </c>
    </row>
    <row r="11" spans="2:5" x14ac:dyDescent="0.3">
      <c r="B11" s="424">
        <v>4</v>
      </c>
      <c r="C11" s="425">
        <v>8960491.8880450279</v>
      </c>
      <c r="D11" s="425">
        <v>11991159.432459176</v>
      </c>
      <c r="E11" s="426">
        <v>0.22108638496679878</v>
      </c>
    </row>
    <row r="12" spans="2:5" x14ac:dyDescent="0.3">
      <c r="B12" s="424">
        <v>5</v>
      </c>
      <c r="C12" s="425">
        <v>11621515.025867458</v>
      </c>
      <c r="D12" s="425">
        <v>15552208.658078564</v>
      </c>
      <c r="E12" s="426">
        <v>0.28196738942485799</v>
      </c>
    </row>
    <row r="13" spans="2:5" x14ac:dyDescent="0.3">
      <c r="B13" s="424">
        <v>6</v>
      </c>
      <c r="C13" s="425">
        <v>8963934.608558543</v>
      </c>
      <c r="D13" s="425">
        <v>11995766.56910689</v>
      </c>
      <c r="E13" s="426">
        <v>0.21801383569433974</v>
      </c>
    </row>
    <row r="14" spans="2:5" x14ac:dyDescent="0.3">
      <c r="B14" s="424">
        <v>7</v>
      </c>
      <c r="C14" s="425">
        <v>7819404.8286216035</v>
      </c>
      <c r="D14" s="425">
        <v>10464127.543270377</v>
      </c>
      <c r="E14" s="426">
        <v>0.20179722894319929</v>
      </c>
    </row>
    <row r="15" spans="2:5" x14ac:dyDescent="0.3">
      <c r="B15" s="424">
        <v>8</v>
      </c>
      <c r="C15" s="425">
        <v>11769937.653375112</v>
      </c>
      <c r="D15" s="425">
        <v>15750831.614503903</v>
      </c>
      <c r="E15" s="426">
        <v>0.27081640887283087</v>
      </c>
    </row>
    <row r="16" spans="2:5" x14ac:dyDescent="0.3">
      <c r="B16" s="424">
        <v>9</v>
      </c>
      <c r="C16" s="425">
        <v>11918460.655046035</v>
      </c>
      <c r="D16" s="425">
        <v>15949588.89420186</v>
      </c>
      <c r="E16" s="426">
        <v>0.26917583963988467</v>
      </c>
    </row>
    <row r="17" spans="2:5" x14ac:dyDescent="0.3">
      <c r="B17" s="424">
        <v>10</v>
      </c>
      <c r="C17" s="425">
        <v>10275959.861615075</v>
      </c>
      <c r="D17" s="425">
        <v>13751552.321204254</v>
      </c>
      <c r="E17" s="426">
        <v>0.25776274490263185</v>
      </c>
    </row>
    <row r="18" spans="2:5" x14ac:dyDescent="0.3">
      <c r="B18" s="424">
        <v>11</v>
      </c>
      <c r="C18" s="425">
        <v>9346763.2107520178</v>
      </c>
      <c r="D18" s="425">
        <v>12508077.596399054</v>
      </c>
      <c r="E18" s="426">
        <v>0.22702853785626864</v>
      </c>
    </row>
    <row r="19" spans="2:5" x14ac:dyDescent="0.3">
      <c r="B19" s="424">
        <v>12</v>
      </c>
      <c r="C19" s="425">
        <v>4251051.164217066</v>
      </c>
      <c r="D19" s="425">
        <v>5688865.399641538</v>
      </c>
      <c r="E19" s="426">
        <v>0.13627694075406116</v>
      </c>
    </row>
    <row r="20" spans="2:5" x14ac:dyDescent="0.3">
      <c r="B20" s="424">
        <v>13</v>
      </c>
      <c r="C20" s="425">
        <v>6372675.0431186222</v>
      </c>
      <c r="D20" s="425">
        <v>8528076.7404345255</v>
      </c>
      <c r="E20" s="426">
        <v>0.17668143069181919</v>
      </c>
    </row>
    <row r="21" spans="2:5" x14ac:dyDescent="0.3">
      <c r="B21" s="424">
        <v>14</v>
      </c>
      <c r="C21" s="425">
        <v>10572001.971791796</v>
      </c>
      <c r="D21" s="425">
        <v>14147723.44508942</v>
      </c>
      <c r="E21" s="426">
        <v>0.25852608174367231</v>
      </c>
    </row>
    <row r="22" spans="2:5" x14ac:dyDescent="0.3">
      <c r="B22" s="424">
        <v>15</v>
      </c>
      <c r="C22" s="425">
        <v>9996535.2407811321</v>
      </c>
      <c r="D22" s="425">
        <v>13377619.14659309</v>
      </c>
      <c r="E22" s="426">
        <v>0.23685838980496166</v>
      </c>
    </row>
    <row r="23" spans="2:5" x14ac:dyDescent="0.3">
      <c r="B23" s="424">
        <v>16</v>
      </c>
      <c r="C23" s="425">
        <v>15842257.236129062</v>
      </c>
      <c r="D23" s="425">
        <v>21200513.840306602</v>
      </c>
      <c r="E23" s="426">
        <v>0.34765411134813684</v>
      </c>
    </row>
    <row r="24" spans="2:5" x14ac:dyDescent="0.3">
      <c r="B24" s="424">
        <v>17</v>
      </c>
      <c r="C24" s="425">
        <v>6133269.4877040386</v>
      </c>
      <c r="D24" s="425">
        <v>8207698.1027591964</v>
      </c>
      <c r="E24" s="426">
        <v>0.16993302226875118</v>
      </c>
    </row>
    <row r="25" spans="2:5" x14ac:dyDescent="0.3">
      <c r="B25" s="424">
        <v>18</v>
      </c>
      <c r="C25" s="425">
        <v>13050854.773905125</v>
      </c>
      <c r="D25" s="425">
        <v>17464987.66798291</v>
      </c>
      <c r="E25" s="426">
        <v>0.30024827060635095</v>
      </c>
    </row>
    <row r="26" spans="2:5" x14ac:dyDescent="0.3">
      <c r="B26" s="424">
        <v>19</v>
      </c>
      <c r="C26" s="425">
        <v>9451034.5009708963</v>
      </c>
      <c r="D26" s="425">
        <v>12647616.10397931</v>
      </c>
      <c r="E26" s="426">
        <v>0.22061555973585389</v>
      </c>
    </row>
    <row r="27" spans="2:5" x14ac:dyDescent="0.3">
      <c r="B27" s="424">
        <v>20</v>
      </c>
      <c r="C27" s="425">
        <v>7583993.4496112168</v>
      </c>
      <c r="D27" s="425">
        <v>10149094.014620591</v>
      </c>
      <c r="E27" s="426">
        <v>0.20335725807928617</v>
      </c>
    </row>
    <row r="28" spans="2:5" x14ac:dyDescent="0.3">
      <c r="B28" s="424">
        <v>21</v>
      </c>
      <c r="C28" s="425">
        <v>8869230.2995232735</v>
      </c>
      <c r="D28" s="425">
        <v>11869030.840446958</v>
      </c>
      <c r="E28" s="426">
        <v>0.22081375089165634</v>
      </c>
    </row>
    <row r="29" spans="2:5" x14ac:dyDescent="0.3">
      <c r="B29" s="424">
        <v>22</v>
      </c>
      <c r="C29" s="425">
        <v>7061397.175211262</v>
      </c>
      <c r="D29" s="425">
        <v>9449742.3134601023</v>
      </c>
      <c r="E29" s="426">
        <v>0.18667227200744874</v>
      </c>
    </row>
    <row r="30" spans="2:5" x14ac:dyDescent="0.3">
      <c r="B30" s="424">
        <v>23</v>
      </c>
      <c r="C30" s="425">
        <v>13745114.401661992</v>
      </c>
      <c r="D30" s="425">
        <v>18394063.659342203</v>
      </c>
      <c r="E30" s="426">
        <v>0.30067522388191792</v>
      </c>
    </row>
    <row r="31" spans="2:5" x14ac:dyDescent="0.3">
      <c r="B31" s="424">
        <v>24</v>
      </c>
      <c r="C31" s="425">
        <v>15161805.700968005</v>
      </c>
      <c r="D31" s="425">
        <v>20289916.19163689</v>
      </c>
      <c r="E31" s="426">
        <v>0.33554271128723667</v>
      </c>
    </row>
    <row r="32" spans="2:5" x14ac:dyDescent="0.3">
      <c r="B32" s="424">
        <v>25</v>
      </c>
      <c r="C32" s="425">
        <v>4680447.0052597187</v>
      </c>
      <c r="D32" s="425">
        <v>6263493.89703988</v>
      </c>
      <c r="E32" s="426">
        <v>0.14873035327014339</v>
      </c>
    </row>
    <row r="33" spans="2:5" x14ac:dyDescent="0.3">
      <c r="B33" s="424">
        <v>26</v>
      </c>
      <c r="C33" s="425">
        <v>5446083.0996113904</v>
      </c>
      <c r="D33" s="425">
        <v>7288087.7016350543</v>
      </c>
      <c r="E33" s="426">
        <v>0.15932923783519382</v>
      </c>
    </row>
    <row r="34" spans="2:5" x14ac:dyDescent="0.3">
      <c r="B34" s="424">
        <v>27</v>
      </c>
      <c r="C34" s="425">
        <v>10205872.537680242</v>
      </c>
      <c r="D34" s="425">
        <v>13657759.671649124</v>
      </c>
      <c r="E34" s="426">
        <v>0.25156324361030524</v>
      </c>
    </row>
    <row r="35" spans="2:5" x14ac:dyDescent="0.3">
      <c r="B35" s="424">
        <v>28</v>
      </c>
      <c r="C35" s="425">
        <v>7582650.7403979972</v>
      </c>
      <c r="D35" s="425">
        <v>10147297.166808181</v>
      </c>
      <c r="E35" s="426">
        <v>0.19430958174014479</v>
      </c>
    </row>
    <row r="36" spans="2:5" x14ac:dyDescent="0.3">
      <c r="B36" s="424">
        <v>29</v>
      </c>
      <c r="C36" s="425">
        <v>10277326.915714875</v>
      </c>
      <c r="D36" s="425">
        <v>13753381.747966571</v>
      </c>
      <c r="E36" s="426">
        <v>0.23991544525184771</v>
      </c>
    </row>
    <row r="37" spans="2:5" x14ac:dyDescent="0.3">
      <c r="B37" s="424">
        <v>30</v>
      </c>
      <c r="C37" s="425">
        <v>7360866.3920977488</v>
      </c>
      <c r="D37" s="425">
        <v>9850499.6792014409</v>
      </c>
      <c r="E37" s="426">
        <v>0.19055200117939863</v>
      </c>
    </row>
    <row r="38" spans="2:5" x14ac:dyDescent="0.3">
      <c r="B38" s="424">
        <v>31</v>
      </c>
      <c r="C38" s="425">
        <v>11363497.432600589</v>
      </c>
      <c r="D38" s="425">
        <v>15206922.915298047</v>
      </c>
      <c r="E38" s="426">
        <v>0.27304281913108919</v>
      </c>
    </row>
    <row r="39" spans="2:5" x14ac:dyDescent="0.3">
      <c r="B39" s="424">
        <v>32</v>
      </c>
      <c r="C39" s="425">
        <v>9264993.2222108785</v>
      </c>
      <c r="D39" s="425">
        <v>12398650.906253243</v>
      </c>
      <c r="E39" s="426">
        <v>0.22776590419640752</v>
      </c>
    </row>
    <row r="40" spans="2:5" x14ac:dyDescent="0.3">
      <c r="B40" s="424">
        <v>33</v>
      </c>
      <c r="C40" s="425">
        <v>9212813.4659195989</v>
      </c>
      <c r="D40" s="425">
        <v>12328822.621751318</v>
      </c>
      <c r="E40" s="426">
        <v>0.22005722934548611</v>
      </c>
    </row>
    <row r="41" spans="2:5" x14ac:dyDescent="0.3">
      <c r="B41" s="424">
        <v>34</v>
      </c>
      <c r="C41" s="425">
        <v>9009319.8308409192</v>
      </c>
      <c r="D41" s="425">
        <v>12056502.234410228</v>
      </c>
      <c r="E41" s="426">
        <v>0.21877938720235646</v>
      </c>
    </row>
    <row r="42" spans="2:5" x14ac:dyDescent="0.3">
      <c r="B42" s="424">
        <v>35</v>
      </c>
      <c r="C42" s="425">
        <v>9544039.1041472666</v>
      </c>
      <c r="D42" s="425">
        <v>12772077.242784467</v>
      </c>
      <c r="E42" s="426">
        <v>0.23550166573964426</v>
      </c>
    </row>
    <row r="43" spans="2:5" x14ac:dyDescent="0.3">
      <c r="B43" s="424">
        <v>36</v>
      </c>
      <c r="C43" s="425">
        <v>7467882.7345341817</v>
      </c>
      <c r="D43" s="425">
        <v>9993711.6858710758</v>
      </c>
      <c r="E43" s="426">
        <v>0.19176849735279333</v>
      </c>
    </row>
    <row r="44" spans="2:5" x14ac:dyDescent="0.3">
      <c r="B44" s="424">
        <v>37</v>
      </c>
      <c r="C44" s="425">
        <v>7262356.8944246974</v>
      </c>
      <c r="D44" s="425">
        <v>9718671.749778837</v>
      </c>
      <c r="E44" s="426">
        <v>0.19321672363359577</v>
      </c>
    </row>
    <row r="45" spans="2:5" x14ac:dyDescent="0.3">
      <c r="B45" s="424">
        <v>38</v>
      </c>
      <c r="C45" s="425">
        <v>15673037.048054023</v>
      </c>
      <c r="D45" s="425">
        <v>20974059.056378301</v>
      </c>
      <c r="E45" s="426">
        <v>0.34394818842528974</v>
      </c>
    </row>
    <row r="46" spans="2:5" x14ac:dyDescent="0.3">
      <c r="B46" s="424">
        <v>39</v>
      </c>
      <c r="C46" s="425">
        <v>5744242.096340511</v>
      </c>
      <c r="D46" s="425">
        <v>7687091.6972495178</v>
      </c>
      <c r="E46" s="426">
        <v>0.174348776849089</v>
      </c>
    </row>
    <row r="47" spans="2:5" x14ac:dyDescent="0.3">
      <c r="B47" s="424">
        <v>40</v>
      </c>
      <c r="C47" s="425">
        <v>7546086.9947057236</v>
      </c>
      <c r="D47" s="425">
        <v>10098366.627109919</v>
      </c>
      <c r="E47" s="426">
        <v>0.19909182478475884</v>
      </c>
    </row>
    <row r="48" spans="2:5" x14ac:dyDescent="0.3">
      <c r="B48" s="424">
        <v>41</v>
      </c>
      <c r="C48" s="425">
        <v>13472120.734138068</v>
      </c>
      <c r="D48" s="425">
        <v>18028736.55093886</v>
      </c>
      <c r="E48" s="426">
        <v>0.30282077560800591</v>
      </c>
    </row>
    <row r="49" spans="2:5" x14ac:dyDescent="0.3">
      <c r="B49" s="424">
        <v>42</v>
      </c>
      <c r="C49" s="425">
        <v>11378378.950332277</v>
      </c>
      <c r="D49" s="425">
        <v>15226837.742960097</v>
      </c>
      <c r="E49" s="426">
        <v>0.25228559170098297</v>
      </c>
    </row>
    <row r="50" spans="2:5" x14ac:dyDescent="0.3">
      <c r="B50" s="424">
        <v>43</v>
      </c>
      <c r="C50" s="425">
        <v>16513740.783624869</v>
      </c>
      <c r="D50" s="425">
        <v>22099110.298503075</v>
      </c>
      <c r="E50" s="426">
        <v>0.34440084404899807</v>
      </c>
    </row>
    <row r="51" spans="2:5" x14ac:dyDescent="0.3">
      <c r="B51" s="424">
        <v>44</v>
      </c>
      <c r="C51" s="425">
        <v>1422853.5593416989</v>
      </c>
      <c r="D51" s="425">
        <v>1904099.0262902617</v>
      </c>
      <c r="E51" s="426">
        <v>8.6492922419886709E-2</v>
      </c>
    </row>
    <row r="52" spans="2:5" x14ac:dyDescent="0.3">
      <c r="B52" s="424">
        <v>45</v>
      </c>
      <c r="C52" s="425">
        <v>11433809.989061948</v>
      </c>
      <c r="D52" s="425">
        <v>15301016.976781081</v>
      </c>
      <c r="E52" s="426">
        <v>0.26873546521119862</v>
      </c>
    </row>
    <row r="53" spans="2:5" x14ac:dyDescent="0.3">
      <c r="B53" s="424">
        <v>46</v>
      </c>
      <c r="C53" s="425">
        <v>11371519.528380442</v>
      </c>
      <c r="D53" s="425">
        <v>15217658.289056603</v>
      </c>
      <c r="E53" s="426">
        <v>0.25685977246371361</v>
      </c>
    </row>
    <row r="54" spans="2:5" x14ac:dyDescent="0.3">
      <c r="B54" s="424">
        <v>47</v>
      </c>
      <c r="C54" s="425">
        <v>7036638.1177910492</v>
      </c>
      <c r="D54" s="425">
        <v>9416609.1095431075</v>
      </c>
      <c r="E54" s="426">
        <v>0.19266752032447099</v>
      </c>
    </row>
    <row r="55" spans="2:5" x14ac:dyDescent="0.3">
      <c r="B55" s="424">
        <v>48</v>
      </c>
      <c r="C55" s="425">
        <v>9523292.4715306275</v>
      </c>
      <c r="D55" s="425">
        <v>12744313.568367811</v>
      </c>
      <c r="E55" s="426">
        <v>0.22807538214314249</v>
      </c>
    </row>
    <row r="56" spans="2:5" x14ac:dyDescent="0.3">
      <c r="B56" s="424">
        <v>49</v>
      </c>
      <c r="C56" s="425">
        <v>8194744.0158558488</v>
      </c>
      <c r="D56" s="425">
        <v>10966416.04390284</v>
      </c>
      <c r="E56" s="426">
        <v>0.20804092726978252</v>
      </c>
    </row>
    <row r="57" spans="2:5" x14ac:dyDescent="0.3">
      <c r="B57" s="424">
        <v>50</v>
      </c>
      <c r="C57" s="425">
        <v>10976979.42865105</v>
      </c>
      <c r="D57" s="425">
        <v>14689674.636209875</v>
      </c>
      <c r="E57" s="426">
        <v>0.25421614834711082</v>
      </c>
    </row>
    <row r="58" spans="2:5" x14ac:dyDescent="0.3">
      <c r="B58" s="424">
        <v>51</v>
      </c>
      <c r="C58" s="425">
        <v>12465734.358914154</v>
      </c>
      <c r="D58" s="425">
        <v>16681964.562666066</v>
      </c>
      <c r="E58" s="426">
        <v>0.2971517499698777</v>
      </c>
    </row>
    <row r="59" spans="2:5" x14ac:dyDescent="0.3">
      <c r="B59" s="424">
        <v>52</v>
      </c>
      <c r="C59" s="425">
        <v>1548269.8507438302</v>
      </c>
      <c r="D59" s="425">
        <v>2071934.3152923288</v>
      </c>
      <c r="E59" s="426">
        <v>8.8743061249374033E-2</v>
      </c>
    </row>
    <row r="60" spans="2:5" x14ac:dyDescent="0.3">
      <c r="B60" s="424">
        <v>53</v>
      </c>
      <c r="C60" s="425">
        <v>8651759.0336162802</v>
      </c>
      <c r="D60" s="425">
        <v>11578005.230017168</v>
      </c>
      <c r="E60" s="426">
        <v>0.22442438915314278</v>
      </c>
    </row>
    <row r="61" spans="2:5" x14ac:dyDescent="0.3">
      <c r="B61" s="424">
        <v>54</v>
      </c>
      <c r="C61" s="425">
        <v>10214251.700105082</v>
      </c>
      <c r="D61" s="425">
        <v>13668972.88112491</v>
      </c>
      <c r="E61" s="426">
        <v>0.24154706034443119</v>
      </c>
    </row>
    <row r="62" spans="2:5" x14ac:dyDescent="0.3">
      <c r="B62" s="424">
        <v>55</v>
      </c>
      <c r="C62" s="425">
        <v>13943503.673770148</v>
      </c>
      <c r="D62" s="425">
        <v>18659553.257598784</v>
      </c>
      <c r="E62" s="426">
        <v>0.29708867321309751</v>
      </c>
    </row>
    <row r="63" spans="2:5" x14ac:dyDescent="0.3">
      <c r="B63" s="424">
        <v>56</v>
      </c>
      <c r="C63" s="425">
        <v>6905363.9584071599</v>
      </c>
      <c r="D63" s="425">
        <v>9240934.671777647</v>
      </c>
      <c r="E63" s="426">
        <v>0.19285864510861006</v>
      </c>
    </row>
    <row r="64" spans="2:5" x14ac:dyDescent="0.3">
      <c r="B64" s="424">
        <v>57</v>
      </c>
      <c r="C64" s="425">
        <v>7909697.7824343797</v>
      </c>
      <c r="D64" s="425">
        <v>10584959.883539692</v>
      </c>
      <c r="E64" s="426">
        <v>0.20768304524351455</v>
      </c>
    </row>
    <row r="65" spans="2:5" x14ac:dyDescent="0.3">
      <c r="B65" s="424">
        <v>58</v>
      </c>
      <c r="C65" s="425">
        <v>6851898.5785301514</v>
      </c>
      <c r="D65" s="425">
        <v>9169385.932910135</v>
      </c>
      <c r="E65" s="426">
        <v>0.18414004610544366</v>
      </c>
    </row>
    <row r="66" spans="2:5" x14ac:dyDescent="0.3">
      <c r="B66" s="424">
        <v>59</v>
      </c>
      <c r="C66" s="425">
        <v>10697955.100618858</v>
      </c>
      <c r="D66" s="425">
        <v>14316277.143664543</v>
      </c>
      <c r="E66" s="426">
        <v>0.26742633963783646</v>
      </c>
    </row>
    <row r="67" spans="2:5" x14ac:dyDescent="0.3">
      <c r="B67" s="424">
        <v>60</v>
      </c>
      <c r="C67" s="425">
        <v>13044448.079925016</v>
      </c>
      <c r="D67" s="425">
        <v>17456414.066230871</v>
      </c>
      <c r="E67" s="426">
        <v>0.29346272683845354</v>
      </c>
    </row>
    <row r="68" spans="2:5" x14ac:dyDescent="0.3">
      <c r="B68" s="424">
        <v>61</v>
      </c>
      <c r="C68" s="425">
        <v>8934773.1116987728</v>
      </c>
      <c r="D68" s="425">
        <v>11956741.908128044</v>
      </c>
      <c r="E68" s="426">
        <v>0.21473954353980118</v>
      </c>
    </row>
    <row r="69" spans="2:5" x14ac:dyDescent="0.3">
      <c r="B69" s="424">
        <v>62</v>
      </c>
      <c r="C69" s="425">
        <v>13666986.52022608</v>
      </c>
      <c r="D69" s="425">
        <v>18289510.930080965</v>
      </c>
      <c r="E69" s="426">
        <v>0.304494489160271</v>
      </c>
    </row>
    <row r="70" spans="2:5" x14ac:dyDescent="0.3">
      <c r="B70" s="424">
        <v>63</v>
      </c>
      <c r="C70" s="425">
        <v>12323636.764026279</v>
      </c>
      <c r="D70" s="425">
        <v>16491805.926671667</v>
      </c>
      <c r="E70" s="426">
        <v>0.29498936168313561</v>
      </c>
    </row>
    <row r="71" spans="2:5" x14ac:dyDescent="0.3">
      <c r="B71" s="424">
        <v>64</v>
      </c>
      <c r="C71" s="425">
        <v>12887970.110028837</v>
      </c>
      <c r="D71" s="425">
        <v>17247011.244584881</v>
      </c>
      <c r="E71" s="426">
        <v>0.28845958289215856</v>
      </c>
    </row>
    <row r="72" spans="2:5" x14ac:dyDescent="0.3">
      <c r="B72" s="424">
        <v>65</v>
      </c>
      <c r="C72" s="425">
        <v>7229126.9897582754</v>
      </c>
      <c r="D72" s="425">
        <v>9674202.6414130218</v>
      </c>
      <c r="E72" s="426">
        <v>0.1903010563152896</v>
      </c>
    </row>
    <row r="73" spans="2:5" x14ac:dyDescent="0.3">
      <c r="B73" s="424">
        <v>66</v>
      </c>
      <c r="C73" s="425">
        <v>4739837.5538094006</v>
      </c>
      <c r="D73" s="425">
        <v>6342971.8481767587</v>
      </c>
      <c r="E73" s="426">
        <v>0.14752605075000269</v>
      </c>
    </row>
    <row r="74" spans="2:5" x14ac:dyDescent="0.3">
      <c r="B74" s="424">
        <v>67</v>
      </c>
      <c r="C74" s="425">
        <v>10958839.023018938</v>
      </c>
      <c r="D74" s="425">
        <v>14665398.681404943</v>
      </c>
      <c r="E74" s="426">
        <v>0.25606025967143276</v>
      </c>
    </row>
    <row r="75" spans="2:5" x14ac:dyDescent="0.3">
      <c r="B75" s="424">
        <v>68</v>
      </c>
      <c r="C75" s="425">
        <v>15020673.345183447</v>
      </c>
      <c r="D75" s="425">
        <v>20101049.263299052</v>
      </c>
      <c r="E75" s="426">
        <v>0.32236991402631765</v>
      </c>
    </row>
    <row r="76" spans="2:5" x14ac:dyDescent="0.3">
      <c r="B76" s="424">
        <v>69</v>
      </c>
      <c r="C76" s="425">
        <v>3924586.0156409405</v>
      </c>
      <c r="D76" s="425">
        <v>5251981.387621982</v>
      </c>
      <c r="E76" s="426">
        <v>0.13097837557115288</v>
      </c>
    </row>
    <row r="77" spans="2:5" x14ac:dyDescent="0.3">
      <c r="B77" s="424">
        <v>70</v>
      </c>
      <c r="C77" s="425">
        <v>10151292.050311148</v>
      </c>
      <c r="D77" s="425">
        <v>13584718.667413929</v>
      </c>
      <c r="E77" s="426">
        <v>0.23789636616139531</v>
      </c>
    </row>
    <row r="78" spans="2:5" x14ac:dyDescent="0.3">
      <c r="B78" s="424">
        <v>71</v>
      </c>
      <c r="C78" s="425">
        <v>9873545.64862849</v>
      </c>
      <c r="D78" s="425">
        <v>13213031.328595832</v>
      </c>
      <c r="E78" s="426">
        <v>0.2372190998204895</v>
      </c>
    </row>
    <row r="79" spans="2:5" x14ac:dyDescent="0.3">
      <c r="B79" s="424">
        <v>72</v>
      </c>
      <c r="C79" s="425">
        <v>15578503.728206024</v>
      </c>
      <c r="D79" s="425">
        <v>20847552.149822269</v>
      </c>
      <c r="E79" s="426">
        <v>0.33080175016883695</v>
      </c>
    </row>
    <row r="80" spans="2:5" x14ac:dyDescent="0.3">
      <c r="B80" s="424">
        <v>73</v>
      </c>
      <c r="C80" s="425">
        <v>9452217.7781259343</v>
      </c>
      <c r="D80" s="425">
        <v>12649199.595733572</v>
      </c>
      <c r="E80" s="426">
        <v>0.22666224516027</v>
      </c>
    </row>
    <row r="81" spans="2:5" x14ac:dyDescent="0.3">
      <c r="B81" s="424">
        <v>74</v>
      </c>
      <c r="C81" s="425">
        <v>5957899.8193061352</v>
      </c>
      <c r="D81" s="425">
        <v>7973013.9269738914</v>
      </c>
      <c r="E81" s="426">
        <v>0.16197641462792101</v>
      </c>
    </row>
    <row r="82" spans="2:5" x14ac:dyDescent="0.3">
      <c r="B82" s="424">
        <v>75</v>
      </c>
      <c r="C82" s="425">
        <v>7176569.5369881503</v>
      </c>
      <c r="D82" s="425">
        <v>9603868.9138225354</v>
      </c>
      <c r="E82" s="426">
        <v>0.18463286850047678</v>
      </c>
    </row>
    <row r="83" spans="2:5" x14ac:dyDescent="0.3">
      <c r="B83" s="424">
        <v>76</v>
      </c>
      <c r="C83" s="425">
        <v>9387710.3603835646</v>
      </c>
      <c r="D83" s="425">
        <v>12562874.119365804</v>
      </c>
      <c r="E83" s="426">
        <v>0.23017031043909508</v>
      </c>
    </row>
    <row r="84" spans="2:5" x14ac:dyDescent="0.3">
      <c r="B84" s="424">
        <v>77</v>
      </c>
      <c r="C84" s="425">
        <v>19026965.804519925</v>
      </c>
      <c r="D84" s="425">
        <v>25462372.303729136</v>
      </c>
      <c r="E84" s="426">
        <v>0.39678711185219839</v>
      </c>
    </row>
    <row r="85" spans="2:5" x14ac:dyDescent="0.3">
      <c r="B85" s="424">
        <v>78</v>
      </c>
      <c r="C85" s="425">
        <v>12109140.29891533</v>
      </c>
      <c r="D85" s="425">
        <v>16204761.27075541</v>
      </c>
      <c r="E85" s="426">
        <v>0.27914140030310586</v>
      </c>
    </row>
    <row r="86" spans="2:5" x14ac:dyDescent="0.3">
      <c r="B86" s="424">
        <v>79</v>
      </c>
      <c r="C86" s="425">
        <v>6510695.9082001299</v>
      </c>
      <c r="D86" s="425">
        <v>8712779.7923290785</v>
      </c>
      <c r="E86" s="426">
        <v>0.17878389059405664</v>
      </c>
    </row>
    <row r="87" spans="2:5" x14ac:dyDescent="0.3">
      <c r="B87" s="424">
        <v>80</v>
      </c>
      <c r="C87" s="425">
        <v>11508989.929906238</v>
      </c>
      <c r="D87" s="425">
        <v>15401624.696541365</v>
      </c>
      <c r="E87" s="426">
        <v>0.26306810006778103</v>
      </c>
    </row>
    <row r="88" spans="2:5" x14ac:dyDescent="0.3">
      <c r="B88" s="424">
        <v>81</v>
      </c>
      <c r="C88" s="425">
        <v>12145260.204395536</v>
      </c>
      <c r="D88" s="425">
        <v>16253097.852129517</v>
      </c>
      <c r="E88" s="426">
        <v>0.28368873923661186</v>
      </c>
    </row>
    <row r="89" spans="2:5" x14ac:dyDescent="0.3">
      <c r="B89" s="424">
        <v>82</v>
      </c>
      <c r="C89" s="425">
        <v>9901678.1159364656</v>
      </c>
      <c r="D89" s="425">
        <v>13250678.915908361</v>
      </c>
      <c r="E89" s="426">
        <v>0.24899101743692387</v>
      </c>
    </row>
    <row r="90" spans="2:5" x14ac:dyDescent="0.3">
      <c r="B90" s="424">
        <v>83</v>
      </c>
      <c r="C90" s="425">
        <v>9022026.7991445232</v>
      </c>
      <c r="D90" s="425">
        <v>12073507.024407864</v>
      </c>
      <c r="E90" s="426">
        <v>0.2245426797915766</v>
      </c>
    </row>
    <row r="91" spans="2:5" x14ac:dyDescent="0.3">
      <c r="B91" s="424">
        <v>84</v>
      </c>
      <c r="C91" s="425">
        <v>8228696.7417013124</v>
      </c>
      <c r="D91" s="425">
        <v>11011852.450058481</v>
      </c>
      <c r="E91" s="426">
        <v>0.20987044496887597</v>
      </c>
    </row>
    <row r="92" spans="2:5" x14ac:dyDescent="0.3">
      <c r="B92" s="424">
        <v>85</v>
      </c>
      <c r="C92" s="425">
        <v>14796816.056670297</v>
      </c>
      <c r="D92" s="425">
        <v>19801477.714078568</v>
      </c>
      <c r="E92" s="426">
        <v>0.32600009721424938</v>
      </c>
    </row>
    <row r="93" spans="2:5" x14ac:dyDescent="0.3">
      <c r="B93" s="424">
        <v>86</v>
      </c>
      <c r="C93" s="425">
        <v>9959756.7106540818</v>
      </c>
      <c r="D93" s="425">
        <v>13328401.17687054</v>
      </c>
      <c r="E93" s="426">
        <v>0.2479793877422265</v>
      </c>
    </row>
    <row r="94" spans="2:5" x14ac:dyDescent="0.3">
      <c r="B94" s="424">
        <v>87</v>
      </c>
      <c r="C94" s="425">
        <v>7997848.5118711852</v>
      </c>
      <c r="D94" s="425">
        <v>10702925.444356121</v>
      </c>
      <c r="E94" s="426">
        <v>0.19443275029637808</v>
      </c>
    </row>
    <row r="95" spans="2:5" x14ac:dyDescent="0.3">
      <c r="B95" s="424">
        <v>88</v>
      </c>
      <c r="C95" s="425">
        <v>11742452.67909706</v>
      </c>
      <c r="D95" s="425">
        <v>15714050.518925337</v>
      </c>
      <c r="E95" s="426">
        <v>0.28044195932301297</v>
      </c>
    </row>
    <row r="96" spans="2:5" x14ac:dyDescent="0.3">
      <c r="B96" s="424">
        <v>89</v>
      </c>
      <c r="C96" s="425">
        <v>13199562.646295112</v>
      </c>
      <c r="D96" s="425">
        <v>17663992.346405666</v>
      </c>
      <c r="E96" s="426">
        <v>0.28616324501612689</v>
      </c>
    </row>
    <row r="97" spans="2:5" x14ac:dyDescent="0.3">
      <c r="B97" s="424">
        <v>90</v>
      </c>
      <c r="C97" s="425">
        <v>2366238.2632916123</v>
      </c>
      <c r="D97" s="425">
        <v>3166560.5666326401</v>
      </c>
      <c r="E97" s="426">
        <v>0.10300362512788541</v>
      </c>
    </row>
    <row r="98" spans="2:5" x14ac:dyDescent="0.3">
      <c r="B98" s="424">
        <v>91</v>
      </c>
      <c r="C98" s="425">
        <v>13400782.058774648</v>
      </c>
      <c r="D98" s="425">
        <v>17933269.310895428</v>
      </c>
      <c r="E98" s="426">
        <v>0.30032569810699994</v>
      </c>
    </row>
    <row r="99" spans="2:5" x14ac:dyDescent="0.3">
      <c r="B99" s="424">
        <v>92</v>
      </c>
      <c r="C99" s="425">
        <v>13944461.550089888</v>
      </c>
      <c r="D99" s="425">
        <v>18660835.112190038</v>
      </c>
      <c r="E99" s="426">
        <v>0.32175816733041018</v>
      </c>
    </row>
    <row r="100" spans="2:5" x14ac:dyDescent="0.3">
      <c r="B100" s="424">
        <v>93</v>
      </c>
      <c r="C100" s="425">
        <v>8571087.8680876791</v>
      </c>
      <c r="D100" s="425">
        <v>11470049.012931991</v>
      </c>
      <c r="E100" s="426">
        <v>0.21354349265007988</v>
      </c>
    </row>
    <row r="101" spans="2:5" x14ac:dyDescent="0.3">
      <c r="B101" s="424">
        <v>94</v>
      </c>
      <c r="C101" s="425">
        <v>15496717.905090056</v>
      </c>
      <c r="D101" s="425">
        <v>20738104.269443411</v>
      </c>
      <c r="E101" s="426">
        <v>0.32206460914445323</v>
      </c>
    </row>
    <row r="102" spans="2:5" x14ac:dyDescent="0.3">
      <c r="B102" s="424">
        <v>95</v>
      </c>
      <c r="C102" s="425">
        <v>8996321.3116593529</v>
      </c>
      <c r="D102" s="425">
        <v>12039107.283570532</v>
      </c>
      <c r="E102" s="426">
        <v>0.23559259689602485</v>
      </c>
    </row>
    <row r="103" spans="2:5" x14ac:dyDescent="0.3">
      <c r="B103" s="424">
        <v>96</v>
      </c>
      <c r="C103" s="425">
        <v>13087203.050204869</v>
      </c>
      <c r="D103" s="425">
        <v>17513629.861028899</v>
      </c>
      <c r="E103" s="426">
        <v>0.28333761609811381</v>
      </c>
    </row>
    <row r="104" spans="2:5" x14ac:dyDescent="0.3">
      <c r="B104" s="424">
        <v>97</v>
      </c>
      <c r="C104" s="425">
        <v>4635863.0009126365</v>
      </c>
      <c r="D104" s="425">
        <v>6203830.442070785</v>
      </c>
      <c r="E104" s="426">
        <v>0.14477507254234667</v>
      </c>
    </row>
    <row r="105" spans="2:5" x14ac:dyDescent="0.3">
      <c r="B105" s="424">
        <v>98</v>
      </c>
      <c r="C105" s="425">
        <v>6343374.6423658021</v>
      </c>
      <c r="D105" s="425">
        <v>8488866.1947131716</v>
      </c>
      <c r="E105" s="426">
        <v>0.17073233231554097</v>
      </c>
    </row>
    <row r="106" spans="2:5" x14ac:dyDescent="0.3">
      <c r="B106" s="424">
        <v>99</v>
      </c>
      <c r="C106" s="425">
        <v>10916443.769083992</v>
      </c>
      <c r="D106" s="425">
        <v>14608664.268220352</v>
      </c>
      <c r="E106" s="426">
        <v>0.24713224856446026</v>
      </c>
    </row>
    <row r="107" spans="2:5" x14ac:dyDescent="0.3">
      <c r="B107" s="424">
        <v>100</v>
      </c>
      <c r="C107" s="425">
        <v>10159038.786063652</v>
      </c>
      <c r="D107" s="425">
        <v>13595085.54734084</v>
      </c>
      <c r="E107" s="426">
        <v>0.23607359442827325</v>
      </c>
    </row>
    <row r="108" spans="2:5" x14ac:dyDescent="0.3">
      <c r="B108" s="424">
        <v>101</v>
      </c>
      <c r="C108" s="425">
        <v>14256880.239610987</v>
      </c>
      <c r="D108" s="425">
        <v>19078921.793427445</v>
      </c>
      <c r="E108" s="426">
        <v>0.31788309989710251</v>
      </c>
    </row>
    <row r="109" spans="2:5" x14ac:dyDescent="0.3">
      <c r="B109" s="424">
        <v>102</v>
      </c>
      <c r="C109" s="425">
        <v>11667887.166441619</v>
      </c>
      <c r="D109" s="425">
        <v>15614265.04268297</v>
      </c>
      <c r="E109" s="426">
        <v>0.27444247655908294</v>
      </c>
    </row>
    <row r="110" spans="2:5" x14ac:dyDescent="0.3">
      <c r="B110" s="424">
        <v>103</v>
      </c>
      <c r="C110" s="425">
        <v>12292929.785347519</v>
      </c>
      <c r="D110" s="425">
        <v>16450713.062392935</v>
      </c>
      <c r="E110" s="426">
        <v>0.28581675560362418</v>
      </c>
    </row>
    <row r="111" spans="2:5" x14ac:dyDescent="0.3">
      <c r="B111" s="424">
        <v>104</v>
      </c>
      <c r="C111" s="425">
        <v>5932561.536910262</v>
      </c>
      <c r="D111" s="425">
        <v>7939105.5893792817</v>
      </c>
      <c r="E111" s="426">
        <v>0.17214332503571983</v>
      </c>
    </row>
    <row r="112" spans="2:5" x14ac:dyDescent="0.3">
      <c r="B112" s="424">
        <v>105</v>
      </c>
      <c r="C112" s="425">
        <v>15141357.954653841</v>
      </c>
      <c r="D112" s="425">
        <v>20262552.494514998</v>
      </c>
      <c r="E112" s="426">
        <v>0.32118669254444909</v>
      </c>
    </row>
    <row r="113" spans="2:5" x14ac:dyDescent="0.3">
      <c r="B113" s="424">
        <v>106</v>
      </c>
      <c r="C113" s="425">
        <v>4318684.4704399295</v>
      </c>
      <c r="D113" s="425">
        <v>5779374.0199266272</v>
      </c>
      <c r="E113" s="426">
        <v>0.13910206876574049</v>
      </c>
    </row>
    <row r="114" spans="2:5" x14ac:dyDescent="0.3">
      <c r="B114" s="424">
        <v>107</v>
      </c>
      <c r="C114" s="425">
        <v>11439120.62024568</v>
      </c>
      <c r="D114" s="425">
        <v>15308123.799264351</v>
      </c>
      <c r="E114" s="426">
        <v>0.25614900809641972</v>
      </c>
    </row>
    <row r="115" spans="2:5" x14ac:dyDescent="0.3">
      <c r="B115" s="424">
        <v>108</v>
      </c>
      <c r="C115" s="425">
        <v>8469713.5508603398</v>
      </c>
      <c r="D115" s="425">
        <v>11334387.30870663</v>
      </c>
      <c r="E115" s="426">
        <v>0.21649342407384609</v>
      </c>
    </row>
    <row r="116" spans="2:5" x14ac:dyDescent="0.3">
      <c r="B116" s="424">
        <v>109</v>
      </c>
      <c r="C116" s="425">
        <v>10402110.50093692</v>
      </c>
      <c r="D116" s="425">
        <v>13920370.33337534</v>
      </c>
      <c r="E116" s="426">
        <v>0.25626428354597119</v>
      </c>
    </row>
    <row r="117" spans="2:5" x14ac:dyDescent="0.3">
      <c r="B117" s="424">
        <v>110</v>
      </c>
      <c r="C117" s="425">
        <v>11363072.31506932</v>
      </c>
      <c r="D117" s="425">
        <v>15206354.012144215</v>
      </c>
      <c r="E117" s="426">
        <v>0.2626215454560219</v>
      </c>
    </row>
    <row r="118" spans="2:5" x14ac:dyDescent="0.3">
      <c r="B118" s="424">
        <v>111</v>
      </c>
      <c r="C118" s="425">
        <v>6264878.5146773942</v>
      </c>
      <c r="D118" s="425">
        <v>8383820.6688979892</v>
      </c>
      <c r="E118" s="426">
        <v>0.17517187952380864</v>
      </c>
    </row>
    <row r="119" spans="2:5" x14ac:dyDescent="0.3">
      <c r="B119" s="424">
        <v>112</v>
      </c>
      <c r="C119" s="425">
        <v>10783511.284688458</v>
      </c>
      <c r="D119" s="425">
        <v>14430770.617508335</v>
      </c>
      <c r="E119" s="426">
        <v>0.24309828483644269</v>
      </c>
    </row>
    <row r="120" spans="2:5" x14ac:dyDescent="0.3">
      <c r="B120" s="424">
        <v>113</v>
      </c>
      <c r="C120" s="425">
        <v>15235457.345747296</v>
      </c>
      <c r="D120" s="425">
        <v>20388478.706512846</v>
      </c>
      <c r="E120" s="426">
        <v>0.34838187514083763</v>
      </c>
    </row>
    <row r="121" spans="2:5" x14ac:dyDescent="0.3">
      <c r="B121" s="424">
        <v>114</v>
      </c>
      <c r="C121" s="425">
        <v>10636834.115108252</v>
      </c>
      <c r="D121" s="425">
        <v>14234483.47752613</v>
      </c>
      <c r="E121" s="426">
        <v>0.24637779086525824</v>
      </c>
    </row>
    <row r="122" spans="2:5" x14ac:dyDescent="0.3">
      <c r="B122" s="424">
        <v>115</v>
      </c>
      <c r="C122" s="425">
        <v>15025165.236341584</v>
      </c>
      <c r="D122" s="425">
        <v>20107060.426938664</v>
      </c>
      <c r="E122" s="426">
        <v>0.34298456657687715</v>
      </c>
    </row>
    <row r="123" spans="2:5" x14ac:dyDescent="0.3">
      <c r="B123" s="424">
        <v>116</v>
      </c>
      <c r="C123" s="425">
        <v>5469875.9344068654</v>
      </c>
      <c r="D123" s="425">
        <v>7319927.8817219697</v>
      </c>
      <c r="E123" s="426">
        <v>0.15727870648472075</v>
      </c>
    </row>
    <row r="124" spans="2:5" x14ac:dyDescent="0.3">
      <c r="B124" s="424">
        <v>117</v>
      </c>
      <c r="C124" s="425">
        <v>11859293.309933733</v>
      </c>
      <c r="D124" s="425">
        <v>15870409.639613891</v>
      </c>
      <c r="E124" s="426">
        <v>0.28117724719710502</v>
      </c>
    </row>
    <row r="125" spans="2:5" x14ac:dyDescent="0.3">
      <c r="B125" s="424">
        <v>118</v>
      </c>
      <c r="C125" s="425">
        <v>3235861.5370840915</v>
      </c>
      <c r="D125" s="425">
        <v>4330312.6744979834</v>
      </c>
      <c r="E125" s="426">
        <v>0.12047107733979434</v>
      </c>
    </row>
    <row r="126" spans="2:5" x14ac:dyDescent="0.3">
      <c r="B126" s="424">
        <v>119</v>
      </c>
      <c r="C126" s="425">
        <v>10827097.158105496</v>
      </c>
      <c r="D126" s="425">
        <v>14489098.348137051</v>
      </c>
      <c r="E126" s="426">
        <v>0.24463584423154838</v>
      </c>
    </row>
    <row r="127" spans="2:5" x14ac:dyDescent="0.3">
      <c r="B127" s="424">
        <v>120</v>
      </c>
      <c r="C127" s="425">
        <v>8975512.8859860878</v>
      </c>
      <c r="D127" s="425">
        <v>12011260.91610498</v>
      </c>
      <c r="E127" s="426">
        <v>0.22506075897426903</v>
      </c>
    </row>
    <row r="128" spans="2:5" x14ac:dyDescent="0.3">
      <c r="B128" s="424">
        <v>121</v>
      </c>
      <c r="C128" s="425">
        <v>12843727.160009999</v>
      </c>
      <c r="D128" s="425">
        <v>17187804.197241195</v>
      </c>
      <c r="E128" s="426">
        <v>0.2879443477000625</v>
      </c>
    </row>
    <row r="129" spans="2:5" x14ac:dyDescent="0.3">
      <c r="B129" s="424">
        <v>122</v>
      </c>
      <c r="C129" s="425">
        <v>6811867.045046024</v>
      </c>
      <c r="D129" s="425">
        <v>9115814.7108911239</v>
      </c>
      <c r="E129" s="426">
        <v>0.18839140445084013</v>
      </c>
    </row>
    <row r="130" spans="2:5" x14ac:dyDescent="0.3">
      <c r="B130" s="424">
        <v>123</v>
      </c>
      <c r="C130" s="425">
        <v>15315257.649264291</v>
      </c>
      <c r="D130" s="425">
        <v>20495269.513779532</v>
      </c>
      <c r="E130" s="426">
        <v>0.31946929127601753</v>
      </c>
    </row>
    <row r="131" spans="2:5" x14ac:dyDescent="0.3">
      <c r="B131" s="424">
        <v>124</v>
      </c>
      <c r="C131" s="425">
        <v>14406548.425676813</v>
      </c>
      <c r="D131" s="425">
        <v>19279211.588173732</v>
      </c>
      <c r="E131" s="426">
        <v>0.32569485707557</v>
      </c>
    </row>
    <row r="132" spans="2:5" x14ac:dyDescent="0.3">
      <c r="B132" s="424">
        <v>125</v>
      </c>
      <c r="C132" s="425">
        <v>11480280.63984701</v>
      </c>
      <c r="D132" s="425">
        <v>15363205.190269368</v>
      </c>
      <c r="E132" s="426">
        <v>0.26095384457459803</v>
      </c>
    </row>
    <row r="133" spans="2:5" x14ac:dyDescent="0.3">
      <c r="B133" s="424">
        <v>126</v>
      </c>
      <c r="C133" s="425">
        <v>15039640.582378354</v>
      </c>
      <c r="D133" s="425">
        <v>20126431.705249682</v>
      </c>
      <c r="E133" s="426">
        <v>0.31810291265172563</v>
      </c>
    </row>
    <row r="134" spans="2:5" x14ac:dyDescent="0.3">
      <c r="B134" s="424">
        <v>127</v>
      </c>
      <c r="C134" s="425">
        <v>11217860.963131391</v>
      </c>
      <c r="D134" s="425">
        <v>15012028.466823002</v>
      </c>
      <c r="E134" s="426">
        <v>0.26395673229546723</v>
      </c>
    </row>
    <row r="135" spans="2:5" x14ac:dyDescent="0.3">
      <c r="B135" s="424">
        <v>128</v>
      </c>
      <c r="C135" s="425">
        <v>6251991.0768213198</v>
      </c>
      <c r="D135" s="425">
        <v>8366574.3699292596</v>
      </c>
      <c r="E135" s="426">
        <v>0.16924334507522221</v>
      </c>
    </row>
    <row r="136" spans="2:5" x14ac:dyDescent="0.3">
      <c r="B136" s="424">
        <v>129</v>
      </c>
      <c r="C136" s="425">
        <v>6713834.8218890857</v>
      </c>
      <c r="D136" s="425">
        <v>8984625.4824335184</v>
      </c>
      <c r="E136" s="426">
        <v>0.18376497376437007</v>
      </c>
    </row>
    <row r="137" spans="2:5" x14ac:dyDescent="0.3">
      <c r="B137" s="424">
        <v>130</v>
      </c>
      <c r="C137" s="425">
        <v>13313620.439177403</v>
      </c>
      <c r="D137" s="425">
        <v>17816627.402165353</v>
      </c>
      <c r="E137" s="426">
        <v>0.30278121180322515</v>
      </c>
    </row>
    <row r="138" spans="2:5" x14ac:dyDescent="0.3">
      <c r="B138" s="424">
        <v>131</v>
      </c>
      <c r="C138" s="425">
        <v>7475631.3073893823</v>
      </c>
      <c r="D138" s="425">
        <v>10004081.024255803</v>
      </c>
      <c r="E138" s="426">
        <v>0.19462734660539582</v>
      </c>
    </row>
    <row r="139" spans="2:5" x14ac:dyDescent="0.3">
      <c r="B139" s="424">
        <v>132</v>
      </c>
      <c r="C139" s="425">
        <v>5683338.0451642722</v>
      </c>
      <c r="D139" s="425">
        <v>7605588.3381860154</v>
      </c>
      <c r="E139" s="426">
        <v>0.16073625111319956</v>
      </c>
    </row>
    <row r="140" spans="2:5" x14ac:dyDescent="0.3">
      <c r="B140" s="424">
        <v>133</v>
      </c>
      <c r="C140" s="425">
        <v>9899033.5858412888</v>
      </c>
      <c r="D140" s="425">
        <v>13247139.938094262</v>
      </c>
      <c r="E140" s="426">
        <v>0.24465801403575171</v>
      </c>
    </row>
    <row r="141" spans="2:5" x14ac:dyDescent="0.3">
      <c r="B141" s="424">
        <v>134</v>
      </c>
      <c r="C141" s="425">
        <v>8015430.730059728</v>
      </c>
      <c r="D141" s="425">
        <v>10726454.418446973</v>
      </c>
      <c r="E141" s="426">
        <v>0.20358569685802075</v>
      </c>
    </row>
    <row r="142" spans="2:5" x14ac:dyDescent="0.3">
      <c r="B142" s="424">
        <v>135</v>
      </c>
      <c r="C142" s="425">
        <v>8065178.4937468264</v>
      </c>
      <c r="D142" s="425">
        <v>10793028.148241449</v>
      </c>
      <c r="E142" s="426">
        <v>0.20802570348004412</v>
      </c>
    </row>
    <row r="143" spans="2:5" x14ac:dyDescent="0.3">
      <c r="B143" s="424">
        <v>136</v>
      </c>
      <c r="C143" s="425">
        <v>10450765.296839152</v>
      </c>
      <c r="D143" s="425">
        <v>13985481.425724614</v>
      </c>
      <c r="E143" s="426">
        <v>0.24545568365774306</v>
      </c>
    </row>
    <row r="144" spans="2:5" x14ac:dyDescent="0.3">
      <c r="B144" s="424">
        <v>137</v>
      </c>
      <c r="C144" s="425">
        <v>10046911.567298446</v>
      </c>
      <c r="D144" s="425">
        <v>13445034.035244089</v>
      </c>
      <c r="E144" s="426">
        <v>0.23685543329892855</v>
      </c>
    </row>
    <row r="145" spans="2:5" x14ac:dyDescent="0.3">
      <c r="B145" s="424">
        <v>138</v>
      </c>
      <c r="C145" s="425">
        <v>13762782.271091707</v>
      </c>
      <c r="D145" s="425">
        <v>18417707.254114747</v>
      </c>
      <c r="E145" s="426">
        <v>0.28951411453421594</v>
      </c>
    </row>
    <row r="146" spans="2:5" x14ac:dyDescent="0.3">
      <c r="B146" s="424">
        <v>139</v>
      </c>
      <c r="C146" s="425">
        <v>8132926.4889022596</v>
      </c>
      <c r="D146" s="425">
        <v>10883690.24818957</v>
      </c>
      <c r="E146" s="426">
        <v>0.20509951500907886</v>
      </c>
    </row>
    <row r="147" spans="2:5" x14ac:dyDescent="0.3">
      <c r="B147" s="424">
        <v>140</v>
      </c>
      <c r="C147" s="425">
        <v>5344844.9625652097</v>
      </c>
      <c r="D147" s="425">
        <v>7152608.2372112805</v>
      </c>
      <c r="E147" s="426">
        <v>0.16056025484728242</v>
      </c>
    </row>
    <row r="148" spans="2:5" x14ac:dyDescent="0.3">
      <c r="B148" s="424">
        <v>141</v>
      </c>
      <c r="C148" s="425">
        <v>10341645.919284431</v>
      </c>
      <c r="D148" s="425">
        <v>13839455.083669096</v>
      </c>
      <c r="E148" s="426">
        <v>0.25486980038994367</v>
      </c>
    </row>
    <row r="149" spans="2:5" x14ac:dyDescent="0.3">
      <c r="B149" s="424">
        <v>142</v>
      </c>
      <c r="C149" s="425">
        <v>8029887.1480105296</v>
      </c>
      <c r="D149" s="425">
        <v>10745800.366709212</v>
      </c>
      <c r="E149" s="426">
        <v>0.19684882960519623</v>
      </c>
    </row>
    <row r="150" spans="2:5" x14ac:dyDescent="0.3">
      <c r="B150" s="424">
        <v>143</v>
      </c>
      <c r="C150" s="425">
        <v>12520182.379888199</v>
      </c>
      <c r="D150" s="425">
        <v>16754828.296983235</v>
      </c>
      <c r="E150" s="426">
        <v>0.29390201961329443</v>
      </c>
    </row>
    <row r="151" spans="2:5" x14ac:dyDescent="0.3">
      <c r="B151" s="424">
        <v>144</v>
      </c>
      <c r="C151" s="425">
        <v>1745237.9579501506</v>
      </c>
      <c r="D151" s="425">
        <v>2335522.0743272859</v>
      </c>
      <c r="E151" s="426">
        <v>9.3317531449840452E-2</v>
      </c>
    </row>
    <row r="152" spans="2:5" x14ac:dyDescent="0.3">
      <c r="B152" s="424">
        <v>145</v>
      </c>
      <c r="C152" s="425">
        <v>13305734.385818293</v>
      </c>
      <c r="D152" s="425">
        <v>17806074.083853874</v>
      </c>
      <c r="E152" s="426">
        <v>0.30530751581477267</v>
      </c>
    </row>
    <row r="153" spans="2:5" x14ac:dyDescent="0.3">
      <c r="B153" s="424">
        <v>146</v>
      </c>
      <c r="C153" s="425">
        <v>5632824.7850620858</v>
      </c>
      <c r="D153" s="425">
        <v>7537990.2015093081</v>
      </c>
      <c r="E153" s="426">
        <v>0.15988723335542421</v>
      </c>
    </row>
    <row r="154" spans="2:5" x14ac:dyDescent="0.3">
      <c r="B154" s="424">
        <v>147</v>
      </c>
      <c r="C154" s="425">
        <v>14736687.126416396</v>
      </c>
      <c r="D154" s="425">
        <v>19721011.641659074</v>
      </c>
      <c r="E154" s="426">
        <v>0.3412577298006374</v>
      </c>
    </row>
    <row r="155" spans="2:5" x14ac:dyDescent="0.3">
      <c r="B155" s="424">
        <v>148</v>
      </c>
      <c r="C155" s="425">
        <v>13708457.338816319</v>
      </c>
      <c r="D155" s="425">
        <v>18345008.240242433</v>
      </c>
      <c r="E155" s="426">
        <v>0.31483441823545855</v>
      </c>
    </row>
    <row r="156" spans="2:5" x14ac:dyDescent="0.3">
      <c r="B156" s="424">
        <v>149</v>
      </c>
      <c r="C156" s="425">
        <v>10551677.650672944</v>
      </c>
      <c r="D156" s="425">
        <v>14120524.918720817</v>
      </c>
      <c r="E156" s="426">
        <v>0.25703278710575317</v>
      </c>
    </row>
    <row r="157" spans="2:5" x14ac:dyDescent="0.3">
      <c r="B157" s="424">
        <v>150</v>
      </c>
      <c r="C157" s="425">
        <v>9148261.1403073035</v>
      </c>
      <c r="D157" s="425">
        <v>12242437.048523379</v>
      </c>
      <c r="E157" s="426">
        <v>0.22005053048810419</v>
      </c>
    </row>
    <row r="158" spans="2:5" x14ac:dyDescent="0.3">
      <c r="B158" s="424">
        <v>151</v>
      </c>
      <c r="C158" s="425">
        <v>4199049.0847088043</v>
      </c>
      <c r="D158" s="425">
        <v>5619274.8867551927</v>
      </c>
      <c r="E158" s="426">
        <v>0.14063108569321003</v>
      </c>
    </row>
    <row r="159" spans="2:5" x14ac:dyDescent="0.3">
      <c r="B159" s="424">
        <v>152</v>
      </c>
      <c r="C159" s="425">
        <v>12688572.973091621</v>
      </c>
      <c r="D159" s="425">
        <v>16980172.895835292</v>
      </c>
      <c r="E159" s="426">
        <v>0.29983569026642143</v>
      </c>
    </row>
    <row r="160" spans="2:5" x14ac:dyDescent="0.3">
      <c r="B160" s="424">
        <v>153</v>
      </c>
      <c r="C160" s="425">
        <v>4113767.4560022466</v>
      </c>
      <c r="D160" s="425">
        <v>5505148.8299206914</v>
      </c>
      <c r="E160" s="426">
        <v>0.13141383897011538</v>
      </c>
    </row>
    <row r="161" spans="2:5" x14ac:dyDescent="0.3">
      <c r="B161" s="424">
        <v>154</v>
      </c>
      <c r="C161" s="425">
        <v>7476343.5721142851</v>
      </c>
      <c r="D161" s="425">
        <v>10005034.19512869</v>
      </c>
      <c r="E161" s="426">
        <v>0.2027244435470239</v>
      </c>
    </row>
    <row r="162" spans="2:5" x14ac:dyDescent="0.3">
      <c r="B162" s="424">
        <v>155</v>
      </c>
      <c r="C162" s="425">
        <v>7205310.8673053794</v>
      </c>
      <c r="D162" s="425">
        <v>9642331.2971873023</v>
      </c>
      <c r="E162" s="426">
        <v>0.19159533944569529</v>
      </c>
    </row>
    <row r="163" spans="2:5" x14ac:dyDescent="0.3">
      <c r="B163" s="424">
        <v>156</v>
      </c>
      <c r="C163" s="425">
        <v>13662807.464429125</v>
      </c>
      <c r="D163" s="425">
        <v>18283918.410723265</v>
      </c>
      <c r="E163" s="426">
        <v>0.28802817395047775</v>
      </c>
    </row>
    <row r="164" spans="2:5" x14ac:dyDescent="0.3">
      <c r="B164" s="424">
        <v>157</v>
      </c>
      <c r="C164" s="425">
        <v>13583439.838278554</v>
      </c>
      <c r="D164" s="425">
        <v>18177706.623375177</v>
      </c>
      <c r="E164" s="426">
        <v>0.28949229044594404</v>
      </c>
    </row>
    <row r="165" spans="2:5" x14ac:dyDescent="0.3">
      <c r="B165" s="424">
        <v>158</v>
      </c>
      <c r="C165" s="425">
        <v>13230081.53320932</v>
      </c>
      <c r="D165" s="425">
        <v>17704833.501474142</v>
      </c>
      <c r="E165" s="426">
        <v>0.28941580516890175</v>
      </c>
    </row>
    <row r="166" spans="2:5" x14ac:dyDescent="0.3">
      <c r="B166" s="424">
        <v>159</v>
      </c>
      <c r="C166" s="425">
        <v>16140086.214992756</v>
      </c>
      <c r="D166" s="425">
        <v>21599076.197572488</v>
      </c>
      <c r="E166" s="426">
        <v>0.34683915325194303</v>
      </c>
    </row>
    <row r="167" spans="2:5" x14ac:dyDescent="0.3">
      <c r="B167" s="424">
        <v>160</v>
      </c>
      <c r="C167" s="425">
        <v>5777080.8842916861</v>
      </c>
      <c r="D167" s="425">
        <v>7731037.4032231634</v>
      </c>
      <c r="E167" s="426">
        <v>0.16189587562813368</v>
      </c>
    </row>
    <row r="168" spans="2:5" x14ac:dyDescent="0.3">
      <c r="B168" s="424">
        <v>161</v>
      </c>
      <c r="C168" s="425">
        <v>9480209.888073083</v>
      </c>
      <c r="D168" s="425">
        <v>12686659.353235837</v>
      </c>
      <c r="E168" s="426">
        <v>0.24050783608555526</v>
      </c>
    </row>
    <row r="169" spans="2:5" x14ac:dyDescent="0.3">
      <c r="B169" s="424">
        <v>162</v>
      </c>
      <c r="C169" s="425">
        <v>10948966.760217935</v>
      </c>
      <c r="D169" s="425">
        <v>14652187.366815852</v>
      </c>
      <c r="E169" s="426">
        <v>0.2468491307022358</v>
      </c>
    </row>
    <row r="170" spans="2:5" x14ac:dyDescent="0.3">
      <c r="B170" s="424">
        <v>163</v>
      </c>
      <c r="C170" s="425">
        <v>5578367.0877308231</v>
      </c>
      <c r="D170" s="425">
        <v>7465113.5180434138</v>
      </c>
      <c r="E170" s="426">
        <v>0.16499536967047601</v>
      </c>
    </row>
    <row r="171" spans="2:5" x14ac:dyDescent="0.3">
      <c r="B171" s="424">
        <v>164</v>
      </c>
      <c r="C171" s="425">
        <v>8021565.4712325484</v>
      </c>
      <c r="D171" s="425">
        <v>10734664.085996397</v>
      </c>
      <c r="E171" s="426">
        <v>0.20290187295180839</v>
      </c>
    </row>
    <row r="172" spans="2:5" x14ac:dyDescent="0.3">
      <c r="B172" s="424">
        <v>165</v>
      </c>
      <c r="C172" s="425">
        <v>11556975.809854137</v>
      </c>
      <c r="D172" s="425">
        <v>15465840.628451286</v>
      </c>
      <c r="E172" s="426">
        <v>0.26944853744594122</v>
      </c>
    </row>
    <row r="173" spans="2:5" x14ac:dyDescent="0.3">
      <c r="B173" s="424">
        <v>166</v>
      </c>
      <c r="C173" s="425">
        <v>12003799.418687111</v>
      </c>
      <c r="D173" s="425">
        <v>16063791.410467109</v>
      </c>
      <c r="E173" s="426">
        <v>0.28917330321258805</v>
      </c>
    </row>
    <row r="174" spans="2:5" x14ac:dyDescent="0.3">
      <c r="B174" s="424">
        <v>167</v>
      </c>
      <c r="C174" s="425">
        <v>12557202.519157244</v>
      </c>
      <c r="D174" s="425">
        <v>16804369.594239384</v>
      </c>
      <c r="E174" s="426">
        <v>0.29756025585601176</v>
      </c>
    </row>
    <row r="175" spans="2:5" x14ac:dyDescent="0.3">
      <c r="B175" s="424">
        <v>168</v>
      </c>
      <c r="C175" s="425">
        <v>12599486.056573745</v>
      </c>
      <c r="D175" s="425">
        <v>16860954.505521551</v>
      </c>
      <c r="E175" s="426">
        <v>0.27588954504438634</v>
      </c>
    </row>
    <row r="176" spans="2:5" x14ac:dyDescent="0.3">
      <c r="B176" s="424">
        <v>169</v>
      </c>
      <c r="C176" s="425">
        <v>12072708.477992769</v>
      </c>
      <c r="D176" s="425">
        <v>16156007.276158297</v>
      </c>
      <c r="E176" s="426">
        <v>0.27409359759080409</v>
      </c>
    </row>
    <row r="177" spans="2:5" x14ac:dyDescent="0.3">
      <c r="B177" s="424">
        <v>170</v>
      </c>
      <c r="C177" s="425">
        <v>9339271.4314054102</v>
      </c>
      <c r="D177" s="425">
        <v>12498051.905655688</v>
      </c>
      <c r="E177" s="426">
        <v>0.23024871364807198</v>
      </c>
    </row>
    <row r="178" spans="2:5" x14ac:dyDescent="0.3">
      <c r="B178" s="424">
        <v>171</v>
      </c>
      <c r="C178" s="425">
        <v>3057997.3043928407</v>
      </c>
      <c r="D178" s="425">
        <v>4092290.2089703539</v>
      </c>
      <c r="E178" s="426">
        <v>0.11665211921948293</v>
      </c>
    </row>
    <row r="179" spans="2:5" x14ac:dyDescent="0.3">
      <c r="B179" s="424">
        <v>172</v>
      </c>
      <c r="C179" s="425">
        <v>7214307.7129749842</v>
      </c>
      <c r="D179" s="425">
        <v>9654371.1061800867</v>
      </c>
      <c r="E179" s="426">
        <v>0.1849892097661594</v>
      </c>
    </row>
    <row r="180" spans="2:5" x14ac:dyDescent="0.3">
      <c r="B180" s="424">
        <v>173</v>
      </c>
      <c r="C180" s="425">
        <v>13305851.621886613</v>
      </c>
      <c r="D180" s="425">
        <v>17806230.972159117</v>
      </c>
      <c r="E180" s="426">
        <v>0.30762552582378699</v>
      </c>
    </row>
    <row r="181" spans="2:5" x14ac:dyDescent="0.3">
      <c r="B181" s="424">
        <v>174</v>
      </c>
      <c r="C181" s="425">
        <v>14307311.021848891</v>
      </c>
      <c r="D181" s="425">
        <v>19146409.556116585</v>
      </c>
      <c r="E181" s="426">
        <v>0.30463116757755193</v>
      </c>
    </row>
    <row r="182" spans="2:5" x14ac:dyDescent="0.3">
      <c r="B182" s="424">
        <v>175</v>
      </c>
      <c r="C182" s="425">
        <v>7021325.2944597322</v>
      </c>
      <c r="D182" s="425">
        <v>9396117.0976958685</v>
      </c>
      <c r="E182" s="426">
        <v>0.18910763026566357</v>
      </c>
    </row>
    <row r="183" spans="2:5" x14ac:dyDescent="0.3">
      <c r="B183" s="424">
        <v>176</v>
      </c>
      <c r="C183" s="425">
        <v>9498902.9427493811</v>
      </c>
      <c r="D183" s="425">
        <v>12711674.877127135</v>
      </c>
      <c r="E183" s="426">
        <v>0.23308222009239876</v>
      </c>
    </row>
    <row r="184" spans="2:5" x14ac:dyDescent="0.3">
      <c r="B184" s="424">
        <v>177</v>
      </c>
      <c r="C184" s="425">
        <v>13353624.236339802</v>
      </c>
      <c r="D184" s="425">
        <v>17870161.506729197</v>
      </c>
      <c r="E184" s="426">
        <v>0.30399318487822269</v>
      </c>
    </row>
    <row r="185" spans="2:5" x14ac:dyDescent="0.3">
      <c r="B185" s="424">
        <v>178</v>
      </c>
      <c r="C185" s="425">
        <v>12866279.006623782</v>
      </c>
      <c r="D185" s="425">
        <v>17217983.655201871</v>
      </c>
      <c r="E185" s="426">
        <v>0.28791960408783734</v>
      </c>
    </row>
    <row r="186" spans="2:5" x14ac:dyDescent="0.3">
      <c r="B186" s="424">
        <v>179</v>
      </c>
      <c r="C186" s="425">
        <v>9174756.1143498458</v>
      </c>
      <c r="D186" s="425">
        <v>12277893.300464958</v>
      </c>
      <c r="E186" s="426">
        <v>0.22455734346705003</v>
      </c>
    </row>
    <row r="187" spans="2:5" x14ac:dyDescent="0.3">
      <c r="B187" s="424">
        <v>180</v>
      </c>
      <c r="C187" s="425">
        <v>9140814.0601120889</v>
      </c>
      <c r="D187" s="425">
        <v>12232471.175327705</v>
      </c>
      <c r="E187" s="426">
        <v>0.21680313776867721</v>
      </c>
    </row>
    <row r="188" spans="2:5" x14ac:dyDescent="0.3">
      <c r="B188" s="424">
        <v>181</v>
      </c>
      <c r="C188" s="425">
        <v>11427333.666959602</v>
      </c>
      <c r="D188" s="425">
        <v>15292350.196894946</v>
      </c>
      <c r="E188" s="426">
        <v>0.2616351219606996</v>
      </c>
    </row>
    <row r="189" spans="2:5" x14ac:dyDescent="0.3">
      <c r="B189" s="424">
        <v>182</v>
      </c>
      <c r="C189" s="425">
        <v>8973293.4624473155</v>
      </c>
      <c r="D189" s="425">
        <v>12008290.826757867</v>
      </c>
      <c r="E189" s="426">
        <v>0.22689591664429454</v>
      </c>
    </row>
    <row r="190" spans="2:5" x14ac:dyDescent="0.3">
      <c r="B190" s="424">
        <v>183</v>
      </c>
      <c r="C190" s="425">
        <v>14181106.097179659</v>
      </c>
      <c r="D190" s="425">
        <v>18977518.897905137</v>
      </c>
      <c r="E190" s="426">
        <v>0.29847775544180832</v>
      </c>
    </row>
    <row r="191" spans="2:5" x14ac:dyDescent="0.3">
      <c r="B191" s="424">
        <v>184</v>
      </c>
      <c r="C191" s="425">
        <v>4252999.4942815714</v>
      </c>
      <c r="D191" s="425">
        <v>5691472.7047674656</v>
      </c>
      <c r="E191" s="426">
        <v>0.14445885741358078</v>
      </c>
    </row>
    <row r="192" spans="2:5" x14ac:dyDescent="0.3">
      <c r="B192" s="424">
        <v>185</v>
      </c>
      <c r="C192" s="425">
        <v>7379149.8122550473</v>
      </c>
      <c r="D192" s="425">
        <v>9874967.0197019465</v>
      </c>
      <c r="E192" s="426">
        <v>0.2011076788285473</v>
      </c>
    </row>
    <row r="193" spans="2:5" x14ac:dyDescent="0.3">
      <c r="B193" s="424">
        <v>186</v>
      </c>
      <c r="C193" s="425">
        <v>5710080.5453513563</v>
      </c>
      <c r="D193" s="425">
        <v>7641375.8359453445</v>
      </c>
      <c r="E193" s="426">
        <v>0.16046582407384191</v>
      </c>
    </row>
    <row r="194" spans="2:5" x14ac:dyDescent="0.3">
      <c r="B194" s="424">
        <v>187</v>
      </c>
      <c r="C194" s="425">
        <v>12410279.118694153</v>
      </c>
      <c r="D194" s="425">
        <v>16607752.941791708</v>
      </c>
      <c r="E194" s="426">
        <v>0.27895772414155284</v>
      </c>
    </row>
    <row r="195" spans="2:5" x14ac:dyDescent="0.3">
      <c r="B195" s="424">
        <v>188</v>
      </c>
      <c r="C195" s="425">
        <v>11591987.615784571</v>
      </c>
      <c r="D195" s="425">
        <v>15512694.32266536</v>
      </c>
      <c r="E195" s="426">
        <v>0.25717829235614209</v>
      </c>
    </row>
    <row r="196" spans="2:5" x14ac:dyDescent="0.3">
      <c r="B196" s="424">
        <v>189</v>
      </c>
      <c r="C196" s="425">
        <v>7832549.1095717587</v>
      </c>
      <c r="D196" s="425">
        <v>10481717.556237036</v>
      </c>
      <c r="E196" s="426">
        <v>0.19677061061076917</v>
      </c>
    </row>
    <row r="197" spans="2:5" x14ac:dyDescent="0.3">
      <c r="B197" s="424">
        <v>190</v>
      </c>
      <c r="C197" s="425">
        <v>7509644.974498935</v>
      </c>
      <c r="D197" s="425">
        <v>10049598.983569779</v>
      </c>
      <c r="E197" s="426">
        <v>0.18742538347725279</v>
      </c>
    </row>
    <row r="198" spans="2:5" x14ac:dyDescent="0.3">
      <c r="B198" s="424">
        <v>191</v>
      </c>
      <c r="C198" s="425">
        <v>12475649.214512806</v>
      </c>
      <c r="D198" s="425">
        <v>16695232.876026392</v>
      </c>
      <c r="E198" s="426">
        <v>0.27346645805865855</v>
      </c>
    </row>
    <row r="199" spans="2:5" x14ac:dyDescent="0.3">
      <c r="B199" s="424">
        <v>192</v>
      </c>
      <c r="C199" s="425">
        <v>10413666.084360879</v>
      </c>
      <c r="D199" s="425">
        <v>13935834.310677372</v>
      </c>
      <c r="E199" s="426">
        <v>0.25191251029465445</v>
      </c>
    </row>
    <row r="200" spans="2:5" x14ac:dyDescent="0.3">
      <c r="B200" s="424">
        <v>193</v>
      </c>
      <c r="C200" s="425">
        <v>12855104.947382417</v>
      </c>
      <c r="D200" s="425">
        <v>17203030.243319459</v>
      </c>
      <c r="E200" s="426">
        <v>0.28682810738716857</v>
      </c>
    </row>
    <row r="201" spans="2:5" x14ac:dyDescent="0.3">
      <c r="B201" s="424">
        <v>194</v>
      </c>
      <c r="C201" s="425">
        <v>10841424.905226033</v>
      </c>
      <c r="D201" s="425">
        <v>14508272.10580314</v>
      </c>
      <c r="E201" s="426">
        <v>0.25004490874687257</v>
      </c>
    </row>
    <row r="202" spans="2:5" x14ac:dyDescent="0.3">
      <c r="B202" s="424">
        <v>195</v>
      </c>
      <c r="C202" s="425">
        <v>5831860.7053193823</v>
      </c>
      <c r="D202" s="425">
        <v>7804345.1608587764</v>
      </c>
      <c r="E202" s="426">
        <v>0.16776841408628584</v>
      </c>
    </row>
    <row r="203" spans="2:5" x14ac:dyDescent="0.3">
      <c r="B203" s="424">
        <v>196</v>
      </c>
      <c r="C203" s="425">
        <v>7137111.6792144664</v>
      </c>
      <c r="D203" s="425">
        <v>9551065.3993124887</v>
      </c>
      <c r="E203" s="426">
        <v>0.1894931430892588</v>
      </c>
    </row>
    <row r="204" spans="2:5" x14ac:dyDescent="0.3">
      <c r="B204" s="424">
        <v>197</v>
      </c>
      <c r="C204" s="425">
        <v>5630518.295763094</v>
      </c>
      <c r="D204" s="425">
        <v>7534903.598534937</v>
      </c>
      <c r="E204" s="426">
        <v>0.1617097326706316</v>
      </c>
    </row>
    <row r="205" spans="2:5" x14ac:dyDescent="0.3">
      <c r="B205" s="424">
        <v>198</v>
      </c>
      <c r="C205" s="425">
        <v>5635055.9871973768</v>
      </c>
      <c r="D205" s="425">
        <v>7540976.0532755507</v>
      </c>
      <c r="E205" s="426">
        <v>0.16581482955207605</v>
      </c>
    </row>
    <row r="206" spans="2:5" x14ac:dyDescent="0.3">
      <c r="B206" s="424">
        <v>199</v>
      </c>
      <c r="C206" s="425">
        <v>7736624.430256363</v>
      </c>
      <c r="D206" s="425">
        <v>10353348.696854096</v>
      </c>
      <c r="E206" s="426">
        <v>0.19231344238398074</v>
      </c>
    </row>
    <row r="207" spans="2:5" x14ac:dyDescent="0.3">
      <c r="B207" s="424">
        <v>200</v>
      </c>
      <c r="C207" s="425">
        <v>11334461.093621504</v>
      </c>
      <c r="D207" s="425">
        <v>15168065.743796369</v>
      </c>
      <c r="E207" s="426">
        <v>0.25901657222240937</v>
      </c>
    </row>
    <row r="208" spans="2:5" x14ac:dyDescent="0.3">
      <c r="B208" s="424">
        <v>201</v>
      </c>
      <c r="C208" s="425">
        <v>10605823.401721042</v>
      </c>
      <c r="D208" s="425">
        <v>14192984.147691743</v>
      </c>
      <c r="E208" s="426">
        <v>0.24107538937833017</v>
      </c>
    </row>
    <row r="209" spans="2:5" x14ac:dyDescent="0.3">
      <c r="B209" s="424">
        <v>202</v>
      </c>
      <c r="C209" s="425">
        <v>10860990.184422921</v>
      </c>
      <c r="D209" s="425">
        <v>14534454.862857299</v>
      </c>
      <c r="E209" s="426">
        <v>0.25053188632614232</v>
      </c>
    </row>
    <row r="210" spans="2:5" x14ac:dyDescent="0.3">
      <c r="B210" s="424">
        <v>203</v>
      </c>
      <c r="C210" s="425">
        <v>9635512.4942624308</v>
      </c>
      <c r="D210" s="425">
        <v>12894489.273106363</v>
      </c>
      <c r="E210" s="426">
        <v>0.24665685905614354</v>
      </c>
    </row>
    <row r="211" spans="2:5" x14ac:dyDescent="0.3">
      <c r="B211" s="424">
        <v>204</v>
      </c>
      <c r="C211" s="425">
        <v>9602565.6928184815</v>
      </c>
      <c r="D211" s="425">
        <v>12850399.020713961</v>
      </c>
      <c r="E211" s="426">
        <v>0.2339033204101324</v>
      </c>
    </row>
    <row r="212" spans="2:5" x14ac:dyDescent="0.3">
      <c r="B212" s="424">
        <v>205</v>
      </c>
      <c r="C212" s="425">
        <v>11640787.027854342</v>
      </c>
      <c r="D212" s="425">
        <v>15577998.94406897</v>
      </c>
      <c r="E212" s="426">
        <v>0.26755014821327805</v>
      </c>
    </row>
    <row r="213" spans="2:5" x14ac:dyDescent="0.3">
      <c r="B213" s="424">
        <v>206</v>
      </c>
      <c r="C213" s="425">
        <v>10740515.955717038</v>
      </c>
      <c r="D213" s="425">
        <v>14373233.168561455</v>
      </c>
      <c r="E213" s="426">
        <v>0.2414856937286316</v>
      </c>
    </row>
    <row r="214" spans="2:5" x14ac:dyDescent="0.3">
      <c r="B214" s="424">
        <v>207</v>
      </c>
      <c r="C214" s="425">
        <v>7373002.1086597964</v>
      </c>
      <c r="D214" s="425">
        <v>9866740.0055072773</v>
      </c>
      <c r="E214" s="426">
        <v>0.2028317399219588</v>
      </c>
    </row>
    <row r="215" spans="2:5" x14ac:dyDescent="0.3">
      <c r="B215" s="424">
        <v>208</v>
      </c>
      <c r="C215" s="425">
        <v>9129935.9433195628</v>
      </c>
      <c r="D215" s="425">
        <v>12217913.801199827</v>
      </c>
      <c r="E215" s="426">
        <v>0.2191919786696761</v>
      </c>
    </row>
    <row r="216" spans="2:5" x14ac:dyDescent="0.3">
      <c r="B216" s="424">
        <v>209</v>
      </c>
      <c r="C216" s="425">
        <v>9337812.5658491496</v>
      </c>
      <c r="D216" s="425">
        <v>12496099.614454022</v>
      </c>
      <c r="E216" s="426">
        <v>0.22967939740149879</v>
      </c>
    </row>
    <row r="217" spans="2:5" x14ac:dyDescent="0.3">
      <c r="B217" s="424">
        <v>210</v>
      </c>
      <c r="C217" s="425">
        <v>13841570.426238924</v>
      </c>
      <c r="D217" s="425">
        <v>18523143.578544669</v>
      </c>
      <c r="E217" s="426">
        <v>0.28821204795815625</v>
      </c>
    </row>
    <row r="218" spans="2:5" x14ac:dyDescent="0.3">
      <c r="B218" s="424">
        <v>211</v>
      </c>
      <c r="C218" s="425">
        <v>7713391.8893081918</v>
      </c>
      <c r="D218" s="425">
        <v>10322258.316324614</v>
      </c>
      <c r="E218" s="426">
        <v>0.19227595874403769</v>
      </c>
    </row>
    <row r="219" spans="2:5" x14ac:dyDescent="0.3">
      <c r="B219" s="424">
        <v>212</v>
      </c>
      <c r="C219" s="425">
        <v>9058529.3207587376</v>
      </c>
      <c r="D219" s="425">
        <v>12122355.632478902</v>
      </c>
      <c r="E219" s="426">
        <v>0.22772754477723223</v>
      </c>
    </row>
    <row r="220" spans="2:5" x14ac:dyDescent="0.3">
      <c r="B220" s="424">
        <v>213</v>
      </c>
      <c r="C220" s="425">
        <v>16771878.274892282</v>
      </c>
      <c r="D220" s="425">
        <v>22444556.491854623</v>
      </c>
      <c r="E220" s="426">
        <v>0.34368773979207456</v>
      </c>
    </row>
    <row r="221" spans="2:5" x14ac:dyDescent="0.3">
      <c r="B221" s="424">
        <v>214</v>
      </c>
      <c r="C221" s="425">
        <v>14586516.596800923</v>
      </c>
      <c r="D221" s="425">
        <v>19520049.597925909</v>
      </c>
      <c r="E221" s="426">
        <v>0.32111421399903772</v>
      </c>
    </row>
    <row r="222" spans="2:5" x14ac:dyDescent="0.3">
      <c r="B222" s="424">
        <v>215</v>
      </c>
      <c r="C222" s="425">
        <v>11807740.116679134</v>
      </c>
      <c r="D222" s="425">
        <v>15801419.837793631</v>
      </c>
      <c r="E222" s="426">
        <v>0.28205141222693508</v>
      </c>
    </row>
    <row r="223" spans="2:5" x14ac:dyDescent="0.3">
      <c r="B223" s="424">
        <v>216</v>
      </c>
      <c r="C223" s="425">
        <v>8602890.2817581873</v>
      </c>
      <c r="D223" s="425">
        <v>11512607.816335281</v>
      </c>
      <c r="E223" s="426">
        <v>0.21819318411163202</v>
      </c>
    </row>
    <row r="224" spans="2:5" x14ac:dyDescent="0.3">
      <c r="B224" s="424">
        <v>217</v>
      </c>
      <c r="C224" s="425">
        <v>9276689.8951345347</v>
      </c>
      <c r="D224" s="425">
        <v>12414303.693132501</v>
      </c>
      <c r="E224" s="426">
        <v>0.22607313223086511</v>
      </c>
    </row>
    <row r="225" spans="2:5" x14ac:dyDescent="0.3">
      <c r="B225" s="424">
        <v>218</v>
      </c>
      <c r="C225" s="425">
        <v>10538480.180814683</v>
      </c>
      <c r="D225" s="425">
        <v>14102863.726996887</v>
      </c>
      <c r="E225" s="426">
        <v>0.25237174113926275</v>
      </c>
    </row>
    <row r="226" spans="2:5" x14ac:dyDescent="0.3">
      <c r="B226" s="424">
        <v>219</v>
      </c>
      <c r="C226" s="425">
        <v>9410151.4137114473</v>
      </c>
      <c r="D226" s="425">
        <v>12592905.310917463</v>
      </c>
      <c r="E226" s="426">
        <v>0.22904972401586554</v>
      </c>
    </row>
    <row r="227" spans="2:5" x14ac:dyDescent="0.3">
      <c r="B227" s="424">
        <v>220</v>
      </c>
      <c r="C227" s="425">
        <v>5066339.6928773336</v>
      </c>
      <c r="D227" s="425">
        <v>6779905.361818579</v>
      </c>
      <c r="E227" s="426">
        <v>0.1517746590899951</v>
      </c>
    </row>
    <row r="228" spans="2:5" x14ac:dyDescent="0.3">
      <c r="B228" s="424">
        <v>221</v>
      </c>
      <c r="C228" s="425">
        <v>13818778.503456071</v>
      </c>
      <c r="D228" s="425">
        <v>18492642.844513971</v>
      </c>
      <c r="E228" s="426">
        <v>0.2903702953217806</v>
      </c>
    </row>
    <row r="229" spans="2:5" x14ac:dyDescent="0.3">
      <c r="B229" s="424">
        <v>222</v>
      </c>
      <c r="C229" s="425">
        <v>7246115.828406401</v>
      </c>
      <c r="D229" s="425">
        <v>9696937.5398256611</v>
      </c>
      <c r="E229" s="426">
        <v>0.19339440701300936</v>
      </c>
    </row>
    <row r="230" spans="2:5" x14ac:dyDescent="0.3">
      <c r="B230" s="424">
        <v>223</v>
      </c>
      <c r="C230" s="425">
        <v>8829673.4867482707</v>
      </c>
      <c r="D230" s="425">
        <v>11816094.901823115</v>
      </c>
      <c r="E230" s="426">
        <v>0.20966478116255338</v>
      </c>
    </row>
    <row r="231" spans="2:5" x14ac:dyDescent="0.3">
      <c r="B231" s="424">
        <v>224</v>
      </c>
      <c r="C231" s="425">
        <v>5593752.6676115915</v>
      </c>
      <c r="D231" s="425">
        <v>7485702.8945660656</v>
      </c>
      <c r="E231" s="426">
        <v>0.16002419249109412</v>
      </c>
    </row>
    <row r="232" spans="2:5" x14ac:dyDescent="0.3">
      <c r="B232" s="424">
        <v>225</v>
      </c>
      <c r="C232" s="425">
        <v>4813866.7500164919</v>
      </c>
      <c r="D232" s="425">
        <v>6442039.6120302565</v>
      </c>
      <c r="E232" s="426">
        <v>0.14896969895037504</v>
      </c>
    </row>
    <row r="233" spans="2:5" x14ac:dyDescent="0.3">
      <c r="B233" s="424">
        <v>226</v>
      </c>
      <c r="C233" s="425">
        <v>5708638.7124806345</v>
      </c>
      <c r="D233" s="425">
        <v>7639446.33831912</v>
      </c>
      <c r="E233" s="426">
        <v>0.16347176983759359</v>
      </c>
    </row>
    <row r="234" spans="2:5" x14ac:dyDescent="0.3">
      <c r="B234" s="424">
        <v>227</v>
      </c>
      <c r="C234" s="425">
        <v>14726846.880558554</v>
      </c>
      <c r="D234" s="425">
        <v>19707843.172962237</v>
      </c>
      <c r="E234" s="426">
        <v>0.32993675429472935</v>
      </c>
    </row>
    <row r="235" spans="2:5" x14ac:dyDescent="0.3">
      <c r="B235" s="424">
        <v>228</v>
      </c>
      <c r="C235" s="425">
        <v>10125705.819033496</v>
      </c>
      <c r="D235" s="425">
        <v>13550478.518283786</v>
      </c>
      <c r="E235" s="426">
        <v>0.2347948287430639</v>
      </c>
    </row>
    <row r="236" spans="2:5" x14ac:dyDescent="0.3">
      <c r="B236" s="424">
        <v>229</v>
      </c>
      <c r="C236" s="425">
        <v>12406951.162583064</v>
      </c>
      <c r="D236" s="425">
        <v>16603299.38580272</v>
      </c>
      <c r="E236" s="426">
        <v>0.27041729450510532</v>
      </c>
    </row>
    <row r="237" spans="2:5" x14ac:dyDescent="0.3">
      <c r="B237" s="424">
        <v>230</v>
      </c>
      <c r="C237" s="425">
        <v>8698950.2459228523</v>
      </c>
      <c r="D237" s="425">
        <v>11641157.717363775</v>
      </c>
      <c r="E237" s="426">
        <v>0.2114317685411029</v>
      </c>
    </row>
    <row r="238" spans="2:5" x14ac:dyDescent="0.3">
      <c r="B238" s="424">
        <v>231</v>
      </c>
      <c r="C238" s="425">
        <v>10498748.042285012</v>
      </c>
      <c r="D238" s="425">
        <v>14049693.162963735</v>
      </c>
      <c r="E238" s="426">
        <v>0.25157912937871552</v>
      </c>
    </row>
    <row r="239" spans="2:5" x14ac:dyDescent="0.3">
      <c r="B239" s="424">
        <v>232</v>
      </c>
      <c r="C239" s="425">
        <v>9470896.8511111438</v>
      </c>
      <c r="D239" s="425">
        <v>12674196.408968236</v>
      </c>
      <c r="E239" s="426">
        <v>0.23361312806856693</v>
      </c>
    </row>
    <row r="240" spans="2:5" x14ac:dyDescent="0.3">
      <c r="B240" s="424">
        <v>233</v>
      </c>
      <c r="C240" s="425">
        <v>9612519.564939145</v>
      </c>
      <c r="D240" s="425">
        <v>12863719.546981992</v>
      </c>
      <c r="E240" s="426">
        <v>0.23218770167640135</v>
      </c>
    </row>
    <row r="241" spans="2:5" x14ac:dyDescent="0.3">
      <c r="B241" s="424">
        <v>234</v>
      </c>
      <c r="C241" s="425">
        <v>7824030.6636145804</v>
      </c>
      <c r="D241" s="425">
        <v>10470317.953975737</v>
      </c>
      <c r="E241" s="426">
        <v>0.20195039389030178</v>
      </c>
    </row>
    <row r="242" spans="2:5" x14ac:dyDescent="0.3">
      <c r="B242" s="424">
        <v>235</v>
      </c>
      <c r="C242" s="425">
        <v>10759676.931594256</v>
      </c>
      <c r="D242" s="425">
        <v>14398874.876572125</v>
      </c>
      <c r="E242" s="426">
        <v>0.25861396837456141</v>
      </c>
    </row>
    <row r="243" spans="2:5" x14ac:dyDescent="0.3">
      <c r="B243" s="424">
        <v>236</v>
      </c>
      <c r="C243" s="425">
        <v>11067355.458545405</v>
      </c>
      <c r="D243" s="425">
        <v>14810618.151016444</v>
      </c>
      <c r="E243" s="426">
        <v>0.24913336696271116</v>
      </c>
    </row>
    <row r="244" spans="2:5" x14ac:dyDescent="0.3">
      <c r="B244" s="424">
        <v>237</v>
      </c>
      <c r="C244" s="425">
        <v>11611023.26868717</v>
      </c>
      <c r="D244" s="425">
        <v>15538168.320265934</v>
      </c>
      <c r="E244" s="426">
        <v>0.27558812722549719</v>
      </c>
    </row>
    <row r="245" spans="2:5" x14ac:dyDescent="0.3">
      <c r="B245" s="424">
        <v>238</v>
      </c>
      <c r="C245" s="425">
        <v>10695573.143177804</v>
      </c>
      <c r="D245" s="425">
        <v>14313089.547292169</v>
      </c>
      <c r="E245" s="426">
        <v>0.25660670465788127</v>
      </c>
    </row>
    <row r="246" spans="2:5" x14ac:dyDescent="0.3">
      <c r="B246" s="424">
        <v>239</v>
      </c>
      <c r="C246" s="425">
        <v>16512761.790920775</v>
      </c>
      <c r="D246" s="425">
        <v>22097800.185426172</v>
      </c>
      <c r="E246" s="426">
        <v>0.35066192895712889</v>
      </c>
    </row>
    <row r="247" spans="2:5" x14ac:dyDescent="0.3">
      <c r="B247" s="424">
        <v>240</v>
      </c>
      <c r="C247" s="425">
        <v>13735966.110806249</v>
      </c>
      <c r="D247" s="425">
        <v>18381821.182527725</v>
      </c>
      <c r="E247" s="426">
        <v>0.31079722993264514</v>
      </c>
    </row>
    <row r="248" spans="2:5" x14ac:dyDescent="0.3">
      <c r="B248" s="424">
        <v>241</v>
      </c>
      <c r="C248" s="425">
        <v>14240932.848746091</v>
      </c>
      <c r="D248" s="425">
        <v>19057580.587076057</v>
      </c>
      <c r="E248" s="426">
        <v>0.30915872345853002</v>
      </c>
    </row>
    <row r="249" spans="2:5" x14ac:dyDescent="0.3">
      <c r="B249" s="424">
        <v>242</v>
      </c>
      <c r="C249" s="425">
        <v>9312249.0131908506</v>
      </c>
      <c r="D249" s="425">
        <v>12461889.81443236</v>
      </c>
      <c r="E249" s="426">
        <v>0.22636909757767021</v>
      </c>
    </row>
    <row r="250" spans="2:5" x14ac:dyDescent="0.3">
      <c r="B250" s="424">
        <v>243</v>
      </c>
      <c r="C250" s="425">
        <v>12061608.748534758</v>
      </c>
      <c r="D250" s="425">
        <v>16141153.334293146</v>
      </c>
      <c r="E250" s="426">
        <v>0.27847111116129564</v>
      </c>
    </row>
    <row r="251" spans="2:5" x14ac:dyDescent="0.3">
      <c r="B251" s="424">
        <v>244</v>
      </c>
      <c r="C251" s="425">
        <v>9649385.8435095325</v>
      </c>
      <c r="D251" s="425">
        <v>12913054.943915812</v>
      </c>
      <c r="E251" s="426">
        <v>0.22762053253865555</v>
      </c>
    </row>
    <row r="252" spans="2:5" x14ac:dyDescent="0.3">
      <c r="B252" s="424">
        <v>245</v>
      </c>
      <c r="C252" s="425">
        <v>9139066.4667427763</v>
      </c>
      <c r="D252" s="425">
        <v>12230132.501181647</v>
      </c>
      <c r="E252" s="426">
        <v>0.2212692480280114</v>
      </c>
    </row>
    <row r="253" spans="2:5" x14ac:dyDescent="0.3">
      <c r="B253" s="424">
        <v>246</v>
      </c>
      <c r="C253" s="425">
        <v>9714484.8680108581</v>
      </c>
      <c r="D253" s="425">
        <v>13000172.123580296</v>
      </c>
      <c r="E253" s="426">
        <v>0.23624811792121148</v>
      </c>
    </row>
    <row r="254" spans="2:5" x14ac:dyDescent="0.3">
      <c r="B254" s="424">
        <v>247</v>
      </c>
      <c r="C254" s="425">
        <v>9915683.8098288812</v>
      </c>
      <c r="D254" s="425">
        <v>13269421.693707228</v>
      </c>
      <c r="E254" s="426">
        <v>0.24322355108087312</v>
      </c>
    </row>
    <row r="255" spans="2:5" x14ac:dyDescent="0.3">
      <c r="B255" s="424">
        <v>248</v>
      </c>
      <c r="C255" s="425">
        <v>8329339.5918960199</v>
      </c>
      <c r="D255" s="425">
        <v>11146535.286391603</v>
      </c>
      <c r="E255" s="426">
        <v>0.20956940604148344</v>
      </c>
    </row>
    <row r="256" spans="2:5" x14ac:dyDescent="0.3">
      <c r="B256" s="424">
        <v>249</v>
      </c>
      <c r="C256" s="425">
        <v>10767738.244440567</v>
      </c>
      <c r="D256" s="425">
        <v>14409662.731612092</v>
      </c>
      <c r="E256" s="426">
        <v>0.24762607741467169</v>
      </c>
    </row>
    <row r="257" spans="2:5" x14ac:dyDescent="0.3">
      <c r="B257" s="424">
        <v>250</v>
      </c>
      <c r="C257" s="425">
        <v>9854739.7244237326</v>
      </c>
      <c r="D257" s="425">
        <v>13187864.75981462</v>
      </c>
      <c r="E257" s="426">
        <v>0.23673389177276216</v>
      </c>
    </row>
    <row r="258" spans="2:5" x14ac:dyDescent="0.3">
      <c r="B258" s="424">
        <v>251</v>
      </c>
      <c r="C258" s="425">
        <v>9952745.6661180407</v>
      </c>
      <c r="D258" s="425">
        <v>13319018.817746717</v>
      </c>
      <c r="E258" s="426">
        <v>0.23581026152952367</v>
      </c>
    </row>
    <row r="259" spans="2:5" x14ac:dyDescent="0.3">
      <c r="B259" s="424">
        <v>252</v>
      </c>
      <c r="C259" s="425">
        <v>14035959.158714019</v>
      </c>
      <c r="D259" s="425">
        <v>18783279.552340087</v>
      </c>
      <c r="E259" s="426">
        <v>0.30620101152714252</v>
      </c>
    </row>
    <row r="260" spans="2:5" x14ac:dyDescent="0.3">
      <c r="B260" s="424">
        <v>253</v>
      </c>
      <c r="C260" s="425">
        <v>10428666.622443903</v>
      </c>
      <c r="D260" s="425">
        <v>13955908.414417839</v>
      </c>
      <c r="E260" s="426">
        <v>0.24296561119633608</v>
      </c>
    </row>
    <row r="261" spans="2:5" x14ac:dyDescent="0.3">
      <c r="B261" s="424">
        <v>254</v>
      </c>
      <c r="C261" s="425">
        <v>12536688.794263897</v>
      </c>
      <c r="D261" s="425">
        <v>16776917.602895258</v>
      </c>
      <c r="E261" s="426">
        <v>0.28404724623848843</v>
      </c>
    </row>
    <row r="262" spans="2:5" x14ac:dyDescent="0.3">
      <c r="B262" s="424">
        <v>255</v>
      </c>
      <c r="C262" s="425">
        <v>12092188.36795231</v>
      </c>
      <c r="D262" s="425">
        <v>16182075.763150986</v>
      </c>
      <c r="E262" s="426">
        <v>0.28126765442470703</v>
      </c>
    </row>
    <row r="263" spans="2:5" x14ac:dyDescent="0.3">
      <c r="B263" s="424">
        <v>256</v>
      </c>
      <c r="C263" s="425">
        <v>11716454.603645477</v>
      </c>
      <c r="D263" s="425">
        <v>15679259.229387654</v>
      </c>
      <c r="E263" s="426">
        <v>0.26554892537528807</v>
      </c>
    </row>
    <row r="264" spans="2:5" x14ac:dyDescent="0.3">
      <c r="B264" s="424">
        <v>257</v>
      </c>
      <c r="C264" s="425">
        <v>10163210.009709962</v>
      </c>
      <c r="D264" s="425">
        <v>13600667.585514219</v>
      </c>
      <c r="E264" s="426">
        <v>0.24853569629885408</v>
      </c>
    </row>
    <row r="265" spans="2:5" x14ac:dyDescent="0.3">
      <c r="B265" s="424">
        <v>258</v>
      </c>
      <c r="C265" s="425">
        <v>11087751.58950597</v>
      </c>
      <c r="D265" s="425">
        <v>14837912.775151951</v>
      </c>
      <c r="E265" s="426">
        <v>0.25098279133248247</v>
      </c>
    </row>
    <row r="266" spans="2:5" x14ac:dyDescent="0.3">
      <c r="B266" s="424">
        <v>259</v>
      </c>
      <c r="C266" s="425">
        <v>8188338.7671314124</v>
      </c>
      <c r="D266" s="425">
        <v>10957844.37622891</v>
      </c>
      <c r="E266" s="426">
        <v>0.21234200048604124</v>
      </c>
    </row>
    <row r="267" spans="2:5" x14ac:dyDescent="0.3">
      <c r="B267" s="424">
        <v>260</v>
      </c>
      <c r="C267" s="425">
        <v>15733211.433400284</v>
      </c>
      <c r="D267" s="425">
        <v>21054585.957965028</v>
      </c>
      <c r="E267" s="426">
        <v>0.33363495263507725</v>
      </c>
    </row>
    <row r="268" spans="2:5" x14ac:dyDescent="0.3">
      <c r="B268" s="424">
        <v>261</v>
      </c>
      <c r="C268" s="425">
        <v>16051809.856940433</v>
      </c>
      <c r="D268" s="425">
        <v>21480942.517329492</v>
      </c>
      <c r="E268" s="426">
        <v>0.35187226511943681</v>
      </c>
    </row>
    <row r="269" spans="2:5" x14ac:dyDescent="0.3">
      <c r="B269" s="424">
        <v>262</v>
      </c>
      <c r="C269" s="425">
        <v>9240458.2436781153</v>
      </c>
      <c r="D269" s="425">
        <v>12365817.570434831</v>
      </c>
      <c r="E269" s="426">
        <v>0.23884002713606334</v>
      </c>
    </row>
    <row r="270" spans="2:5" x14ac:dyDescent="0.3">
      <c r="B270" s="424">
        <v>263</v>
      </c>
      <c r="C270" s="425">
        <v>9182734.5416818205</v>
      </c>
      <c r="D270" s="425">
        <v>12288570.23598963</v>
      </c>
      <c r="E270" s="426">
        <v>0.2357184258453362</v>
      </c>
    </row>
    <row r="271" spans="2:5" x14ac:dyDescent="0.3">
      <c r="B271" s="424">
        <v>264</v>
      </c>
      <c r="C271" s="425">
        <v>4639912.9801596701</v>
      </c>
      <c r="D271" s="425">
        <v>6209250.2278879145</v>
      </c>
      <c r="E271" s="426">
        <v>0.14199628590171387</v>
      </c>
    </row>
    <row r="272" spans="2:5" x14ac:dyDescent="0.3">
      <c r="B272" s="424">
        <v>265</v>
      </c>
      <c r="C272" s="425">
        <v>9253070.6734951399</v>
      </c>
      <c r="D272" s="425">
        <v>12382695.84661166</v>
      </c>
      <c r="E272" s="426">
        <v>0.22435381137742216</v>
      </c>
    </row>
    <row r="273" spans="2:5" x14ac:dyDescent="0.3">
      <c r="B273" s="424">
        <v>266</v>
      </c>
      <c r="C273" s="425">
        <v>10459393.430388972</v>
      </c>
      <c r="D273" s="425">
        <v>13997027.814727932</v>
      </c>
      <c r="E273" s="426">
        <v>0.25602724059189375</v>
      </c>
    </row>
    <row r="274" spans="2:5" x14ac:dyDescent="0.3">
      <c r="B274" s="424">
        <v>267</v>
      </c>
      <c r="C274" s="425">
        <v>13712422.472474145</v>
      </c>
      <c r="D274" s="425">
        <v>18350314.483521938</v>
      </c>
      <c r="E274" s="426">
        <v>0.30798617805615258</v>
      </c>
    </row>
    <row r="275" spans="2:5" x14ac:dyDescent="0.3">
      <c r="B275" s="424">
        <v>268</v>
      </c>
      <c r="C275" s="425">
        <v>12813228.85380741</v>
      </c>
      <c r="D275" s="425">
        <v>17146990.583807413</v>
      </c>
      <c r="E275" s="426">
        <v>0.28729663942197337</v>
      </c>
    </row>
    <row r="276" spans="2:5" x14ac:dyDescent="0.3">
      <c r="B276" s="424">
        <v>269</v>
      </c>
      <c r="C276" s="425">
        <v>5851463.1767617539</v>
      </c>
      <c r="D276" s="425">
        <v>7830577.6895271316</v>
      </c>
      <c r="E276" s="426">
        <v>0.16279585059736346</v>
      </c>
    </row>
    <row r="277" spans="2:5" x14ac:dyDescent="0.3">
      <c r="B277" s="424">
        <v>270</v>
      </c>
      <c r="C277" s="425">
        <v>11140041.831909267</v>
      </c>
      <c r="D277" s="425">
        <v>14907888.914994948</v>
      </c>
      <c r="E277" s="426">
        <v>0.26158813809676729</v>
      </c>
    </row>
    <row r="278" spans="2:5" x14ac:dyDescent="0.3">
      <c r="B278" s="424">
        <v>271</v>
      </c>
      <c r="C278" s="425">
        <v>8745457.1423727907</v>
      </c>
      <c r="D278" s="425">
        <v>11703394.435727878</v>
      </c>
      <c r="E278" s="426">
        <v>0.22103119109232905</v>
      </c>
    </row>
    <row r="279" spans="2:5" x14ac:dyDescent="0.3">
      <c r="B279" s="424">
        <v>272</v>
      </c>
      <c r="C279" s="425">
        <v>4699351.3213629052</v>
      </c>
      <c r="D279" s="425">
        <v>6288792.1363761993</v>
      </c>
      <c r="E279" s="426">
        <v>0.14361254331456785</v>
      </c>
    </row>
    <row r="280" spans="2:5" x14ac:dyDescent="0.3">
      <c r="B280" s="424">
        <v>273</v>
      </c>
      <c r="C280" s="425">
        <v>8013297.1443006471</v>
      </c>
      <c r="D280" s="425">
        <v>10723599.199412167</v>
      </c>
      <c r="E280" s="426">
        <v>0.19926938638046177</v>
      </c>
    </row>
    <row r="281" spans="2:5" x14ac:dyDescent="0.3">
      <c r="B281" s="424">
        <v>274</v>
      </c>
      <c r="C281" s="425">
        <v>14791903.900016449</v>
      </c>
      <c r="D281" s="425">
        <v>19794904.140403211</v>
      </c>
      <c r="E281" s="426">
        <v>0.33349544059462066</v>
      </c>
    </row>
    <row r="282" spans="2:5" x14ac:dyDescent="0.3">
      <c r="B282" s="424">
        <v>275</v>
      </c>
      <c r="C282" s="425">
        <v>9132693.1018237043</v>
      </c>
      <c r="D282" s="425">
        <v>12221603.501231566</v>
      </c>
      <c r="E282" s="426">
        <v>0.2249434000736712</v>
      </c>
    </row>
    <row r="283" spans="2:5" x14ac:dyDescent="0.3">
      <c r="B283" s="424">
        <v>276</v>
      </c>
      <c r="C283" s="425">
        <v>10644152.547203394</v>
      </c>
      <c r="D283" s="425">
        <v>14244277.190543778</v>
      </c>
      <c r="E283" s="426">
        <v>0.25429150671429235</v>
      </c>
    </row>
    <row r="284" spans="2:5" x14ac:dyDescent="0.3">
      <c r="B284" s="424">
        <v>277</v>
      </c>
      <c r="C284" s="425">
        <v>8603150.7420472652</v>
      </c>
      <c r="D284" s="425">
        <v>11512956.370956074</v>
      </c>
      <c r="E284" s="426">
        <v>0.22027891038651437</v>
      </c>
    </row>
    <row r="285" spans="2:5" x14ac:dyDescent="0.3">
      <c r="B285" s="424">
        <v>278</v>
      </c>
      <c r="C285" s="425">
        <v>6215499.2632653471</v>
      </c>
      <c r="D285" s="425">
        <v>8317740.0916556465</v>
      </c>
      <c r="E285" s="426">
        <v>0.17853696944796105</v>
      </c>
    </row>
    <row r="286" spans="2:5" x14ac:dyDescent="0.3">
      <c r="B286" s="424">
        <v>279</v>
      </c>
      <c r="C286" s="425">
        <v>12745668.670919657</v>
      </c>
      <c r="D286" s="425">
        <v>17056579.819039688</v>
      </c>
      <c r="E286" s="426">
        <v>0.27849662487082094</v>
      </c>
    </row>
    <row r="287" spans="2:5" x14ac:dyDescent="0.3">
      <c r="B287" s="424">
        <v>280</v>
      </c>
      <c r="C287" s="425">
        <v>11388212.541746156</v>
      </c>
      <c r="D287" s="425">
        <v>15239997.306509819</v>
      </c>
      <c r="E287" s="426">
        <v>0.27087590773035086</v>
      </c>
    </row>
    <row r="288" spans="2:5" x14ac:dyDescent="0.3">
      <c r="B288" s="424">
        <v>281</v>
      </c>
      <c r="C288" s="425">
        <v>10646789.438956004</v>
      </c>
      <c r="D288" s="425">
        <v>14247805.946532482</v>
      </c>
      <c r="E288" s="426">
        <v>0.26197804209498288</v>
      </c>
    </row>
    <row r="289" spans="2:5" x14ac:dyDescent="0.3">
      <c r="B289" s="424">
        <v>282</v>
      </c>
      <c r="C289" s="425">
        <v>13092129.158040168</v>
      </c>
      <c r="D289" s="425">
        <v>17520222.104532111</v>
      </c>
      <c r="E289" s="426">
        <v>0.29396061247646421</v>
      </c>
    </row>
    <row r="290" spans="2:5" x14ac:dyDescent="0.3">
      <c r="B290" s="424">
        <v>283</v>
      </c>
      <c r="C290" s="425">
        <v>6447797.8757365607</v>
      </c>
      <c r="D290" s="425">
        <v>8628608.0365056153</v>
      </c>
      <c r="E290" s="426">
        <v>0.17317374200182578</v>
      </c>
    </row>
    <row r="291" spans="2:5" x14ac:dyDescent="0.3">
      <c r="B291" s="424">
        <v>284</v>
      </c>
      <c r="C291" s="425">
        <v>11018933.103782296</v>
      </c>
      <c r="D291" s="425">
        <v>14745818.11734483</v>
      </c>
      <c r="E291" s="426">
        <v>0.2628526932501436</v>
      </c>
    </row>
    <row r="292" spans="2:5" x14ac:dyDescent="0.3">
      <c r="B292" s="424">
        <v>285</v>
      </c>
      <c r="C292" s="425">
        <v>12554908.015799526</v>
      </c>
      <c r="D292" s="425">
        <v>16801299.031158198</v>
      </c>
      <c r="E292" s="426">
        <v>0.28015162607378863</v>
      </c>
    </row>
    <row r="293" spans="2:5" x14ac:dyDescent="0.3">
      <c r="B293" s="424">
        <v>286</v>
      </c>
      <c r="C293" s="425">
        <v>7993561.8717228286</v>
      </c>
      <c r="D293" s="425">
        <v>10697188.952867623</v>
      </c>
      <c r="E293" s="426">
        <v>0.20666741741868599</v>
      </c>
    </row>
    <row r="294" spans="2:5" x14ac:dyDescent="0.3">
      <c r="B294" s="424">
        <v>287</v>
      </c>
      <c r="C294" s="425">
        <v>14164095.675829692</v>
      </c>
      <c r="D294" s="425">
        <v>18954755.116968859</v>
      </c>
      <c r="E294" s="426">
        <v>0.31138039363730341</v>
      </c>
    </row>
    <row r="295" spans="2:5" x14ac:dyDescent="0.3">
      <c r="B295" s="424">
        <v>288</v>
      </c>
      <c r="C295" s="425">
        <v>16348159.025655594</v>
      </c>
      <c r="D295" s="425">
        <v>21877524.554804619</v>
      </c>
      <c r="E295" s="426">
        <v>0.3423287981217773</v>
      </c>
    </row>
    <row r="296" spans="2:5" x14ac:dyDescent="0.3">
      <c r="B296" s="424">
        <v>289</v>
      </c>
      <c r="C296" s="425">
        <v>4988226.1499918848</v>
      </c>
      <c r="D296" s="425">
        <v>6675371.8207723163</v>
      </c>
      <c r="E296" s="426">
        <v>0.15126234348267853</v>
      </c>
    </row>
    <row r="297" spans="2:5" x14ac:dyDescent="0.3">
      <c r="B297" s="424">
        <v>290</v>
      </c>
      <c r="C297" s="425">
        <v>2334710.0526306592</v>
      </c>
      <c r="D297" s="425">
        <v>3124368.7087101913</v>
      </c>
      <c r="E297" s="426">
        <v>0.10122111081911123</v>
      </c>
    </row>
    <row r="298" spans="2:5" x14ac:dyDescent="0.3">
      <c r="B298" s="424">
        <v>291</v>
      </c>
      <c r="C298" s="425">
        <v>9755823.6199427694</v>
      </c>
      <c r="D298" s="425">
        <v>13055492.69876164</v>
      </c>
      <c r="E298" s="426">
        <v>0.23621324866696414</v>
      </c>
    </row>
    <row r="299" spans="2:5" x14ac:dyDescent="0.3">
      <c r="B299" s="424">
        <v>292</v>
      </c>
      <c r="C299" s="425">
        <v>5217792.5850483254</v>
      </c>
      <c r="D299" s="425">
        <v>6982583.4959232947</v>
      </c>
      <c r="E299" s="426">
        <v>0.1634342325104301</v>
      </c>
    </row>
    <row r="300" spans="2:5" x14ac:dyDescent="0.3">
      <c r="B300" s="424">
        <v>293</v>
      </c>
      <c r="C300" s="425">
        <v>9562653.9044330642</v>
      </c>
      <c r="D300" s="425">
        <v>12796988.044648837</v>
      </c>
      <c r="E300" s="426">
        <v>0.24173080071787001</v>
      </c>
    </row>
    <row r="301" spans="2:5" x14ac:dyDescent="0.3">
      <c r="B301" s="424">
        <v>294</v>
      </c>
      <c r="C301" s="425">
        <v>12471775.290860401</v>
      </c>
      <c r="D301" s="425">
        <v>16690048.692309074</v>
      </c>
      <c r="E301" s="426">
        <v>0.28668564527756391</v>
      </c>
    </row>
    <row r="302" spans="2:5" x14ac:dyDescent="0.3">
      <c r="B302" s="424">
        <v>295</v>
      </c>
      <c r="C302" s="425">
        <v>8470879.6639464907</v>
      </c>
      <c r="D302" s="425">
        <v>11335947.831064891</v>
      </c>
      <c r="E302" s="426">
        <v>0.20532054744414507</v>
      </c>
    </row>
    <row r="303" spans="2:5" x14ac:dyDescent="0.3">
      <c r="B303" s="424">
        <v>296</v>
      </c>
      <c r="C303" s="425">
        <v>9785666.5423989668</v>
      </c>
      <c r="D303" s="425">
        <v>13095429.260902857</v>
      </c>
      <c r="E303" s="426">
        <v>0.22913638685928173</v>
      </c>
    </row>
    <row r="304" spans="2:5" x14ac:dyDescent="0.3">
      <c r="B304" s="424">
        <v>297</v>
      </c>
      <c r="C304" s="425">
        <v>10660194.924868764</v>
      </c>
      <c r="D304" s="425">
        <v>14265745.510661095</v>
      </c>
      <c r="E304" s="426">
        <v>0.25068866890977826</v>
      </c>
    </row>
    <row r="305" spans="2:5" x14ac:dyDescent="0.3">
      <c r="B305" s="424">
        <v>298</v>
      </c>
      <c r="C305" s="425">
        <v>7297541.7145293709</v>
      </c>
      <c r="D305" s="425">
        <v>9765756.9759861659</v>
      </c>
      <c r="E305" s="426">
        <v>0.1936724069767779</v>
      </c>
    </row>
    <row r="306" spans="2:5" x14ac:dyDescent="0.3">
      <c r="B306" s="424">
        <v>299</v>
      </c>
      <c r="C306" s="425">
        <v>13744307.850274306</v>
      </c>
      <c r="D306" s="425">
        <v>18392984.311645553</v>
      </c>
      <c r="E306" s="426">
        <v>0.29489625795489083</v>
      </c>
    </row>
    <row r="307" spans="2:5" x14ac:dyDescent="0.3">
      <c r="B307" s="424">
        <v>300</v>
      </c>
      <c r="C307" s="425">
        <v>9779942.761419978</v>
      </c>
      <c r="D307" s="425">
        <v>13087769.550796194</v>
      </c>
      <c r="E307" s="426">
        <v>0.23176039743901922</v>
      </c>
    </row>
    <row r="308" spans="2:5" x14ac:dyDescent="0.3">
      <c r="B308" s="424">
        <v>301</v>
      </c>
      <c r="C308" s="425">
        <v>10747731.544998936</v>
      </c>
      <c r="D308" s="425">
        <v>14382889.254695948</v>
      </c>
      <c r="E308" s="426">
        <v>0.24524070144401944</v>
      </c>
    </row>
    <row r="309" spans="2:5" x14ac:dyDescent="0.3">
      <c r="B309" s="424">
        <v>302</v>
      </c>
      <c r="C309" s="425">
        <v>7864732.9027161114</v>
      </c>
      <c r="D309" s="425">
        <v>10524786.731406996</v>
      </c>
      <c r="E309" s="426">
        <v>0.20485112379108261</v>
      </c>
    </row>
    <row r="310" spans="2:5" x14ac:dyDescent="0.3">
      <c r="B310" s="424">
        <v>303</v>
      </c>
      <c r="C310" s="425">
        <v>14151524.48760109</v>
      </c>
      <c r="D310" s="425">
        <v>18937932.031340521</v>
      </c>
      <c r="E310" s="426">
        <v>0.29886914134756282</v>
      </c>
    </row>
    <row r="311" spans="2:5" x14ac:dyDescent="0.3">
      <c r="B311" s="424">
        <v>304</v>
      </c>
      <c r="C311" s="425">
        <v>11429504.54690979</v>
      </c>
      <c r="D311" s="425">
        <v>15295255.323970186</v>
      </c>
      <c r="E311" s="426">
        <v>0.26255049268490716</v>
      </c>
    </row>
    <row r="312" spans="2:5" x14ac:dyDescent="0.3">
      <c r="B312" s="424">
        <v>305</v>
      </c>
      <c r="C312" s="425">
        <v>11553382.854320873</v>
      </c>
      <c r="D312" s="425">
        <v>15461032.443457492</v>
      </c>
      <c r="E312" s="426">
        <v>0.25870885869315474</v>
      </c>
    </row>
    <row r="313" spans="2:5" x14ac:dyDescent="0.3">
      <c r="B313" s="424">
        <v>306</v>
      </c>
      <c r="C313" s="425">
        <v>8285983.0954506919</v>
      </c>
      <c r="D313" s="425">
        <v>11088514.513893342</v>
      </c>
      <c r="E313" s="426">
        <v>0.20935540439464928</v>
      </c>
    </row>
    <row r="314" spans="2:5" x14ac:dyDescent="0.3">
      <c r="B314" s="424">
        <v>307</v>
      </c>
      <c r="C314" s="425">
        <v>9000417.7218930423</v>
      </c>
      <c r="D314" s="425">
        <v>12044589.204521596</v>
      </c>
      <c r="E314" s="426">
        <v>0.22547214646371794</v>
      </c>
    </row>
    <row r="315" spans="2:5" x14ac:dyDescent="0.3">
      <c r="B315" s="424">
        <v>308</v>
      </c>
      <c r="C315" s="425">
        <v>12353142.046556264</v>
      </c>
      <c r="D315" s="425">
        <v>16531290.65042761</v>
      </c>
      <c r="E315" s="426">
        <v>0.28790726737794148</v>
      </c>
    </row>
    <row r="316" spans="2:5" x14ac:dyDescent="0.3">
      <c r="B316" s="424">
        <v>309</v>
      </c>
      <c r="C316" s="425">
        <v>7525641.6061160602</v>
      </c>
      <c r="D316" s="425">
        <v>10071006.08515526</v>
      </c>
      <c r="E316" s="426">
        <v>0.19865651910444893</v>
      </c>
    </row>
    <row r="317" spans="2:5" x14ac:dyDescent="0.3">
      <c r="B317" s="424">
        <v>310</v>
      </c>
      <c r="C317" s="425">
        <v>7056821.9612849355</v>
      </c>
      <c r="D317" s="425">
        <v>9443619.6451609004</v>
      </c>
      <c r="E317" s="426">
        <v>0.1800335000250961</v>
      </c>
    </row>
    <row r="318" spans="2:5" x14ac:dyDescent="0.3">
      <c r="B318" s="424">
        <v>311</v>
      </c>
      <c r="C318" s="425">
        <v>14801521.92956177</v>
      </c>
      <c r="D318" s="425">
        <v>19807775.233546872</v>
      </c>
      <c r="E318" s="426">
        <v>0.33209157243769116</v>
      </c>
    </row>
    <row r="319" spans="2:5" x14ac:dyDescent="0.3">
      <c r="B319" s="424">
        <v>312</v>
      </c>
      <c r="C319" s="425">
        <v>14974653.243348416</v>
      </c>
      <c r="D319" s="425">
        <v>20039463.985939655</v>
      </c>
      <c r="E319" s="426">
        <v>0.31743775998016566</v>
      </c>
    </row>
    <row r="320" spans="2:5" x14ac:dyDescent="0.3">
      <c r="B320" s="424">
        <v>313</v>
      </c>
      <c r="C320" s="425">
        <v>3085032.6070348695</v>
      </c>
      <c r="D320" s="425">
        <v>4128469.5424640737</v>
      </c>
      <c r="E320" s="426">
        <v>0.11724767554195603</v>
      </c>
    </row>
    <row r="321" spans="2:5" x14ac:dyDescent="0.3">
      <c r="B321" s="424">
        <v>314</v>
      </c>
      <c r="C321" s="425">
        <v>4249111.8362985179</v>
      </c>
      <c r="D321" s="425">
        <v>5686270.1414175825</v>
      </c>
      <c r="E321" s="426">
        <v>0.13709858391035912</v>
      </c>
    </row>
    <row r="322" spans="2:5" x14ac:dyDescent="0.3">
      <c r="B322" s="424">
        <v>315</v>
      </c>
      <c r="C322" s="425">
        <v>14191410.274790337</v>
      </c>
      <c r="D322" s="425">
        <v>18991308.211939882</v>
      </c>
      <c r="E322" s="426">
        <v>0.31777572317780889</v>
      </c>
    </row>
    <row r="323" spans="2:5" x14ac:dyDescent="0.3">
      <c r="B323" s="424">
        <v>316</v>
      </c>
      <c r="C323" s="425">
        <v>17233726.159024455</v>
      </c>
      <c r="D323" s="425">
        <v>23062613.143360738</v>
      </c>
      <c r="E323" s="426">
        <v>0.37452916165243133</v>
      </c>
    </row>
    <row r="324" spans="2:5" x14ac:dyDescent="0.3">
      <c r="B324" s="424">
        <v>317</v>
      </c>
      <c r="C324" s="425">
        <v>13194256.605816934</v>
      </c>
      <c r="D324" s="425">
        <v>17656891.667321987</v>
      </c>
      <c r="E324" s="426">
        <v>0.30379813890785257</v>
      </c>
    </row>
    <row r="325" spans="2:5" x14ac:dyDescent="0.3">
      <c r="B325" s="424">
        <v>318</v>
      </c>
      <c r="C325" s="425">
        <v>14820315.38105702</v>
      </c>
      <c r="D325" s="425">
        <v>19832925.111029204</v>
      </c>
      <c r="E325" s="426">
        <v>0.32438679059675102</v>
      </c>
    </row>
    <row r="326" spans="2:5" x14ac:dyDescent="0.3">
      <c r="B326" s="424">
        <v>319</v>
      </c>
      <c r="C326" s="425">
        <v>11081580.706994381</v>
      </c>
      <c r="D326" s="425">
        <v>14829654.742338577</v>
      </c>
      <c r="E326" s="426">
        <v>0.2571373301395159</v>
      </c>
    </row>
    <row r="327" spans="2:5" x14ac:dyDescent="0.3">
      <c r="B327" s="424">
        <v>320</v>
      </c>
      <c r="C327" s="425">
        <v>8255572.9115662351</v>
      </c>
      <c r="D327" s="425">
        <v>11047818.827999642</v>
      </c>
      <c r="E327" s="426">
        <v>0.21970667419246048</v>
      </c>
    </row>
    <row r="328" spans="2:5" x14ac:dyDescent="0.3">
      <c r="B328" s="424">
        <v>321</v>
      </c>
      <c r="C328" s="425">
        <v>9280050.5511995777</v>
      </c>
      <c r="D328" s="425">
        <v>12418801.009036258</v>
      </c>
      <c r="E328" s="426">
        <v>0.23318773525317105</v>
      </c>
    </row>
    <row r="329" spans="2:5" x14ac:dyDescent="0.3">
      <c r="B329" s="424">
        <v>322</v>
      </c>
      <c r="C329" s="425">
        <v>6902157.1171767265</v>
      </c>
      <c r="D329" s="425">
        <v>9236643.1948197782</v>
      </c>
      <c r="E329" s="426">
        <v>0.18656979046640476</v>
      </c>
    </row>
    <row r="330" spans="2:5" x14ac:dyDescent="0.3">
      <c r="B330" s="424">
        <v>323</v>
      </c>
      <c r="C330" s="425">
        <v>8953446.9504676666</v>
      </c>
      <c r="D330" s="425">
        <v>11981731.716800556</v>
      </c>
      <c r="E330" s="426">
        <v>0.22445525037711445</v>
      </c>
    </row>
    <row r="331" spans="2:5" x14ac:dyDescent="0.3">
      <c r="B331" s="424">
        <v>324</v>
      </c>
      <c r="C331" s="425">
        <v>5860711.9517494589</v>
      </c>
      <c r="D331" s="425">
        <v>7842954.6367771458</v>
      </c>
      <c r="E331" s="426">
        <v>0.16813360623680818</v>
      </c>
    </row>
    <row r="332" spans="2:5" x14ac:dyDescent="0.3">
      <c r="B332" s="424">
        <v>325</v>
      </c>
      <c r="C332" s="425">
        <v>13404360.36088624</v>
      </c>
      <c r="D332" s="425">
        <v>17938057.886305541</v>
      </c>
      <c r="E332" s="426">
        <v>0.31426628914010002</v>
      </c>
    </row>
    <row r="333" spans="2:5" x14ac:dyDescent="0.3">
      <c r="B333" s="424">
        <v>326</v>
      </c>
      <c r="C333" s="425">
        <v>6624929.676196944</v>
      </c>
      <c r="D333" s="425">
        <v>8865650.3424880393</v>
      </c>
      <c r="E333" s="426">
        <v>0.18380299070201711</v>
      </c>
    </row>
    <row r="334" spans="2:5" x14ac:dyDescent="0.3">
      <c r="B334" s="424">
        <v>327</v>
      </c>
      <c r="C334" s="425">
        <v>12350370.134248475</v>
      </c>
      <c r="D334" s="425">
        <v>16527581.20647846</v>
      </c>
      <c r="E334" s="426">
        <v>0.28016795098614988</v>
      </c>
    </row>
    <row r="335" spans="2:5" x14ac:dyDescent="0.3">
      <c r="B335" s="424">
        <v>328</v>
      </c>
      <c r="C335" s="425">
        <v>11097455.167026561</v>
      </c>
      <c r="D335" s="425">
        <v>14850898.350784229</v>
      </c>
      <c r="E335" s="426">
        <v>0.26124884860580111</v>
      </c>
    </row>
    <row r="336" spans="2:5" x14ac:dyDescent="0.3">
      <c r="B336" s="424">
        <v>329</v>
      </c>
      <c r="C336" s="425">
        <v>9022602.1087849252</v>
      </c>
      <c r="D336" s="425">
        <v>12074276.918483689</v>
      </c>
      <c r="E336" s="426">
        <v>0.22822345972404068</v>
      </c>
    </row>
    <row r="337" spans="2:5" x14ac:dyDescent="0.3">
      <c r="B337" s="424">
        <v>330</v>
      </c>
      <c r="C337" s="425">
        <v>10644077.594402641</v>
      </c>
      <c r="D337" s="425">
        <v>14244176.886788698</v>
      </c>
      <c r="E337" s="426">
        <v>0.23745369145590844</v>
      </c>
    </row>
    <row r="338" spans="2:5" x14ac:dyDescent="0.3">
      <c r="B338" s="424">
        <v>331</v>
      </c>
      <c r="C338" s="425">
        <v>10251882.09139834</v>
      </c>
      <c r="D338" s="425">
        <v>13719330.833248645</v>
      </c>
      <c r="E338" s="426">
        <v>0.24944840026204362</v>
      </c>
    </row>
    <row r="339" spans="2:5" x14ac:dyDescent="0.3">
      <c r="B339" s="424">
        <v>332</v>
      </c>
      <c r="C339" s="425">
        <v>7891312.0952294171</v>
      </c>
      <c r="D339" s="425">
        <v>10560355.686660256</v>
      </c>
      <c r="E339" s="426">
        <v>0.20003430434112346</v>
      </c>
    </row>
    <row r="340" spans="2:5" x14ac:dyDescent="0.3">
      <c r="B340" s="424">
        <v>333</v>
      </c>
      <c r="C340" s="425">
        <v>11619767.804546727</v>
      </c>
      <c r="D340" s="425">
        <v>15549870.481817434</v>
      </c>
      <c r="E340" s="426">
        <v>0.27479264534579628</v>
      </c>
    </row>
    <row r="341" spans="2:5" x14ac:dyDescent="0.3">
      <c r="B341" s="424">
        <v>334</v>
      </c>
      <c r="C341" s="425">
        <v>9871086.388331335</v>
      </c>
      <c r="D341" s="425">
        <v>13209740.283564204</v>
      </c>
      <c r="E341" s="426">
        <v>0.23987586949222539</v>
      </c>
    </row>
    <row r="342" spans="2:5" x14ac:dyDescent="0.3">
      <c r="B342" s="424">
        <v>335</v>
      </c>
      <c r="C342" s="425">
        <v>15569039.617255524</v>
      </c>
      <c r="D342" s="425">
        <v>20834887.034479063</v>
      </c>
      <c r="E342" s="426">
        <v>0.32218888085722952</v>
      </c>
    </row>
    <row r="343" spans="2:5" x14ac:dyDescent="0.3">
      <c r="B343" s="424">
        <v>336</v>
      </c>
      <c r="C343" s="425">
        <v>9413064.9941405635</v>
      </c>
      <c r="D343" s="425">
        <v>12596804.338770101</v>
      </c>
      <c r="E343" s="426">
        <v>0.24372420341386003</v>
      </c>
    </row>
    <row r="344" spans="2:5" x14ac:dyDescent="0.3">
      <c r="B344" s="424">
        <v>337</v>
      </c>
      <c r="C344" s="425">
        <v>7415788.3043218218</v>
      </c>
      <c r="D344" s="425">
        <v>9923997.5869103987</v>
      </c>
      <c r="E344" s="426">
        <v>0.19622667273469174</v>
      </c>
    </row>
    <row r="345" spans="2:5" x14ac:dyDescent="0.3">
      <c r="B345" s="424">
        <v>338</v>
      </c>
      <c r="C345" s="425">
        <v>7036150.4426336028</v>
      </c>
      <c r="D345" s="425">
        <v>9415956.4901738521</v>
      </c>
      <c r="E345" s="426">
        <v>0.19641185619556367</v>
      </c>
    </row>
    <row r="346" spans="2:5" x14ac:dyDescent="0.3">
      <c r="B346" s="424">
        <v>339</v>
      </c>
      <c r="C346" s="425">
        <v>15970409.324076096</v>
      </c>
      <c r="D346" s="425">
        <v>21372010.242220167</v>
      </c>
      <c r="E346" s="426">
        <v>0.35533180888975568</v>
      </c>
    </row>
    <row r="347" spans="2:5" x14ac:dyDescent="0.3">
      <c r="B347" s="424">
        <v>340</v>
      </c>
      <c r="C347" s="425">
        <v>12712444.286532588</v>
      </c>
      <c r="D347" s="425">
        <v>17012118.0980529</v>
      </c>
      <c r="E347" s="426">
        <v>0.29074003138788851</v>
      </c>
    </row>
    <row r="348" spans="2:5" x14ac:dyDescent="0.3">
      <c r="B348" s="424">
        <v>341</v>
      </c>
      <c r="C348" s="425">
        <v>9654143.2064638399</v>
      </c>
      <c r="D348" s="425">
        <v>12919421.368703192</v>
      </c>
      <c r="E348" s="426">
        <v>0.2282593538167228</v>
      </c>
    </row>
    <row r="349" spans="2:5" x14ac:dyDescent="0.3">
      <c r="B349" s="424">
        <v>342</v>
      </c>
      <c r="C349" s="425">
        <v>4658461.8208445422</v>
      </c>
      <c r="D349" s="425">
        <v>6234072.7609272376</v>
      </c>
      <c r="E349" s="426">
        <v>0.14545132403225414</v>
      </c>
    </row>
    <row r="350" spans="2:5" x14ac:dyDescent="0.3">
      <c r="B350" s="424">
        <v>343</v>
      </c>
      <c r="C350" s="425">
        <v>1018627.2994723208</v>
      </c>
      <c r="D350" s="425">
        <v>1363153.1061954752</v>
      </c>
      <c r="E350" s="426">
        <v>7.8751925447998694E-2</v>
      </c>
    </row>
    <row r="351" spans="2:5" x14ac:dyDescent="0.3">
      <c r="B351" s="424">
        <v>344</v>
      </c>
      <c r="C351" s="425">
        <v>10155776.400548462</v>
      </c>
      <c r="D351" s="425">
        <v>13590719.73960042</v>
      </c>
      <c r="E351" s="426">
        <v>0.24541035395152755</v>
      </c>
    </row>
    <row r="352" spans="2:5" x14ac:dyDescent="0.3">
      <c r="B352" s="424">
        <v>345</v>
      </c>
      <c r="C352" s="425">
        <v>7733607.8899290264</v>
      </c>
      <c r="D352" s="425">
        <v>10349311.885432193</v>
      </c>
      <c r="E352" s="426">
        <v>0.1957503195602901</v>
      </c>
    </row>
    <row r="353" spans="2:5" x14ac:dyDescent="0.3">
      <c r="B353" s="424">
        <v>346</v>
      </c>
      <c r="C353" s="425">
        <v>9777892.2156547122</v>
      </c>
      <c r="D353" s="425">
        <v>13085025.458005076</v>
      </c>
      <c r="E353" s="426">
        <v>0.22964177000279351</v>
      </c>
    </row>
    <row r="354" spans="2:5" x14ac:dyDescent="0.3">
      <c r="B354" s="424">
        <v>347</v>
      </c>
      <c r="C354" s="425">
        <v>7333251.7953436114</v>
      </c>
      <c r="D354" s="425">
        <v>9813545.1195099447</v>
      </c>
      <c r="E354" s="426">
        <v>0.1848836147182007</v>
      </c>
    </row>
    <row r="355" spans="2:5" x14ac:dyDescent="0.3">
      <c r="B355" s="424">
        <v>348</v>
      </c>
      <c r="C355" s="425">
        <v>9038066.2058151849</v>
      </c>
      <c r="D355" s="425">
        <v>12094971.368664071</v>
      </c>
      <c r="E355" s="426">
        <v>0.22035699657363472</v>
      </c>
    </row>
    <row r="356" spans="2:5" x14ac:dyDescent="0.3">
      <c r="B356" s="424">
        <v>349</v>
      </c>
      <c r="C356" s="425">
        <v>8277742.8537206538</v>
      </c>
      <c r="D356" s="425">
        <v>11077487.211644599</v>
      </c>
      <c r="E356" s="426">
        <v>0.20408303097739044</v>
      </c>
    </row>
    <row r="357" spans="2:5" x14ac:dyDescent="0.3">
      <c r="B357" s="424">
        <v>350</v>
      </c>
      <c r="C357" s="425">
        <v>10127403.824525828</v>
      </c>
      <c r="D357" s="425">
        <v>13552750.832664529</v>
      </c>
      <c r="E357" s="426">
        <v>0.24283982712425911</v>
      </c>
    </row>
    <row r="358" spans="2:5" x14ac:dyDescent="0.3">
      <c r="B358" s="424">
        <v>351</v>
      </c>
      <c r="C358" s="425">
        <v>15744520.445484728</v>
      </c>
      <c r="D358" s="425">
        <v>21069719.967193816</v>
      </c>
      <c r="E358" s="426">
        <v>0.33846039579245413</v>
      </c>
    </row>
    <row r="359" spans="2:5" x14ac:dyDescent="0.3">
      <c r="B359" s="424">
        <v>352</v>
      </c>
      <c r="C359" s="425">
        <v>13054852.36736425</v>
      </c>
      <c r="D359" s="425">
        <v>17470337.349798758</v>
      </c>
      <c r="E359" s="426">
        <v>0.28912878442112033</v>
      </c>
    </row>
    <row r="360" spans="2:5" x14ac:dyDescent="0.3">
      <c r="B360" s="424">
        <v>353</v>
      </c>
      <c r="C360" s="425">
        <v>13242007.446381252</v>
      </c>
      <c r="D360" s="425">
        <v>17720793.06351706</v>
      </c>
      <c r="E360" s="426">
        <v>0.29156548532462745</v>
      </c>
    </row>
    <row r="361" spans="2:5" x14ac:dyDescent="0.3">
      <c r="B361" s="424">
        <v>354</v>
      </c>
      <c r="C361" s="425">
        <v>11903154.104184184</v>
      </c>
      <c r="D361" s="425">
        <v>15929105.276333697</v>
      </c>
      <c r="E361" s="426">
        <v>0.2837128015081587</v>
      </c>
    </row>
    <row r="362" spans="2:5" x14ac:dyDescent="0.3">
      <c r="B362" s="424">
        <v>355</v>
      </c>
      <c r="C362" s="425">
        <v>9055702.5834806487</v>
      </c>
      <c r="D362" s="425">
        <v>12118572.820352208</v>
      </c>
      <c r="E362" s="426">
        <v>0.21449560315201599</v>
      </c>
    </row>
    <row r="363" spans="2:5" x14ac:dyDescent="0.3">
      <c r="B363" s="424">
        <v>356</v>
      </c>
      <c r="C363" s="425">
        <v>6725250.4375084788</v>
      </c>
      <c r="D363" s="425">
        <v>8999902.1512394398</v>
      </c>
      <c r="E363" s="426">
        <v>0.17827166511542347</v>
      </c>
    </row>
    <row r="364" spans="2:5" x14ac:dyDescent="0.3">
      <c r="B364" s="424">
        <v>357</v>
      </c>
      <c r="C364" s="425">
        <v>7006365.7648873143</v>
      </c>
      <c r="D364" s="425">
        <v>9376097.8725931961</v>
      </c>
      <c r="E364" s="426">
        <v>0.18812944900750095</v>
      </c>
    </row>
    <row r="365" spans="2:5" x14ac:dyDescent="0.3">
      <c r="B365" s="424">
        <v>358</v>
      </c>
      <c r="C365" s="425">
        <v>15444121.601968586</v>
      </c>
      <c r="D365" s="425">
        <v>20667718.551319055</v>
      </c>
      <c r="E365" s="426">
        <v>0.3359052797833324</v>
      </c>
    </row>
    <row r="366" spans="2:5" x14ac:dyDescent="0.3">
      <c r="B366" s="424">
        <v>359</v>
      </c>
      <c r="C366" s="425">
        <v>8196714.8448820375</v>
      </c>
      <c r="D366" s="425">
        <v>10969053.457714763</v>
      </c>
      <c r="E366" s="426">
        <v>0.20641533545984436</v>
      </c>
    </row>
    <row r="367" spans="2:5" x14ac:dyDescent="0.3">
      <c r="B367" s="424">
        <v>360</v>
      </c>
      <c r="C367" s="425">
        <v>6218417.019834388</v>
      </c>
      <c r="D367" s="425">
        <v>8321644.7081255475</v>
      </c>
      <c r="E367" s="426">
        <v>0.17270686602796359</v>
      </c>
    </row>
    <row r="368" spans="2:5" x14ac:dyDescent="0.3">
      <c r="B368" s="424">
        <v>361</v>
      </c>
      <c r="C368" s="425">
        <v>12555761.827228669</v>
      </c>
      <c r="D368" s="425">
        <v>16802441.623451125</v>
      </c>
      <c r="E368" s="426">
        <v>0.28311121004037854</v>
      </c>
    </row>
    <row r="369" spans="2:5" x14ac:dyDescent="0.3">
      <c r="B369" s="424">
        <v>362</v>
      </c>
      <c r="C369" s="425">
        <v>11487260.831737854</v>
      </c>
      <c r="D369" s="425">
        <v>15372546.261594251</v>
      </c>
      <c r="E369" s="426">
        <v>0.26464262293425866</v>
      </c>
    </row>
    <row r="370" spans="2:5" x14ac:dyDescent="0.3">
      <c r="B370" s="424">
        <v>363</v>
      </c>
      <c r="C370" s="425">
        <v>4769652.4473717064</v>
      </c>
      <c r="D370" s="425">
        <v>6382870.901335258</v>
      </c>
      <c r="E370" s="426">
        <v>0.14640491859507243</v>
      </c>
    </row>
    <row r="371" spans="2:5" x14ac:dyDescent="0.3">
      <c r="B371" s="424">
        <v>364</v>
      </c>
      <c r="C371" s="425">
        <v>11902950.370220235</v>
      </c>
      <c r="D371" s="425">
        <v>15928832.634332113</v>
      </c>
      <c r="E371" s="426">
        <v>0.27729518251224472</v>
      </c>
    </row>
    <row r="372" spans="2:5" x14ac:dyDescent="0.3">
      <c r="B372" s="424">
        <v>365</v>
      </c>
      <c r="C372" s="425">
        <v>10502240.434549745</v>
      </c>
      <c r="D372" s="425">
        <v>14054366.771619413</v>
      </c>
      <c r="E372" s="426">
        <v>0.25166264544678363</v>
      </c>
    </row>
    <row r="373" spans="2:5" x14ac:dyDescent="0.3">
      <c r="B373" s="424">
        <v>366</v>
      </c>
      <c r="C373" s="425">
        <v>7679703.244584823</v>
      </c>
      <c r="D373" s="425">
        <v>10277175.310281122</v>
      </c>
      <c r="E373" s="426">
        <v>0.20759482137722007</v>
      </c>
    </row>
    <row r="374" spans="2:5" x14ac:dyDescent="0.3">
      <c r="B374" s="424">
        <v>367</v>
      </c>
      <c r="C374" s="425">
        <v>8710718.0612083096</v>
      </c>
      <c r="D374" s="425">
        <v>11656905.708771247</v>
      </c>
      <c r="E374" s="426">
        <v>0.22426958318167278</v>
      </c>
    </row>
    <row r="375" spans="2:5" x14ac:dyDescent="0.3">
      <c r="B375" s="424">
        <v>368</v>
      </c>
      <c r="C375" s="425">
        <v>8839194.3409720212</v>
      </c>
      <c r="D375" s="425">
        <v>11828835.952465938</v>
      </c>
      <c r="E375" s="426">
        <v>0.21349654316967359</v>
      </c>
    </row>
    <row r="376" spans="2:5" x14ac:dyDescent="0.3">
      <c r="B376" s="424">
        <v>369</v>
      </c>
      <c r="C376" s="425">
        <v>8734182.8750159778</v>
      </c>
      <c r="D376" s="425">
        <v>11688306.922782289</v>
      </c>
      <c r="E376" s="426">
        <v>0.21270016338254027</v>
      </c>
    </row>
    <row r="377" spans="2:5" x14ac:dyDescent="0.3">
      <c r="B377" s="424">
        <v>370</v>
      </c>
      <c r="C377" s="425">
        <v>14564310.057006853</v>
      </c>
      <c r="D377" s="425">
        <v>19490332.238383491</v>
      </c>
      <c r="E377" s="426">
        <v>0.33361570444556898</v>
      </c>
    </row>
    <row r="378" spans="2:5" x14ac:dyDescent="0.3">
      <c r="B378" s="424">
        <v>371</v>
      </c>
      <c r="C378" s="425">
        <v>9380799.8873619474</v>
      </c>
      <c r="D378" s="425">
        <v>12553626.347614963</v>
      </c>
      <c r="E378" s="426">
        <v>0.2318936360224122</v>
      </c>
    </row>
    <row r="379" spans="2:5" x14ac:dyDescent="0.3">
      <c r="B379" s="424">
        <v>372</v>
      </c>
      <c r="C379" s="425">
        <v>10950889.113669492</v>
      </c>
      <c r="D379" s="425">
        <v>14654759.909373913</v>
      </c>
      <c r="E379" s="426">
        <v>0.2438871346889453</v>
      </c>
    </row>
    <row r="380" spans="2:5" x14ac:dyDescent="0.3">
      <c r="B380" s="424">
        <v>373</v>
      </c>
      <c r="C380" s="425">
        <v>9743364.4146064352</v>
      </c>
      <c r="D380" s="425">
        <v>13038819.471503988</v>
      </c>
      <c r="E380" s="426">
        <v>0.24042448373826164</v>
      </c>
    </row>
    <row r="381" spans="2:5" x14ac:dyDescent="0.3">
      <c r="B381" s="424">
        <v>374</v>
      </c>
      <c r="C381" s="425">
        <v>6903186.4052581098</v>
      </c>
      <c r="D381" s="425">
        <v>9238020.6144570056</v>
      </c>
      <c r="E381" s="426">
        <v>0.18906620801614893</v>
      </c>
    </row>
    <row r="382" spans="2:5" x14ac:dyDescent="0.3">
      <c r="B382" s="424">
        <v>375</v>
      </c>
      <c r="C382" s="425">
        <v>17185514.038581707</v>
      </c>
      <c r="D382" s="425">
        <v>22998094.450633921</v>
      </c>
      <c r="E382" s="426">
        <v>0.3589751323731476</v>
      </c>
    </row>
    <row r="383" spans="2:5" x14ac:dyDescent="0.3">
      <c r="B383" s="424">
        <v>376</v>
      </c>
      <c r="C383" s="425">
        <v>7126319.3989739548</v>
      </c>
      <c r="D383" s="425">
        <v>9536622.893854009</v>
      </c>
      <c r="E383" s="426">
        <v>0.19197857081637015</v>
      </c>
    </row>
    <row r="384" spans="2:5" x14ac:dyDescent="0.3">
      <c r="B384" s="424">
        <v>377</v>
      </c>
      <c r="C384" s="425">
        <v>9404365.2398322523</v>
      </c>
      <c r="D384" s="425">
        <v>12585162.105035882</v>
      </c>
      <c r="E384" s="426">
        <v>0.23421177505263602</v>
      </c>
    </row>
    <row r="385" spans="2:5" x14ac:dyDescent="0.3">
      <c r="B385" s="424">
        <v>378</v>
      </c>
      <c r="C385" s="425">
        <v>8582172.9425582699</v>
      </c>
      <c r="D385" s="425">
        <v>11484883.343118137</v>
      </c>
      <c r="E385" s="426">
        <v>0.21488558175133976</v>
      </c>
    </row>
    <row r="386" spans="2:5" x14ac:dyDescent="0.3">
      <c r="B386" s="424">
        <v>379</v>
      </c>
      <c r="C386" s="425">
        <v>8330408.4436729997</v>
      </c>
      <c r="D386" s="425">
        <v>11147965.651178222</v>
      </c>
      <c r="E386" s="426">
        <v>0.20885684056121301</v>
      </c>
    </row>
    <row r="387" spans="2:5" x14ac:dyDescent="0.3">
      <c r="B387" s="424">
        <v>380</v>
      </c>
      <c r="C387" s="425">
        <v>7405068.4478885457</v>
      </c>
      <c r="D387" s="425">
        <v>9909652.0008431878</v>
      </c>
      <c r="E387" s="426">
        <v>0.20005489125201659</v>
      </c>
    </row>
    <row r="388" spans="2:5" x14ac:dyDescent="0.3">
      <c r="B388" s="424">
        <v>381</v>
      </c>
      <c r="C388" s="425">
        <v>13432379.700219752</v>
      </c>
      <c r="D388" s="425">
        <v>17975554.082869098</v>
      </c>
      <c r="E388" s="426">
        <v>0.30134603198703624</v>
      </c>
    </row>
    <row r="389" spans="2:5" x14ac:dyDescent="0.3">
      <c r="B389" s="424">
        <v>382</v>
      </c>
      <c r="C389" s="425">
        <v>14264679.338767903</v>
      </c>
      <c r="D389" s="425">
        <v>19089358.747401468</v>
      </c>
      <c r="E389" s="426">
        <v>0.31455293379532123</v>
      </c>
    </row>
    <row r="390" spans="2:5" x14ac:dyDescent="0.3">
      <c r="B390" s="424">
        <v>383</v>
      </c>
      <c r="C390" s="425">
        <v>10087347.763845183</v>
      </c>
      <c r="D390" s="425">
        <v>13499146.787723793</v>
      </c>
      <c r="E390" s="426">
        <v>0.23267155393006544</v>
      </c>
    </row>
    <row r="391" spans="2:5" x14ac:dyDescent="0.3">
      <c r="B391" s="424">
        <v>384</v>
      </c>
      <c r="C391" s="425">
        <v>11660984.579463907</v>
      </c>
      <c r="D391" s="425">
        <v>15605027.824237784</v>
      </c>
      <c r="E391" s="426">
        <v>0.27212032406212461</v>
      </c>
    </row>
    <row r="392" spans="2:5" x14ac:dyDescent="0.3">
      <c r="B392" s="424">
        <v>385</v>
      </c>
      <c r="C392" s="425">
        <v>9804333.0662172437</v>
      </c>
      <c r="D392" s="425">
        <v>13120409.280521356</v>
      </c>
      <c r="E392" s="426">
        <v>0.22654302886921385</v>
      </c>
    </row>
    <row r="393" spans="2:5" x14ac:dyDescent="0.3">
      <c r="B393" s="424">
        <v>386</v>
      </c>
      <c r="C393" s="425">
        <v>4825685.2020815127</v>
      </c>
      <c r="D393" s="425">
        <v>6457855.3668713076</v>
      </c>
      <c r="E393" s="426">
        <v>0.14523178790088243</v>
      </c>
    </row>
    <row r="394" spans="2:5" x14ac:dyDescent="0.3">
      <c r="B394" s="424">
        <v>387</v>
      </c>
      <c r="C394" s="425">
        <v>12557184.346812189</v>
      </c>
      <c r="D394" s="425">
        <v>16804345.275542427</v>
      </c>
      <c r="E394" s="426">
        <v>0.29523165207016544</v>
      </c>
    </row>
    <row r="395" spans="2:5" x14ac:dyDescent="0.3">
      <c r="B395" s="424">
        <v>388</v>
      </c>
      <c r="C395" s="425">
        <v>4775105.449683588</v>
      </c>
      <c r="D395" s="425">
        <v>6390168.2485037297</v>
      </c>
      <c r="E395" s="426">
        <v>0.1434265540003381</v>
      </c>
    </row>
    <row r="396" spans="2:5" x14ac:dyDescent="0.3">
      <c r="B396" s="424">
        <v>389</v>
      </c>
      <c r="C396" s="425">
        <v>8354434.4273710847</v>
      </c>
      <c r="D396" s="425">
        <v>11180117.837089999</v>
      </c>
      <c r="E396" s="426">
        <v>0.20757894657464626</v>
      </c>
    </row>
    <row r="397" spans="2:5" x14ac:dyDescent="0.3">
      <c r="B397" s="424">
        <v>390</v>
      </c>
      <c r="C397" s="425">
        <v>7632064.8166656923</v>
      </c>
      <c r="D397" s="425">
        <v>10213424.347563088</v>
      </c>
      <c r="E397" s="426">
        <v>0.1997980827819088</v>
      </c>
    </row>
    <row r="398" spans="2:5" x14ac:dyDescent="0.3">
      <c r="B398" s="424">
        <v>391</v>
      </c>
      <c r="C398" s="425">
        <v>8012116.0999923795</v>
      </c>
      <c r="D398" s="425">
        <v>10722018.695710566</v>
      </c>
      <c r="E398" s="426">
        <v>0.20501571926598627</v>
      </c>
    </row>
    <row r="399" spans="2:5" x14ac:dyDescent="0.3">
      <c r="B399" s="424">
        <v>392</v>
      </c>
      <c r="C399" s="425">
        <v>6930603.7804937661</v>
      </c>
      <c r="D399" s="425">
        <v>9274711.2472680174</v>
      </c>
      <c r="E399" s="426">
        <v>0.1867668284290358</v>
      </c>
    </row>
    <row r="400" spans="2:5" x14ac:dyDescent="0.3">
      <c r="B400" s="424">
        <v>393</v>
      </c>
      <c r="C400" s="425">
        <v>7447386.9337557629</v>
      </c>
      <c r="D400" s="425">
        <v>9966283.6810360029</v>
      </c>
      <c r="E400" s="426">
        <v>0.18956306789773492</v>
      </c>
    </row>
    <row r="401" spans="2:5" x14ac:dyDescent="0.3">
      <c r="B401" s="424">
        <v>394</v>
      </c>
      <c r="C401" s="425">
        <v>13892489.505307585</v>
      </c>
      <c r="D401" s="425">
        <v>18591284.792542189</v>
      </c>
      <c r="E401" s="426">
        <v>0.30891018914080814</v>
      </c>
    </row>
    <row r="402" spans="2:5" x14ac:dyDescent="0.3">
      <c r="B402" s="424">
        <v>395</v>
      </c>
      <c r="C402" s="425">
        <v>11861701.089885652</v>
      </c>
      <c r="D402" s="425">
        <v>15873631.792330783</v>
      </c>
      <c r="E402" s="426">
        <v>0.25850635748640394</v>
      </c>
    </row>
    <row r="403" spans="2:5" x14ac:dyDescent="0.3">
      <c r="B403" s="424">
        <v>396</v>
      </c>
      <c r="C403" s="425">
        <v>5003594.5989429411</v>
      </c>
      <c r="D403" s="425">
        <v>6695938.2722466597</v>
      </c>
      <c r="E403" s="426">
        <v>0.15347698670767307</v>
      </c>
    </row>
    <row r="404" spans="2:5" x14ac:dyDescent="0.3">
      <c r="B404" s="424">
        <v>397</v>
      </c>
      <c r="C404" s="425">
        <v>8440880.6178572848</v>
      </c>
      <c r="D404" s="425">
        <v>11295802.340284714</v>
      </c>
      <c r="E404" s="426">
        <v>0.22046307523786202</v>
      </c>
    </row>
    <row r="405" spans="2:5" x14ac:dyDescent="0.3">
      <c r="B405" s="424">
        <v>398</v>
      </c>
      <c r="C405" s="425">
        <v>13956875.531919222</v>
      </c>
      <c r="D405" s="425">
        <v>18677447.820193917</v>
      </c>
      <c r="E405" s="426">
        <v>0.32226294063953209</v>
      </c>
    </row>
    <row r="406" spans="2:5" x14ac:dyDescent="0.3">
      <c r="B406" s="424">
        <v>399</v>
      </c>
      <c r="C406" s="425">
        <v>11320679.665005606</v>
      </c>
      <c r="D406" s="425">
        <v>15149623.083526706</v>
      </c>
      <c r="E406" s="426">
        <v>0.27306563016048058</v>
      </c>
    </row>
    <row r="407" spans="2:5" x14ac:dyDescent="0.3">
      <c r="B407" s="424">
        <v>400</v>
      </c>
      <c r="C407" s="425">
        <v>11255564.790050544</v>
      </c>
      <c r="D407" s="425">
        <v>15062484.692379618</v>
      </c>
      <c r="E407" s="426">
        <v>0.26351755274893529</v>
      </c>
    </row>
    <row r="408" spans="2:5" x14ac:dyDescent="0.3">
      <c r="B408" s="424">
        <v>401</v>
      </c>
      <c r="C408" s="425">
        <v>13038855.83134035</v>
      </c>
      <c r="D408" s="425">
        <v>17448930.376138575</v>
      </c>
      <c r="E408" s="426">
        <v>0.2852440811816479</v>
      </c>
    </row>
    <row r="409" spans="2:5" x14ac:dyDescent="0.3">
      <c r="B409" s="424">
        <v>402</v>
      </c>
      <c r="C409" s="425">
        <v>9177478.2480193377</v>
      </c>
      <c r="D409" s="425">
        <v>12281536.129367119</v>
      </c>
      <c r="E409" s="426">
        <v>0.21886376966680521</v>
      </c>
    </row>
    <row r="410" spans="2:5" x14ac:dyDescent="0.3">
      <c r="B410" s="424">
        <v>403</v>
      </c>
      <c r="C410" s="425">
        <v>11915033.779744826</v>
      </c>
      <c r="D410" s="425">
        <v>15945002.962022537</v>
      </c>
      <c r="E410" s="426">
        <v>0.26900063151621079</v>
      </c>
    </row>
    <row r="411" spans="2:5" x14ac:dyDescent="0.3">
      <c r="B411" s="424">
        <v>404</v>
      </c>
      <c r="C411" s="425">
        <v>4130043.8581623286</v>
      </c>
      <c r="D411" s="425">
        <v>5526930.3276026165</v>
      </c>
      <c r="E411" s="426">
        <v>0.13955917340148605</v>
      </c>
    </row>
    <row r="412" spans="2:5" x14ac:dyDescent="0.3">
      <c r="B412" s="424">
        <v>405</v>
      </c>
      <c r="C412" s="425">
        <v>5561100.8250637911</v>
      </c>
      <c r="D412" s="425">
        <v>7442007.3637128314</v>
      </c>
      <c r="E412" s="426">
        <v>0.16553129275779899</v>
      </c>
    </row>
    <row r="413" spans="2:5" x14ac:dyDescent="0.3">
      <c r="B413" s="424">
        <v>406</v>
      </c>
      <c r="C413" s="425">
        <v>6755709.2491352446</v>
      </c>
      <c r="D413" s="425">
        <v>9040662.9120216779</v>
      </c>
      <c r="E413" s="426">
        <v>0.18567952344145389</v>
      </c>
    </row>
    <row r="414" spans="2:5" x14ac:dyDescent="0.3">
      <c r="B414" s="424">
        <v>407</v>
      </c>
      <c r="C414" s="425">
        <v>8496639.2267020084</v>
      </c>
      <c r="D414" s="425">
        <v>11370419.936812116</v>
      </c>
      <c r="E414" s="426">
        <v>0.21300627510101489</v>
      </c>
    </row>
    <row r="415" spans="2:5" x14ac:dyDescent="0.3">
      <c r="B415" s="424">
        <v>408</v>
      </c>
      <c r="C415" s="425">
        <v>13226598.597989824</v>
      </c>
      <c r="D415" s="425">
        <v>17700172.548478287</v>
      </c>
      <c r="E415" s="426">
        <v>0.27619218287152236</v>
      </c>
    </row>
    <row r="416" spans="2:5" x14ac:dyDescent="0.3">
      <c r="B416" s="424">
        <v>409</v>
      </c>
      <c r="C416" s="425">
        <v>10059762.48157955</v>
      </c>
      <c r="D416" s="425">
        <v>13462231.457430607</v>
      </c>
      <c r="E416" s="426">
        <v>0.2391064544291317</v>
      </c>
    </row>
    <row r="417" spans="2:5" x14ac:dyDescent="0.3">
      <c r="B417" s="424">
        <v>410</v>
      </c>
      <c r="C417" s="425">
        <v>7974726.6751130316</v>
      </c>
      <c r="D417" s="425">
        <v>10671983.211005269</v>
      </c>
      <c r="E417" s="426">
        <v>0.20730399101508623</v>
      </c>
    </row>
    <row r="418" spans="2:5" x14ac:dyDescent="0.3">
      <c r="B418" s="424">
        <v>411</v>
      </c>
      <c r="C418" s="425">
        <v>11254405.714530617</v>
      </c>
      <c r="D418" s="425">
        <v>15060933.587872481</v>
      </c>
      <c r="E418" s="426">
        <v>0.26057444311268996</v>
      </c>
    </row>
    <row r="419" spans="2:5" x14ac:dyDescent="0.3">
      <c r="B419" s="424">
        <v>412</v>
      </c>
      <c r="C419" s="425">
        <v>14359240.896952968</v>
      </c>
      <c r="D419" s="425">
        <v>19215903.443222433</v>
      </c>
      <c r="E419" s="426">
        <v>0.32779464265281311</v>
      </c>
    </row>
    <row r="420" spans="2:5" x14ac:dyDescent="0.3">
      <c r="B420" s="424">
        <v>413</v>
      </c>
      <c r="C420" s="425">
        <v>8959841.2616040148</v>
      </c>
      <c r="D420" s="425">
        <v>11990288.74751435</v>
      </c>
      <c r="E420" s="426">
        <v>0.21777072828742194</v>
      </c>
    </row>
    <row r="421" spans="2:5" x14ac:dyDescent="0.3">
      <c r="B421" s="424">
        <v>414</v>
      </c>
      <c r="C421" s="425">
        <v>8717692.5565425958</v>
      </c>
      <c r="D421" s="425">
        <v>11666239.15681844</v>
      </c>
      <c r="E421" s="426">
        <v>0.22242005247773133</v>
      </c>
    </row>
    <row r="422" spans="2:5" x14ac:dyDescent="0.3">
      <c r="B422" s="424">
        <v>415</v>
      </c>
      <c r="C422" s="425">
        <v>7562093.1346670128</v>
      </c>
      <c r="D422" s="425">
        <v>10119786.453004761</v>
      </c>
      <c r="E422" s="426">
        <v>0.19320939891335653</v>
      </c>
    </row>
    <row r="423" spans="2:5" x14ac:dyDescent="0.3">
      <c r="B423" s="424">
        <v>416</v>
      </c>
      <c r="C423" s="425">
        <v>8511752.2025008164</v>
      </c>
      <c r="D423" s="425">
        <v>11390644.507579731</v>
      </c>
      <c r="E423" s="426">
        <v>0.20615323619958992</v>
      </c>
    </row>
    <row r="424" spans="2:5" x14ac:dyDescent="0.3">
      <c r="B424" s="424">
        <v>417</v>
      </c>
      <c r="C424" s="425">
        <v>9785122.7622687053</v>
      </c>
      <c r="D424" s="425">
        <v>13094701.56042395</v>
      </c>
      <c r="E424" s="426">
        <v>0.24055685820649186</v>
      </c>
    </row>
    <row r="425" spans="2:5" x14ac:dyDescent="0.3">
      <c r="B425" s="424">
        <v>418</v>
      </c>
      <c r="C425" s="425">
        <v>5996538.3818532154</v>
      </c>
      <c r="D425" s="425">
        <v>8024721.0396560915</v>
      </c>
      <c r="E425" s="426">
        <v>0.16413024133924936</v>
      </c>
    </row>
    <row r="426" spans="2:5" x14ac:dyDescent="0.3">
      <c r="B426" s="424">
        <v>419</v>
      </c>
      <c r="C426" s="425">
        <v>12122945.001492683</v>
      </c>
      <c r="D426" s="425">
        <v>16223235.076835584</v>
      </c>
      <c r="E426" s="426">
        <v>0.27692924665608509</v>
      </c>
    </row>
    <row r="427" spans="2:5" x14ac:dyDescent="0.3">
      <c r="B427" s="424">
        <v>420</v>
      </c>
      <c r="C427" s="425">
        <v>12122605.705222011</v>
      </c>
      <c r="D427" s="425">
        <v>16222781.021887787</v>
      </c>
      <c r="E427" s="426">
        <v>0.28562448890749215</v>
      </c>
    </row>
    <row r="428" spans="2:5" x14ac:dyDescent="0.3">
      <c r="B428" s="424">
        <v>421</v>
      </c>
      <c r="C428" s="425">
        <v>13522629.326019602</v>
      </c>
      <c r="D428" s="425">
        <v>18096328.440483287</v>
      </c>
      <c r="E428" s="426">
        <v>0.30668474168089621</v>
      </c>
    </row>
    <row r="429" spans="2:5" x14ac:dyDescent="0.3">
      <c r="B429" s="424">
        <v>422</v>
      </c>
      <c r="C429" s="425">
        <v>11136911.301709283</v>
      </c>
      <c r="D429" s="425">
        <v>14903699.559409879</v>
      </c>
      <c r="E429" s="426">
        <v>0.2559209423237554</v>
      </c>
    </row>
    <row r="430" spans="2:5" x14ac:dyDescent="0.3">
      <c r="B430" s="424">
        <v>423</v>
      </c>
      <c r="C430" s="425">
        <v>10488623.172707755</v>
      </c>
      <c r="D430" s="425">
        <v>14036143.803525586</v>
      </c>
      <c r="E430" s="426">
        <v>0.24751090418197008</v>
      </c>
    </row>
    <row r="431" spans="2:5" x14ac:dyDescent="0.3">
      <c r="B431" s="424">
        <v>424</v>
      </c>
      <c r="C431" s="425">
        <v>11883697.185407544</v>
      </c>
      <c r="D431" s="425">
        <v>15903067.529965511</v>
      </c>
      <c r="E431" s="426">
        <v>0.2825007163016795</v>
      </c>
    </row>
    <row r="432" spans="2:5" x14ac:dyDescent="0.3">
      <c r="B432" s="424">
        <v>425</v>
      </c>
      <c r="C432" s="425">
        <v>10790523.689512588</v>
      </c>
      <c r="D432" s="425">
        <v>14440154.797004472</v>
      </c>
      <c r="E432" s="426">
        <v>0.24722750772985158</v>
      </c>
    </row>
    <row r="433" spans="2:5" x14ac:dyDescent="0.3">
      <c r="B433" s="424">
        <v>426</v>
      </c>
      <c r="C433" s="425">
        <v>4396652.1862055808</v>
      </c>
      <c r="D433" s="425">
        <v>5883712.4113912685</v>
      </c>
      <c r="E433" s="426">
        <v>0.13985218385047071</v>
      </c>
    </row>
    <row r="434" spans="2:5" x14ac:dyDescent="0.3">
      <c r="B434" s="424">
        <v>427</v>
      </c>
      <c r="C434" s="425">
        <v>7248537.2292497866</v>
      </c>
      <c r="D434" s="425">
        <v>9700177.9203679021</v>
      </c>
      <c r="E434" s="426">
        <v>0.18747971045372558</v>
      </c>
    </row>
    <row r="435" spans="2:5" x14ac:dyDescent="0.3">
      <c r="B435" s="424">
        <v>428</v>
      </c>
      <c r="C435" s="425">
        <v>5004392.5771834757</v>
      </c>
      <c r="D435" s="425">
        <v>6697006.1471385118</v>
      </c>
      <c r="E435" s="426">
        <v>0.15329680313120497</v>
      </c>
    </row>
    <row r="436" spans="2:5" x14ac:dyDescent="0.3">
      <c r="B436" s="424">
        <v>429</v>
      </c>
      <c r="C436" s="425">
        <v>8496846.3651896343</v>
      </c>
      <c r="D436" s="425">
        <v>11370697.134834362</v>
      </c>
      <c r="E436" s="426">
        <v>0.21628640305368707</v>
      </c>
    </row>
    <row r="437" spans="2:5" x14ac:dyDescent="0.3">
      <c r="B437" s="424">
        <v>430</v>
      </c>
      <c r="C437" s="425">
        <v>5041050.7000404224</v>
      </c>
      <c r="D437" s="425">
        <v>6746062.984772481</v>
      </c>
      <c r="E437" s="426">
        <v>0.15524309760674515</v>
      </c>
    </row>
    <row r="438" spans="2:5" x14ac:dyDescent="0.3">
      <c r="B438" s="424">
        <v>431</v>
      </c>
      <c r="C438" s="425">
        <v>7816587.1152008846</v>
      </c>
      <c r="D438" s="425">
        <v>10460356.807100425</v>
      </c>
      <c r="E438" s="426">
        <v>0.19934926696957445</v>
      </c>
    </row>
    <row r="439" spans="2:5" x14ac:dyDescent="0.3">
      <c r="B439" s="424">
        <v>432</v>
      </c>
      <c r="C439" s="425">
        <v>7242970.6723373495</v>
      </c>
      <c r="D439" s="425">
        <v>9692728.611528514</v>
      </c>
      <c r="E439" s="426">
        <v>0.18499780538044064</v>
      </c>
    </row>
    <row r="440" spans="2:5" x14ac:dyDescent="0.3">
      <c r="B440" s="424">
        <v>433</v>
      </c>
      <c r="C440" s="425">
        <v>11750847.573313594</v>
      </c>
      <c r="D440" s="425">
        <v>15725284.781087149</v>
      </c>
      <c r="E440" s="426">
        <v>0.26567994098387482</v>
      </c>
    </row>
    <row r="441" spans="2:5" x14ac:dyDescent="0.3">
      <c r="B441" s="424">
        <v>434</v>
      </c>
      <c r="C441" s="425">
        <v>10335321.734806526</v>
      </c>
      <c r="D441" s="425">
        <v>13830991.898243302</v>
      </c>
      <c r="E441" s="426">
        <v>0.25265168277398864</v>
      </c>
    </row>
    <row r="442" spans="2:5" x14ac:dyDescent="0.3">
      <c r="B442" s="424">
        <v>435</v>
      </c>
      <c r="C442" s="425">
        <v>11876391.410760112</v>
      </c>
      <c r="D442" s="425">
        <v>15893290.755468136</v>
      </c>
      <c r="E442" s="426">
        <v>0.27311770223800935</v>
      </c>
    </row>
    <row r="443" spans="2:5" x14ac:dyDescent="0.3">
      <c r="B443" s="424">
        <v>436</v>
      </c>
      <c r="C443" s="425">
        <v>5286675.4982639086</v>
      </c>
      <c r="D443" s="425">
        <v>7074764.3722479893</v>
      </c>
      <c r="E443" s="426">
        <v>0.15849379659585772</v>
      </c>
    </row>
    <row r="444" spans="2:5" x14ac:dyDescent="0.3">
      <c r="B444" s="424">
        <v>437</v>
      </c>
      <c r="C444" s="425">
        <v>10258989.020047577</v>
      </c>
      <c r="D444" s="425">
        <v>13728841.506945232</v>
      </c>
      <c r="E444" s="426">
        <v>0.25288274384665899</v>
      </c>
    </row>
    <row r="445" spans="2:5" x14ac:dyDescent="0.3">
      <c r="B445" s="424">
        <v>438</v>
      </c>
      <c r="C445" s="425">
        <v>11791075.871379811</v>
      </c>
      <c r="D445" s="425">
        <v>15779119.318502678</v>
      </c>
      <c r="E445" s="426">
        <v>0.25872286137485667</v>
      </c>
    </row>
    <row r="446" spans="2:5" x14ac:dyDescent="0.3">
      <c r="B446" s="424">
        <v>439</v>
      </c>
      <c r="C446" s="425">
        <v>5869425.4207911082</v>
      </c>
      <c r="D446" s="425">
        <v>7854615.2239183066</v>
      </c>
      <c r="E446" s="426">
        <v>0.17736664248879874</v>
      </c>
    </row>
    <row r="447" spans="2:5" x14ac:dyDescent="0.3">
      <c r="B447" s="424">
        <v>440</v>
      </c>
      <c r="C447" s="425">
        <v>9168465.9427213371</v>
      </c>
      <c r="D447" s="425">
        <v>12269475.631904194</v>
      </c>
      <c r="E447" s="426">
        <v>0.22201258452231176</v>
      </c>
    </row>
    <row r="448" spans="2:5" x14ac:dyDescent="0.3">
      <c r="B448" s="424">
        <v>441</v>
      </c>
      <c r="C448" s="425">
        <v>6987880.742919594</v>
      </c>
      <c r="D448" s="425">
        <v>9351360.7433934938</v>
      </c>
      <c r="E448" s="426">
        <v>0.19105821619178487</v>
      </c>
    </row>
    <row r="449" spans="2:5" x14ac:dyDescent="0.3">
      <c r="B449" s="424">
        <v>442</v>
      </c>
      <c r="C449" s="425">
        <v>9276415.3292044643</v>
      </c>
      <c r="D449" s="425">
        <v>12413936.261982143</v>
      </c>
      <c r="E449" s="426">
        <v>0.22909264955271347</v>
      </c>
    </row>
    <row r="450" spans="2:5" x14ac:dyDescent="0.3">
      <c r="B450" s="424">
        <v>443</v>
      </c>
      <c r="C450" s="425">
        <v>14060901.128001569</v>
      </c>
      <c r="D450" s="425">
        <v>18816657.533596396</v>
      </c>
      <c r="E450" s="426">
        <v>0.3144944268965526</v>
      </c>
    </row>
    <row r="451" spans="2:5" x14ac:dyDescent="0.3">
      <c r="B451" s="424">
        <v>444</v>
      </c>
      <c r="C451" s="425">
        <v>9913520.2171497904</v>
      </c>
      <c r="D451" s="425">
        <v>13266526.318644561</v>
      </c>
      <c r="E451" s="426">
        <v>0.22680847716552832</v>
      </c>
    </row>
    <row r="452" spans="2:5" x14ac:dyDescent="0.3">
      <c r="B452" s="424">
        <v>445</v>
      </c>
      <c r="C452" s="425">
        <v>13428492.34163741</v>
      </c>
      <c r="D452" s="425">
        <v>17970351.920184907</v>
      </c>
      <c r="E452" s="426">
        <v>0.29457383249183255</v>
      </c>
    </row>
    <row r="453" spans="2:5" x14ac:dyDescent="0.3">
      <c r="B453" s="424">
        <v>446</v>
      </c>
      <c r="C453" s="425">
        <v>14155134.82123955</v>
      </c>
      <c r="D453" s="425">
        <v>18942763.472159177</v>
      </c>
      <c r="E453" s="426">
        <v>0.31817627157209816</v>
      </c>
    </row>
    <row r="454" spans="2:5" x14ac:dyDescent="0.3">
      <c r="B454" s="424">
        <v>447</v>
      </c>
      <c r="C454" s="425">
        <v>6871288.3772772364</v>
      </c>
      <c r="D454" s="425">
        <v>9195333.8575379997</v>
      </c>
      <c r="E454" s="426">
        <v>0.18468715339731845</v>
      </c>
    </row>
    <row r="455" spans="2:5" x14ac:dyDescent="0.3">
      <c r="B455" s="424">
        <v>448</v>
      </c>
      <c r="C455" s="425">
        <v>14614069.695097709</v>
      </c>
      <c r="D455" s="425">
        <v>19556921.858808793</v>
      </c>
      <c r="E455" s="426">
        <v>0.32347292637445157</v>
      </c>
    </row>
    <row r="456" spans="2:5" x14ac:dyDescent="0.3">
      <c r="B456" s="424">
        <v>449</v>
      </c>
      <c r="C456" s="425">
        <v>10639060.452194612</v>
      </c>
      <c r="D456" s="425">
        <v>14237462.818759458</v>
      </c>
      <c r="E456" s="426">
        <v>0.26030395877613621</v>
      </c>
    </row>
    <row r="457" spans="2:5" x14ac:dyDescent="0.3">
      <c r="B457" s="424">
        <v>450</v>
      </c>
      <c r="C457" s="425">
        <v>16568258.259707442</v>
      </c>
      <c r="D457" s="425">
        <v>22172066.979422972</v>
      </c>
      <c r="E457" s="426">
        <v>0.35968922579499418</v>
      </c>
    </row>
    <row r="458" spans="2:5" x14ac:dyDescent="0.3">
      <c r="B458" s="424">
        <v>451</v>
      </c>
      <c r="C458" s="425">
        <v>12652617.875958104</v>
      </c>
      <c r="D458" s="425">
        <v>16932056.865206126</v>
      </c>
      <c r="E458" s="426">
        <v>0.27945432773402978</v>
      </c>
    </row>
    <row r="459" spans="2:5" x14ac:dyDescent="0.3">
      <c r="B459" s="424">
        <v>452</v>
      </c>
      <c r="C459" s="425">
        <v>7813617.1474301554</v>
      </c>
      <c r="D459" s="425">
        <v>10456382.320264988</v>
      </c>
      <c r="E459" s="426">
        <v>0.20352362433121507</v>
      </c>
    </row>
    <row r="460" spans="2:5" x14ac:dyDescent="0.3">
      <c r="B460" s="424">
        <v>453</v>
      </c>
      <c r="C460" s="425">
        <v>4678867.2144085206</v>
      </c>
      <c r="D460" s="425">
        <v>6261379.7805155478</v>
      </c>
      <c r="E460" s="426">
        <v>0.14506765579711423</v>
      </c>
    </row>
    <row r="461" spans="2:5" x14ac:dyDescent="0.3">
      <c r="B461" s="424">
        <v>454</v>
      </c>
      <c r="C461" s="425">
        <v>14534258.135230467</v>
      </c>
      <c r="D461" s="425">
        <v>19450115.988006297</v>
      </c>
      <c r="E461" s="426">
        <v>0.31357672658151414</v>
      </c>
    </row>
    <row r="462" spans="2:5" x14ac:dyDescent="0.3">
      <c r="B462" s="424">
        <v>455</v>
      </c>
      <c r="C462" s="425">
        <v>9867635.118627537</v>
      </c>
      <c r="D462" s="425">
        <v>13205121.706171386</v>
      </c>
      <c r="E462" s="426">
        <v>0.23569779679493963</v>
      </c>
    </row>
    <row r="463" spans="2:5" x14ac:dyDescent="0.3">
      <c r="B463" s="424">
        <v>456</v>
      </c>
      <c r="C463" s="425">
        <v>12637966.850039862</v>
      </c>
      <c r="D463" s="425">
        <v>16912450.487584252</v>
      </c>
      <c r="E463" s="426">
        <v>0.28579925780566273</v>
      </c>
    </row>
    <row r="464" spans="2:5" x14ac:dyDescent="0.3">
      <c r="B464" s="424">
        <v>457</v>
      </c>
      <c r="C464" s="425">
        <v>7356443.5634763874</v>
      </c>
      <c r="D464" s="425">
        <v>9844580.9368149936</v>
      </c>
      <c r="E464" s="426">
        <v>0.19507084583290935</v>
      </c>
    </row>
    <row r="465" spans="2:5" x14ac:dyDescent="0.3">
      <c r="B465" s="424">
        <v>458</v>
      </c>
      <c r="C465" s="425">
        <v>4097503.7390644513</v>
      </c>
      <c r="D465" s="425">
        <v>5483384.3079276867</v>
      </c>
      <c r="E465" s="426">
        <v>0.13705037163925815</v>
      </c>
    </row>
    <row r="466" spans="2:5" x14ac:dyDescent="0.3">
      <c r="B466" s="424">
        <v>459</v>
      </c>
      <c r="C466" s="425">
        <v>7040580.8850004319</v>
      </c>
      <c r="D466" s="425">
        <v>9421885.4214692265</v>
      </c>
      <c r="E466" s="426">
        <v>0.18950356319205275</v>
      </c>
    </row>
    <row r="467" spans="2:5" x14ac:dyDescent="0.3">
      <c r="B467" s="424">
        <v>460</v>
      </c>
      <c r="C467" s="425">
        <v>12949276.941701848</v>
      </c>
      <c r="D467" s="425">
        <v>17329053.614811324</v>
      </c>
      <c r="E467" s="426">
        <v>0.28491395164136146</v>
      </c>
    </row>
    <row r="468" spans="2:5" x14ac:dyDescent="0.3">
      <c r="B468" s="424">
        <v>461</v>
      </c>
      <c r="C468" s="425">
        <v>11344239.688385284</v>
      </c>
      <c r="D468" s="425">
        <v>15181151.709422246</v>
      </c>
      <c r="E468" s="426">
        <v>0.26721518662999499</v>
      </c>
    </row>
    <row r="469" spans="2:5" x14ac:dyDescent="0.3">
      <c r="B469" s="424">
        <v>462</v>
      </c>
      <c r="C469" s="425">
        <v>9308592.0887662768</v>
      </c>
      <c r="D469" s="425">
        <v>12456996.024632046</v>
      </c>
      <c r="E469" s="426">
        <v>0.2255793081938593</v>
      </c>
    </row>
    <row r="470" spans="2:5" x14ac:dyDescent="0.3">
      <c r="B470" s="424">
        <v>463</v>
      </c>
      <c r="C470" s="425">
        <v>11629715.854872391</v>
      </c>
      <c r="D470" s="425">
        <v>15563183.217210488</v>
      </c>
      <c r="E470" s="426">
        <v>0.26223422193337553</v>
      </c>
    </row>
    <row r="471" spans="2:5" x14ac:dyDescent="0.3">
      <c r="B471" s="424">
        <v>464</v>
      </c>
      <c r="C471" s="425">
        <v>7215492.1746442076</v>
      </c>
      <c r="D471" s="425">
        <v>9655956.1830815282</v>
      </c>
      <c r="E471" s="426">
        <v>0.19213206324096466</v>
      </c>
    </row>
    <row r="472" spans="2:5" x14ac:dyDescent="0.3">
      <c r="B472" s="424">
        <v>465</v>
      </c>
      <c r="C472" s="425">
        <v>17191177.85444589</v>
      </c>
      <c r="D472" s="425">
        <v>23005673.913890187</v>
      </c>
      <c r="E472" s="426">
        <v>0.38194905009880542</v>
      </c>
    </row>
    <row r="473" spans="2:5" x14ac:dyDescent="0.3">
      <c r="B473" s="424">
        <v>466</v>
      </c>
      <c r="C473" s="425">
        <v>11170641.438278669</v>
      </c>
      <c r="D473" s="425">
        <v>14948838.090902973</v>
      </c>
      <c r="E473" s="426">
        <v>0.26554204872621345</v>
      </c>
    </row>
    <row r="474" spans="2:5" x14ac:dyDescent="0.3">
      <c r="B474" s="424">
        <v>467</v>
      </c>
      <c r="C474" s="425">
        <v>7265089.9818674587</v>
      </c>
      <c r="D474" s="425">
        <v>9722329.2373005562</v>
      </c>
      <c r="E474" s="426">
        <v>0.1953102646299123</v>
      </c>
    </row>
    <row r="475" spans="2:5" x14ac:dyDescent="0.3">
      <c r="B475" s="424">
        <v>468</v>
      </c>
      <c r="C475" s="425">
        <v>12090597.231292333</v>
      </c>
      <c r="D475" s="425">
        <v>16179946.463375149</v>
      </c>
      <c r="E475" s="426">
        <v>0.27034051549485216</v>
      </c>
    </row>
    <row r="476" spans="2:5" x14ac:dyDescent="0.3">
      <c r="B476" s="424">
        <v>469</v>
      </c>
      <c r="C476" s="425">
        <v>6984125.5385734458</v>
      </c>
      <c r="D476" s="425">
        <v>9346335.4328883644</v>
      </c>
      <c r="E476" s="426">
        <v>0.19296425376060844</v>
      </c>
    </row>
    <row r="477" spans="2:5" x14ac:dyDescent="0.3">
      <c r="B477" s="424">
        <v>470</v>
      </c>
      <c r="C477" s="425">
        <v>7508832.9531289395</v>
      </c>
      <c r="D477" s="425">
        <v>10048512.315802893</v>
      </c>
      <c r="E477" s="426">
        <v>0.20078511009913957</v>
      </c>
    </row>
    <row r="478" spans="2:5" x14ac:dyDescent="0.3">
      <c r="B478" s="424">
        <v>471</v>
      </c>
      <c r="C478" s="425">
        <v>8591947.4561425094</v>
      </c>
      <c r="D478" s="425">
        <v>11497963.847205164</v>
      </c>
      <c r="E478" s="426">
        <v>0.22115944245623265</v>
      </c>
    </row>
    <row r="479" spans="2:5" x14ac:dyDescent="0.3">
      <c r="B479" s="424">
        <v>472</v>
      </c>
      <c r="C479" s="425">
        <v>13310618.221687445</v>
      </c>
      <c r="D479" s="425">
        <v>17812609.757930774</v>
      </c>
      <c r="E479" s="426">
        <v>0.31167884952243829</v>
      </c>
    </row>
    <row r="480" spans="2:5" x14ac:dyDescent="0.3">
      <c r="B480" s="424">
        <v>473</v>
      </c>
      <c r="C480" s="425">
        <v>6790132.2764497176</v>
      </c>
      <c r="D480" s="425">
        <v>9086728.6876323298</v>
      </c>
      <c r="E480" s="426">
        <v>0.18536835171560662</v>
      </c>
    </row>
    <row r="481" spans="2:5" x14ac:dyDescent="0.3">
      <c r="B481" s="424">
        <v>474</v>
      </c>
      <c r="C481" s="425">
        <v>11105606.673778759</v>
      </c>
      <c r="D481" s="425">
        <v>14861806.905616</v>
      </c>
      <c r="E481" s="426">
        <v>0.26695989536293085</v>
      </c>
    </row>
    <row r="482" spans="2:5" x14ac:dyDescent="0.3">
      <c r="B482" s="424">
        <v>475</v>
      </c>
      <c r="C482" s="425">
        <v>11063558.494970176</v>
      </c>
      <c r="D482" s="425">
        <v>14805536.957242856</v>
      </c>
      <c r="E482" s="426">
        <v>0.26504815031118434</v>
      </c>
    </row>
    <row r="483" spans="2:5" x14ac:dyDescent="0.3">
      <c r="B483" s="424">
        <v>476</v>
      </c>
      <c r="C483" s="425">
        <v>13399580.250224207</v>
      </c>
      <c r="D483" s="425">
        <v>17931661.019953847</v>
      </c>
      <c r="E483" s="426">
        <v>0.29929634947122485</v>
      </c>
    </row>
    <row r="484" spans="2:5" x14ac:dyDescent="0.3">
      <c r="B484" s="424">
        <v>477</v>
      </c>
      <c r="C484" s="425">
        <v>8840807.2714290097</v>
      </c>
      <c r="D484" s="425">
        <v>11830994.417258371</v>
      </c>
      <c r="E484" s="426">
        <v>0.21509332694666927</v>
      </c>
    </row>
    <row r="485" spans="2:5" x14ac:dyDescent="0.3">
      <c r="B485" s="424">
        <v>478</v>
      </c>
      <c r="C485" s="425">
        <v>13734753.165099984</v>
      </c>
      <c r="D485" s="425">
        <v>18380197.98755936</v>
      </c>
      <c r="E485" s="426">
        <v>0.31401000554118297</v>
      </c>
    </row>
    <row r="486" spans="2:5" x14ac:dyDescent="0.3">
      <c r="B486" s="424">
        <v>479</v>
      </c>
      <c r="C486" s="425">
        <v>11734638.069098085</v>
      </c>
      <c r="D486" s="425">
        <v>15703592.807945739</v>
      </c>
      <c r="E486" s="426">
        <v>0.26157302626198908</v>
      </c>
    </row>
    <row r="487" spans="2:5" x14ac:dyDescent="0.3">
      <c r="B487" s="424">
        <v>480</v>
      </c>
      <c r="C487" s="425">
        <v>11384836.991271339</v>
      </c>
      <c r="D487" s="425">
        <v>15235480.05852594</v>
      </c>
      <c r="E487" s="426">
        <v>0.26202731678641267</v>
      </c>
    </row>
    <row r="488" spans="2:5" x14ac:dyDescent="0.3">
      <c r="B488" s="424">
        <v>481</v>
      </c>
      <c r="C488" s="425">
        <v>6772032.4302497618</v>
      </c>
      <c r="D488" s="425">
        <v>9062507.0104969218</v>
      </c>
      <c r="E488" s="426">
        <v>0.1834542535288759</v>
      </c>
    </row>
    <row r="489" spans="2:5" x14ac:dyDescent="0.3">
      <c r="B489" s="424">
        <v>482</v>
      </c>
      <c r="C489" s="425">
        <v>13352888.592811741</v>
      </c>
      <c r="D489" s="425">
        <v>17869177.04974395</v>
      </c>
      <c r="E489" s="426">
        <v>0.29527815021506942</v>
      </c>
    </row>
    <row r="490" spans="2:5" x14ac:dyDescent="0.3">
      <c r="B490" s="424">
        <v>483</v>
      </c>
      <c r="C490" s="425">
        <v>9205359.5486529581</v>
      </c>
      <c r="D490" s="425">
        <v>12318847.599011784</v>
      </c>
      <c r="E490" s="426">
        <v>0.21747972836525387</v>
      </c>
    </row>
    <row r="491" spans="2:5" x14ac:dyDescent="0.3">
      <c r="B491" s="424">
        <v>484</v>
      </c>
      <c r="C491" s="425">
        <v>12510523.469272289</v>
      </c>
      <c r="D491" s="425">
        <v>16741902.495745271</v>
      </c>
      <c r="E491" s="426">
        <v>0.27265431688456943</v>
      </c>
    </row>
    <row r="492" spans="2:5" x14ac:dyDescent="0.3">
      <c r="B492" s="424">
        <v>485</v>
      </c>
      <c r="C492" s="425">
        <v>7967485.7735453062</v>
      </c>
      <c r="D492" s="425">
        <v>10662293.251322454</v>
      </c>
      <c r="E492" s="426">
        <v>0.19560492824726849</v>
      </c>
    </row>
    <row r="493" spans="2:5" x14ac:dyDescent="0.3">
      <c r="B493" s="424">
        <v>486</v>
      </c>
      <c r="C493" s="425">
        <v>8776369.417950213</v>
      </c>
      <c r="D493" s="425">
        <v>11744762.033567404</v>
      </c>
      <c r="E493" s="426">
        <v>0.2216872133564769</v>
      </c>
    </row>
    <row r="494" spans="2:5" x14ac:dyDescent="0.3">
      <c r="B494" s="424">
        <v>487</v>
      </c>
      <c r="C494" s="425">
        <v>14234387.138515387</v>
      </c>
      <c r="D494" s="425">
        <v>19048820.950221773</v>
      </c>
      <c r="E494" s="426">
        <v>0.30565128489087345</v>
      </c>
    </row>
    <row r="495" spans="2:5" x14ac:dyDescent="0.3">
      <c r="B495" s="424">
        <v>488</v>
      </c>
      <c r="C495" s="425">
        <v>10523095.335336788</v>
      </c>
      <c r="D495" s="425">
        <v>14082275.333270943</v>
      </c>
      <c r="E495" s="426">
        <v>0.25530622470745512</v>
      </c>
    </row>
    <row r="496" spans="2:5" x14ac:dyDescent="0.3">
      <c r="B496" s="424">
        <v>489</v>
      </c>
      <c r="C496" s="425">
        <v>11670304.923660059</v>
      </c>
      <c r="D496" s="425">
        <v>15617500.547233112</v>
      </c>
      <c r="E496" s="426">
        <v>0.27232438993919983</v>
      </c>
    </row>
    <row r="497" spans="2:5" x14ac:dyDescent="0.3">
      <c r="B497" s="424">
        <v>490</v>
      </c>
      <c r="C497" s="425">
        <v>13332760.604640294</v>
      </c>
      <c r="D497" s="425">
        <v>17842241.26114729</v>
      </c>
      <c r="E497" s="426">
        <v>0.29025865925681682</v>
      </c>
    </row>
    <row r="498" spans="2:5" x14ac:dyDescent="0.3">
      <c r="B498" s="424">
        <v>491</v>
      </c>
      <c r="C498" s="425">
        <v>8953607.0812494271</v>
      </c>
      <c r="D498" s="425">
        <v>11981946.007908469</v>
      </c>
      <c r="E498" s="426">
        <v>0.22484667608444453</v>
      </c>
    </row>
    <row r="499" spans="2:5" x14ac:dyDescent="0.3">
      <c r="B499" s="424">
        <v>492</v>
      </c>
      <c r="C499" s="425">
        <v>11132686.523544531</v>
      </c>
      <c r="D499" s="425">
        <v>14898045.853210121</v>
      </c>
      <c r="E499" s="426">
        <v>0.25930906071360327</v>
      </c>
    </row>
    <row r="500" spans="2:5" x14ac:dyDescent="0.3">
      <c r="B500" s="424">
        <v>493</v>
      </c>
      <c r="C500" s="425">
        <v>11013169.871097967</v>
      </c>
      <c r="D500" s="425">
        <v>14738105.611957001</v>
      </c>
      <c r="E500" s="426">
        <v>0.26743706735001571</v>
      </c>
    </row>
    <row r="501" spans="2:5" x14ac:dyDescent="0.3">
      <c r="B501" s="424">
        <v>494</v>
      </c>
      <c r="C501" s="425">
        <v>9869180.6129656099</v>
      </c>
      <c r="D501" s="425">
        <v>13207189.92622463</v>
      </c>
      <c r="E501" s="426">
        <v>0.22726014237358139</v>
      </c>
    </row>
    <row r="502" spans="2:5" x14ac:dyDescent="0.3">
      <c r="B502" s="424">
        <v>495</v>
      </c>
      <c r="C502" s="425">
        <v>12258258.834936671</v>
      </c>
      <c r="D502" s="425">
        <v>16404315.509753436</v>
      </c>
      <c r="E502" s="426">
        <v>0.27775554311716033</v>
      </c>
    </row>
    <row r="503" spans="2:5" x14ac:dyDescent="0.3">
      <c r="B503" s="424">
        <v>496</v>
      </c>
      <c r="C503" s="425">
        <v>12798860.861309009</v>
      </c>
      <c r="D503" s="425">
        <v>17127762.968747288</v>
      </c>
      <c r="E503" s="426">
        <v>0.28985521578120088</v>
      </c>
    </row>
    <row r="504" spans="2:5" x14ac:dyDescent="0.3">
      <c r="B504" s="424">
        <v>497</v>
      </c>
      <c r="C504" s="425">
        <v>6046375.1720699966</v>
      </c>
      <c r="D504" s="425">
        <v>8091413.9070296735</v>
      </c>
      <c r="E504" s="426">
        <v>0.17103047149344985</v>
      </c>
    </row>
    <row r="505" spans="2:5" x14ac:dyDescent="0.3">
      <c r="B505" s="424">
        <v>498</v>
      </c>
      <c r="C505" s="425">
        <v>10878692.901512958</v>
      </c>
      <c r="D505" s="425">
        <v>14558145.091660203</v>
      </c>
      <c r="E505" s="426">
        <v>0.24211040509906123</v>
      </c>
    </row>
    <row r="506" spans="2:5" x14ac:dyDescent="0.3">
      <c r="B506" s="424">
        <v>499</v>
      </c>
      <c r="C506" s="425">
        <v>6508136.1870365031</v>
      </c>
      <c r="D506" s="425">
        <v>8709354.3079963885</v>
      </c>
      <c r="E506" s="426">
        <v>0.18427635654173624</v>
      </c>
    </row>
    <row r="507" spans="2:5" x14ac:dyDescent="0.3">
      <c r="B507" s="424">
        <v>500</v>
      </c>
      <c r="C507" s="425">
        <v>9298048.0755816344</v>
      </c>
      <c r="D507" s="425">
        <v>12442885.756497806</v>
      </c>
      <c r="E507" s="426">
        <v>0.23095834105670776</v>
      </c>
    </row>
    <row r="508" spans="2:5" x14ac:dyDescent="0.3">
      <c r="B508" s="424">
        <v>501</v>
      </c>
      <c r="C508" s="425">
        <v>14043329.388554346</v>
      </c>
      <c r="D508" s="425">
        <v>18793142.582425199</v>
      </c>
      <c r="E508" s="426">
        <v>0.32863257644688004</v>
      </c>
    </row>
    <row r="509" spans="2:5" x14ac:dyDescent="0.3">
      <c r="B509" s="424">
        <v>502</v>
      </c>
      <c r="C509" s="425">
        <v>9706503.6311619561</v>
      </c>
      <c r="D509" s="425">
        <v>12989491.42828821</v>
      </c>
      <c r="E509" s="426">
        <v>0.24144261188976723</v>
      </c>
    </row>
    <row r="510" spans="2:5" x14ac:dyDescent="0.3">
      <c r="B510" s="424">
        <v>503</v>
      </c>
      <c r="C510" s="425">
        <v>3446858.327474393</v>
      </c>
      <c r="D510" s="425">
        <v>4612673.9761897912</v>
      </c>
      <c r="E510" s="426">
        <v>0.12900680751659044</v>
      </c>
    </row>
    <row r="511" spans="2:5" x14ac:dyDescent="0.3">
      <c r="B511" s="424">
        <v>504</v>
      </c>
      <c r="C511" s="425">
        <v>7654704.7951632589</v>
      </c>
      <c r="D511" s="425">
        <v>10243721.745864846</v>
      </c>
      <c r="E511" s="426">
        <v>0.20162602121559225</v>
      </c>
    </row>
    <row r="512" spans="2:5" x14ac:dyDescent="0.3">
      <c r="B512" s="424">
        <v>505</v>
      </c>
      <c r="C512" s="425">
        <v>11853850.101895243</v>
      </c>
      <c r="D512" s="425">
        <v>15863125.399392586</v>
      </c>
      <c r="E512" s="426">
        <v>0.26873761210198133</v>
      </c>
    </row>
    <row r="513" spans="2:5" x14ac:dyDescent="0.3">
      <c r="B513" s="424">
        <v>506</v>
      </c>
      <c r="C513" s="425">
        <v>9367429.250126861</v>
      </c>
      <c r="D513" s="425">
        <v>12535733.418878159</v>
      </c>
      <c r="E513" s="426">
        <v>0.22209849530300252</v>
      </c>
    </row>
    <row r="514" spans="2:5" x14ac:dyDescent="0.3">
      <c r="B514" s="424">
        <v>507</v>
      </c>
      <c r="C514" s="425">
        <v>4830234.4786849003</v>
      </c>
      <c r="D514" s="425">
        <v>6463943.3251815382</v>
      </c>
      <c r="E514" s="426">
        <v>0.15107048819716762</v>
      </c>
    </row>
    <row r="515" spans="2:5" x14ac:dyDescent="0.3">
      <c r="B515" s="424">
        <v>508</v>
      </c>
      <c r="C515" s="425">
        <v>13682031.988255393</v>
      </c>
      <c r="D515" s="425">
        <v>18309645.160224754</v>
      </c>
      <c r="E515" s="426">
        <v>0.30520427107274406</v>
      </c>
    </row>
    <row r="516" spans="2:5" x14ac:dyDescent="0.3">
      <c r="B516" s="424">
        <v>509</v>
      </c>
      <c r="C516" s="425">
        <v>8669953.2647190504</v>
      </c>
      <c r="D516" s="425">
        <v>11602353.215443661</v>
      </c>
      <c r="E516" s="426">
        <v>0.20905736582681</v>
      </c>
    </row>
    <row r="517" spans="2:5" x14ac:dyDescent="0.3">
      <c r="B517" s="424">
        <v>510</v>
      </c>
      <c r="C517" s="425">
        <v>8235715.8046485782</v>
      </c>
      <c r="D517" s="425">
        <v>11021245.539625296</v>
      </c>
      <c r="E517" s="426">
        <v>0.21018565709722736</v>
      </c>
    </row>
    <row r="518" spans="2:5" x14ac:dyDescent="0.3">
      <c r="B518" s="424">
        <v>511</v>
      </c>
      <c r="C518" s="425">
        <v>7513166.2976671942</v>
      </c>
      <c r="D518" s="425">
        <v>10054311.308300538</v>
      </c>
      <c r="E518" s="426">
        <v>0.19048874895655388</v>
      </c>
    </row>
    <row r="519" spans="2:5" x14ac:dyDescent="0.3">
      <c r="B519" s="424">
        <v>512</v>
      </c>
      <c r="C519" s="425">
        <v>8709023.6022964157</v>
      </c>
      <c r="D519" s="425">
        <v>11654638.140515158</v>
      </c>
      <c r="E519" s="426">
        <v>0.20970940908885494</v>
      </c>
    </row>
    <row r="520" spans="2:5" x14ac:dyDescent="0.3">
      <c r="B520" s="424">
        <v>513</v>
      </c>
      <c r="C520" s="425">
        <v>10535216.266772546</v>
      </c>
      <c r="D520" s="425">
        <v>14098495.87374261</v>
      </c>
      <c r="E520" s="426">
        <v>0.24686060419652334</v>
      </c>
    </row>
    <row r="521" spans="2:5" x14ac:dyDescent="0.3">
      <c r="B521" s="424">
        <v>514</v>
      </c>
      <c r="C521" s="425">
        <v>7106842.6295303181</v>
      </c>
      <c r="D521" s="425">
        <v>9510558.5828155167</v>
      </c>
      <c r="E521" s="426">
        <v>0.19467350786170723</v>
      </c>
    </row>
    <row r="522" spans="2:5" x14ac:dyDescent="0.3">
      <c r="B522" s="424">
        <v>515</v>
      </c>
      <c r="C522" s="425">
        <v>8427578.170774769</v>
      </c>
      <c r="D522" s="425">
        <v>11278000.66535422</v>
      </c>
      <c r="E522" s="426">
        <v>0.21087276929242638</v>
      </c>
    </row>
    <row r="523" spans="2:5" x14ac:dyDescent="0.3">
      <c r="B523" s="424">
        <v>516</v>
      </c>
      <c r="C523" s="425">
        <v>8307530.9234940223</v>
      </c>
      <c r="D523" s="425">
        <v>11117350.368522653</v>
      </c>
      <c r="E523" s="426">
        <v>0.21511254343158326</v>
      </c>
    </row>
    <row r="524" spans="2:5" x14ac:dyDescent="0.3">
      <c r="B524" s="424">
        <v>517</v>
      </c>
      <c r="C524" s="425">
        <v>8718308.7642661966</v>
      </c>
      <c r="D524" s="425">
        <v>11667063.781755278</v>
      </c>
      <c r="E524" s="426">
        <v>0.21526656863427829</v>
      </c>
    </row>
    <row r="525" spans="2:5" x14ac:dyDescent="0.3">
      <c r="B525" s="424">
        <v>518</v>
      </c>
      <c r="C525" s="425">
        <v>10939141.370930063</v>
      </c>
      <c r="D525" s="425">
        <v>14639038.779560944</v>
      </c>
      <c r="E525" s="426">
        <v>0.26487995744758241</v>
      </c>
    </row>
    <row r="526" spans="2:5" x14ac:dyDescent="0.3">
      <c r="B526" s="424">
        <v>519</v>
      </c>
      <c r="C526" s="425">
        <v>9057635.8229802363</v>
      </c>
      <c r="D526" s="425">
        <v>12121159.930898182</v>
      </c>
      <c r="E526" s="426">
        <v>0.21917501376635262</v>
      </c>
    </row>
    <row r="527" spans="2:5" x14ac:dyDescent="0.3">
      <c r="B527" s="424">
        <v>520</v>
      </c>
      <c r="C527" s="425">
        <v>9679791.5097084753</v>
      </c>
      <c r="D527" s="425">
        <v>12953744.584127204</v>
      </c>
      <c r="E527" s="426">
        <v>0.24285394978878871</v>
      </c>
    </row>
    <row r="528" spans="2:5" x14ac:dyDescent="0.3">
      <c r="B528" s="424">
        <v>521</v>
      </c>
      <c r="C528" s="425">
        <v>10148860.559887193</v>
      </c>
      <c r="D528" s="425">
        <v>13581464.784736903</v>
      </c>
      <c r="E528" s="426">
        <v>0.24277967979025972</v>
      </c>
    </row>
    <row r="529" spans="2:5" x14ac:dyDescent="0.3">
      <c r="B529" s="424">
        <v>522</v>
      </c>
      <c r="C529" s="425">
        <v>15077295.047796613</v>
      </c>
      <c r="D529" s="425">
        <v>20176821.873983249</v>
      </c>
      <c r="E529" s="426">
        <v>0.32549076864874982</v>
      </c>
    </row>
    <row r="530" spans="2:5" x14ac:dyDescent="0.3">
      <c r="B530" s="424">
        <v>523</v>
      </c>
      <c r="C530" s="425">
        <v>12102001.760565627</v>
      </c>
      <c r="D530" s="425">
        <v>16195208.296149159</v>
      </c>
      <c r="E530" s="426">
        <v>0.28705470190645843</v>
      </c>
    </row>
    <row r="531" spans="2:5" x14ac:dyDescent="0.3">
      <c r="B531" s="424">
        <v>524</v>
      </c>
      <c r="C531" s="425">
        <v>7685094.2892372124</v>
      </c>
      <c r="D531" s="425">
        <v>10284389.744124934</v>
      </c>
      <c r="E531" s="426">
        <v>0.20613239188239563</v>
      </c>
    </row>
    <row r="532" spans="2:5" x14ac:dyDescent="0.3">
      <c r="B532" s="424">
        <v>525</v>
      </c>
      <c r="C532" s="425">
        <v>9165804.9430277292</v>
      </c>
      <c r="D532" s="425">
        <v>12265914.614052223</v>
      </c>
      <c r="E532" s="426">
        <v>0.22566768713600704</v>
      </c>
    </row>
    <row r="533" spans="2:5" x14ac:dyDescent="0.3">
      <c r="B533" s="424">
        <v>526</v>
      </c>
      <c r="C533" s="425">
        <v>14151104.112975609</v>
      </c>
      <c r="D533" s="425">
        <v>18937369.475264527</v>
      </c>
      <c r="E533" s="426">
        <v>0.29224916759173336</v>
      </c>
    </row>
    <row r="534" spans="2:5" x14ac:dyDescent="0.3">
      <c r="B534" s="424">
        <v>527</v>
      </c>
      <c r="C534" s="425">
        <v>9719531.9270612225</v>
      </c>
      <c r="D534" s="425">
        <v>13006926.227093151</v>
      </c>
      <c r="E534" s="426">
        <v>0.22721391122671331</v>
      </c>
    </row>
    <row r="535" spans="2:5" x14ac:dyDescent="0.3">
      <c r="B535" s="424">
        <v>528</v>
      </c>
      <c r="C535" s="425">
        <v>14501683.715225693</v>
      </c>
      <c r="D535" s="425">
        <v>19406524.065980423</v>
      </c>
      <c r="E535" s="426">
        <v>0.32901507825237752</v>
      </c>
    </row>
    <row r="536" spans="2:5" x14ac:dyDescent="0.3">
      <c r="B536" s="424">
        <v>529</v>
      </c>
      <c r="C536" s="425">
        <v>12594723.463753389</v>
      </c>
      <c r="D536" s="425">
        <v>16854581.081993658</v>
      </c>
      <c r="E536" s="426">
        <v>0.28215846311315373</v>
      </c>
    </row>
    <row r="537" spans="2:5" x14ac:dyDescent="0.3">
      <c r="B537" s="424">
        <v>530</v>
      </c>
      <c r="C537" s="425">
        <v>5621240.5132960267</v>
      </c>
      <c r="D537" s="425">
        <v>7522487.8327340987</v>
      </c>
      <c r="E537" s="426">
        <v>0.15793400045066375</v>
      </c>
    </row>
    <row r="538" spans="2:5" x14ac:dyDescent="0.3">
      <c r="B538" s="424">
        <v>531</v>
      </c>
      <c r="C538" s="425">
        <v>6802558.4713882431</v>
      </c>
      <c r="D538" s="425">
        <v>9103357.7395313084</v>
      </c>
      <c r="E538" s="426">
        <v>0.19120370777197215</v>
      </c>
    </row>
    <row r="539" spans="2:5" x14ac:dyDescent="0.3">
      <c r="B539" s="424">
        <v>532</v>
      </c>
      <c r="C539" s="425">
        <v>12739015.560712811</v>
      </c>
      <c r="D539" s="425">
        <v>17047676.456790294</v>
      </c>
      <c r="E539" s="426">
        <v>0.27433561684517693</v>
      </c>
    </row>
    <row r="540" spans="2:5" x14ac:dyDescent="0.3">
      <c r="B540" s="424">
        <v>533</v>
      </c>
      <c r="C540" s="425">
        <v>9851160.8210134599</v>
      </c>
      <c r="D540" s="425">
        <v>13183075.379731232</v>
      </c>
      <c r="E540" s="426">
        <v>0.24155577890584534</v>
      </c>
    </row>
    <row r="541" spans="2:5" x14ac:dyDescent="0.3">
      <c r="B541" s="424">
        <v>534</v>
      </c>
      <c r="C541" s="425">
        <v>5616148.2950247265</v>
      </c>
      <c r="D541" s="425">
        <v>7515673.2959967228</v>
      </c>
      <c r="E541" s="426">
        <v>0.16841801318329175</v>
      </c>
    </row>
    <row r="542" spans="2:5" x14ac:dyDescent="0.3">
      <c r="B542" s="424">
        <v>535</v>
      </c>
      <c r="C542" s="425">
        <v>8774458.1775437295</v>
      </c>
      <c r="D542" s="425">
        <v>11742204.362770505</v>
      </c>
      <c r="E542" s="426">
        <v>0.22608958064269413</v>
      </c>
    </row>
    <row r="543" spans="2:5" x14ac:dyDescent="0.3">
      <c r="B543" s="424">
        <v>536</v>
      </c>
      <c r="C543" s="425">
        <v>17560195.644472711</v>
      </c>
      <c r="D543" s="425">
        <v>23499502.959093507</v>
      </c>
      <c r="E543" s="426">
        <v>0.36401984851044622</v>
      </c>
    </row>
    <row r="544" spans="2:5" x14ac:dyDescent="0.3">
      <c r="B544" s="424">
        <v>537</v>
      </c>
      <c r="C544" s="425">
        <v>9992307.1567213982</v>
      </c>
      <c r="D544" s="425">
        <v>13371961.016360112</v>
      </c>
      <c r="E544" s="426">
        <v>0.22807132747162773</v>
      </c>
    </row>
    <row r="545" spans="2:5" x14ac:dyDescent="0.3">
      <c r="B545" s="424">
        <v>538</v>
      </c>
      <c r="C545" s="425">
        <v>9620601.4425280113</v>
      </c>
      <c r="D545" s="425">
        <v>12874534.922286445</v>
      </c>
      <c r="E545" s="426">
        <v>0.23544662804711614</v>
      </c>
    </row>
    <row r="546" spans="2:5" x14ac:dyDescent="0.3">
      <c r="B546" s="424">
        <v>539</v>
      </c>
      <c r="C546" s="425">
        <v>4575058.2461542096</v>
      </c>
      <c r="D546" s="425">
        <v>6122459.9640133623</v>
      </c>
      <c r="E546" s="426">
        <v>0.14699601147228258</v>
      </c>
    </row>
    <row r="547" spans="2:5" x14ac:dyDescent="0.3">
      <c r="B547" s="424">
        <v>540</v>
      </c>
      <c r="C547" s="425">
        <v>11030024.263156019</v>
      </c>
      <c r="D547" s="425">
        <v>14760660.590503983</v>
      </c>
      <c r="E547" s="426">
        <v>0.25315290066009433</v>
      </c>
    </row>
    <row r="548" spans="2:5" x14ac:dyDescent="0.3">
      <c r="B548" s="424">
        <v>541</v>
      </c>
      <c r="C548" s="425">
        <v>8682548.6679752991</v>
      </c>
      <c r="D548" s="425">
        <v>11619208.70624136</v>
      </c>
      <c r="E548" s="426">
        <v>0.21689563408340673</v>
      </c>
    </row>
    <row r="549" spans="2:5" x14ac:dyDescent="0.3">
      <c r="B549" s="424">
        <v>542</v>
      </c>
      <c r="C549" s="425">
        <v>12183959.42741096</v>
      </c>
      <c r="D549" s="425">
        <v>16304886.142202003</v>
      </c>
      <c r="E549" s="426">
        <v>0.28052069472410501</v>
      </c>
    </row>
    <row r="550" spans="2:5" x14ac:dyDescent="0.3">
      <c r="B550" s="424">
        <v>543</v>
      </c>
      <c r="C550" s="425">
        <v>9683926.8783589751</v>
      </c>
      <c r="D550" s="425">
        <v>12959278.640228109</v>
      </c>
      <c r="E550" s="426">
        <v>0.22558368625936631</v>
      </c>
    </row>
    <row r="551" spans="2:5" x14ac:dyDescent="0.3">
      <c r="B551" s="424">
        <v>544</v>
      </c>
      <c r="C551" s="425">
        <v>7357309.918014776</v>
      </c>
      <c r="D551" s="425">
        <v>9845740.3146175351</v>
      </c>
      <c r="E551" s="426">
        <v>0.196057690179676</v>
      </c>
    </row>
    <row r="552" spans="2:5" x14ac:dyDescent="0.3">
      <c r="B552" s="424">
        <v>545</v>
      </c>
      <c r="C552" s="425">
        <v>9648087.8620575517</v>
      </c>
      <c r="D552" s="425">
        <v>12911317.951937521</v>
      </c>
      <c r="E552" s="426">
        <v>0.23891546144039943</v>
      </c>
    </row>
    <row r="553" spans="2:5" x14ac:dyDescent="0.3">
      <c r="B553" s="424">
        <v>546</v>
      </c>
      <c r="C553" s="425">
        <v>11907859.010141954</v>
      </c>
      <c r="D553" s="425">
        <v>15935401.501826586</v>
      </c>
      <c r="E553" s="426">
        <v>0.28712452927773935</v>
      </c>
    </row>
    <row r="554" spans="2:5" x14ac:dyDescent="0.3">
      <c r="B554" s="424">
        <v>547</v>
      </c>
      <c r="C554" s="425">
        <v>10991296.178573946</v>
      </c>
      <c r="D554" s="425">
        <v>14708833.677144796</v>
      </c>
      <c r="E554" s="426">
        <v>0.25598853786086906</v>
      </c>
    </row>
    <row r="555" spans="2:5" x14ac:dyDescent="0.3">
      <c r="B555" s="424">
        <v>548</v>
      </c>
      <c r="C555" s="425">
        <v>9133366.2711279206</v>
      </c>
      <c r="D555" s="425">
        <v>12222504.353612524</v>
      </c>
      <c r="E555" s="426">
        <v>0.22411772330732771</v>
      </c>
    </row>
    <row r="556" spans="2:5" x14ac:dyDescent="0.3">
      <c r="B556" s="424">
        <v>549</v>
      </c>
      <c r="C556" s="425">
        <v>4993806.4898988828</v>
      </c>
      <c r="D556" s="425">
        <v>6682839.5743675632</v>
      </c>
      <c r="E556" s="426">
        <v>0.15184329923993167</v>
      </c>
    </row>
    <row r="557" spans="2:5" x14ac:dyDescent="0.3">
      <c r="B557" s="424">
        <v>550</v>
      </c>
      <c r="C557" s="425">
        <v>7548465.1206649542</v>
      </c>
      <c r="D557" s="425">
        <v>10101549.096095316</v>
      </c>
      <c r="E557" s="426">
        <v>0.19137872275285561</v>
      </c>
    </row>
    <row r="558" spans="2:5" x14ac:dyDescent="0.3">
      <c r="B558" s="424">
        <v>551</v>
      </c>
      <c r="C558" s="425">
        <v>9774484.9179080408</v>
      </c>
      <c r="D558" s="425">
        <v>13080465.725009982</v>
      </c>
      <c r="E558" s="426">
        <v>0.24044363018342341</v>
      </c>
    </row>
    <row r="559" spans="2:5" x14ac:dyDescent="0.3">
      <c r="B559" s="424">
        <v>552</v>
      </c>
      <c r="C559" s="425">
        <v>8212201.7985601984</v>
      </c>
      <c r="D559" s="425">
        <v>10989778.495245984</v>
      </c>
      <c r="E559" s="426">
        <v>0.22094557120827685</v>
      </c>
    </row>
    <row r="560" spans="2:5" x14ac:dyDescent="0.3">
      <c r="B560" s="424">
        <v>553</v>
      </c>
      <c r="C560" s="425">
        <v>13466758.071376849</v>
      </c>
      <c r="D560" s="425">
        <v>18021560.098467752</v>
      </c>
      <c r="E560" s="426">
        <v>0.28783630756936063</v>
      </c>
    </row>
    <row r="561" spans="2:5" x14ac:dyDescent="0.3">
      <c r="B561" s="424">
        <v>554</v>
      </c>
      <c r="C561" s="425">
        <v>4162298.5250829607</v>
      </c>
      <c r="D561" s="425">
        <v>5570094.347872775</v>
      </c>
      <c r="E561" s="426">
        <v>0.13673337901699756</v>
      </c>
    </row>
    <row r="562" spans="2:5" x14ac:dyDescent="0.3">
      <c r="B562" s="424">
        <v>555</v>
      </c>
      <c r="C562" s="425">
        <v>8458612.5670600384</v>
      </c>
      <c r="D562" s="425">
        <v>11319531.688248543</v>
      </c>
      <c r="E562" s="426">
        <v>0.21366531599555061</v>
      </c>
    </row>
    <row r="563" spans="2:5" x14ac:dyDescent="0.3">
      <c r="B563" s="424">
        <v>556</v>
      </c>
      <c r="C563" s="425">
        <v>4784825.9644658435</v>
      </c>
      <c r="D563" s="425">
        <v>6403176.4900127826</v>
      </c>
      <c r="E563" s="426">
        <v>0.15163026496709686</v>
      </c>
    </row>
    <row r="564" spans="2:5" x14ac:dyDescent="0.3">
      <c r="B564" s="424">
        <v>557</v>
      </c>
      <c r="C564" s="425">
        <v>14501205.103677733</v>
      </c>
      <c r="D564" s="425">
        <v>19405883.575765207</v>
      </c>
      <c r="E564" s="426">
        <v>0.31659858525889883</v>
      </c>
    </row>
    <row r="565" spans="2:5" x14ac:dyDescent="0.3">
      <c r="B565" s="424">
        <v>558</v>
      </c>
      <c r="C565" s="425">
        <v>10722760.033711419</v>
      </c>
      <c r="D565" s="425">
        <v>14349471.739579665</v>
      </c>
      <c r="E565" s="426">
        <v>0.25104318469507581</v>
      </c>
    </row>
    <row r="566" spans="2:5" x14ac:dyDescent="0.3">
      <c r="B566" s="424">
        <v>559</v>
      </c>
      <c r="C566" s="425">
        <v>11914298.11378176</v>
      </c>
      <c r="D566" s="425">
        <v>15944018.475014191</v>
      </c>
      <c r="E566" s="426">
        <v>0.28815186920232572</v>
      </c>
    </row>
    <row r="567" spans="2:5" x14ac:dyDescent="0.3">
      <c r="B567" s="424">
        <v>560</v>
      </c>
      <c r="C567" s="425">
        <v>7320428.6840486061</v>
      </c>
      <c r="D567" s="425">
        <v>9796384.9039905574</v>
      </c>
      <c r="E567" s="426">
        <v>0.20090150654395678</v>
      </c>
    </row>
    <row r="568" spans="2:5" x14ac:dyDescent="0.3">
      <c r="B568" s="424">
        <v>561</v>
      </c>
      <c r="C568" s="425">
        <v>6554031.7599401996</v>
      </c>
      <c r="D568" s="425">
        <v>8770772.9375547208</v>
      </c>
      <c r="E568" s="426">
        <v>0.18207274419360608</v>
      </c>
    </row>
    <row r="569" spans="2:5" x14ac:dyDescent="0.3">
      <c r="B569" s="424">
        <v>562</v>
      </c>
      <c r="C569" s="425">
        <v>9526506.0927594882</v>
      </c>
      <c r="D569" s="425">
        <v>12748614.118492991</v>
      </c>
      <c r="E569" s="426">
        <v>0.23157020088489411</v>
      </c>
    </row>
    <row r="570" spans="2:5" x14ac:dyDescent="0.3">
      <c r="B570" s="424">
        <v>563</v>
      </c>
      <c r="C570" s="425">
        <v>3988342.4012877718</v>
      </c>
      <c r="D570" s="425">
        <v>5337301.813629901</v>
      </c>
      <c r="E570" s="426">
        <v>0.13390211792077999</v>
      </c>
    </row>
    <row r="571" spans="2:5" x14ac:dyDescent="0.3">
      <c r="B571" s="424">
        <v>564</v>
      </c>
      <c r="C571" s="425">
        <v>14433627.270923497</v>
      </c>
      <c r="D571" s="425">
        <v>19315449.191494714</v>
      </c>
      <c r="E571" s="426">
        <v>0.31534771092424063</v>
      </c>
    </row>
    <row r="572" spans="2:5" x14ac:dyDescent="0.3">
      <c r="B572" s="424">
        <v>565</v>
      </c>
      <c r="C572" s="425">
        <v>8802846.2968117893</v>
      </c>
      <c r="D572" s="425">
        <v>11780194.070074983</v>
      </c>
      <c r="E572" s="426">
        <v>0.2095431427525718</v>
      </c>
    </row>
    <row r="573" spans="2:5" x14ac:dyDescent="0.3">
      <c r="B573" s="424">
        <v>566</v>
      </c>
      <c r="C573" s="425">
        <v>10590926.674365539</v>
      </c>
      <c r="D573" s="425">
        <v>14173048.966122076</v>
      </c>
      <c r="E573" s="426">
        <v>0.24699695214176454</v>
      </c>
    </row>
    <row r="574" spans="2:5" x14ac:dyDescent="0.3">
      <c r="B574" s="424">
        <v>567</v>
      </c>
      <c r="C574" s="425">
        <v>12905124.289149856</v>
      </c>
      <c r="D574" s="425">
        <v>17269967.405847363</v>
      </c>
      <c r="E574" s="426">
        <v>0.29423998671004004</v>
      </c>
    </row>
    <row r="575" spans="2:5" x14ac:dyDescent="0.3">
      <c r="B575" s="424">
        <v>568</v>
      </c>
      <c r="C575" s="425">
        <v>8707815.8897088673</v>
      </c>
      <c r="D575" s="425">
        <v>11653021.948640112</v>
      </c>
      <c r="E575" s="426">
        <v>0.21943912424011192</v>
      </c>
    </row>
    <row r="576" spans="2:5" x14ac:dyDescent="0.3">
      <c r="B576" s="424">
        <v>569</v>
      </c>
      <c r="C576" s="425">
        <v>15196751.682966419</v>
      </c>
      <c r="D576" s="425">
        <v>20336681.798581515</v>
      </c>
      <c r="E576" s="426">
        <v>0.31322794466489889</v>
      </c>
    </row>
    <row r="577" spans="2:5" x14ac:dyDescent="0.3">
      <c r="B577" s="424">
        <v>570</v>
      </c>
      <c r="C577" s="425">
        <v>9070081.2266218886</v>
      </c>
      <c r="D577" s="425">
        <v>12137814.688374998</v>
      </c>
      <c r="E577" s="426">
        <v>0.21591003370628781</v>
      </c>
    </row>
    <row r="578" spans="2:5" x14ac:dyDescent="0.3">
      <c r="B578" s="424">
        <v>571</v>
      </c>
      <c r="C578" s="425">
        <v>8843892.4021807313</v>
      </c>
      <c r="D578" s="425">
        <v>11835123.018140566</v>
      </c>
      <c r="E578" s="426">
        <v>0.22256499705877753</v>
      </c>
    </row>
    <row r="579" spans="2:5" x14ac:dyDescent="0.3">
      <c r="B579" s="424">
        <v>572</v>
      </c>
      <c r="C579" s="425">
        <v>8589397.8403528295</v>
      </c>
      <c r="D579" s="425">
        <v>11494551.886142362</v>
      </c>
      <c r="E579" s="426">
        <v>0.20969059148809488</v>
      </c>
    </row>
    <row r="580" spans="2:5" x14ac:dyDescent="0.3">
      <c r="B580" s="424">
        <v>573</v>
      </c>
      <c r="C580" s="425">
        <v>9027300.5824913979</v>
      </c>
      <c r="D580" s="425">
        <v>12080564.536173372</v>
      </c>
      <c r="E580" s="426">
        <v>0.22258423501176705</v>
      </c>
    </row>
    <row r="581" spans="2:5" x14ac:dyDescent="0.3">
      <c r="B581" s="424">
        <v>574</v>
      </c>
      <c r="C581" s="425">
        <v>8047051.5181568451</v>
      </c>
      <c r="D581" s="425">
        <v>10768770.165862406</v>
      </c>
      <c r="E581" s="426">
        <v>0.20486329542233084</v>
      </c>
    </row>
    <row r="582" spans="2:5" x14ac:dyDescent="0.3">
      <c r="B582" s="424">
        <v>575</v>
      </c>
      <c r="C582" s="425">
        <v>10181461.941207331</v>
      </c>
      <c r="D582" s="425">
        <v>13625092.787084602</v>
      </c>
      <c r="E582" s="426">
        <v>0.23638532410887136</v>
      </c>
    </row>
    <row r="583" spans="2:5" x14ac:dyDescent="0.3">
      <c r="B583" s="424">
        <v>576</v>
      </c>
      <c r="C583" s="425">
        <v>10432244.878219238</v>
      </c>
      <c r="D583" s="425">
        <v>13960696.927819585</v>
      </c>
      <c r="E583" s="426">
        <v>0.25631589400460197</v>
      </c>
    </row>
    <row r="584" spans="2:5" x14ac:dyDescent="0.3">
      <c r="B584" s="424">
        <v>577</v>
      </c>
      <c r="C584" s="425">
        <v>15607290.963234831</v>
      </c>
      <c r="D584" s="425">
        <v>20886075.964046199</v>
      </c>
      <c r="E584" s="426">
        <v>0.32518097769890519</v>
      </c>
    </row>
    <row r="585" spans="2:5" x14ac:dyDescent="0.3">
      <c r="B585" s="424">
        <v>578</v>
      </c>
      <c r="C585" s="425">
        <v>9793677.7379527614</v>
      </c>
      <c r="D585" s="425">
        <v>13106150.0477001</v>
      </c>
      <c r="E585" s="426">
        <v>0.23313822268542905</v>
      </c>
    </row>
    <row r="586" spans="2:5" x14ac:dyDescent="0.3">
      <c r="B586" s="424">
        <v>579</v>
      </c>
      <c r="C586" s="425">
        <v>15130450.140438795</v>
      </c>
      <c r="D586" s="425">
        <v>20247955.378536716</v>
      </c>
      <c r="E586" s="426">
        <v>0.32166778373901495</v>
      </c>
    </row>
    <row r="587" spans="2:5" x14ac:dyDescent="0.3">
      <c r="B587" s="424">
        <v>580</v>
      </c>
      <c r="C587" s="425">
        <v>13066871.166130217</v>
      </c>
      <c r="D587" s="425">
        <v>17486421.213719402</v>
      </c>
      <c r="E587" s="426">
        <v>0.29183312442693543</v>
      </c>
    </row>
    <row r="588" spans="2:5" x14ac:dyDescent="0.3">
      <c r="B588" s="424">
        <v>581</v>
      </c>
      <c r="C588" s="425">
        <v>7537171.5348562635</v>
      </c>
      <c r="D588" s="425">
        <v>10086435.730703305</v>
      </c>
      <c r="E588" s="426">
        <v>0.20433350201148914</v>
      </c>
    </row>
    <row r="589" spans="2:5" x14ac:dyDescent="0.3">
      <c r="B589" s="424">
        <v>582</v>
      </c>
      <c r="C589" s="425">
        <v>12681691.29842237</v>
      </c>
      <c r="D589" s="425">
        <v>16970963.662776176</v>
      </c>
      <c r="E589" s="426">
        <v>0.27171608234837308</v>
      </c>
    </row>
    <row r="590" spans="2:5" x14ac:dyDescent="0.3">
      <c r="B590" s="424">
        <v>583</v>
      </c>
      <c r="C590" s="425">
        <v>7220335.7385951038</v>
      </c>
      <c r="D590" s="425">
        <v>9662437.964247359</v>
      </c>
      <c r="E590" s="426">
        <v>0.20040987986824454</v>
      </c>
    </row>
    <row r="591" spans="2:5" x14ac:dyDescent="0.3">
      <c r="B591" s="424">
        <v>584</v>
      </c>
      <c r="C591" s="425">
        <v>11944073.972185794</v>
      </c>
      <c r="D591" s="425">
        <v>15983865.290325467</v>
      </c>
      <c r="E591" s="426">
        <v>0.2673941291973676</v>
      </c>
    </row>
    <row r="592" spans="2:5" x14ac:dyDescent="0.3">
      <c r="B592" s="424">
        <v>585</v>
      </c>
      <c r="C592" s="425">
        <v>10588827.61152757</v>
      </c>
      <c r="D592" s="425">
        <v>14170239.946543315</v>
      </c>
      <c r="E592" s="426">
        <v>0.24943426589559126</v>
      </c>
    </row>
    <row r="593" spans="2:5" x14ac:dyDescent="0.3">
      <c r="B593" s="424">
        <v>586</v>
      </c>
      <c r="C593" s="425">
        <v>9391952.6684416309</v>
      </c>
      <c r="D593" s="425">
        <v>12568551.284517167</v>
      </c>
      <c r="E593" s="426">
        <v>0.23500273145925754</v>
      </c>
    </row>
    <row r="594" spans="2:5" x14ac:dyDescent="0.3">
      <c r="B594" s="424">
        <v>587</v>
      </c>
      <c r="C594" s="425">
        <v>7460921.1585505046</v>
      </c>
      <c r="D594" s="425">
        <v>9984395.5268293135</v>
      </c>
      <c r="E594" s="426">
        <v>0.19791378745990662</v>
      </c>
    </row>
    <row r="595" spans="2:5" x14ac:dyDescent="0.3">
      <c r="B595" s="424">
        <v>588</v>
      </c>
      <c r="C595" s="425">
        <v>11327832.948148109</v>
      </c>
      <c r="D595" s="425">
        <v>15159195.78999182</v>
      </c>
      <c r="E595" s="426">
        <v>0.2610244267178039</v>
      </c>
    </row>
    <row r="596" spans="2:5" x14ac:dyDescent="0.3">
      <c r="B596" s="424">
        <v>589</v>
      </c>
      <c r="C596" s="425">
        <v>10475184.362559631</v>
      </c>
      <c r="D596" s="425">
        <v>14018159.644052856</v>
      </c>
      <c r="E596" s="426">
        <v>0.243723352236624</v>
      </c>
    </row>
    <row r="597" spans="2:5" x14ac:dyDescent="0.3">
      <c r="B597" s="424">
        <v>590</v>
      </c>
      <c r="C597" s="425">
        <v>10391888.395284008</v>
      </c>
      <c r="D597" s="425">
        <v>13906690.850133684</v>
      </c>
      <c r="E597" s="426">
        <v>0.23960676752482035</v>
      </c>
    </row>
    <row r="598" spans="2:5" x14ac:dyDescent="0.3">
      <c r="B598" s="424">
        <v>591</v>
      </c>
      <c r="C598" s="425">
        <v>6837140.8667282872</v>
      </c>
      <c r="D598" s="425">
        <v>9149636.7855100296</v>
      </c>
      <c r="E598" s="426">
        <v>0.18951209078496567</v>
      </c>
    </row>
    <row r="599" spans="2:5" x14ac:dyDescent="0.3">
      <c r="B599" s="424">
        <v>592</v>
      </c>
      <c r="C599" s="425">
        <v>8618388.8221048154</v>
      </c>
      <c r="D599" s="425">
        <v>11533348.359442605</v>
      </c>
      <c r="E599" s="426">
        <v>0.21113753478922637</v>
      </c>
    </row>
    <row r="600" spans="2:5" x14ac:dyDescent="0.3">
      <c r="B600" s="424">
        <v>593</v>
      </c>
      <c r="C600" s="425">
        <v>13149597.994361866</v>
      </c>
      <c r="D600" s="425">
        <v>17597128.371212717</v>
      </c>
      <c r="E600" s="426">
        <v>0.27999538612564367</v>
      </c>
    </row>
    <row r="601" spans="2:5" x14ac:dyDescent="0.3">
      <c r="B601" s="424">
        <v>594</v>
      </c>
      <c r="C601" s="425">
        <v>9035464.4780698977</v>
      </c>
      <c r="D601" s="425">
        <v>12091489.670049377</v>
      </c>
      <c r="E601" s="426">
        <v>0.22149847860300742</v>
      </c>
    </row>
    <row r="602" spans="2:5" x14ac:dyDescent="0.3">
      <c r="B602" s="424">
        <v>595</v>
      </c>
      <c r="C602" s="425">
        <v>9607482.7277956232</v>
      </c>
      <c r="D602" s="425">
        <v>12856979.122686327</v>
      </c>
      <c r="E602" s="426">
        <v>0.2373354741050564</v>
      </c>
    </row>
    <row r="603" spans="2:5" x14ac:dyDescent="0.3">
      <c r="B603" s="424">
        <v>596</v>
      </c>
      <c r="C603" s="425">
        <v>5847411.9217556715</v>
      </c>
      <c r="D603" s="425">
        <v>7825156.1964566121</v>
      </c>
      <c r="E603" s="426">
        <v>0.16991282761581306</v>
      </c>
    </row>
    <row r="604" spans="2:5" x14ac:dyDescent="0.3">
      <c r="B604" s="424">
        <v>597</v>
      </c>
      <c r="C604" s="425">
        <v>5447010.1357043795</v>
      </c>
      <c r="D604" s="425">
        <v>7289328.2850460503</v>
      </c>
      <c r="E604" s="426">
        <v>0.15705638403639766</v>
      </c>
    </row>
    <row r="605" spans="2:5" x14ac:dyDescent="0.3">
      <c r="B605" s="424">
        <v>598</v>
      </c>
      <c r="C605" s="425">
        <v>2646541.7599416487</v>
      </c>
      <c r="D605" s="425">
        <v>3541669.8753404347</v>
      </c>
      <c r="E605" s="426">
        <v>0.10830846156095464</v>
      </c>
    </row>
    <row r="606" spans="2:5" x14ac:dyDescent="0.3">
      <c r="B606" s="424">
        <v>599</v>
      </c>
      <c r="C606" s="425">
        <v>10118751.102776006</v>
      </c>
      <c r="D606" s="425">
        <v>13541171.539103063</v>
      </c>
      <c r="E606" s="426">
        <v>0.25599080568172661</v>
      </c>
    </row>
    <row r="607" spans="2:5" x14ac:dyDescent="0.3">
      <c r="B607" s="424">
        <v>600</v>
      </c>
      <c r="C607" s="425">
        <v>6546897.4356845208</v>
      </c>
      <c r="D607" s="425">
        <v>8761225.602356879</v>
      </c>
      <c r="E607" s="426">
        <v>0.18218039178032441</v>
      </c>
    </row>
    <row r="608" spans="2:5" x14ac:dyDescent="0.3">
      <c r="B608" s="424">
        <v>601</v>
      </c>
      <c r="C608" s="425">
        <v>5858169.8210829943</v>
      </c>
      <c r="D608" s="425">
        <v>7839552.6924976818</v>
      </c>
      <c r="E608" s="426">
        <v>0.16589926478387795</v>
      </c>
    </row>
    <row r="609" spans="2:5" x14ac:dyDescent="0.3">
      <c r="B609" s="424">
        <v>602</v>
      </c>
      <c r="C609" s="425">
        <v>6455392.4281497188</v>
      </c>
      <c r="D609" s="425">
        <v>8638771.2607953269</v>
      </c>
      <c r="E609" s="426">
        <v>0.1780505519291915</v>
      </c>
    </row>
    <row r="610" spans="2:5" x14ac:dyDescent="0.3">
      <c r="B610" s="424">
        <v>603</v>
      </c>
      <c r="C610" s="425">
        <v>8688253.4499912579</v>
      </c>
      <c r="D610" s="425">
        <v>11626842.991449747</v>
      </c>
      <c r="E610" s="426">
        <v>0.22228420522355208</v>
      </c>
    </row>
    <row r="611" spans="2:5" x14ac:dyDescent="0.3">
      <c r="B611" s="424">
        <v>604</v>
      </c>
      <c r="C611" s="425">
        <v>4149153.5334263705</v>
      </c>
      <c r="D611" s="425">
        <v>5552503.3838205878</v>
      </c>
      <c r="E611" s="426">
        <v>0.1370572441774498</v>
      </c>
    </row>
    <row r="612" spans="2:5" x14ac:dyDescent="0.3">
      <c r="B612" s="424">
        <v>605</v>
      </c>
      <c r="C612" s="425">
        <v>8230465.2204763722</v>
      </c>
      <c r="D612" s="425">
        <v>11014219.073588708</v>
      </c>
      <c r="E612" s="426">
        <v>0.21139351981965659</v>
      </c>
    </row>
    <row r="613" spans="2:5" x14ac:dyDescent="0.3">
      <c r="B613" s="424">
        <v>606</v>
      </c>
      <c r="C613" s="425">
        <v>9381839.6727484316</v>
      </c>
      <c r="D613" s="425">
        <v>12555017.81501437</v>
      </c>
      <c r="E613" s="426">
        <v>0.23169775247811475</v>
      </c>
    </row>
    <row r="614" spans="2:5" x14ac:dyDescent="0.3">
      <c r="B614" s="424">
        <v>607</v>
      </c>
      <c r="C614" s="425">
        <v>8315524.5917925425</v>
      </c>
      <c r="D614" s="425">
        <v>11128047.699898584</v>
      </c>
      <c r="E614" s="426">
        <v>0.22163771893303652</v>
      </c>
    </row>
    <row r="615" spans="2:5" x14ac:dyDescent="0.3">
      <c r="B615" s="424">
        <v>608</v>
      </c>
      <c r="C615" s="425">
        <v>6894408.9492226951</v>
      </c>
      <c r="D615" s="425">
        <v>9226274.398284154</v>
      </c>
      <c r="E615" s="426">
        <v>0.18496715964561683</v>
      </c>
    </row>
    <row r="616" spans="2:5" x14ac:dyDescent="0.3">
      <c r="B616" s="424">
        <v>609</v>
      </c>
      <c r="C616" s="425">
        <v>9331945.6723446734</v>
      </c>
      <c r="D616" s="425">
        <v>12488248.387505276</v>
      </c>
      <c r="E616" s="426">
        <v>0.22196183313385509</v>
      </c>
    </row>
    <row r="617" spans="2:5" x14ac:dyDescent="0.3">
      <c r="B617" s="424">
        <v>610</v>
      </c>
      <c r="C617" s="425">
        <v>10743414.448435687</v>
      </c>
      <c r="D617" s="425">
        <v>14377112.005654037</v>
      </c>
      <c r="E617" s="426">
        <v>0.25207757950468923</v>
      </c>
    </row>
    <row r="618" spans="2:5" x14ac:dyDescent="0.3">
      <c r="B618" s="424">
        <v>611</v>
      </c>
      <c r="C618" s="425">
        <v>8565939.6170014404</v>
      </c>
      <c r="D618" s="425">
        <v>11463159.49164848</v>
      </c>
      <c r="E618" s="426">
        <v>0.21153681923043477</v>
      </c>
    </row>
    <row r="619" spans="2:5" x14ac:dyDescent="0.3">
      <c r="B619" s="424">
        <v>612</v>
      </c>
      <c r="C619" s="425">
        <v>14115008.360495875</v>
      </c>
      <c r="D619" s="425">
        <v>18889065.216053426</v>
      </c>
      <c r="E619" s="426">
        <v>0.31527457928956237</v>
      </c>
    </row>
    <row r="620" spans="2:5" x14ac:dyDescent="0.3">
      <c r="B620" s="424">
        <v>613</v>
      </c>
      <c r="C620" s="425">
        <v>4311272.942750264</v>
      </c>
      <c r="D620" s="425">
        <v>5769455.7240032256</v>
      </c>
      <c r="E620" s="426">
        <v>0.13856465622301695</v>
      </c>
    </row>
    <row r="621" spans="2:5" x14ac:dyDescent="0.3">
      <c r="B621" s="424">
        <v>614</v>
      </c>
      <c r="C621" s="425">
        <v>12490182.612116257</v>
      </c>
      <c r="D621" s="425">
        <v>16714681.84042876</v>
      </c>
      <c r="E621" s="426">
        <v>0.28677608105489161</v>
      </c>
    </row>
    <row r="622" spans="2:5" x14ac:dyDescent="0.3">
      <c r="B622" s="424">
        <v>615</v>
      </c>
      <c r="C622" s="425">
        <v>13642270.779514562</v>
      </c>
      <c r="D622" s="425">
        <v>18256435.693691485</v>
      </c>
      <c r="E622" s="426">
        <v>0.2912345028855583</v>
      </c>
    </row>
    <row r="623" spans="2:5" x14ac:dyDescent="0.3">
      <c r="B623" s="424">
        <v>616</v>
      </c>
      <c r="C623" s="425">
        <v>8391239.5546749458</v>
      </c>
      <c r="D623" s="425">
        <v>11229371.399834851</v>
      </c>
      <c r="E623" s="426">
        <v>0.21034063186962326</v>
      </c>
    </row>
    <row r="624" spans="2:5" x14ac:dyDescent="0.3">
      <c r="B624" s="424">
        <v>617</v>
      </c>
      <c r="C624" s="425">
        <v>13275566.824220065</v>
      </c>
      <c r="D624" s="425">
        <v>17765703.0813093</v>
      </c>
      <c r="E624" s="426">
        <v>0.29337997707754715</v>
      </c>
    </row>
    <row r="625" spans="2:5" x14ac:dyDescent="0.3">
      <c r="B625" s="424">
        <v>618</v>
      </c>
      <c r="C625" s="425">
        <v>11888370.621706834</v>
      </c>
      <c r="D625" s="425">
        <v>15909321.641956504</v>
      </c>
      <c r="E625" s="426">
        <v>0.28033449706887836</v>
      </c>
    </row>
    <row r="626" spans="2:5" x14ac:dyDescent="0.3">
      <c r="B626" s="424">
        <v>619</v>
      </c>
      <c r="C626" s="425">
        <v>11529849.468421269</v>
      </c>
      <c r="D626" s="425">
        <v>15429539.464519111</v>
      </c>
      <c r="E626" s="426">
        <v>0.26457018614600702</v>
      </c>
    </row>
    <row r="627" spans="2:5" x14ac:dyDescent="0.3">
      <c r="B627" s="424">
        <v>620</v>
      </c>
      <c r="C627" s="425">
        <v>14801555.084100373</v>
      </c>
      <c r="D627" s="425">
        <v>19807819.601798445</v>
      </c>
      <c r="E627" s="426">
        <v>0.32956016315098702</v>
      </c>
    </row>
    <row r="628" spans="2:5" x14ac:dyDescent="0.3">
      <c r="B628" s="424">
        <v>621</v>
      </c>
      <c r="C628" s="425">
        <v>5359143.4488737937</v>
      </c>
      <c r="D628" s="425">
        <v>7171742.8373103915</v>
      </c>
      <c r="E628" s="426">
        <v>0.16076221827044646</v>
      </c>
    </row>
    <row r="629" spans="2:5" x14ac:dyDescent="0.3">
      <c r="B629" s="424">
        <v>622</v>
      </c>
      <c r="C629" s="425">
        <v>7491936.7616298757</v>
      </c>
      <c r="D629" s="425">
        <v>10025901.400174817</v>
      </c>
      <c r="E629" s="426">
        <v>0.19796298875739282</v>
      </c>
    </row>
    <row r="630" spans="2:5" x14ac:dyDescent="0.3">
      <c r="B630" s="424">
        <v>623</v>
      </c>
      <c r="C630" s="425">
        <v>11664139.579982027</v>
      </c>
      <c r="D630" s="425">
        <v>15609249.926628476</v>
      </c>
      <c r="E630" s="426">
        <v>0.26254942202185783</v>
      </c>
    </row>
    <row r="631" spans="2:5" x14ac:dyDescent="0.3">
      <c r="B631" s="424">
        <v>624</v>
      </c>
      <c r="C631" s="425">
        <v>10610076.265158195</v>
      </c>
      <c r="D631" s="425">
        <v>14198675.438321382</v>
      </c>
      <c r="E631" s="426">
        <v>0.25001781738573192</v>
      </c>
    </row>
    <row r="632" spans="2:5" x14ac:dyDescent="0.3">
      <c r="B632" s="424">
        <v>625</v>
      </c>
      <c r="C632" s="425">
        <v>9709645.0055196509</v>
      </c>
      <c r="D632" s="425">
        <v>12993695.295802495</v>
      </c>
      <c r="E632" s="426">
        <v>0.23843602117152796</v>
      </c>
    </row>
    <row r="633" spans="2:5" x14ac:dyDescent="0.3">
      <c r="B633" s="424">
        <v>626</v>
      </c>
      <c r="C633" s="425">
        <v>8075869.1258054972</v>
      </c>
      <c r="D633" s="425">
        <v>10807334.625503073</v>
      </c>
      <c r="E633" s="426">
        <v>0.20005665439962894</v>
      </c>
    </row>
    <row r="634" spans="2:5" x14ac:dyDescent="0.3">
      <c r="B634" s="424">
        <v>627</v>
      </c>
      <c r="C634" s="425">
        <v>10210119.233422998</v>
      </c>
      <c r="D634" s="425">
        <v>13663442.708512366</v>
      </c>
      <c r="E634" s="426">
        <v>0.251180830279224</v>
      </c>
    </row>
    <row r="635" spans="2:5" x14ac:dyDescent="0.3">
      <c r="B635" s="424">
        <v>628</v>
      </c>
      <c r="C635" s="425">
        <v>6187314.4734759256</v>
      </c>
      <c r="D635" s="425">
        <v>8280022.4850601638</v>
      </c>
      <c r="E635" s="426">
        <v>0.17004569710030881</v>
      </c>
    </row>
    <row r="636" spans="2:5" x14ac:dyDescent="0.3">
      <c r="B636" s="424">
        <v>629</v>
      </c>
      <c r="C636" s="425">
        <v>12229926.905819766</v>
      </c>
      <c r="D636" s="425">
        <v>16366400.997546444</v>
      </c>
      <c r="E636" s="426">
        <v>0.26560871448322243</v>
      </c>
    </row>
    <row r="637" spans="2:5" x14ac:dyDescent="0.3">
      <c r="B637" s="424">
        <v>630</v>
      </c>
      <c r="C637" s="425">
        <v>6037385.1042934433</v>
      </c>
      <c r="D637" s="425">
        <v>8079383.1683867322</v>
      </c>
      <c r="E637" s="426">
        <v>0.16647888511336917</v>
      </c>
    </row>
    <row r="638" spans="2:5" x14ac:dyDescent="0.3">
      <c r="B638" s="424">
        <v>631</v>
      </c>
      <c r="C638" s="425">
        <v>9454535.6209296528</v>
      </c>
      <c r="D638" s="425">
        <v>12652301.392258365</v>
      </c>
      <c r="E638" s="426">
        <v>0.2322639700129947</v>
      </c>
    </row>
    <row r="639" spans="2:5" x14ac:dyDescent="0.3">
      <c r="B639" s="424">
        <v>632</v>
      </c>
      <c r="C639" s="425">
        <v>11093985.15880347</v>
      </c>
      <c r="D639" s="425">
        <v>14846254.697025608</v>
      </c>
      <c r="E639" s="426">
        <v>0.2654476935905179</v>
      </c>
    </row>
    <row r="640" spans="2:5" x14ac:dyDescent="0.3">
      <c r="B640" s="424">
        <v>633</v>
      </c>
      <c r="C640" s="425">
        <v>8797640.1214586049</v>
      </c>
      <c r="D640" s="425">
        <v>11773227.033055879</v>
      </c>
      <c r="E640" s="426">
        <v>0.21728965046639059</v>
      </c>
    </row>
    <row r="641" spans="2:5" x14ac:dyDescent="0.3">
      <c r="B641" s="424">
        <v>634</v>
      </c>
      <c r="C641" s="425">
        <v>10793961.572853798</v>
      </c>
      <c r="D641" s="425">
        <v>14444755.460424483</v>
      </c>
      <c r="E641" s="426">
        <v>0.25323345883446224</v>
      </c>
    </row>
    <row r="642" spans="2:5" x14ac:dyDescent="0.3">
      <c r="B642" s="424">
        <v>635</v>
      </c>
      <c r="C642" s="425">
        <v>13862638.83499248</v>
      </c>
      <c r="D642" s="425">
        <v>18551337.862018008</v>
      </c>
      <c r="E642" s="426">
        <v>0.30285463892420816</v>
      </c>
    </row>
    <row r="643" spans="2:5" x14ac:dyDescent="0.3">
      <c r="B643" s="424">
        <v>636</v>
      </c>
      <c r="C643" s="425">
        <v>9810433.501102224</v>
      </c>
      <c r="D643" s="425">
        <v>13128573.038518919</v>
      </c>
      <c r="E643" s="426">
        <v>0.23511527121745601</v>
      </c>
    </row>
    <row r="644" spans="2:5" x14ac:dyDescent="0.3">
      <c r="B644" s="424">
        <v>637</v>
      </c>
      <c r="C644" s="425">
        <v>5586833.0026262943</v>
      </c>
      <c r="D644" s="425">
        <v>7476442.8218943179</v>
      </c>
      <c r="E644" s="426">
        <v>0.16740229320954048</v>
      </c>
    </row>
    <row r="645" spans="2:5" x14ac:dyDescent="0.3">
      <c r="B645" s="424">
        <v>638</v>
      </c>
      <c r="C645" s="425">
        <v>14839556.763546487</v>
      </c>
      <c r="D645" s="425">
        <v>19858674.421224993</v>
      </c>
      <c r="E645" s="426">
        <v>0.32003886684179061</v>
      </c>
    </row>
    <row r="646" spans="2:5" x14ac:dyDescent="0.3">
      <c r="B646" s="424">
        <v>639</v>
      </c>
      <c r="C646" s="425">
        <v>8392593.2592124846</v>
      </c>
      <c r="D646" s="425">
        <v>11231182.961871497</v>
      </c>
      <c r="E646" s="426">
        <v>0.21640805241337713</v>
      </c>
    </row>
    <row r="647" spans="2:5" x14ac:dyDescent="0.3">
      <c r="B647" s="424">
        <v>640</v>
      </c>
      <c r="C647" s="425">
        <v>6243710.2961360551</v>
      </c>
      <c r="D647" s="425">
        <v>8355492.8174137427</v>
      </c>
      <c r="E647" s="426">
        <v>0.1807950512407317</v>
      </c>
    </row>
    <row r="648" spans="2:5" x14ac:dyDescent="0.3">
      <c r="B648" s="424">
        <v>641</v>
      </c>
      <c r="C648" s="425">
        <v>9315134.1353347749</v>
      </c>
      <c r="D648" s="425">
        <v>12465750.758679859</v>
      </c>
      <c r="E648" s="426">
        <v>0.22096046177072282</v>
      </c>
    </row>
    <row r="649" spans="2:5" x14ac:dyDescent="0.3">
      <c r="B649" s="424">
        <v>642</v>
      </c>
      <c r="C649" s="425">
        <v>8144604.574919831</v>
      </c>
      <c r="D649" s="425">
        <v>10899318.161595697</v>
      </c>
      <c r="E649" s="426">
        <v>0.19992642610887756</v>
      </c>
    </row>
    <row r="650" spans="2:5" x14ac:dyDescent="0.3">
      <c r="B650" s="424">
        <v>643</v>
      </c>
      <c r="C650" s="425">
        <v>10211688.548253026</v>
      </c>
      <c r="D650" s="425">
        <v>13665542.805757215</v>
      </c>
      <c r="E650" s="426">
        <v>0.2587398508189962</v>
      </c>
    </row>
    <row r="651" spans="2:5" x14ac:dyDescent="0.3">
      <c r="B651" s="424">
        <v>644</v>
      </c>
      <c r="C651" s="425">
        <v>11473182.612101613</v>
      </c>
      <c r="D651" s="425">
        <v>15353706.427989963</v>
      </c>
      <c r="E651" s="426">
        <v>0.26649469406069271</v>
      </c>
    </row>
    <row r="652" spans="2:5" x14ac:dyDescent="0.3">
      <c r="B652" s="424">
        <v>645</v>
      </c>
      <c r="C652" s="425">
        <v>7243394.747001376</v>
      </c>
      <c r="D652" s="425">
        <v>9693296.1190907266</v>
      </c>
      <c r="E652" s="426">
        <v>0.19097064999797841</v>
      </c>
    </row>
    <row r="653" spans="2:5" x14ac:dyDescent="0.3">
      <c r="B653" s="424">
        <v>646</v>
      </c>
      <c r="C653" s="425">
        <v>12663941.961723965</v>
      </c>
      <c r="D653" s="425">
        <v>16947211.046420936</v>
      </c>
      <c r="E653" s="426">
        <v>0.28855454205322606</v>
      </c>
    </row>
    <row r="654" spans="2:5" x14ac:dyDescent="0.3">
      <c r="B654" s="424">
        <v>647</v>
      </c>
      <c r="C654" s="425">
        <v>12892339.848273426</v>
      </c>
      <c r="D654" s="425">
        <v>17252858.94007121</v>
      </c>
      <c r="E654" s="426">
        <v>0.28631582369952646</v>
      </c>
    </row>
    <row r="655" spans="2:5" x14ac:dyDescent="0.3">
      <c r="B655" s="424">
        <v>648</v>
      </c>
      <c r="C655" s="425">
        <v>10081074.821639493</v>
      </c>
      <c r="D655" s="425">
        <v>13490752.176017333</v>
      </c>
      <c r="E655" s="426">
        <v>0.24246504763136567</v>
      </c>
    </row>
    <row r="656" spans="2:5" x14ac:dyDescent="0.3">
      <c r="B656" s="424">
        <v>649</v>
      </c>
      <c r="C656" s="425">
        <v>8406768.9959348477</v>
      </c>
      <c r="D656" s="425">
        <v>11250153.295334687</v>
      </c>
      <c r="E656" s="426">
        <v>0.21279075924127189</v>
      </c>
    </row>
    <row r="657" spans="2:5" x14ac:dyDescent="0.3">
      <c r="B657" s="424">
        <v>650</v>
      </c>
      <c r="C657" s="425">
        <v>7543094.9698890094</v>
      </c>
      <c r="D657" s="425">
        <v>10094362.622971378</v>
      </c>
      <c r="E657" s="426">
        <v>0.20636635749301391</v>
      </c>
    </row>
    <row r="658" spans="2:5" x14ac:dyDescent="0.3">
      <c r="B658" s="424">
        <v>651</v>
      </c>
      <c r="C658" s="425">
        <v>10504286.650161345</v>
      </c>
      <c r="D658" s="425">
        <v>14057105.069688139</v>
      </c>
      <c r="E658" s="426">
        <v>0.2524808995847958</v>
      </c>
    </row>
    <row r="659" spans="2:5" x14ac:dyDescent="0.3">
      <c r="B659" s="424">
        <v>652</v>
      </c>
      <c r="C659" s="425">
        <v>9471085.8025005348</v>
      </c>
      <c r="D659" s="425">
        <v>12674449.268550443</v>
      </c>
      <c r="E659" s="426">
        <v>0.22523545312368354</v>
      </c>
    </row>
    <row r="660" spans="2:5" x14ac:dyDescent="0.3">
      <c r="B660" s="424">
        <v>653</v>
      </c>
      <c r="C660" s="425">
        <v>9614893.5931027792</v>
      </c>
      <c r="D660" s="425">
        <v>12866896.532192511</v>
      </c>
      <c r="E660" s="426">
        <v>0.23032530063929602</v>
      </c>
    </row>
    <row r="661" spans="2:5" x14ac:dyDescent="0.3">
      <c r="B661" s="424">
        <v>654</v>
      </c>
      <c r="C661" s="425">
        <v>7624352.5357626844</v>
      </c>
      <c r="D661" s="425">
        <v>10203103.575997047</v>
      </c>
      <c r="E661" s="426">
        <v>0.20411976450601155</v>
      </c>
    </row>
    <row r="662" spans="2:5" x14ac:dyDescent="0.3">
      <c r="B662" s="424">
        <v>655</v>
      </c>
      <c r="C662" s="425">
        <v>7926506.1981776208</v>
      </c>
      <c r="D662" s="425">
        <v>10607453.335406231</v>
      </c>
      <c r="E662" s="426">
        <v>0.19925354731293798</v>
      </c>
    </row>
    <row r="663" spans="2:5" x14ac:dyDescent="0.3">
      <c r="B663" s="424">
        <v>656</v>
      </c>
      <c r="C663" s="425">
        <v>10332883.84089727</v>
      </c>
      <c r="D663" s="425">
        <v>13827729.446258459</v>
      </c>
      <c r="E663" s="426">
        <v>0.25823459757811884</v>
      </c>
    </row>
    <row r="664" spans="2:5" x14ac:dyDescent="0.3">
      <c r="B664" s="424">
        <v>657</v>
      </c>
      <c r="C664" s="425">
        <v>17399681.987572189</v>
      </c>
      <c r="D664" s="425">
        <v>23284699.477875117</v>
      </c>
      <c r="E664" s="426">
        <v>0.36520060022910883</v>
      </c>
    </row>
    <row r="665" spans="2:5" x14ac:dyDescent="0.3">
      <c r="B665" s="424">
        <v>658</v>
      </c>
      <c r="C665" s="425">
        <v>12698053.605518788</v>
      </c>
      <c r="D665" s="425">
        <v>16992860.12064115</v>
      </c>
      <c r="E665" s="426">
        <v>0.2909554749536718</v>
      </c>
    </row>
    <row r="666" spans="2:5" x14ac:dyDescent="0.3">
      <c r="B666" s="424">
        <v>659</v>
      </c>
      <c r="C666" s="425">
        <v>11882947.939377259</v>
      </c>
      <c r="D666" s="425">
        <v>15902064.869763868</v>
      </c>
      <c r="E666" s="426">
        <v>0.26765856211898376</v>
      </c>
    </row>
    <row r="667" spans="2:5" x14ac:dyDescent="0.3">
      <c r="B667" s="424">
        <v>660</v>
      </c>
      <c r="C667" s="425">
        <v>11181666.116696805</v>
      </c>
      <c r="D667" s="425">
        <v>14963591.597546937</v>
      </c>
      <c r="E667" s="426">
        <v>0.26067019282126624</v>
      </c>
    </row>
    <row r="668" spans="2:5" x14ac:dyDescent="0.3">
      <c r="B668" s="424">
        <v>661</v>
      </c>
      <c r="C668" s="425">
        <v>10901836.147572787</v>
      </c>
      <c r="D668" s="425">
        <v>14589115.975486157</v>
      </c>
      <c r="E668" s="426">
        <v>0.25651274355059406</v>
      </c>
    </row>
    <row r="669" spans="2:5" x14ac:dyDescent="0.3">
      <c r="B669" s="424">
        <v>662</v>
      </c>
      <c r="C669" s="425">
        <v>8560112.6048870087</v>
      </c>
      <c r="D669" s="425">
        <v>11455361.634995962</v>
      </c>
      <c r="E669" s="426">
        <v>0.22149180329800133</v>
      </c>
    </row>
    <row r="670" spans="2:5" x14ac:dyDescent="0.3">
      <c r="B670" s="424">
        <v>663</v>
      </c>
      <c r="C670" s="425">
        <v>7617909.5169384331</v>
      </c>
      <c r="D670" s="425">
        <v>10194481.363409474</v>
      </c>
      <c r="E670" s="426">
        <v>0.1893259170164896</v>
      </c>
    </row>
    <row r="671" spans="2:5" x14ac:dyDescent="0.3">
      <c r="B671" s="424">
        <v>664</v>
      </c>
      <c r="C671" s="425">
        <v>10545764.89866494</v>
      </c>
      <c r="D671" s="425">
        <v>14112612.3227497</v>
      </c>
      <c r="E671" s="426">
        <v>0.24250005427343746</v>
      </c>
    </row>
    <row r="672" spans="2:5" x14ac:dyDescent="0.3">
      <c r="B672" s="424">
        <v>665</v>
      </c>
      <c r="C672" s="425">
        <v>4408953.0574218854</v>
      </c>
      <c r="D672" s="425">
        <v>5900173.7518796911</v>
      </c>
      <c r="E672" s="426">
        <v>0.14654351841091806</v>
      </c>
    </row>
    <row r="673" spans="2:5" x14ac:dyDescent="0.3">
      <c r="B673" s="424">
        <v>666</v>
      </c>
      <c r="C673" s="425">
        <v>7749879.2262528781</v>
      </c>
      <c r="D673" s="425">
        <v>10371086.603882503</v>
      </c>
      <c r="E673" s="426">
        <v>0.20580552690893716</v>
      </c>
    </row>
    <row r="674" spans="2:5" x14ac:dyDescent="0.3">
      <c r="B674" s="424">
        <v>667</v>
      </c>
      <c r="C674" s="425">
        <v>12172916.666613759</v>
      </c>
      <c r="D674" s="425">
        <v>16290108.437255871</v>
      </c>
      <c r="E674" s="426">
        <v>0.29354291186578751</v>
      </c>
    </row>
    <row r="675" spans="2:5" x14ac:dyDescent="0.3">
      <c r="B675" s="424">
        <v>668</v>
      </c>
      <c r="C675" s="425">
        <v>14393127.785429982</v>
      </c>
      <c r="D675" s="425">
        <v>19261251.744127654</v>
      </c>
      <c r="E675" s="426">
        <v>0.32232780954575357</v>
      </c>
    </row>
    <row r="676" spans="2:5" x14ac:dyDescent="0.3">
      <c r="B676" s="424">
        <v>669</v>
      </c>
      <c r="C676" s="425">
        <v>10579021.470675781</v>
      </c>
      <c r="D676" s="425">
        <v>14157117.118037904</v>
      </c>
      <c r="E676" s="426">
        <v>0.24344713167074006</v>
      </c>
    </row>
    <row r="677" spans="2:5" x14ac:dyDescent="0.3">
      <c r="B677" s="424">
        <v>670</v>
      </c>
      <c r="C677" s="425">
        <v>13768369.125779066</v>
      </c>
      <c r="D677" s="425">
        <v>18425183.725955706</v>
      </c>
      <c r="E677" s="426">
        <v>0.29375445585096061</v>
      </c>
    </row>
    <row r="678" spans="2:5" x14ac:dyDescent="0.3">
      <c r="B678" s="424">
        <v>671</v>
      </c>
      <c r="C678" s="425">
        <v>8753538.6868931241</v>
      </c>
      <c r="D678" s="425">
        <v>11714209.365311502</v>
      </c>
      <c r="E678" s="426">
        <v>0.21710558886696574</v>
      </c>
    </row>
    <row r="679" spans="2:5" x14ac:dyDescent="0.3">
      <c r="B679" s="424">
        <v>672</v>
      </c>
      <c r="C679" s="425">
        <v>12230921.349796925</v>
      </c>
      <c r="D679" s="425">
        <v>16367731.787912168</v>
      </c>
      <c r="E679" s="426">
        <v>0.27535667963340482</v>
      </c>
    </row>
    <row r="680" spans="2:5" x14ac:dyDescent="0.3">
      <c r="B680" s="424">
        <v>673</v>
      </c>
      <c r="C680" s="425">
        <v>7615516.5162192993</v>
      </c>
      <c r="D680" s="425">
        <v>10191278.988639915</v>
      </c>
      <c r="E680" s="426">
        <v>0.19548523570885434</v>
      </c>
    </row>
    <row r="681" spans="2:5" x14ac:dyDescent="0.3">
      <c r="B681" s="424">
        <v>674</v>
      </c>
      <c r="C681" s="425">
        <v>7529566.2899182476</v>
      </c>
      <c r="D681" s="425">
        <v>10076258.19740334</v>
      </c>
      <c r="E681" s="426">
        <v>0.19729935596663672</v>
      </c>
    </row>
    <row r="682" spans="2:5" x14ac:dyDescent="0.3">
      <c r="B682" s="424">
        <v>675</v>
      </c>
      <c r="C682" s="425">
        <v>10403159.057379261</v>
      </c>
      <c r="D682" s="425">
        <v>13921773.538426038</v>
      </c>
      <c r="E682" s="426">
        <v>0.25344212103437114</v>
      </c>
    </row>
    <row r="683" spans="2:5" x14ac:dyDescent="0.3">
      <c r="B683" s="424">
        <v>676</v>
      </c>
      <c r="C683" s="425">
        <v>14407868.692367505</v>
      </c>
      <c r="D683" s="425">
        <v>19280978.40282847</v>
      </c>
      <c r="E683" s="426">
        <v>0.31119501766959057</v>
      </c>
    </row>
    <row r="684" spans="2:5" x14ac:dyDescent="0.3">
      <c r="B684" s="424">
        <v>677</v>
      </c>
      <c r="C684" s="425">
        <v>4539038.2327828743</v>
      </c>
      <c r="D684" s="425">
        <v>6074257.0608143471</v>
      </c>
      <c r="E684" s="426">
        <v>0.15016401497611342</v>
      </c>
    </row>
    <row r="685" spans="2:5" x14ac:dyDescent="0.3">
      <c r="B685" s="424">
        <v>678</v>
      </c>
      <c r="C685" s="425">
        <v>13190670.449088613</v>
      </c>
      <c r="D685" s="425">
        <v>17652092.580662865</v>
      </c>
      <c r="E685" s="426">
        <v>0.29220265214462193</v>
      </c>
    </row>
    <row r="686" spans="2:5" x14ac:dyDescent="0.3">
      <c r="B686" s="424">
        <v>679</v>
      </c>
      <c r="C686" s="425">
        <v>10474603.902464818</v>
      </c>
      <c r="D686" s="425">
        <v>14017382.857507201</v>
      </c>
      <c r="E686" s="426">
        <v>0.2408485829475</v>
      </c>
    </row>
    <row r="687" spans="2:5" x14ac:dyDescent="0.3">
      <c r="B687" s="424">
        <v>680</v>
      </c>
      <c r="C687" s="425">
        <v>11629588.61370182</v>
      </c>
      <c r="D687" s="425">
        <v>15563012.939821508</v>
      </c>
      <c r="E687" s="426">
        <v>0.26150093139586028</v>
      </c>
    </row>
    <row r="688" spans="2:5" x14ac:dyDescent="0.3">
      <c r="B688" s="424">
        <v>681</v>
      </c>
      <c r="C688" s="425">
        <v>7788877.3455436248</v>
      </c>
      <c r="D688" s="425">
        <v>10423274.884595675</v>
      </c>
      <c r="E688" s="426">
        <v>0.20567508830226222</v>
      </c>
    </row>
    <row r="689" spans="2:5" x14ac:dyDescent="0.3">
      <c r="B689" s="424">
        <v>682</v>
      </c>
      <c r="C689" s="425">
        <v>10303541.840032293</v>
      </c>
      <c r="D689" s="425">
        <v>13788463.230202986</v>
      </c>
      <c r="E689" s="426">
        <v>0.24694025474460868</v>
      </c>
    </row>
    <row r="690" spans="2:5" x14ac:dyDescent="0.3">
      <c r="B690" s="424">
        <v>683</v>
      </c>
      <c r="C690" s="425">
        <v>13053919.60686917</v>
      </c>
      <c r="D690" s="425">
        <v>17469089.105846468</v>
      </c>
      <c r="E690" s="426">
        <v>0.29252617428774297</v>
      </c>
    </row>
    <row r="691" spans="2:5" x14ac:dyDescent="0.3">
      <c r="B691" s="424">
        <v>684</v>
      </c>
      <c r="C691" s="425">
        <v>12320841.232969876</v>
      </c>
      <c r="D691" s="425">
        <v>16488064.875509014</v>
      </c>
      <c r="E691" s="426">
        <v>0.28394141757000679</v>
      </c>
    </row>
    <row r="692" spans="2:5" x14ac:dyDescent="0.3">
      <c r="B692" s="424">
        <v>685</v>
      </c>
      <c r="C692" s="425">
        <v>10904359.604524821</v>
      </c>
      <c r="D692" s="425">
        <v>14592492.930123342</v>
      </c>
      <c r="E692" s="426">
        <v>0.25020350918362499</v>
      </c>
    </row>
    <row r="693" spans="2:5" x14ac:dyDescent="0.3">
      <c r="B693" s="424">
        <v>686</v>
      </c>
      <c r="C693" s="425">
        <v>6264865.4707693383</v>
      </c>
      <c r="D693" s="425">
        <v>8383803.2132065967</v>
      </c>
      <c r="E693" s="426">
        <v>0.17830753846245906</v>
      </c>
    </row>
    <row r="694" spans="2:5" x14ac:dyDescent="0.3">
      <c r="B694" s="424">
        <v>687</v>
      </c>
      <c r="C694" s="425">
        <v>13557714.219307799</v>
      </c>
      <c r="D694" s="425">
        <v>18143279.94206892</v>
      </c>
      <c r="E694" s="426">
        <v>0.29704504459440573</v>
      </c>
    </row>
    <row r="695" spans="2:5" x14ac:dyDescent="0.3">
      <c r="B695" s="424">
        <v>688</v>
      </c>
      <c r="C695" s="425">
        <v>8464904.550844904</v>
      </c>
      <c r="D695" s="425">
        <v>11327951.781883294</v>
      </c>
      <c r="E695" s="426">
        <v>0.20965310074551646</v>
      </c>
    </row>
    <row r="696" spans="2:5" x14ac:dyDescent="0.3">
      <c r="B696" s="424">
        <v>689</v>
      </c>
      <c r="C696" s="425">
        <v>9315394.156026762</v>
      </c>
      <c r="D696" s="425">
        <v>12466098.725020582</v>
      </c>
      <c r="E696" s="426">
        <v>0.23065855185012318</v>
      </c>
    </row>
    <row r="697" spans="2:5" x14ac:dyDescent="0.3">
      <c r="B697" s="424">
        <v>690</v>
      </c>
      <c r="C697" s="425">
        <v>7773609.4336613603</v>
      </c>
      <c r="D697" s="425">
        <v>10402842.974398287</v>
      </c>
      <c r="E697" s="426">
        <v>0.19273748749548347</v>
      </c>
    </row>
    <row r="698" spans="2:5" x14ac:dyDescent="0.3">
      <c r="B698" s="424">
        <v>691</v>
      </c>
      <c r="C698" s="425">
        <v>11880191.014377363</v>
      </c>
      <c r="D698" s="425">
        <v>15898375.482213482</v>
      </c>
      <c r="E698" s="426">
        <v>0.27046175368826519</v>
      </c>
    </row>
    <row r="699" spans="2:5" x14ac:dyDescent="0.3">
      <c r="B699" s="424">
        <v>692</v>
      </c>
      <c r="C699" s="425">
        <v>10204144.004943704</v>
      </c>
      <c r="D699" s="425">
        <v>13655446.504929371</v>
      </c>
      <c r="E699" s="426">
        <v>0.24518147836567872</v>
      </c>
    </row>
    <row r="700" spans="2:5" x14ac:dyDescent="0.3">
      <c r="B700" s="424">
        <v>693</v>
      </c>
      <c r="C700" s="425">
        <v>6765563.5912172981</v>
      </c>
      <c r="D700" s="425">
        <v>9053850.2446463015</v>
      </c>
      <c r="E700" s="426">
        <v>0.18232111234289694</v>
      </c>
    </row>
    <row r="701" spans="2:5" x14ac:dyDescent="0.3">
      <c r="B701" s="424">
        <v>694</v>
      </c>
      <c r="C701" s="425">
        <v>11059501.82486042</v>
      </c>
      <c r="D701" s="425">
        <v>14800108.217542095</v>
      </c>
      <c r="E701" s="426">
        <v>0.25574268668236155</v>
      </c>
    </row>
    <row r="702" spans="2:5" x14ac:dyDescent="0.3">
      <c r="B702" s="424">
        <v>695</v>
      </c>
      <c r="C702" s="425">
        <v>11710071.077605743</v>
      </c>
      <c r="D702" s="425">
        <v>15670716.631566005</v>
      </c>
      <c r="E702" s="426">
        <v>0.26708927433240581</v>
      </c>
    </row>
    <row r="703" spans="2:5" x14ac:dyDescent="0.3">
      <c r="B703" s="424">
        <v>696</v>
      </c>
      <c r="C703" s="425">
        <v>10733939.531185422</v>
      </c>
      <c r="D703" s="425">
        <v>14364432.42904409</v>
      </c>
      <c r="E703" s="426">
        <v>0.25873763171707642</v>
      </c>
    </row>
    <row r="704" spans="2:5" x14ac:dyDescent="0.3">
      <c r="B704" s="424">
        <v>697</v>
      </c>
      <c r="C704" s="425">
        <v>11872536.838003641</v>
      </c>
      <c r="D704" s="425">
        <v>15888132.467614707</v>
      </c>
      <c r="E704" s="426">
        <v>0.27206457171033405</v>
      </c>
    </row>
    <row r="705" spans="2:5" x14ac:dyDescent="0.3">
      <c r="B705" s="424">
        <v>698</v>
      </c>
      <c r="C705" s="425">
        <v>8731150.9184017424</v>
      </c>
      <c r="D705" s="425">
        <v>11684249.480890946</v>
      </c>
      <c r="E705" s="426">
        <v>0.21839330213241936</v>
      </c>
    </row>
    <row r="706" spans="2:5" x14ac:dyDescent="0.3">
      <c r="B706" s="424">
        <v>699</v>
      </c>
      <c r="C706" s="425">
        <v>9905670.5115862917</v>
      </c>
      <c r="D706" s="425">
        <v>13256021.641882857</v>
      </c>
      <c r="E706" s="426">
        <v>0.24178762827851297</v>
      </c>
    </row>
    <row r="707" spans="2:5" x14ac:dyDescent="0.3">
      <c r="B707" s="424">
        <v>700</v>
      </c>
      <c r="C707" s="425">
        <v>12240535.323829139</v>
      </c>
      <c r="D707" s="425">
        <v>16380597.453864459</v>
      </c>
      <c r="E707" s="426">
        <v>0.27797807636341676</v>
      </c>
    </row>
    <row r="708" spans="2:5" x14ac:dyDescent="0.3">
      <c r="B708" s="424">
        <v>701</v>
      </c>
      <c r="C708" s="425">
        <v>9149945.5338891391</v>
      </c>
      <c r="D708" s="425">
        <v>12244691.147097338</v>
      </c>
      <c r="E708" s="426">
        <v>0.23792533997068799</v>
      </c>
    </row>
    <row r="709" spans="2:5" x14ac:dyDescent="0.3">
      <c r="B709" s="424">
        <v>702</v>
      </c>
      <c r="C709" s="425">
        <v>4821752.2844629809</v>
      </c>
      <c r="D709" s="425">
        <v>6452592.2359195948</v>
      </c>
      <c r="E709" s="426">
        <v>0.15207490616564145</v>
      </c>
    </row>
    <row r="710" spans="2:5" x14ac:dyDescent="0.3">
      <c r="B710" s="424">
        <v>703</v>
      </c>
      <c r="C710" s="425">
        <v>12505628.151660867</v>
      </c>
      <c r="D710" s="425">
        <v>16735351.456507191</v>
      </c>
      <c r="E710" s="426">
        <v>0.2927652973247703</v>
      </c>
    </row>
    <row r="711" spans="2:5" x14ac:dyDescent="0.3">
      <c r="B711" s="424">
        <v>704</v>
      </c>
      <c r="C711" s="425">
        <v>11049963.042196017</v>
      </c>
      <c r="D711" s="425">
        <v>14787343.174601423</v>
      </c>
      <c r="E711" s="426">
        <v>0.25920841485574386</v>
      </c>
    </row>
    <row r="712" spans="2:5" x14ac:dyDescent="0.3">
      <c r="B712" s="424">
        <v>705</v>
      </c>
      <c r="C712" s="425">
        <v>12586143.861353496</v>
      </c>
      <c r="D712" s="425">
        <v>16843099.638616484</v>
      </c>
      <c r="E712" s="426">
        <v>0.28328697114687729</v>
      </c>
    </row>
    <row r="713" spans="2:5" x14ac:dyDescent="0.3">
      <c r="B713" s="424">
        <v>706</v>
      </c>
      <c r="C713" s="425">
        <v>9389122.1359393168</v>
      </c>
      <c r="D713" s="425">
        <v>12564763.393524343</v>
      </c>
      <c r="E713" s="426">
        <v>0.23327348382755786</v>
      </c>
    </row>
    <row r="714" spans="2:5" x14ac:dyDescent="0.3">
      <c r="B714" s="424">
        <v>707</v>
      </c>
      <c r="C714" s="425">
        <v>14887676.039902503</v>
      </c>
      <c r="D714" s="425">
        <v>19923068.867620215</v>
      </c>
      <c r="E714" s="426">
        <v>0.3220460124530824</v>
      </c>
    </row>
    <row r="715" spans="2:5" x14ac:dyDescent="0.3">
      <c r="B715" s="424">
        <v>708</v>
      </c>
      <c r="C715" s="425">
        <v>12872528.662833523</v>
      </c>
      <c r="D715" s="425">
        <v>17226347.104992952</v>
      </c>
      <c r="E715" s="426">
        <v>0.28210488976121129</v>
      </c>
    </row>
    <row r="716" spans="2:5" x14ac:dyDescent="0.3">
      <c r="B716" s="424">
        <v>709</v>
      </c>
      <c r="C716" s="425">
        <v>6335113.7958638296</v>
      </c>
      <c r="D716" s="425">
        <v>8477811.3186316043</v>
      </c>
      <c r="E716" s="426">
        <v>0.17253833625793069</v>
      </c>
    </row>
    <row r="717" spans="2:5" x14ac:dyDescent="0.3">
      <c r="B717" s="424">
        <v>710</v>
      </c>
      <c r="C717" s="425">
        <v>9642661.5175002031</v>
      </c>
      <c r="D717" s="425">
        <v>12904056.278858006</v>
      </c>
      <c r="E717" s="426">
        <v>0.23059312160202983</v>
      </c>
    </row>
    <row r="718" spans="2:5" x14ac:dyDescent="0.3">
      <c r="B718" s="424">
        <v>711</v>
      </c>
      <c r="C718" s="425">
        <v>8522257.6951091141</v>
      </c>
      <c r="D718" s="425">
        <v>11404703.226493442</v>
      </c>
      <c r="E718" s="426">
        <v>0.2072840635626223</v>
      </c>
    </row>
    <row r="719" spans="2:5" x14ac:dyDescent="0.3">
      <c r="B719" s="424">
        <v>712</v>
      </c>
      <c r="C719" s="425">
        <v>14044555.712494791</v>
      </c>
      <c r="D719" s="425">
        <v>18794783.680488728</v>
      </c>
      <c r="E719" s="426">
        <v>0.30384323250621281</v>
      </c>
    </row>
    <row r="720" spans="2:5" x14ac:dyDescent="0.3">
      <c r="B720" s="424">
        <v>713</v>
      </c>
      <c r="C720" s="425">
        <v>12318848.836132735</v>
      </c>
      <c r="D720" s="425">
        <v>16485398.599100823</v>
      </c>
      <c r="E720" s="426">
        <v>0.27552226933613366</v>
      </c>
    </row>
    <row r="721" spans="2:5" x14ac:dyDescent="0.3">
      <c r="B721" s="424">
        <v>714</v>
      </c>
      <c r="C721" s="425">
        <v>9730852.5704756901</v>
      </c>
      <c r="D721" s="425">
        <v>13022075.80166528</v>
      </c>
      <c r="E721" s="426">
        <v>0.23127944695569647</v>
      </c>
    </row>
    <row r="722" spans="2:5" x14ac:dyDescent="0.3">
      <c r="B722" s="424">
        <v>715</v>
      </c>
      <c r="C722" s="425">
        <v>9387917.0099703502</v>
      </c>
      <c r="D722" s="425">
        <v>12563150.663128441</v>
      </c>
      <c r="E722" s="426">
        <v>0.23070881181064617</v>
      </c>
    </row>
    <row r="723" spans="2:5" x14ac:dyDescent="0.3">
      <c r="B723" s="424">
        <v>716</v>
      </c>
      <c r="C723" s="425">
        <v>7894647.590099996</v>
      </c>
      <c r="D723" s="425">
        <v>10564819.331210019</v>
      </c>
      <c r="E723" s="426">
        <v>0.20937843074431917</v>
      </c>
    </row>
    <row r="724" spans="2:5" x14ac:dyDescent="0.3">
      <c r="B724" s="424">
        <v>717</v>
      </c>
      <c r="C724" s="425">
        <v>6782143.2102764249</v>
      </c>
      <c r="D724" s="425">
        <v>9076037.51493809</v>
      </c>
      <c r="E724" s="426">
        <v>0.18131848409529838</v>
      </c>
    </row>
    <row r="725" spans="2:5" x14ac:dyDescent="0.3">
      <c r="B725" s="424">
        <v>718</v>
      </c>
      <c r="C725" s="425">
        <v>8770443.1301498953</v>
      </c>
      <c r="D725" s="425">
        <v>11736831.3236528</v>
      </c>
      <c r="E725" s="426">
        <v>0.23000959343507432</v>
      </c>
    </row>
    <row r="726" spans="2:5" x14ac:dyDescent="0.3">
      <c r="B726" s="424">
        <v>719</v>
      </c>
      <c r="C726" s="425">
        <v>8730905.7939938232</v>
      </c>
      <c r="D726" s="425">
        <v>11683921.449138574</v>
      </c>
      <c r="E726" s="426">
        <v>0.21404753474036253</v>
      </c>
    </row>
    <row r="727" spans="2:5" x14ac:dyDescent="0.3">
      <c r="B727" s="424">
        <v>720</v>
      </c>
      <c r="C727" s="425">
        <v>6251875.1397162527</v>
      </c>
      <c r="D727" s="425">
        <v>8366419.2199298665</v>
      </c>
      <c r="E727" s="426">
        <v>0.17235861058442903</v>
      </c>
    </row>
    <row r="728" spans="2:5" x14ac:dyDescent="0.3">
      <c r="B728" s="424">
        <v>721</v>
      </c>
      <c r="C728" s="425">
        <v>3005128.5146131255</v>
      </c>
      <c r="D728" s="425">
        <v>4021539.8422303814</v>
      </c>
      <c r="E728" s="426">
        <v>0.11550834551838607</v>
      </c>
    </row>
    <row r="729" spans="2:5" x14ac:dyDescent="0.3">
      <c r="B729" s="424">
        <v>722</v>
      </c>
      <c r="C729" s="425">
        <v>6520462.2315164842</v>
      </c>
      <c r="D729" s="425">
        <v>8725849.3359901346</v>
      </c>
      <c r="E729" s="426">
        <v>0.18397175709405933</v>
      </c>
    </row>
    <row r="730" spans="2:5" x14ac:dyDescent="0.3">
      <c r="B730" s="424">
        <v>723</v>
      </c>
      <c r="C730" s="425">
        <v>6187665.5388279371</v>
      </c>
      <c r="D730" s="425">
        <v>8280492.289693634</v>
      </c>
      <c r="E730" s="426">
        <v>0.17146304122031131</v>
      </c>
    </row>
    <row r="731" spans="2:5" x14ac:dyDescent="0.3">
      <c r="B731" s="424">
        <v>724</v>
      </c>
      <c r="C731" s="425">
        <v>12497497.027328627</v>
      </c>
      <c r="D731" s="425">
        <v>16724470.177951142</v>
      </c>
      <c r="E731" s="426">
        <v>0.28163294681576168</v>
      </c>
    </row>
    <row r="732" spans="2:5" x14ac:dyDescent="0.3">
      <c r="B732" s="424">
        <v>725</v>
      </c>
      <c r="C732" s="425">
        <v>5878848.4538757876</v>
      </c>
      <c r="D732" s="425">
        <v>7867225.367810796</v>
      </c>
      <c r="E732" s="426">
        <v>0.16508106007590251</v>
      </c>
    </row>
    <row r="733" spans="2:5" x14ac:dyDescent="0.3">
      <c r="B733" s="424">
        <v>726</v>
      </c>
      <c r="C733" s="425">
        <v>5625642.7938540839</v>
      </c>
      <c r="D733" s="425">
        <v>7528379.0771766622</v>
      </c>
      <c r="E733" s="426">
        <v>0.16260379033112415</v>
      </c>
    </row>
    <row r="734" spans="2:5" x14ac:dyDescent="0.3">
      <c r="B734" s="424">
        <v>727</v>
      </c>
      <c r="C734" s="425">
        <v>9707844.2793404292</v>
      </c>
      <c r="D734" s="425">
        <v>12991285.517971206</v>
      </c>
      <c r="E734" s="426">
        <v>0.23820186446653002</v>
      </c>
    </row>
    <row r="735" spans="2:5" x14ac:dyDescent="0.3">
      <c r="B735" s="424">
        <v>728</v>
      </c>
      <c r="C735" s="425">
        <v>14487006.584968349</v>
      </c>
      <c r="D735" s="425">
        <v>19386882.754864279</v>
      </c>
      <c r="E735" s="426">
        <v>0.3341261952042367</v>
      </c>
    </row>
    <row r="736" spans="2:5" x14ac:dyDescent="0.3">
      <c r="B736" s="424">
        <v>729</v>
      </c>
      <c r="C736" s="425">
        <v>8627593.6252859179</v>
      </c>
      <c r="D736" s="425">
        <v>11545666.462496329</v>
      </c>
      <c r="E736" s="426">
        <v>0.21834554237995496</v>
      </c>
    </row>
    <row r="737" spans="2:5" x14ac:dyDescent="0.3">
      <c r="B737" s="424">
        <v>730</v>
      </c>
      <c r="C737" s="425">
        <v>12604952.836854663</v>
      </c>
      <c r="D737" s="425">
        <v>16868270.290720597</v>
      </c>
      <c r="E737" s="426">
        <v>0.27326193459029446</v>
      </c>
    </row>
    <row r="738" spans="2:5" x14ac:dyDescent="0.3">
      <c r="B738" s="424">
        <v>731</v>
      </c>
      <c r="C738" s="425">
        <v>8083675.8103241213</v>
      </c>
      <c r="D738" s="425">
        <v>10817781.730402149</v>
      </c>
      <c r="E738" s="426">
        <v>0.21150062319182572</v>
      </c>
    </row>
    <row r="739" spans="2:5" x14ac:dyDescent="0.3">
      <c r="B739" s="424">
        <v>732</v>
      </c>
      <c r="C739" s="425">
        <v>13375299.754549731</v>
      </c>
      <c r="D739" s="425">
        <v>17899168.239605457</v>
      </c>
      <c r="E739" s="426">
        <v>0.30539000271437855</v>
      </c>
    </row>
    <row r="740" spans="2:5" x14ac:dyDescent="0.3">
      <c r="B740" s="424">
        <v>733</v>
      </c>
      <c r="C740" s="425">
        <v>10864882.116986351</v>
      </c>
      <c r="D740" s="425">
        <v>14539663.146559976</v>
      </c>
      <c r="E740" s="426">
        <v>0.26510184682264915</v>
      </c>
    </row>
    <row r="741" spans="2:5" x14ac:dyDescent="0.3">
      <c r="B741" s="424">
        <v>734</v>
      </c>
      <c r="C741" s="425">
        <v>6208102.6178242154</v>
      </c>
      <c r="D741" s="425">
        <v>8307841.7115378855</v>
      </c>
      <c r="E741" s="426">
        <v>0.18001886137027157</v>
      </c>
    </row>
    <row r="742" spans="2:5" x14ac:dyDescent="0.3">
      <c r="B742" s="424">
        <v>735</v>
      </c>
      <c r="C742" s="425">
        <v>12812402.481380019</v>
      </c>
      <c r="D742" s="425">
        <v>17145884.711088456</v>
      </c>
      <c r="E742" s="426">
        <v>0.29508770989563904</v>
      </c>
    </row>
    <row r="743" spans="2:5" x14ac:dyDescent="0.3">
      <c r="B743" s="424">
        <v>736</v>
      </c>
      <c r="C743" s="425">
        <v>12533309.451052956</v>
      </c>
      <c r="D743" s="425">
        <v>16772395.279374888</v>
      </c>
      <c r="E743" s="426">
        <v>0.27954287118723475</v>
      </c>
    </row>
    <row r="744" spans="2:5" x14ac:dyDescent="0.3">
      <c r="B744" s="424">
        <v>737</v>
      </c>
      <c r="C744" s="425">
        <v>11491310.008863661</v>
      </c>
      <c r="D744" s="425">
        <v>15377964.97399224</v>
      </c>
      <c r="E744" s="426">
        <v>0.27451159916837864</v>
      </c>
    </row>
    <row r="745" spans="2:5" x14ac:dyDescent="0.3">
      <c r="B745" s="424">
        <v>738</v>
      </c>
      <c r="C745" s="425">
        <v>9095303.4190208316</v>
      </c>
      <c r="D745" s="425">
        <v>12171567.671366412</v>
      </c>
      <c r="E745" s="426">
        <v>0.21909587198416913</v>
      </c>
    </row>
    <row r="746" spans="2:5" x14ac:dyDescent="0.3">
      <c r="B746" s="424">
        <v>739</v>
      </c>
      <c r="C746" s="425">
        <v>4991963.2392963283</v>
      </c>
      <c r="D746" s="425">
        <v>6680372.8892652988</v>
      </c>
      <c r="E746" s="426">
        <v>0.14989107081216413</v>
      </c>
    </row>
    <row r="747" spans="2:5" x14ac:dyDescent="0.3">
      <c r="B747" s="424">
        <v>740</v>
      </c>
      <c r="C747" s="425">
        <v>16739316.547868317</v>
      </c>
      <c r="D747" s="425">
        <v>22400981.555900324</v>
      </c>
      <c r="E747" s="426">
        <v>0.35343208836356066</v>
      </c>
    </row>
    <row r="748" spans="2:5" x14ac:dyDescent="0.3">
      <c r="B748" s="424">
        <v>741</v>
      </c>
      <c r="C748" s="425">
        <v>7398248.721380692</v>
      </c>
      <c r="D748" s="425">
        <v>9900525.6683981419</v>
      </c>
      <c r="E748" s="426">
        <v>0.1939550331236044</v>
      </c>
    </row>
    <row r="749" spans="2:5" x14ac:dyDescent="0.3">
      <c r="B749" s="424">
        <v>742</v>
      </c>
      <c r="C749" s="425">
        <v>9069170.1486538183</v>
      </c>
      <c r="D749" s="425">
        <v>12136595.460534938</v>
      </c>
      <c r="E749" s="426">
        <v>0.22522033282887977</v>
      </c>
    </row>
    <row r="750" spans="2:5" x14ac:dyDescent="0.3">
      <c r="B750" s="424">
        <v>743</v>
      </c>
      <c r="C750" s="425">
        <v>10847623.789374085</v>
      </c>
      <c r="D750" s="425">
        <v>14516567.611122642</v>
      </c>
      <c r="E750" s="426">
        <v>0.25871217314974237</v>
      </c>
    </row>
    <row r="751" spans="2:5" x14ac:dyDescent="0.3">
      <c r="B751" s="424">
        <v>744</v>
      </c>
      <c r="C751" s="425">
        <v>10313813.899805076</v>
      </c>
      <c r="D751" s="425">
        <v>13802209.563325562</v>
      </c>
      <c r="E751" s="426">
        <v>0.23287472472459436</v>
      </c>
    </row>
    <row r="752" spans="2:5" x14ac:dyDescent="0.3">
      <c r="B752" s="424">
        <v>745</v>
      </c>
      <c r="C752" s="425">
        <v>7240541.6051329039</v>
      </c>
      <c r="D752" s="425">
        <v>9689477.9716658145</v>
      </c>
      <c r="E752" s="426">
        <v>0.18569532800995514</v>
      </c>
    </row>
    <row r="753" spans="2:5" x14ac:dyDescent="0.3">
      <c r="B753" s="424">
        <v>746</v>
      </c>
      <c r="C753" s="425">
        <v>4464435.1649532728</v>
      </c>
      <c r="D753" s="425">
        <v>5974421.3272773465</v>
      </c>
      <c r="E753" s="426">
        <v>0.14529137549086513</v>
      </c>
    </row>
    <row r="754" spans="2:5" x14ac:dyDescent="0.3">
      <c r="B754" s="424">
        <v>747</v>
      </c>
      <c r="C754" s="425">
        <v>8349326.3442482278</v>
      </c>
      <c r="D754" s="425">
        <v>11173282.069602486</v>
      </c>
      <c r="E754" s="426">
        <v>0.21472054123106399</v>
      </c>
    </row>
    <row r="755" spans="2:5" x14ac:dyDescent="0.3">
      <c r="B755" s="424">
        <v>748</v>
      </c>
      <c r="C755" s="425">
        <v>16409599.900615592</v>
      </c>
      <c r="D755" s="425">
        <v>21959746.305186212</v>
      </c>
      <c r="E755" s="426">
        <v>0.34978105780557134</v>
      </c>
    </row>
    <row r="756" spans="2:5" x14ac:dyDescent="0.3">
      <c r="B756" s="424">
        <v>749</v>
      </c>
      <c r="C756" s="425">
        <v>12077146.412463538</v>
      </c>
      <c r="D756" s="425">
        <v>16161946.233578792</v>
      </c>
      <c r="E756" s="426">
        <v>0.27844890292928115</v>
      </c>
    </row>
    <row r="757" spans="2:5" x14ac:dyDescent="0.3">
      <c r="B757" s="424">
        <v>750</v>
      </c>
      <c r="C757" s="425">
        <v>8041820.0868247971</v>
      </c>
      <c r="D757" s="425">
        <v>10761769.330646399</v>
      </c>
      <c r="E757" s="426">
        <v>0.20532538240353992</v>
      </c>
    </row>
    <row r="758" spans="2:5" x14ac:dyDescent="0.3">
      <c r="B758" s="424">
        <v>751</v>
      </c>
      <c r="C758" s="425">
        <v>9358464.7104545794</v>
      </c>
      <c r="D758" s="425">
        <v>12523736.8425973</v>
      </c>
      <c r="E758" s="426">
        <v>0.22733496325707669</v>
      </c>
    </row>
    <row r="759" spans="2:5" x14ac:dyDescent="0.3">
      <c r="B759" s="424">
        <v>752</v>
      </c>
      <c r="C759" s="425">
        <v>8497429.3480582442</v>
      </c>
      <c r="D759" s="425">
        <v>11371477.29742044</v>
      </c>
      <c r="E759" s="426">
        <v>0.22258108492177886</v>
      </c>
    </row>
    <row r="760" spans="2:5" x14ac:dyDescent="0.3">
      <c r="B760" s="424">
        <v>753</v>
      </c>
      <c r="C760" s="425">
        <v>5171226.3366712425</v>
      </c>
      <c r="D760" s="425">
        <v>6920267.3512922078</v>
      </c>
      <c r="E760" s="426">
        <v>0.15993779702670352</v>
      </c>
    </row>
    <row r="761" spans="2:5" x14ac:dyDescent="0.3">
      <c r="B761" s="424">
        <v>754</v>
      </c>
      <c r="C761" s="425">
        <v>11493978.171251994</v>
      </c>
      <c r="D761" s="425">
        <v>15381535.577145496</v>
      </c>
      <c r="E761" s="426">
        <v>0.2636627019373452</v>
      </c>
    </row>
    <row r="762" spans="2:5" x14ac:dyDescent="0.3">
      <c r="B762" s="424">
        <v>755</v>
      </c>
      <c r="C762" s="425">
        <v>11743781.017975371</v>
      </c>
      <c r="D762" s="425">
        <v>15715828.135988014</v>
      </c>
      <c r="E762" s="426">
        <v>0.28208714812096036</v>
      </c>
    </row>
    <row r="763" spans="2:5" x14ac:dyDescent="0.3">
      <c r="B763" s="424">
        <v>756</v>
      </c>
      <c r="C763" s="425">
        <v>12303204.013205089</v>
      </c>
      <c r="D763" s="425">
        <v>16464462.296902023</v>
      </c>
      <c r="E763" s="426">
        <v>0.2722052937363777</v>
      </c>
    </row>
    <row r="764" spans="2:5" x14ac:dyDescent="0.3">
      <c r="B764" s="424">
        <v>757</v>
      </c>
      <c r="C764" s="425">
        <v>13414301.373922363</v>
      </c>
      <c r="D764" s="425">
        <v>17951361.204217736</v>
      </c>
      <c r="E764" s="426">
        <v>0.30574749639163756</v>
      </c>
    </row>
    <row r="765" spans="2:5" x14ac:dyDescent="0.3">
      <c r="B765" s="424">
        <v>758</v>
      </c>
      <c r="C765" s="425">
        <v>13197668.479742706</v>
      </c>
      <c r="D765" s="425">
        <v>17661457.524277002</v>
      </c>
      <c r="E765" s="426">
        <v>0.28054408138317211</v>
      </c>
    </row>
    <row r="766" spans="2:5" x14ac:dyDescent="0.3">
      <c r="B766" s="424">
        <v>759</v>
      </c>
      <c r="C766" s="425">
        <v>10142700.713831939</v>
      </c>
      <c r="D766" s="425">
        <v>13573221.521191685</v>
      </c>
      <c r="E766" s="426">
        <v>0.23207229031790977</v>
      </c>
    </row>
    <row r="767" spans="2:5" x14ac:dyDescent="0.3">
      <c r="B767" s="424">
        <v>760</v>
      </c>
      <c r="C767" s="425">
        <v>12045185.484264227</v>
      </c>
      <c r="D767" s="425">
        <v>16119175.301978637</v>
      </c>
      <c r="E767" s="426">
        <v>0.27503282516769589</v>
      </c>
    </row>
    <row r="768" spans="2:5" x14ac:dyDescent="0.3">
      <c r="B768" s="424">
        <v>761</v>
      </c>
      <c r="C768" s="425">
        <v>11833912.787184263</v>
      </c>
      <c r="D768" s="425">
        <v>15836444.774897691</v>
      </c>
      <c r="E768" s="426">
        <v>0.27724907242460595</v>
      </c>
    </row>
    <row r="769" spans="2:5" x14ac:dyDescent="0.3">
      <c r="B769" s="424">
        <v>762</v>
      </c>
      <c r="C769" s="425">
        <v>5274457.4447838496</v>
      </c>
      <c r="D769" s="425">
        <v>7058413.8605724899</v>
      </c>
      <c r="E769" s="426">
        <v>0.15910669357731999</v>
      </c>
    </row>
    <row r="770" spans="2:5" x14ac:dyDescent="0.3">
      <c r="B770" s="424">
        <v>763</v>
      </c>
      <c r="C770" s="425">
        <v>7751543.6791695673</v>
      </c>
      <c r="D770" s="425">
        <v>10373314.017348327</v>
      </c>
      <c r="E770" s="426">
        <v>0.20797802165253398</v>
      </c>
    </row>
    <row r="771" spans="2:5" x14ac:dyDescent="0.3">
      <c r="B771" s="424">
        <v>764</v>
      </c>
      <c r="C771" s="425">
        <v>6601686.7510690242</v>
      </c>
      <c r="D771" s="425">
        <v>8834546.0655836165</v>
      </c>
      <c r="E771" s="426">
        <v>0.18014126093225613</v>
      </c>
    </row>
    <row r="772" spans="2:5" x14ac:dyDescent="0.3">
      <c r="B772" s="424">
        <v>765</v>
      </c>
      <c r="C772" s="425">
        <v>4464462.9846974276</v>
      </c>
      <c r="D772" s="425">
        <v>5974458.5563705368</v>
      </c>
      <c r="E772" s="426">
        <v>0.13845285947875619</v>
      </c>
    </row>
    <row r="773" spans="2:5" x14ac:dyDescent="0.3">
      <c r="B773" s="424">
        <v>766</v>
      </c>
      <c r="C773" s="425">
        <v>14832435.837757934</v>
      </c>
      <c r="D773" s="425">
        <v>19849145.016198557</v>
      </c>
      <c r="E773" s="426">
        <v>0.31487674336233673</v>
      </c>
    </row>
    <row r="774" spans="2:5" x14ac:dyDescent="0.3">
      <c r="B774" s="424">
        <v>767</v>
      </c>
      <c r="C774" s="425">
        <v>6061967.1508074328</v>
      </c>
      <c r="D774" s="425">
        <v>8112279.4917815058</v>
      </c>
      <c r="E774" s="426">
        <v>0.16850546738890571</v>
      </c>
    </row>
    <row r="775" spans="2:5" x14ac:dyDescent="0.3">
      <c r="B775" s="424">
        <v>768</v>
      </c>
      <c r="C775" s="425">
        <v>16959284.543688491</v>
      </c>
      <c r="D775" s="425">
        <v>22695348.35416029</v>
      </c>
      <c r="E775" s="426">
        <v>0.3583429278274477</v>
      </c>
    </row>
    <row r="776" spans="2:5" x14ac:dyDescent="0.3">
      <c r="B776" s="424">
        <v>769</v>
      </c>
      <c r="C776" s="425">
        <v>10561890.448785543</v>
      </c>
      <c r="D776" s="425">
        <v>14134191.946373962</v>
      </c>
      <c r="E776" s="426">
        <v>0.24621774283855702</v>
      </c>
    </row>
    <row r="777" spans="2:5" x14ac:dyDescent="0.3">
      <c r="B777" s="424">
        <v>770</v>
      </c>
      <c r="C777" s="425">
        <v>11779614.178526424</v>
      </c>
      <c r="D777" s="425">
        <v>15763780.987963678</v>
      </c>
      <c r="E777" s="426">
        <v>0.25585172130908473</v>
      </c>
    </row>
    <row r="778" spans="2:5" x14ac:dyDescent="0.3">
      <c r="B778" s="424">
        <v>771</v>
      </c>
      <c r="C778" s="425">
        <v>6360700.2878617235</v>
      </c>
      <c r="D778" s="425">
        <v>8512051.816664245</v>
      </c>
      <c r="E778" s="426">
        <v>0.17588425542887687</v>
      </c>
    </row>
    <row r="779" spans="2:5" x14ac:dyDescent="0.3">
      <c r="B779" s="424">
        <v>772</v>
      </c>
      <c r="C779" s="425">
        <v>16128028.713499032</v>
      </c>
      <c r="D779" s="425">
        <v>21582940.540671635</v>
      </c>
      <c r="E779" s="426">
        <v>0.35285000199414562</v>
      </c>
    </row>
    <row r="780" spans="2:5" x14ac:dyDescent="0.3">
      <c r="B780" s="424">
        <v>773</v>
      </c>
      <c r="C780" s="425">
        <v>8818842.1639768742</v>
      </c>
      <c r="D780" s="425">
        <v>11801600.14865119</v>
      </c>
      <c r="E780" s="426">
        <v>0.23047891596950443</v>
      </c>
    </row>
    <row r="781" spans="2:5" x14ac:dyDescent="0.3">
      <c r="B781" s="424">
        <v>774</v>
      </c>
      <c r="C781" s="425">
        <v>9908250.8531705588</v>
      </c>
      <c r="D781" s="425">
        <v>13259474.720989868</v>
      </c>
      <c r="E781" s="426">
        <v>0.23962661668009555</v>
      </c>
    </row>
    <row r="782" spans="2:5" x14ac:dyDescent="0.3">
      <c r="B782" s="424">
        <v>775</v>
      </c>
      <c r="C782" s="425">
        <v>13476764.752648327</v>
      </c>
      <c r="D782" s="425">
        <v>18034951.295292135</v>
      </c>
      <c r="E782" s="426">
        <v>0.2931941892641079</v>
      </c>
    </row>
    <row r="783" spans="2:5" x14ac:dyDescent="0.3">
      <c r="B783" s="424">
        <v>776</v>
      </c>
      <c r="C783" s="425">
        <v>17944730.912261184</v>
      </c>
      <c r="D783" s="425">
        <v>24014097.889937308</v>
      </c>
      <c r="E783" s="426">
        <v>0.373860676980869</v>
      </c>
    </row>
    <row r="784" spans="2:5" x14ac:dyDescent="0.3">
      <c r="B784" s="424">
        <v>777</v>
      </c>
      <c r="C784" s="425">
        <v>12564006.854106963</v>
      </c>
      <c r="D784" s="425">
        <v>16813475.329307657</v>
      </c>
      <c r="E784" s="426">
        <v>0.29095863641410746</v>
      </c>
    </row>
    <row r="785" spans="2:5" x14ac:dyDescent="0.3">
      <c r="B785" s="424">
        <v>778</v>
      </c>
      <c r="C785" s="425">
        <v>7207901.5415468588</v>
      </c>
      <c r="D785" s="425">
        <v>9645798.2037204783</v>
      </c>
      <c r="E785" s="426">
        <v>0.18253293304753382</v>
      </c>
    </row>
    <row r="786" spans="2:5" x14ac:dyDescent="0.3">
      <c r="B786" s="424">
        <v>779</v>
      </c>
      <c r="C786" s="425">
        <v>6057093.7336461283</v>
      </c>
      <c r="D786" s="425">
        <v>8105757.7602859335</v>
      </c>
      <c r="E786" s="426">
        <v>0.1764134502777015</v>
      </c>
    </row>
    <row r="787" spans="2:5" x14ac:dyDescent="0.3">
      <c r="B787" s="424">
        <v>780</v>
      </c>
      <c r="C787" s="425">
        <v>11243651.962151159</v>
      </c>
      <c r="D787" s="425">
        <v>15046542.641383113</v>
      </c>
      <c r="E787" s="426">
        <v>0.27324497310693596</v>
      </c>
    </row>
    <row r="788" spans="2:5" x14ac:dyDescent="0.3">
      <c r="B788" s="424">
        <v>781</v>
      </c>
      <c r="C788" s="425">
        <v>12168179.547388501</v>
      </c>
      <c r="D788" s="425">
        <v>16283769.103144489</v>
      </c>
      <c r="E788" s="426">
        <v>0.26812325922227642</v>
      </c>
    </row>
    <row r="789" spans="2:5" x14ac:dyDescent="0.3">
      <c r="B789" s="424">
        <v>782</v>
      </c>
      <c r="C789" s="425">
        <v>11309332.166671228</v>
      </c>
      <c r="D789" s="425">
        <v>15134437.571013868</v>
      </c>
      <c r="E789" s="426">
        <v>0.27226307196115629</v>
      </c>
    </row>
    <row r="790" spans="2:5" x14ac:dyDescent="0.3">
      <c r="B790" s="424">
        <v>783</v>
      </c>
      <c r="C790" s="425">
        <v>8253002.3065936994</v>
      </c>
      <c r="D790" s="425">
        <v>11044378.778675489</v>
      </c>
      <c r="E790" s="426">
        <v>0.21747364946423908</v>
      </c>
    </row>
    <row r="791" spans="2:5" x14ac:dyDescent="0.3">
      <c r="B791" s="424">
        <v>784</v>
      </c>
      <c r="C791" s="425">
        <v>3387770.3598622084</v>
      </c>
      <c r="D791" s="425">
        <v>4533600.9466027655</v>
      </c>
      <c r="E791" s="426">
        <v>0.12348453113625468</v>
      </c>
    </row>
    <row r="792" spans="2:5" x14ac:dyDescent="0.3">
      <c r="B792" s="424">
        <v>785</v>
      </c>
      <c r="C792" s="425">
        <v>11670327.739163922</v>
      </c>
      <c r="D792" s="425">
        <v>15617531.079523947</v>
      </c>
      <c r="E792" s="426">
        <v>0.28048905940346791</v>
      </c>
    </row>
    <row r="793" spans="2:5" x14ac:dyDescent="0.3">
      <c r="B793" s="424">
        <v>786</v>
      </c>
      <c r="C793" s="425">
        <v>16975625.99125652</v>
      </c>
      <c r="D793" s="425">
        <v>22717216.897270836</v>
      </c>
      <c r="E793" s="426">
        <v>0.34366875403766217</v>
      </c>
    </row>
    <row r="794" spans="2:5" x14ac:dyDescent="0.3">
      <c r="B794" s="424">
        <v>787</v>
      </c>
      <c r="C794" s="425">
        <v>8613863.8877407033</v>
      </c>
      <c r="D794" s="425">
        <v>11527292.976539588</v>
      </c>
      <c r="E794" s="426">
        <v>0.22293687677962581</v>
      </c>
    </row>
    <row r="795" spans="2:5" x14ac:dyDescent="0.3">
      <c r="B795" s="424">
        <v>788</v>
      </c>
      <c r="C795" s="425">
        <v>9675225.5714199729</v>
      </c>
      <c r="D795" s="425">
        <v>12947634.328723788</v>
      </c>
      <c r="E795" s="426">
        <v>0.23214874908070726</v>
      </c>
    </row>
    <row r="796" spans="2:5" x14ac:dyDescent="0.3">
      <c r="B796" s="424">
        <v>789</v>
      </c>
      <c r="C796" s="425">
        <v>11973180.857759312</v>
      </c>
      <c r="D796" s="425">
        <v>16022816.869084224</v>
      </c>
      <c r="E796" s="426">
        <v>0.26306255067310058</v>
      </c>
    </row>
    <row r="797" spans="2:5" x14ac:dyDescent="0.3">
      <c r="B797" s="424">
        <v>790</v>
      </c>
      <c r="C797" s="425">
        <v>12962961.486037347</v>
      </c>
      <c r="D797" s="425">
        <v>17347366.622058891</v>
      </c>
      <c r="E797" s="426">
        <v>0.2809127004298051</v>
      </c>
    </row>
    <row r="798" spans="2:5" x14ac:dyDescent="0.3">
      <c r="B798" s="424">
        <v>791</v>
      </c>
      <c r="C798" s="425">
        <v>10481208.201954804</v>
      </c>
      <c r="D798" s="425">
        <v>14026220.900006831</v>
      </c>
      <c r="E798" s="426">
        <v>0.25064614148699116</v>
      </c>
    </row>
    <row r="799" spans="2:5" x14ac:dyDescent="0.3">
      <c r="B799" s="424">
        <v>792</v>
      </c>
      <c r="C799" s="425">
        <v>15321727.443460234</v>
      </c>
      <c r="D799" s="425">
        <v>20503927.557854351</v>
      </c>
      <c r="E799" s="426">
        <v>0.32865802171440106</v>
      </c>
    </row>
    <row r="800" spans="2:5" x14ac:dyDescent="0.3">
      <c r="B800" s="424">
        <v>793</v>
      </c>
      <c r="C800" s="425">
        <v>10457682.465080785</v>
      </c>
      <c r="D800" s="425">
        <v>13994738.157190129</v>
      </c>
      <c r="E800" s="426">
        <v>0.24962313228610555</v>
      </c>
    </row>
    <row r="801" spans="2:5" x14ac:dyDescent="0.3">
      <c r="B801" s="424">
        <v>794</v>
      </c>
      <c r="C801" s="425">
        <v>12762362.117791066</v>
      </c>
      <c r="D801" s="425">
        <v>17078919.416621316</v>
      </c>
      <c r="E801" s="426">
        <v>0.28960840670998445</v>
      </c>
    </row>
    <row r="802" spans="2:5" x14ac:dyDescent="0.3">
      <c r="B802" s="424">
        <v>795</v>
      </c>
      <c r="C802" s="425">
        <v>8264678.226022331</v>
      </c>
      <c r="D802" s="425">
        <v>11060003.792696882</v>
      </c>
      <c r="E802" s="426">
        <v>0.21636883294448062</v>
      </c>
    </row>
    <row r="803" spans="2:5" x14ac:dyDescent="0.3">
      <c r="B803" s="424">
        <v>796</v>
      </c>
      <c r="C803" s="425">
        <v>15084498.883843994</v>
      </c>
      <c r="D803" s="425">
        <v>20186462.231638692</v>
      </c>
      <c r="E803" s="426">
        <v>0.33831078442190443</v>
      </c>
    </row>
    <row r="804" spans="2:5" x14ac:dyDescent="0.3">
      <c r="B804" s="424">
        <v>797</v>
      </c>
      <c r="C804" s="425">
        <v>7938754.9339594338</v>
      </c>
      <c r="D804" s="425">
        <v>10623844.906922717</v>
      </c>
      <c r="E804" s="426">
        <v>0.20658121086227021</v>
      </c>
    </row>
    <row r="805" spans="2:5" x14ac:dyDescent="0.3">
      <c r="B805" s="424">
        <v>798</v>
      </c>
      <c r="C805" s="425">
        <v>12078964.859144453</v>
      </c>
      <c r="D805" s="425">
        <v>16164379.725438694</v>
      </c>
      <c r="E805" s="426">
        <v>0.28402798270418628</v>
      </c>
    </row>
    <row r="806" spans="2:5" x14ac:dyDescent="0.3">
      <c r="B806" s="424">
        <v>799</v>
      </c>
      <c r="C806" s="425">
        <v>12897370.125355948</v>
      </c>
      <c r="D806" s="425">
        <v>17259590.585525453</v>
      </c>
      <c r="E806" s="426">
        <v>0.28710460927272541</v>
      </c>
    </row>
    <row r="807" spans="2:5" x14ac:dyDescent="0.3">
      <c r="B807" s="424">
        <v>800</v>
      </c>
      <c r="C807" s="425">
        <v>4887434.8523754664</v>
      </c>
      <c r="D807" s="425">
        <v>6540490.3283025315</v>
      </c>
      <c r="E807" s="426">
        <v>0.15535185720928624</v>
      </c>
    </row>
    <row r="808" spans="2:5" x14ac:dyDescent="0.3">
      <c r="B808" s="424">
        <v>801</v>
      </c>
      <c r="C808" s="425">
        <v>11379852.113250252</v>
      </c>
      <c r="D808" s="425">
        <v>15228809.167256905</v>
      </c>
      <c r="E808" s="426">
        <v>0.25740785302444968</v>
      </c>
    </row>
    <row r="809" spans="2:5" x14ac:dyDescent="0.3">
      <c r="B809" s="424">
        <v>802</v>
      </c>
      <c r="C809" s="425">
        <v>12765256.202202756</v>
      </c>
      <c r="D809" s="425">
        <v>17082792.354404774</v>
      </c>
      <c r="E809" s="426">
        <v>0.29239836952504228</v>
      </c>
    </row>
    <row r="810" spans="2:5" x14ac:dyDescent="0.3">
      <c r="B810" s="424">
        <v>803</v>
      </c>
      <c r="C810" s="425">
        <v>11923380.154932331</v>
      </c>
      <c r="D810" s="425">
        <v>15956172.294778703</v>
      </c>
      <c r="E810" s="426">
        <v>0.26509103651878596</v>
      </c>
    </row>
    <row r="811" spans="2:5" x14ac:dyDescent="0.3">
      <c r="B811" s="424">
        <v>804</v>
      </c>
      <c r="C811" s="425">
        <v>9477029.7154609077</v>
      </c>
      <c r="D811" s="425">
        <v>12682403.564905042</v>
      </c>
      <c r="E811" s="426">
        <v>0.2256211913818118</v>
      </c>
    </row>
    <row r="812" spans="2:5" x14ac:dyDescent="0.3">
      <c r="B812" s="424">
        <v>805</v>
      </c>
      <c r="C812" s="425">
        <v>5996964.1297455356</v>
      </c>
      <c r="D812" s="425">
        <v>8025290.7863752032</v>
      </c>
      <c r="E812" s="426">
        <v>0.16514775098221768</v>
      </c>
    </row>
    <row r="813" spans="2:5" x14ac:dyDescent="0.3">
      <c r="B813" s="424">
        <v>806</v>
      </c>
      <c r="C813" s="425">
        <v>11684391.716003302</v>
      </c>
      <c r="D813" s="425">
        <v>15636351.853053181</v>
      </c>
      <c r="E813" s="426">
        <v>0.26023806516409254</v>
      </c>
    </row>
    <row r="814" spans="2:5" x14ac:dyDescent="0.3">
      <c r="B814" s="424">
        <v>807</v>
      </c>
      <c r="C814" s="425">
        <v>11870788.187971115</v>
      </c>
      <c r="D814" s="425">
        <v>15885792.379414909</v>
      </c>
      <c r="E814" s="426">
        <v>0.26211849496033768</v>
      </c>
    </row>
    <row r="815" spans="2:5" x14ac:dyDescent="0.3">
      <c r="B815" s="424">
        <v>808</v>
      </c>
      <c r="C815" s="425">
        <v>5779095.1455627866</v>
      </c>
      <c r="D815" s="425">
        <v>7733732.9391761189</v>
      </c>
      <c r="E815" s="426">
        <v>0.16580822349572877</v>
      </c>
    </row>
    <row r="816" spans="2:5" x14ac:dyDescent="0.3">
      <c r="B816" s="424">
        <v>809</v>
      </c>
      <c r="C816" s="425">
        <v>8587798.5140662864</v>
      </c>
      <c r="D816" s="425">
        <v>11492411.626798782</v>
      </c>
      <c r="E816" s="426">
        <v>0.20920041700941949</v>
      </c>
    </row>
    <row r="817" spans="2:5" x14ac:dyDescent="0.3">
      <c r="B817" s="424">
        <v>810</v>
      </c>
      <c r="C817" s="425">
        <v>10178845.906279035</v>
      </c>
      <c r="D817" s="425">
        <v>13621591.942231663</v>
      </c>
      <c r="E817" s="426">
        <v>0.24643752825908938</v>
      </c>
    </row>
    <row r="818" spans="2:5" x14ac:dyDescent="0.3">
      <c r="B818" s="424">
        <v>811</v>
      </c>
      <c r="C818" s="425">
        <v>9883267.0877734311</v>
      </c>
      <c r="D818" s="425">
        <v>13226040.807110675</v>
      </c>
      <c r="E818" s="426">
        <v>0.23396369387686233</v>
      </c>
    </row>
    <row r="819" spans="2:5" x14ac:dyDescent="0.3">
      <c r="B819" s="424">
        <v>812</v>
      </c>
      <c r="C819" s="425">
        <v>13602289.052510019</v>
      </c>
      <c r="D819" s="425">
        <v>18202931.123977385</v>
      </c>
      <c r="E819" s="426">
        <v>0.30219391557113129</v>
      </c>
    </row>
    <row r="820" spans="2:5" x14ac:dyDescent="0.3">
      <c r="B820" s="424">
        <v>813</v>
      </c>
      <c r="C820" s="425">
        <v>8656566.4330348484</v>
      </c>
      <c r="D820" s="425">
        <v>11584438.614880836</v>
      </c>
      <c r="E820" s="426">
        <v>0.22222353187955357</v>
      </c>
    </row>
    <row r="821" spans="2:5" x14ac:dyDescent="0.3">
      <c r="B821" s="424">
        <v>814</v>
      </c>
      <c r="C821" s="425">
        <v>15769210.498669645</v>
      </c>
      <c r="D821" s="425">
        <v>21102760.827878177</v>
      </c>
      <c r="E821" s="426">
        <v>0.34348162233198853</v>
      </c>
    </row>
    <row r="822" spans="2:5" x14ac:dyDescent="0.3">
      <c r="B822" s="424">
        <v>815</v>
      </c>
      <c r="C822" s="425">
        <v>11642982.926896092</v>
      </c>
      <c r="D822" s="425">
        <v>15580937.552332466</v>
      </c>
      <c r="E822" s="426">
        <v>0.26471158577919129</v>
      </c>
    </row>
    <row r="823" spans="2:5" x14ac:dyDescent="0.3">
      <c r="B823" s="424">
        <v>816</v>
      </c>
      <c r="C823" s="425">
        <v>4600692.8627187368</v>
      </c>
      <c r="D823" s="425">
        <v>6156764.863571981</v>
      </c>
      <c r="E823" s="426">
        <v>0.14933901120438375</v>
      </c>
    </row>
    <row r="824" spans="2:5" x14ac:dyDescent="0.3">
      <c r="B824" s="424">
        <v>817</v>
      </c>
      <c r="C824" s="425">
        <v>7028190.5793203227</v>
      </c>
      <c r="D824" s="425">
        <v>9405304.3974938206</v>
      </c>
      <c r="E824" s="426">
        <v>0.18999816986428786</v>
      </c>
    </row>
    <row r="825" spans="2:5" x14ac:dyDescent="0.3">
      <c r="B825" s="424">
        <v>818</v>
      </c>
      <c r="C825" s="425">
        <v>12598873.359974418</v>
      </c>
      <c r="D825" s="425">
        <v>16860134.579261024</v>
      </c>
      <c r="E825" s="426">
        <v>0.28465524137972187</v>
      </c>
    </row>
    <row r="826" spans="2:5" x14ac:dyDescent="0.3">
      <c r="B826" s="424">
        <v>819</v>
      </c>
      <c r="C826" s="425">
        <v>7660899.8849637844</v>
      </c>
      <c r="D826" s="425">
        <v>10252012.173491437</v>
      </c>
      <c r="E826" s="426">
        <v>0.19801024921657029</v>
      </c>
    </row>
    <row r="827" spans="2:5" x14ac:dyDescent="0.3">
      <c r="B827" s="424">
        <v>820</v>
      </c>
      <c r="C827" s="425">
        <v>16762560.362128701</v>
      </c>
      <c r="D827" s="425">
        <v>22432087.022664554</v>
      </c>
      <c r="E827" s="426">
        <v>0.35535033689086304</v>
      </c>
    </row>
    <row r="828" spans="2:5" x14ac:dyDescent="0.3">
      <c r="B828" s="424">
        <v>821</v>
      </c>
      <c r="C828" s="425">
        <v>11315724.608511318</v>
      </c>
      <c r="D828" s="425">
        <v>15142992.100187598</v>
      </c>
      <c r="E828" s="426">
        <v>0.25725946821224244</v>
      </c>
    </row>
    <row r="829" spans="2:5" x14ac:dyDescent="0.3">
      <c r="B829" s="424">
        <v>822</v>
      </c>
      <c r="C829" s="425">
        <v>8693712.6571040601</v>
      </c>
      <c r="D829" s="425">
        <v>11634148.642041516</v>
      </c>
      <c r="E829" s="426">
        <v>0.21188733387868952</v>
      </c>
    </row>
    <row r="830" spans="2:5" x14ac:dyDescent="0.3">
      <c r="B830" s="424">
        <v>823</v>
      </c>
      <c r="C830" s="425">
        <v>11992564.782659583</v>
      </c>
      <c r="D830" s="425">
        <v>16048756.933180045</v>
      </c>
      <c r="E830" s="426">
        <v>0.28156629031253622</v>
      </c>
    </row>
    <row r="831" spans="2:5" x14ac:dyDescent="0.3">
      <c r="B831" s="424">
        <v>824</v>
      </c>
      <c r="C831" s="425">
        <v>9228695.2391852625</v>
      </c>
      <c r="D831" s="425">
        <v>12350076.016953073</v>
      </c>
      <c r="E831" s="426">
        <v>0.22514569334464851</v>
      </c>
    </row>
    <row r="832" spans="2:5" x14ac:dyDescent="0.3">
      <c r="B832" s="424">
        <v>825</v>
      </c>
      <c r="C832" s="425">
        <v>11940941.49816026</v>
      </c>
      <c r="D832" s="425">
        <v>15979673.33346333</v>
      </c>
      <c r="E832" s="426">
        <v>0.2855067631753101</v>
      </c>
    </row>
    <row r="833" spans="2:5" x14ac:dyDescent="0.3">
      <c r="B833" s="424">
        <v>826</v>
      </c>
      <c r="C833" s="425">
        <v>4726393.0124004539</v>
      </c>
      <c r="D833" s="425">
        <v>6324980.0189842042</v>
      </c>
      <c r="E833" s="426">
        <v>0.14839577054730024</v>
      </c>
    </row>
    <row r="834" spans="2:5" x14ac:dyDescent="0.3">
      <c r="B834" s="424">
        <v>827</v>
      </c>
      <c r="C834" s="425">
        <v>6355398.7907858416</v>
      </c>
      <c r="D834" s="425">
        <v>8504957.2176777273</v>
      </c>
      <c r="E834" s="426">
        <v>0.17714442812526521</v>
      </c>
    </row>
    <row r="835" spans="2:5" x14ac:dyDescent="0.3">
      <c r="B835" s="424">
        <v>828</v>
      </c>
      <c r="C835" s="425">
        <v>13043508.886724442</v>
      </c>
      <c r="D835" s="425">
        <v>17455157.213867556</v>
      </c>
      <c r="E835" s="426">
        <v>0.27962694201486005</v>
      </c>
    </row>
    <row r="836" spans="2:5" x14ac:dyDescent="0.3">
      <c r="B836" s="424">
        <v>829</v>
      </c>
      <c r="C836" s="425">
        <v>14736323.338629737</v>
      </c>
      <c r="D836" s="425">
        <v>19720524.811538149</v>
      </c>
      <c r="E836" s="426">
        <v>0.31349057871801667</v>
      </c>
    </row>
    <row r="837" spans="2:5" x14ac:dyDescent="0.3">
      <c r="B837" s="424">
        <v>830</v>
      </c>
      <c r="C837" s="425">
        <v>10631046.002548974</v>
      </c>
      <c r="D837" s="425">
        <v>14226737.677253278</v>
      </c>
      <c r="E837" s="426">
        <v>0.2512698072123194</v>
      </c>
    </row>
    <row r="838" spans="2:5" x14ac:dyDescent="0.3">
      <c r="B838" s="424">
        <v>831</v>
      </c>
      <c r="C838" s="425">
        <v>13032667.015007563</v>
      </c>
      <c r="D838" s="425">
        <v>17440648.343826972</v>
      </c>
      <c r="E838" s="426">
        <v>0.29020589908216632</v>
      </c>
    </row>
    <row r="839" spans="2:5" x14ac:dyDescent="0.3">
      <c r="B839" s="424">
        <v>832</v>
      </c>
      <c r="C839" s="425">
        <v>10667911.815854736</v>
      </c>
      <c r="D839" s="425">
        <v>14276072.451558074</v>
      </c>
      <c r="E839" s="426">
        <v>0.2508537478160715</v>
      </c>
    </row>
    <row r="840" spans="2:5" x14ac:dyDescent="0.3">
      <c r="B840" s="424">
        <v>833</v>
      </c>
      <c r="C840" s="425">
        <v>11639021.237736734</v>
      </c>
      <c r="D840" s="425">
        <v>15575635.918568913</v>
      </c>
      <c r="E840" s="426">
        <v>0.26905643657586498</v>
      </c>
    </row>
    <row r="841" spans="2:5" x14ac:dyDescent="0.3">
      <c r="B841" s="424">
        <v>834</v>
      </c>
      <c r="C841" s="425">
        <v>5608143.249913048</v>
      </c>
      <c r="D841" s="425">
        <v>7504960.7398784328</v>
      </c>
      <c r="E841" s="426">
        <v>0.16251705979370379</v>
      </c>
    </row>
    <row r="842" spans="2:5" x14ac:dyDescent="0.3">
      <c r="B842" s="424">
        <v>835</v>
      </c>
      <c r="C842" s="425">
        <v>9871029.7824941054</v>
      </c>
      <c r="D842" s="425">
        <v>13209664.532184981</v>
      </c>
      <c r="E842" s="426">
        <v>0.23037338124444751</v>
      </c>
    </row>
    <row r="843" spans="2:5" x14ac:dyDescent="0.3">
      <c r="B843" s="424">
        <v>836</v>
      </c>
      <c r="C843" s="425">
        <v>9330921.688846644</v>
      </c>
      <c r="D843" s="425">
        <v>12486878.066597173</v>
      </c>
      <c r="E843" s="426">
        <v>0.22383522266542721</v>
      </c>
    </row>
    <row r="844" spans="2:5" x14ac:dyDescent="0.3">
      <c r="B844" s="424">
        <v>837</v>
      </c>
      <c r="C844" s="425">
        <v>7075021.8268998526</v>
      </c>
      <c r="D844" s="425">
        <v>9467975.1708356664</v>
      </c>
      <c r="E844" s="426">
        <v>0.18374351296860558</v>
      </c>
    </row>
    <row r="845" spans="2:5" x14ac:dyDescent="0.3">
      <c r="B845" s="424">
        <v>838</v>
      </c>
      <c r="C845" s="425">
        <v>6795733.2336225323</v>
      </c>
      <c r="D845" s="425">
        <v>9094224.0317800324</v>
      </c>
      <c r="E845" s="426">
        <v>0.18298643599845832</v>
      </c>
    </row>
    <row r="846" spans="2:5" x14ac:dyDescent="0.3">
      <c r="B846" s="424">
        <v>839</v>
      </c>
      <c r="C846" s="425">
        <v>14165509.140133144</v>
      </c>
      <c r="D846" s="425">
        <v>18956646.651052762</v>
      </c>
      <c r="E846" s="426">
        <v>0.32295309869246869</v>
      </c>
    </row>
    <row r="847" spans="2:5" x14ac:dyDescent="0.3">
      <c r="B847" s="424">
        <v>840</v>
      </c>
      <c r="C847" s="425">
        <v>11205860.014347266</v>
      </c>
      <c r="D847" s="425">
        <v>14995968.490204621</v>
      </c>
      <c r="E847" s="426">
        <v>0.25471237225209986</v>
      </c>
    </row>
    <row r="848" spans="2:5" x14ac:dyDescent="0.3">
      <c r="B848" s="424">
        <v>841</v>
      </c>
      <c r="C848" s="425">
        <v>15713388.428413564</v>
      </c>
      <c r="D848" s="425">
        <v>21028058.305666905</v>
      </c>
      <c r="E848" s="426">
        <v>0.33423618199589811</v>
      </c>
    </row>
    <row r="849" spans="2:5" x14ac:dyDescent="0.3">
      <c r="B849" s="424">
        <v>842</v>
      </c>
      <c r="C849" s="425">
        <v>13288399.825435214</v>
      </c>
      <c r="D849" s="425">
        <v>17782876.531772785</v>
      </c>
      <c r="E849" s="426">
        <v>0.28954053300585669</v>
      </c>
    </row>
    <row r="850" spans="2:5" x14ac:dyDescent="0.3">
      <c r="B850" s="424">
        <v>843</v>
      </c>
      <c r="C850" s="425">
        <v>9351273.7143508419</v>
      </c>
      <c r="D850" s="425">
        <v>12514113.667682858</v>
      </c>
      <c r="E850" s="426">
        <v>0.22370382027074109</v>
      </c>
    </row>
    <row r="851" spans="2:5" x14ac:dyDescent="0.3">
      <c r="B851" s="424">
        <v>844</v>
      </c>
      <c r="C851" s="425">
        <v>14691140.113192275</v>
      </c>
      <c r="D851" s="425">
        <v>19660059.463579267</v>
      </c>
      <c r="E851" s="426">
        <v>0.31295639778439854</v>
      </c>
    </row>
    <row r="852" spans="2:5" x14ac:dyDescent="0.3">
      <c r="B852" s="424">
        <v>845</v>
      </c>
      <c r="C852" s="425">
        <v>6236863.5616330281</v>
      </c>
      <c r="D852" s="425">
        <v>8346330.3421787554</v>
      </c>
      <c r="E852" s="426">
        <v>0.17271387521719461</v>
      </c>
    </row>
    <row r="853" spans="2:5" x14ac:dyDescent="0.3">
      <c r="B853" s="424">
        <v>846</v>
      </c>
      <c r="C853" s="425">
        <v>9990984.4029413275</v>
      </c>
      <c r="D853" s="425">
        <v>13370190.873418754</v>
      </c>
      <c r="E853" s="426">
        <v>0.23811747116606385</v>
      </c>
    </row>
    <row r="854" spans="2:5" x14ac:dyDescent="0.3">
      <c r="B854" s="424">
        <v>847</v>
      </c>
      <c r="C854" s="425">
        <v>5530265.5477760732</v>
      </c>
      <c r="D854" s="425">
        <v>7400742.8069540188</v>
      </c>
      <c r="E854" s="426">
        <v>0.16154328662409956</v>
      </c>
    </row>
    <row r="855" spans="2:5" x14ac:dyDescent="0.3">
      <c r="B855" s="424">
        <v>848</v>
      </c>
      <c r="C855" s="425">
        <v>8179296.1741615497</v>
      </c>
      <c r="D855" s="425">
        <v>10945743.347028814</v>
      </c>
      <c r="E855" s="426">
        <v>0.20439040388241536</v>
      </c>
    </row>
    <row r="856" spans="2:5" x14ac:dyDescent="0.3">
      <c r="B856" s="424">
        <v>849</v>
      </c>
      <c r="C856" s="425">
        <v>14148871.415863112</v>
      </c>
      <c r="D856" s="425">
        <v>18934381.62288155</v>
      </c>
      <c r="E856" s="426">
        <v>0.31013190293586623</v>
      </c>
    </row>
    <row r="857" spans="2:5" x14ac:dyDescent="0.3">
      <c r="B857" s="424">
        <v>850</v>
      </c>
      <c r="C857" s="425">
        <v>8178440.5963389054</v>
      </c>
      <c r="D857" s="425">
        <v>10944598.390902923</v>
      </c>
      <c r="E857" s="426">
        <v>0.21138217644742086</v>
      </c>
    </row>
    <row r="858" spans="2:5" x14ac:dyDescent="0.3">
      <c r="B858" s="424">
        <v>851</v>
      </c>
      <c r="C858" s="425">
        <v>4017471.9509726577</v>
      </c>
      <c r="D858" s="425">
        <v>5376283.7220821856</v>
      </c>
      <c r="E858" s="426">
        <v>0.13644087668977001</v>
      </c>
    </row>
    <row r="859" spans="2:5" x14ac:dyDescent="0.3">
      <c r="B859" s="424">
        <v>852</v>
      </c>
      <c r="C859" s="425">
        <v>10050819.788753511</v>
      </c>
      <c r="D859" s="425">
        <v>13450264.117158182</v>
      </c>
      <c r="E859" s="426">
        <v>0.24633454835385415</v>
      </c>
    </row>
    <row r="860" spans="2:5" x14ac:dyDescent="0.3">
      <c r="B860" s="424">
        <v>853</v>
      </c>
      <c r="C860" s="425">
        <v>14395050.872650919</v>
      </c>
      <c r="D860" s="425">
        <v>19263825.268634669</v>
      </c>
      <c r="E860" s="426">
        <v>0.32175920512176104</v>
      </c>
    </row>
    <row r="861" spans="2:5" x14ac:dyDescent="0.3">
      <c r="B861" s="424">
        <v>854</v>
      </c>
      <c r="C861" s="425">
        <v>8431090.9158222899</v>
      </c>
      <c r="D861" s="425">
        <v>11282701.510624401</v>
      </c>
      <c r="E861" s="426">
        <v>0.20896473654779335</v>
      </c>
    </row>
    <row r="862" spans="2:5" x14ac:dyDescent="0.3">
      <c r="B862" s="424">
        <v>855</v>
      </c>
      <c r="C862" s="425">
        <v>12988981.697272869</v>
      </c>
      <c r="D862" s="425">
        <v>17382187.534268819</v>
      </c>
      <c r="E862" s="426">
        <v>0.29700977099912551</v>
      </c>
    </row>
    <row r="863" spans="2:5" x14ac:dyDescent="0.3">
      <c r="B863" s="424">
        <v>856</v>
      </c>
      <c r="C863" s="425">
        <v>12274460.387054332</v>
      </c>
      <c r="D863" s="425">
        <v>16425996.841194108</v>
      </c>
      <c r="E863" s="426">
        <v>0.28252105358193957</v>
      </c>
    </row>
    <row r="864" spans="2:5" x14ac:dyDescent="0.3">
      <c r="B864" s="424">
        <v>857</v>
      </c>
      <c r="C864" s="425">
        <v>9665939.3640997801</v>
      </c>
      <c r="D864" s="425">
        <v>12935207.288569009</v>
      </c>
      <c r="E864" s="426">
        <v>0.23588001656685376</v>
      </c>
    </row>
    <row r="865" spans="2:5" x14ac:dyDescent="0.3">
      <c r="B865" s="424">
        <v>858</v>
      </c>
      <c r="C865" s="425">
        <v>15096868.555051468</v>
      </c>
      <c r="D865" s="425">
        <v>20203015.642035037</v>
      </c>
      <c r="E865" s="426">
        <v>0.32267918570826981</v>
      </c>
    </row>
    <row r="866" spans="2:5" x14ac:dyDescent="0.3">
      <c r="B866" s="424">
        <v>859</v>
      </c>
      <c r="C866" s="425">
        <v>11066040.946394812</v>
      </c>
      <c r="D866" s="425">
        <v>14808859.037234453</v>
      </c>
      <c r="E866" s="426">
        <v>0.2589024381848215</v>
      </c>
    </row>
    <row r="867" spans="2:5" x14ac:dyDescent="0.3">
      <c r="B867" s="424">
        <v>860</v>
      </c>
      <c r="C867" s="425">
        <v>5579172.5794661865</v>
      </c>
      <c r="D867" s="425">
        <v>7466191.4476862224</v>
      </c>
      <c r="E867" s="426">
        <v>0.16045549801018799</v>
      </c>
    </row>
    <row r="868" spans="2:5" x14ac:dyDescent="0.3">
      <c r="B868" s="424">
        <v>861</v>
      </c>
      <c r="C868" s="425">
        <v>11860009.74749523</v>
      </c>
      <c r="D868" s="425">
        <v>15871368.394683441</v>
      </c>
      <c r="E868" s="426">
        <v>0.26651619468969834</v>
      </c>
    </row>
    <row r="869" spans="2:5" x14ac:dyDescent="0.3">
      <c r="B869" s="424">
        <v>862</v>
      </c>
      <c r="C869" s="425">
        <v>10919724.622783881</v>
      </c>
      <c r="D869" s="425">
        <v>14613054.790557906</v>
      </c>
      <c r="E869" s="426">
        <v>0.25817946232467714</v>
      </c>
    </row>
    <row r="870" spans="2:5" x14ac:dyDescent="0.3">
      <c r="B870" s="424">
        <v>863</v>
      </c>
      <c r="C870" s="425">
        <v>12203377.438643264</v>
      </c>
      <c r="D870" s="425">
        <v>16330871.821499197</v>
      </c>
      <c r="E870" s="426">
        <v>0.27976205353331918</v>
      </c>
    </row>
    <row r="871" spans="2:5" x14ac:dyDescent="0.3">
      <c r="B871" s="424">
        <v>864</v>
      </c>
      <c r="C871" s="425">
        <v>6321525.2309051454</v>
      </c>
      <c r="D871" s="425">
        <v>8459626.7534410153</v>
      </c>
      <c r="E871" s="426">
        <v>0.17155314640030905</v>
      </c>
    </row>
    <row r="872" spans="2:5" x14ac:dyDescent="0.3">
      <c r="B872" s="424">
        <v>865</v>
      </c>
      <c r="C872" s="425">
        <v>5712961.5866685733</v>
      </c>
      <c r="D872" s="425">
        <v>7645231.3191261664</v>
      </c>
      <c r="E872" s="426">
        <v>0.16704425274297763</v>
      </c>
    </row>
    <row r="873" spans="2:5" x14ac:dyDescent="0.3">
      <c r="B873" s="424">
        <v>866</v>
      </c>
      <c r="C873" s="425">
        <v>15034378.298267696</v>
      </c>
      <c r="D873" s="425">
        <v>20119389.582056198</v>
      </c>
      <c r="E873" s="426">
        <v>0.3187100776898808</v>
      </c>
    </row>
    <row r="874" spans="2:5" x14ac:dyDescent="0.3">
      <c r="B874" s="424">
        <v>867</v>
      </c>
      <c r="C874" s="425">
        <v>6876300.6357294656</v>
      </c>
      <c r="D874" s="425">
        <v>9202041.3900003154</v>
      </c>
      <c r="E874" s="426">
        <v>0.18650232120347487</v>
      </c>
    </row>
    <row r="875" spans="2:5" x14ac:dyDescent="0.3">
      <c r="B875" s="424">
        <v>868</v>
      </c>
      <c r="C875" s="425">
        <v>6941822.4920319393</v>
      </c>
      <c r="D875" s="425">
        <v>9289724.4139961172</v>
      </c>
      <c r="E875" s="426">
        <v>0.18239003794462882</v>
      </c>
    </row>
    <row r="876" spans="2:5" x14ac:dyDescent="0.3">
      <c r="B876" s="424">
        <v>869</v>
      </c>
      <c r="C876" s="425">
        <v>6537122.4181327708</v>
      </c>
      <c r="D876" s="425">
        <v>8748144.4238476399</v>
      </c>
      <c r="E876" s="426">
        <v>0.17671377400156696</v>
      </c>
    </row>
    <row r="877" spans="2:5" x14ac:dyDescent="0.3">
      <c r="B877" s="424">
        <v>870</v>
      </c>
      <c r="C877" s="425">
        <v>8016280.4111521952</v>
      </c>
      <c r="D877" s="425">
        <v>10727591.483417716</v>
      </c>
      <c r="E877" s="426">
        <v>0.20383813832788</v>
      </c>
    </row>
    <row r="878" spans="2:5" x14ac:dyDescent="0.3">
      <c r="B878" s="424">
        <v>871</v>
      </c>
      <c r="C878" s="425">
        <v>12290970.98845965</v>
      </c>
      <c r="D878" s="425">
        <v>16448091.750296265</v>
      </c>
      <c r="E878" s="426">
        <v>0.27283822021711979</v>
      </c>
    </row>
    <row r="879" spans="2:5" x14ac:dyDescent="0.3">
      <c r="B879" s="424">
        <v>872</v>
      </c>
      <c r="C879" s="425">
        <v>12624108.932588182</v>
      </c>
      <c r="D879" s="425">
        <v>16893905.467998147</v>
      </c>
      <c r="E879" s="426">
        <v>0.27721469396874632</v>
      </c>
    </row>
    <row r="880" spans="2:5" x14ac:dyDescent="0.3">
      <c r="B880" s="424">
        <v>873</v>
      </c>
      <c r="C880" s="425">
        <v>6890681.7958251014</v>
      </c>
      <c r="D880" s="425">
        <v>9221286.6262758542</v>
      </c>
      <c r="E880" s="426">
        <v>0.18297093225487071</v>
      </c>
    </row>
    <row r="881" spans="2:5" x14ac:dyDescent="0.3">
      <c r="B881" s="424">
        <v>874</v>
      </c>
      <c r="C881" s="425">
        <v>10786904.578793602</v>
      </c>
      <c r="D881" s="425">
        <v>14435311.610472158</v>
      </c>
      <c r="E881" s="426">
        <v>0.25376917454295889</v>
      </c>
    </row>
    <row r="882" spans="2:5" x14ac:dyDescent="0.3">
      <c r="B882" s="424">
        <v>875</v>
      </c>
      <c r="C882" s="425">
        <v>4280189.0801774301</v>
      </c>
      <c r="D882" s="425">
        <v>5727858.504057656</v>
      </c>
      <c r="E882" s="426">
        <v>0.13955823243722887</v>
      </c>
    </row>
    <row r="883" spans="2:5" x14ac:dyDescent="0.3">
      <c r="B883" s="424">
        <v>876</v>
      </c>
      <c r="C883" s="425">
        <v>4779386.3884563111</v>
      </c>
      <c r="D883" s="425">
        <v>6395897.1102655269</v>
      </c>
      <c r="E883" s="426">
        <v>0.14739797324411574</v>
      </c>
    </row>
    <row r="884" spans="2:5" x14ac:dyDescent="0.3">
      <c r="B884" s="424">
        <v>877</v>
      </c>
      <c r="C884" s="425">
        <v>10534776.929493673</v>
      </c>
      <c r="D884" s="425">
        <v>14097907.941358831</v>
      </c>
      <c r="E884" s="426">
        <v>0.23994674756068668</v>
      </c>
    </row>
    <row r="885" spans="2:5" x14ac:dyDescent="0.3">
      <c r="B885" s="424">
        <v>878</v>
      </c>
      <c r="C885" s="425">
        <v>11405288.076092547</v>
      </c>
      <c r="D885" s="425">
        <v>15262848.223323347</v>
      </c>
      <c r="E885" s="426">
        <v>0.26330161573156885</v>
      </c>
    </row>
    <row r="886" spans="2:5" x14ac:dyDescent="0.3">
      <c r="B886" s="424">
        <v>879</v>
      </c>
      <c r="C886" s="425">
        <v>13500759.231368382</v>
      </c>
      <c r="D886" s="425">
        <v>18067061.320436493</v>
      </c>
      <c r="E886" s="426">
        <v>0.31418592054435424</v>
      </c>
    </row>
    <row r="887" spans="2:5" x14ac:dyDescent="0.3">
      <c r="B887" s="424">
        <v>880</v>
      </c>
      <c r="C887" s="425">
        <v>10649390.442549555</v>
      </c>
      <c r="D887" s="425">
        <v>14251286.676068803</v>
      </c>
      <c r="E887" s="426">
        <v>0.25438640209965313</v>
      </c>
    </row>
    <row r="888" spans="2:5" x14ac:dyDescent="0.3">
      <c r="B888" s="424">
        <v>881</v>
      </c>
      <c r="C888" s="425">
        <v>11383151.787809677</v>
      </c>
      <c r="D888" s="425">
        <v>15233224.876150085</v>
      </c>
      <c r="E888" s="426">
        <v>0.27051099346038709</v>
      </c>
    </row>
    <row r="889" spans="2:5" x14ac:dyDescent="0.3">
      <c r="B889" s="424">
        <v>882</v>
      </c>
      <c r="C889" s="425">
        <v>7143204.9456051011</v>
      </c>
      <c r="D889" s="425">
        <v>9559219.5642475672</v>
      </c>
      <c r="E889" s="426">
        <v>0.19924764019370089</v>
      </c>
    </row>
    <row r="890" spans="2:5" x14ac:dyDescent="0.3">
      <c r="B890" s="424">
        <v>883</v>
      </c>
      <c r="C890" s="425">
        <v>13378093.668844493</v>
      </c>
      <c r="D890" s="425">
        <v>17902907.127176333</v>
      </c>
      <c r="E890" s="426">
        <v>0.30588066592563123</v>
      </c>
    </row>
    <row r="891" spans="2:5" x14ac:dyDescent="0.3">
      <c r="B891" s="424">
        <v>884</v>
      </c>
      <c r="C891" s="425">
        <v>8204622.2399882637</v>
      </c>
      <c r="D891" s="425">
        <v>10979635.336098105</v>
      </c>
      <c r="E891" s="426">
        <v>0.20760106032681303</v>
      </c>
    </row>
    <row r="892" spans="2:5" x14ac:dyDescent="0.3">
      <c r="B892" s="424">
        <v>885</v>
      </c>
      <c r="C892" s="425">
        <v>10681256.527855214</v>
      </c>
      <c r="D892" s="425">
        <v>14293930.686482819</v>
      </c>
      <c r="E892" s="426">
        <v>0.23995576448054212</v>
      </c>
    </row>
    <row r="893" spans="2:5" x14ac:dyDescent="0.3">
      <c r="B893" s="424">
        <v>886</v>
      </c>
      <c r="C893" s="425">
        <v>8080415.628882166</v>
      </c>
      <c r="D893" s="425">
        <v>10813418.872208908</v>
      </c>
      <c r="E893" s="426">
        <v>0.20941598342291012</v>
      </c>
    </row>
    <row r="894" spans="2:5" x14ac:dyDescent="0.3">
      <c r="B894" s="424">
        <v>887</v>
      </c>
      <c r="C894" s="425">
        <v>10422077.616764642</v>
      </c>
      <c r="D894" s="425">
        <v>13947090.838486901</v>
      </c>
      <c r="E894" s="426">
        <v>0.24073681373503009</v>
      </c>
    </row>
    <row r="895" spans="2:5" x14ac:dyDescent="0.3">
      <c r="B895" s="424">
        <v>888</v>
      </c>
      <c r="C895" s="425">
        <v>12417762.412031699</v>
      </c>
      <c r="D895" s="425">
        <v>16617767.276340695</v>
      </c>
      <c r="E895" s="426">
        <v>0.27501045023424253</v>
      </c>
    </row>
    <row r="896" spans="2:5" x14ac:dyDescent="0.3">
      <c r="B896" s="424">
        <v>889</v>
      </c>
      <c r="C896" s="425">
        <v>4940935.1928233579</v>
      </c>
      <c r="D896" s="425">
        <v>6612085.8523002081</v>
      </c>
      <c r="E896" s="426">
        <v>0.15225244725072451</v>
      </c>
    </row>
    <row r="897" spans="2:5" x14ac:dyDescent="0.3">
      <c r="B897" s="424">
        <v>890</v>
      </c>
      <c r="C897" s="425">
        <v>10203956.114595488</v>
      </c>
      <c r="D897" s="425">
        <v>13655195.065259604</v>
      </c>
      <c r="E897" s="426">
        <v>0.23842115019946664</v>
      </c>
    </row>
    <row r="898" spans="2:5" x14ac:dyDescent="0.3">
      <c r="B898" s="424">
        <v>891</v>
      </c>
      <c r="C898" s="425">
        <v>15402026.956306385</v>
      </c>
      <c r="D898" s="425">
        <v>20611386.41981389</v>
      </c>
      <c r="E898" s="426">
        <v>0.34528383845323085</v>
      </c>
    </row>
    <row r="899" spans="2:5" x14ac:dyDescent="0.3">
      <c r="B899" s="424">
        <v>892</v>
      </c>
      <c r="C899" s="425">
        <v>10643896.907461625</v>
      </c>
      <c r="D899" s="425">
        <v>14243935.086902691</v>
      </c>
      <c r="E899" s="426">
        <v>0.25683638002564635</v>
      </c>
    </row>
    <row r="900" spans="2:5" x14ac:dyDescent="0.3">
      <c r="B900" s="424">
        <v>893</v>
      </c>
      <c r="C900" s="425">
        <v>6662445.3206884004</v>
      </c>
      <c r="D900" s="425">
        <v>8915854.737506656</v>
      </c>
      <c r="E900" s="426">
        <v>0.18359795753363795</v>
      </c>
    </row>
    <row r="901" spans="2:5" x14ac:dyDescent="0.3">
      <c r="B901" s="424">
        <v>894</v>
      </c>
      <c r="C901" s="425">
        <v>11890991.743941789</v>
      </c>
      <c r="D901" s="425">
        <v>15912829.294773338</v>
      </c>
      <c r="E901" s="426">
        <v>0.27847829176555816</v>
      </c>
    </row>
    <row r="902" spans="2:5" x14ac:dyDescent="0.3">
      <c r="B902" s="424">
        <v>895</v>
      </c>
      <c r="C902" s="425">
        <v>9917289.1673134193</v>
      </c>
      <c r="D902" s="425">
        <v>13271570.024154229</v>
      </c>
      <c r="E902" s="426">
        <v>0.23547650351961158</v>
      </c>
    </row>
    <row r="903" spans="2:5" x14ac:dyDescent="0.3">
      <c r="B903" s="424">
        <v>896</v>
      </c>
      <c r="C903" s="425">
        <v>9539142.5225409009</v>
      </c>
      <c r="D903" s="425">
        <v>12765524.512036024</v>
      </c>
      <c r="E903" s="426">
        <v>0.22303609291243864</v>
      </c>
    </row>
    <row r="904" spans="2:5" x14ac:dyDescent="0.3">
      <c r="B904" s="424">
        <v>897</v>
      </c>
      <c r="C904" s="425">
        <v>14238356.311389014</v>
      </c>
      <c r="D904" s="425">
        <v>19054132.598883174</v>
      </c>
      <c r="E904" s="426">
        <v>0.29213377503529525</v>
      </c>
    </row>
    <row r="905" spans="2:5" x14ac:dyDescent="0.3">
      <c r="B905" s="424">
        <v>898</v>
      </c>
      <c r="C905" s="425">
        <v>8904322.533677591</v>
      </c>
      <c r="D905" s="425">
        <v>11915992.165767394</v>
      </c>
      <c r="E905" s="426">
        <v>0.22251614915009177</v>
      </c>
    </row>
    <row r="906" spans="2:5" x14ac:dyDescent="0.3">
      <c r="B906" s="424">
        <v>899</v>
      </c>
      <c r="C906" s="425">
        <v>8148496.999316847</v>
      </c>
      <c r="D906" s="425">
        <v>10904527.103482658</v>
      </c>
      <c r="E906" s="426">
        <v>0.2179913321008633</v>
      </c>
    </row>
    <row r="907" spans="2:5" x14ac:dyDescent="0.3">
      <c r="B907" s="424">
        <v>900</v>
      </c>
      <c r="C907" s="425">
        <v>14975465.605751578</v>
      </c>
      <c r="D907" s="425">
        <v>20040551.110085845</v>
      </c>
      <c r="E907" s="426">
        <v>0.31997097480814496</v>
      </c>
    </row>
    <row r="908" spans="2:5" x14ac:dyDescent="0.3">
      <c r="B908" s="424">
        <v>901</v>
      </c>
      <c r="C908" s="425">
        <v>10391804.958058512</v>
      </c>
      <c r="D908" s="425">
        <v>13906579.192304401</v>
      </c>
      <c r="E908" s="426">
        <v>0.24922934185533419</v>
      </c>
    </row>
    <row r="909" spans="2:5" x14ac:dyDescent="0.3">
      <c r="B909" s="424">
        <v>902</v>
      </c>
      <c r="C909" s="425">
        <v>9392648.500749277</v>
      </c>
      <c r="D909" s="425">
        <v>12569482.465108979</v>
      </c>
      <c r="E909" s="426">
        <v>0.23560936423307033</v>
      </c>
    </row>
    <row r="910" spans="2:5" x14ac:dyDescent="0.3">
      <c r="B910" s="424">
        <v>903</v>
      </c>
      <c r="C910" s="425">
        <v>2985789.5937482603</v>
      </c>
      <c r="D910" s="425">
        <v>3995660.0036858367</v>
      </c>
      <c r="E910" s="426">
        <v>0.11279704561515724</v>
      </c>
    </row>
    <row r="911" spans="2:5" x14ac:dyDescent="0.3">
      <c r="B911" s="424">
        <v>904</v>
      </c>
      <c r="C911" s="425">
        <v>6379983.7200501263</v>
      </c>
      <c r="D911" s="425">
        <v>8537857.3988426793</v>
      </c>
      <c r="E911" s="426">
        <v>0.17214331237105851</v>
      </c>
    </row>
    <row r="912" spans="2:5" x14ac:dyDescent="0.3">
      <c r="B912" s="424">
        <v>905</v>
      </c>
      <c r="C912" s="425">
        <v>9002232.9969998784</v>
      </c>
      <c r="D912" s="425">
        <v>12047018.452099945</v>
      </c>
      <c r="E912" s="426">
        <v>0.22144024884586511</v>
      </c>
    </row>
    <row r="913" spans="2:5" x14ac:dyDescent="0.3">
      <c r="B913" s="424">
        <v>906</v>
      </c>
      <c r="C913" s="425">
        <v>6364034.3087050151</v>
      </c>
      <c r="D913" s="425">
        <v>8516513.4886329882</v>
      </c>
      <c r="E913" s="426">
        <v>0.18283415506557987</v>
      </c>
    </row>
    <row r="914" spans="2:5" x14ac:dyDescent="0.3">
      <c r="B914" s="424">
        <v>907</v>
      </c>
      <c r="C914" s="425">
        <v>11019625.974569958</v>
      </c>
      <c r="D914" s="425">
        <v>14746745.334754851</v>
      </c>
      <c r="E914" s="426">
        <v>0.26784555006299415</v>
      </c>
    </row>
    <row r="915" spans="2:5" x14ac:dyDescent="0.3">
      <c r="B915" s="424">
        <v>908</v>
      </c>
      <c r="C915" s="425">
        <v>7660588.5481119379</v>
      </c>
      <c r="D915" s="425">
        <v>10251595.534553047</v>
      </c>
      <c r="E915" s="426">
        <v>0.19765062383720511</v>
      </c>
    </row>
    <row r="916" spans="2:5" x14ac:dyDescent="0.3">
      <c r="B916" s="424">
        <v>909</v>
      </c>
      <c r="C916" s="425">
        <v>5689895.6042994633</v>
      </c>
      <c r="D916" s="425">
        <v>7614363.8315473534</v>
      </c>
      <c r="E916" s="426">
        <v>0.16656031459203091</v>
      </c>
    </row>
    <row r="917" spans="2:5" x14ac:dyDescent="0.3">
      <c r="B917" s="424">
        <v>910</v>
      </c>
      <c r="C917" s="425">
        <v>12964038.809109097</v>
      </c>
      <c r="D917" s="425">
        <v>17348808.323348843</v>
      </c>
      <c r="E917" s="426">
        <v>0.28966329453052708</v>
      </c>
    </row>
    <row r="918" spans="2:5" x14ac:dyDescent="0.3">
      <c r="B918" s="424">
        <v>911</v>
      </c>
      <c r="C918" s="425">
        <v>8911956.2957009114</v>
      </c>
      <c r="D918" s="425">
        <v>11926207.861360313</v>
      </c>
      <c r="E918" s="426">
        <v>0.22534249629790915</v>
      </c>
    </row>
    <row r="919" spans="2:5" x14ac:dyDescent="0.3">
      <c r="B919" s="424">
        <v>912</v>
      </c>
      <c r="C919" s="425">
        <v>12125556.328984696</v>
      </c>
      <c r="D919" s="425">
        <v>16226729.622076888</v>
      </c>
      <c r="E919" s="426">
        <v>0.28239067519707373</v>
      </c>
    </row>
    <row r="920" spans="2:5" x14ac:dyDescent="0.3">
      <c r="B920" s="424">
        <v>913</v>
      </c>
      <c r="C920" s="425">
        <v>11760777.7338713</v>
      </c>
      <c r="D920" s="425">
        <v>15738573.575935146</v>
      </c>
      <c r="E920" s="426">
        <v>0.27544428244042152</v>
      </c>
    </row>
    <row r="921" spans="2:5" x14ac:dyDescent="0.3">
      <c r="B921" s="424">
        <v>914</v>
      </c>
      <c r="C921" s="425">
        <v>11008868.431227276</v>
      </c>
      <c r="D921" s="425">
        <v>14732349.315101532</v>
      </c>
      <c r="E921" s="426">
        <v>0.26587379889064677</v>
      </c>
    </row>
    <row r="922" spans="2:5" x14ac:dyDescent="0.3">
      <c r="B922" s="424">
        <v>915</v>
      </c>
      <c r="C922" s="425">
        <v>14417558.966624439</v>
      </c>
      <c r="D922" s="425">
        <v>19293946.175693057</v>
      </c>
      <c r="E922" s="426">
        <v>0.30689702233975469</v>
      </c>
    </row>
    <row r="923" spans="2:5" x14ac:dyDescent="0.3">
      <c r="B923" s="424">
        <v>916</v>
      </c>
      <c r="C923" s="425">
        <v>5520686.069003202</v>
      </c>
      <c r="D923" s="425">
        <v>7387923.3034400865</v>
      </c>
      <c r="E923" s="426">
        <v>0.15515685789884781</v>
      </c>
    </row>
    <row r="924" spans="2:5" x14ac:dyDescent="0.3">
      <c r="B924" s="424">
        <v>917</v>
      </c>
      <c r="C924" s="425">
        <v>9427125.7036373056</v>
      </c>
      <c r="D924" s="425">
        <v>12615620.739857845</v>
      </c>
      <c r="E924" s="426">
        <v>0.21881003699358681</v>
      </c>
    </row>
    <row r="925" spans="2:5" x14ac:dyDescent="0.3">
      <c r="B925" s="424">
        <v>918</v>
      </c>
      <c r="C925" s="425">
        <v>5146838.7382613495</v>
      </c>
      <c r="D925" s="425">
        <v>6887631.2433238523</v>
      </c>
      <c r="E925" s="426">
        <v>0.15503541965574419</v>
      </c>
    </row>
    <row r="926" spans="2:5" x14ac:dyDescent="0.3">
      <c r="B926" s="424">
        <v>919</v>
      </c>
      <c r="C926" s="425">
        <v>9655866.8969013076</v>
      </c>
      <c r="D926" s="425">
        <v>12921728.055334477</v>
      </c>
      <c r="E926" s="426">
        <v>0.23640723542942665</v>
      </c>
    </row>
    <row r="927" spans="2:5" x14ac:dyDescent="0.3">
      <c r="B927" s="424">
        <v>920</v>
      </c>
      <c r="C927" s="425">
        <v>11546436.742703054</v>
      </c>
      <c r="D927" s="425">
        <v>15451736.979225663</v>
      </c>
      <c r="E927" s="426">
        <v>0.26059894260234695</v>
      </c>
    </row>
    <row r="928" spans="2:5" x14ac:dyDescent="0.3">
      <c r="B928" s="424">
        <v>921</v>
      </c>
      <c r="C928" s="425">
        <v>14349527.836589772</v>
      </c>
      <c r="D928" s="425">
        <v>19202905.177407634</v>
      </c>
      <c r="E928" s="426">
        <v>0.30490162236723606</v>
      </c>
    </row>
    <row r="929" spans="2:5" x14ac:dyDescent="0.3">
      <c r="B929" s="424">
        <v>922</v>
      </c>
      <c r="C929" s="425">
        <v>5272727.0297740418</v>
      </c>
      <c r="D929" s="425">
        <v>7056098.1749465019</v>
      </c>
      <c r="E929" s="426">
        <v>0.16170373724427312</v>
      </c>
    </row>
    <row r="930" spans="2:5" x14ac:dyDescent="0.3">
      <c r="B930" s="424">
        <v>923</v>
      </c>
      <c r="C930" s="425">
        <v>7809421.9537774324</v>
      </c>
      <c r="D930" s="425">
        <v>10450768.20481593</v>
      </c>
      <c r="E930" s="426">
        <v>0.19928245418613111</v>
      </c>
    </row>
    <row r="931" spans="2:5" x14ac:dyDescent="0.3">
      <c r="B931" s="424">
        <v>924</v>
      </c>
      <c r="C931" s="425">
        <v>14242192.184622196</v>
      </c>
      <c r="D931" s="425">
        <v>19059265.862556253</v>
      </c>
      <c r="E931" s="426">
        <v>0.31070943965855902</v>
      </c>
    </row>
    <row r="932" spans="2:5" x14ac:dyDescent="0.3">
      <c r="B932" s="424">
        <v>925</v>
      </c>
      <c r="C932" s="425">
        <v>7732274.2546272408</v>
      </c>
      <c r="D932" s="425">
        <v>10347527.180560153</v>
      </c>
      <c r="E932" s="426">
        <v>0.20369046617407593</v>
      </c>
    </row>
    <row r="933" spans="2:5" x14ac:dyDescent="0.3">
      <c r="B933" s="424">
        <v>926</v>
      </c>
      <c r="C933" s="425">
        <v>14371850.580725487</v>
      </c>
      <c r="D933" s="425">
        <v>19232778.044572268</v>
      </c>
      <c r="E933" s="426">
        <v>0.3075770468042931</v>
      </c>
    </row>
    <row r="934" spans="2:5" x14ac:dyDescent="0.3">
      <c r="B934" s="424">
        <v>927</v>
      </c>
      <c r="C934" s="425">
        <v>4956758.7619709335</v>
      </c>
      <c r="D934" s="425">
        <v>6633261.3572624158</v>
      </c>
      <c r="E934" s="426">
        <v>0.15075895053483168</v>
      </c>
    </row>
    <row r="935" spans="2:5" x14ac:dyDescent="0.3">
      <c r="B935" s="424">
        <v>928</v>
      </c>
      <c r="C935" s="425">
        <v>3090200.6662795544</v>
      </c>
      <c r="D935" s="425">
        <v>4135385.571531863</v>
      </c>
      <c r="E935" s="426">
        <v>0.11759861062878985</v>
      </c>
    </row>
    <row r="936" spans="2:5" x14ac:dyDescent="0.3">
      <c r="B936" s="424">
        <v>929</v>
      </c>
      <c r="C936" s="425">
        <v>11903571.136034137</v>
      </c>
      <c r="D936" s="425">
        <v>15929663.359021977</v>
      </c>
      <c r="E936" s="426">
        <v>0.28404959178574085</v>
      </c>
    </row>
    <row r="937" spans="2:5" x14ac:dyDescent="0.3">
      <c r="B937" s="424">
        <v>930</v>
      </c>
      <c r="C937" s="425">
        <v>10567459.57751368</v>
      </c>
      <c r="D937" s="425">
        <v>14141644.696882902</v>
      </c>
      <c r="E937" s="426">
        <v>0.24159674768899442</v>
      </c>
    </row>
    <row r="938" spans="2:5" x14ac:dyDescent="0.3">
      <c r="B938" s="424">
        <v>931</v>
      </c>
      <c r="C938" s="425">
        <v>6829155.246126242</v>
      </c>
      <c r="D938" s="425">
        <v>9138950.2237673644</v>
      </c>
      <c r="E938" s="426">
        <v>0.1841410998763755</v>
      </c>
    </row>
    <row r="939" spans="2:5" x14ac:dyDescent="0.3">
      <c r="B939" s="424">
        <v>932</v>
      </c>
      <c r="C939" s="425">
        <v>2613631.6452771388</v>
      </c>
      <c r="D939" s="425">
        <v>3497628.7181346389</v>
      </c>
      <c r="E939" s="426">
        <v>0.10818961134997318</v>
      </c>
    </row>
    <row r="940" spans="2:5" x14ac:dyDescent="0.3">
      <c r="B940" s="424">
        <v>933</v>
      </c>
      <c r="C940" s="425">
        <v>9676778.9562200941</v>
      </c>
      <c r="D940" s="425">
        <v>12949713.107995166</v>
      </c>
      <c r="E940" s="426">
        <v>0.22758057335561555</v>
      </c>
    </row>
    <row r="941" spans="2:5" x14ac:dyDescent="0.3">
      <c r="B941" s="424">
        <v>934</v>
      </c>
      <c r="C941" s="425">
        <v>7038119.5916153826</v>
      </c>
      <c r="D941" s="425">
        <v>9418591.6557073742</v>
      </c>
      <c r="E941" s="426">
        <v>0.18593584332234681</v>
      </c>
    </row>
    <row r="942" spans="2:5" x14ac:dyDescent="0.3">
      <c r="B942" s="424">
        <v>935</v>
      </c>
      <c r="C942" s="425">
        <v>9621871.2800394427</v>
      </c>
      <c r="D942" s="425">
        <v>12876234.251323638</v>
      </c>
      <c r="E942" s="426">
        <v>0.23595734353020048</v>
      </c>
    </row>
    <row r="943" spans="2:5" x14ac:dyDescent="0.3">
      <c r="B943" s="424">
        <v>936</v>
      </c>
      <c r="C943" s="425">
        <v>16408274.372092571</v>
      </c>
      <c r="D943" s="425">
        <v>21957972.449012868</v>
      </c>
      <c r="E943" s="426">
        <v>0.34805432042017403</v>
      </c>
    </row>
    <row r="944" spans="2:5" x14ac:dyDescent="0.3">
      <c r="B944" s="424">
        <v>937</v>
      </c>
      <c r="C944" s="425">
        <v>6400706.9331198148</v>
      </c>
      <c r="D944" s="425">
        <v>8565589.7326225918</v>
      </c>
      <c r="E944" s="426">
        <v>0.17712141743078114</v>
      </c>
    </row>
    <row r="945" spans="2:5" x14ac:dyDescent="0.3">
      <c r="B945" s="424">
        <v>938</v>
      </c>
      <c r="C945" s="425">
        <v>15662308.3195924</v>
      </c>
      <c r="D945" s="425">
        <v>20959701.597535834</v>
      </c>
      <c r="E945" s="426">
        <v>0.33447486245208724</v>
      </c>
    </row>
    <row r="946" spans="2:5" x14ac:dyDescent="0.3">
      <c r="B946" s="424">
        <v>939</v>
      </c>
      <c r="C946" s="425">
        <v>11741316.895474177</v>
      </c>
      <c r="D946" s="425">
        <v>15712530.584230576</v>
      </c>
      <c r="E946" s="426">
        <v>0.26401824459426604</v>
      </c>
    </row>
    <row r="947" spans="2:5" x14ac:dyDescent="0.3">
      <c r="B947" s="424">
        <v>940</v>
      </c>
      <c r="C947" s="425">
        <v>12187989.844155006</v>
      </c>
      <c r="D947" s="425">
        <v>16310279.748977274</v>
      </c>
      <c r="E947" s="426">
        <v>0.27109078653028984</v>
      </c>
    </row>
    <row r="948" spans="2:5" x14ac:dyDescent="0.3">
      <c r="B948" s="424">
        <v>941</v>
      </c>
      <c r="C948" s="425">
        <v>10912107.17553932</v>
      </c>
      <c r="D948" s="425">
        <v>14602860.927819217</v>
      </c>
      <c r="E948" s="426">
        <v>0.26391659886488394</v>
      </c>
    </row>
    <row r="949" spans="2:5" x14ac:dyDescent="0.3">
      <c r="B949" s="424">
        <v>942</v>
      </c>
      <c r="C949" s="425">
        <v>10838837.026725389</v>
      </c>
      <c r="D949" s="425">
        <v>14504808.940601856</v>
      </c>
      <c r="E949" s="426">
        <v>0.25466602663669025</v>
      </c>
    </row>
    <row r="950" spans="2:5" x14ac:dyDescent="0.3">
      <c r="B950" s="424">
        <v>943</v>
      </c>
      <c r="C950" s="425">
        <v>9641416.6738898568</v>
      </c>
      <c r="D950" s="425">
        <v>12902390.39729853</v>
      </c>
      <c r="E950" s="426">
        <v>0.22665558863319024</v>
      </c>
    </row>
    <row r="951" spans="2:5" x14ac:dyDescent="0.3">
      <c r="B951" s="424">
        <v>944</v>
      </c>
      <c r="C951" s="425">
        <v>9691673.5193240345</v>
      </c>
      <c r="D951" s="425">
        <v>12969645.393308036</v>
      </c>
      <c r="E951" s="426">
        <v>0.23846925614128356</v>
      </c>
    </row>
    <row r="952" spans="2:5" x14ac:dyDescent="0.3">
      <c r="B952" s="424">
        <v>945</v>
      </c>
      <c r="C952" s="425">
        <v>11119861.610092606</v>
      </c>
      <c r="D952" s="425">
        <v>14880883.225998249</v>
      </c>
      <c r="E952" s="426">
        <v>0.25862053851219668</v>
      </c>
    </row>
    <row r="953" spans="2:5" x14ac:dyDescent="0.3">
      <c r="B953" s="424">
        <v>946</v>
      </c>
      <c r="C953" s="425">
        <v>13198236.670912821</v>
      </c>
      <c r="D953" s="425">
        <v>17662217.892233819</v>
      </c>
      <c r="E953" s="426">
        <v>0.28116102998698222</v>
      </c>
    </row>
    <row r="954" spans="2:5" x14ac:dyDescent="0.3">
      <c r="B954" s="424">
        <v>947</v>
      </c>
      <c r="C954" s="425">
        <v>7218028.7422083467</v>
      </c>
      <c r="D954" s="425">
        <v>9659350.6826751698</v>
      </c>
      <c r="E954" s="426">
        <v>0.18416432786658699</v>
      </c>
    </row>
    <row r="955" spans="2:5" x14ac:dyDescent="0.3">
      <c r="B955" s="424">
        <v>948</v>
      </c>
      <c r="C955" s="425">
        <v>2946992.3636541907</v>
      </c>
      <c r="D955" s="425">
        <v>3943740.5580339199</v>
      </c>
      <c r="E955" s="426">
        <v>0.11763641656223944</v>
      </c>
    </row>
    <row r="956" spans="2:5" x14ac:dyDescent="0.3">
      <c r="B956" s="424">
        <v>949</v>
      </c>
      <c r="C956" s="425">
        <v>3135571.3558888063</v>
      </c>
      <c r="D956" s="425">
        <v>4196101.7888403144</v>
      </c>
      <c r="E956" s="426">
        <v>0.11885285521603994</v>
      </c>
    </row>
    <row r="957" spans="2:5" x14ac:dyDescent="0.3">
      <c r="B957" s="424">
        <v>950</v>
      </c>
      <c r="C957" s="425">
        <v>8741210.9784919508</v>
      </c>
      <c r="D957" s="425">
        <v>11697712.110615857</v>
      </c>
      <c r="E957" s="426">
        <v>0.22705253007112169</v>
      </c>
    </row>
    <row r="958" spans="2:5" x14ac:dyDescent="0.3">
      <c r="B958" s="424">
        <v>951</v>
      </c>
      <c r="C958" s="425">
        <v>13008415.621578081</v>
      </c>
      <c r="D958" s="425">
        <v>17408194.508847196</v>
      </c>
      <c r="E958" s="426">
        <v>0.30547620716831592</v>
      </c>
    </row>
    <row r="959" spans="2:5" x14ac:dyDescent="0.3">
      <c r="B959" s="424">
        <v>952</v>
      </c>
      <c r="C959" s="425">
        <v>9024061.7602363937</v>
      </c>
      <c r="D959" s="425">
        <v>12076230.261390425</v>
      </c>
      <c r="E959" s="426">
        <v>0.23647272567987065</v>
      </c>
    </row>
    <row r="960" spans="2:5" x14ac:dyDescent="0.3">
      <c r="B960" s="424">
        <v>953</v>
      </c>
      <c r="C960" s="425">
        <v>14034829.88609416</v>
      </c>
      <c r="D960" s="425">
        <v>18781768.330836106</v>
      </c>
      <c r="E960" s="426">
        <v>0.2984001336482105</v>
      </c>
    </row>
    <row r="961" spans="2:5" x14ac:dyDescent="0.3">
      <c r="B961" s="424">
        <v>954</v>
      </c>
      <c r="C961" s="425">
        <v>9802661.4465742018</v>
      </c>
      <c r="D961" s="425">
        <v>13118172.276359018</v>
      </c>
      <c r="E961" s="426">
        <v>0.24051172030901347</v>
      </c>
    </row>
    <row r="962" spans="2:5" x14ac:dyDescent="0.3">
      <c r="B962" s="424">
        <v>955</v>
      </c>
      <c r="C962" s="425">
        <v>4457291.3237598464</v>
      </c>
      <c r="D962" s="425">
        <v>5964861.2562699914</v>
      </c>
      <c r="E962" s="426">
        <v>0.15007461982374104</v>
      </c>
    </row>
    <row r="963" spans="2:5" x14ac:dyDescent="0.3">
      <c r="B963" s="424">
        <v>956</v>
      </c>
      <c r="C963" s="425">
        <v>12407924.674243866</v>
      </c>
      <c r="D963" s="425">
        <v>16604602.164007295</v>
      </c>
      <c r="E963" s="426">
        <v>0.27874684020057994</v>
      </c>
    </row>
    <row r="964" spans="2:5" x14ac:dyDescent="0.3">
      <c r="B964" s="424">
        <v>957</v>
      </c>
      <c r="C964" s="425">
        <v>11990273.088107226</v>
      </c>
      <c r="D964" s="425">
        <v>16045690.128914034</v>
      </c>
      <c r="E964" s="426">
        <v>0.27437016732303299</v>
      </c>
    </row>
    <row r="965" spans="2:5" x14ac:dyDescent="0.3">
      <c r="B965" s="424">
        <v>958</v>
      </c>
      <c r="C965" s="425">
        <v>8390468.0175556391</v>
      </c>
      <c r="D965" s="425">
        <v>11228338.909127727</v>
      </c>
      <c r="E965" s="426">
        <v>0.21059758317233301</v>
      </c>
    </row>
    <row r="966" spans="2:5" x14ac:dyDescent="0.3">
      <c r="B966" s="424">
        <v>959</v>
      </c>
      <c r="C966" s="425">
        <v>11758228.229070347</v>
      </c>
      <c r="D966" s="425">
        <v>15735161.763400296</v>
      </c>
      <c r="E966" s="426">
        <v>0.26781010067800803</v>
      </c>
    </row>
    <row r="967" spans="2:5" x14ac:dyDescent="0.3">
      <c r="B967" s="424">
        <v>960</v>
      </c>
      <c r="C967" s="425">
        <v>8691034.7435118761</v>
      </c>
      <c r="D967" s="425">
        <v>11630564.989577852</v>
      </c>
      <c r="E967" s="426">
        <v>0.22721392027643472</v>
      </c>
    </row>
    <row r="968" spans="2:5" x14ac:dyDescent="0.3">
      <c r="B968" s="424">
        <v>961</v>
      </c>
      <c r="C968" s="425">
        <v>9272295.7238240391</v>
      </c>
      <c r="D968" s="425">
        <v>12408423.300692439</v>
      </c>
      <c r="E968" s="426">
        <v>0.21819449385880718</v>
      </c>
    </row>
    <row r="969" spans="2:5" x14ac:dyDescent="0.3">
      <c r="B969" s="424">
        <v>962</v>
      </c>
      <c r="C969" s="425">
        <v>5115239.6085986979</v>
      </c>
      <c r="D969" s="425">
        <v>6845344.4797793934</v>
      </c>
      <c r="E969" s="426">
        <v>0.14990133091107438</v>
      </c>
    </row>
    <row r="970" spans="2:5" x14ac:dyDescent="0.3">
      <c r="B970" s="424">
        <v>963</v>
      </c>
      <c r="C970" s="425">
        <v>12580806.693936275</v>
      </c>
      <c r="D970" s="425">
        <v>16835957.304666825</v>
      </c>
      <c r="E970" s="426">
        <v>0.29117976371168663</v>
      </c>
    </row>
    <row r="971" spans="2:5" x14ac:dyDescent="0.3">
      <c r="B971" s="424">
        <v>964</v>
      </c>
      <c r="C971" s="425">
        <v>10278529.129180292</v>
      </c>
      <c r="D971" s="425">
        <v>13754990.580775727</v>
      </c>
      <c r="E971" s="426">
        <v>0.24575252836868478</v>
      </c>
    </row>
    <row r="972" spans="2:5" x14ac:dyDescent="0.3">
      <c r="B972" s="424">
        <v>965</v>
      </c>
      <c r="C972" s="425">
        <v>6634757.2622968741</v>
      </c>
      <c r="D972" s="425">
        <v>8878801.8695730325</v>
      </c>
      <c r="E972" s="426">
        <v>0.18050617048187045</v>
      </c>
    </row>
    <row r="973" spans="2:5" x14ac:dyDescent="0.3">
      <c r="B973" s="424">
        <v>966</v>
      </c>
      <c r="C973" s="425">
        <v>11413654.743871672</v>
      </c>
      <c r="D973" s="425">
        <v>15274044.712144654</v>
      </c>
      <c r="E973" s="426">
        <v>0.2699247627781507</v>
      </c>
    </row>
    <row r="974" spans="2:5" x14ac:dyDescent="0.3">
      <c r="B974" s="424">
        <v>967</v>
      </c>
      <c r="C974" s="425">
        <v>11583135.391304176</v>
      </c>
      <c r="D974" s="425">
        <v>15500848.049447039</v>
      </c>
      <c r="E974" s="426">
        <v>0.26431264298855073</v>
      </c>
    </row>
    <row r="975" spans="2:5" x14ac:dyDescent="0.3">
      <c r="B975" s="424">
        <v>968</v>
      </c>
      <c r="C975" s="425">
        <v>12814024.490596257</v>
      </c>
      <c r="D975" s="425">
        <v>17148055.325308729</v>
      </c>
      <c r="E975" s="426">
        <v>0.27291307247438845</v>
      </c>
    </row>
    <row r="976" spans="2:5" x14ac:dyDescent="0.3">
      <c r="B976" s="424">
        <v>969</v>
      </c>
      <c r="C976" s="425">
        <v>12011183.309442226</v>
      </c>
      <c r="D976" s="425">
        <v>16073672.721937807</v>
      </c>
      <c r="E976" s="426">
        <v>0.26963474306747659</v>
      </c>
    </row>
    <row r="977" spans="2:5" x14ac:dyDescent="0.3">
      <c r="B977" s="424">
        <v>970</v>
      </c>
      <c r="C977" s="425">
        <v>11910291.783340383</v>
      </c>
      <c r="D977" s="425">
        <v>15938657.101145225</v>
      </c>
      <c r="E977" s="426">
        <v>0.26710778400184099</v>
      </c>
    </row>
    <row r="978" spans="2:5" x14ac:dyDescent="0.3">
      <c r="B978" s="424">
        <v>971</v>
      </c>
      <c r="C978" s="425">
        <v>7600008.7768045701</v>
      </c>
      <c r="D978" s="425">
        <v>10170526.135104369</v>
      </c>
      <c r="E978" s="426">
        <v>0.19110667567200146</v>
      </c>
    </row>
    <row r="979" spans="2:5" x14ac:dyDescent="0.3">
      <c r="B979" s="424">
        <v>972</v>
      </c>
      <c r="C979" s="425">
        <v>14006305.741781501</v>
      </c>
      <c r="D979" s="425">
        <v>18743596.591337752</v>
      </c>
      <c r="E979" s="426">
        <v>0.32221064478223527</v>
      </c>
    </row>
    <row r="980" spans="2:5" x14ac:dyDescent="0.3">
      <c r="B980" s="424">
        <v>973</v>
      </c>
      <c r="C980" s="425">
        <v>5780838.3927765694</v>
      </c>
      <c r="D980" s="425">
        <v>7736065.7971856827</v>
      </c>
      <c r="E980" s="426">
        <v>0.16767451502488528</v>
      </c>
    </row>
    <row r="981" spans="2:5" x14ac:dyDescent="0.3">
      <c r="B981" s="424">
        <v>974</v>
      </c>
      <c r="C981" s="425">
        <v>13311995.634905715</v>
      </c>
      <c r="D981" s="425">
        <v>17814453.047530387</v>
      </c>
      <c r="E981" s="426">
        <v>0.28477813321516865</v>
      </c>
    </row>
    <row r="982" spans="2:5" x14ac:dyDescent="0.3">
      <c r="B982" s="424">
        <v>975</v>
      </c>
      <c r="C982" s="425">
        <v>8463036.6962808073</v>
      </c>
      <c r="D982" s="425">
        <v>11325452.171130383</v>
      </c>
      <c r="E982" s="426">
        <v>0.20783277510083886</v>
      </c>
    </row>
    <row r="983" spans="2:5" x14ac:dyDescent="0.3">
      <c r="B983" s="424">
        <v>976</v>
      </c>
      <c r="C983" s="425">
        <v>13881100.591230173</v>
      </c>
      <c r="D983" s="425">
        <v>18576043.856422707</v>
      </c>
      <c r="E983" s="426">
        <v>0.3196219470768471</v>
      </c>
    </row>
    <row r="984" spans="2:5" x14ac:dyDescent="0.3">
      <c r="B984" s="424">
        <v>977</v>
      </c>
      <c r="C984" s="425">
        <v>11177397.513655454</v>
      </c>
      <c r="D984" s="425">
        <v>14957879.243776379</v>
      </c>
      <c r="E984" s="426">
        <v>0.26845425077304608</v>
      </c>
    </row>
    <row r="985" spans="2:5" x14ac:dyDescent="0.3">
      <c r="B985" s="424">
        <v>978</v>
      </c>
      <c r="C985" s="425">
        <v>5866379.8621351942</v>
      </c>
      <c r="D985" s="425">
        <v>7850539.5794268819</v>
      </c>
      <c r="E985" s="426">
        <v>0.16722233618498805</v>
      </c>
    </row>
    <row r="986" spans="2:5" x14ac:dyDescent="0.3">
      <c r="B986" s="424">
        <v>979</v>
      </c>
      <c r="C986" s="425">
        <v>11532738.097657997</v>
      </c>
      <c r="D986" s="425">
        <v>15433405.102047903</v>
      </c>
      <c r="E986" s="426">
        <v>0.26211949246762911</v>
      </c>
    </row>
    <row r="987" spans="2:5" x14ac:dyDescent="0.3">
      <c r="B987" s="424">
        <v>980</v>
      </c>
      <c r="C987" s="425">
        <v>5455139.4083115421</v>
      </c>
      <c r="D987" s="425">
        <v>7300207.0855762381</v>
      </c>
      <c r="E987" s="426">
        <v>0.16254945910036356</v>
      </c>
    </row>
    <row r="988" spans="2:5" x14ac:dyDescent="0.3">
      <c r="B988" s="424">
        <v>981</v>
      </c>
      <c r="C988" s="425">
        <v>1314179.8655221798</v>
      </c>
      <c r="D988" s="425">
        <v>1758669.10960871</v>
      </c>
      <c r="E988" s="426">
        <v>8.4738785958774709E-2</v>
      </c>
    </row>
    <row r="989" spans="2:5" x14ac:dyDescent="0.3">
      <c r="B989" s="424">
        <v>982</v>
      </c>
      <c r="C989" s="425">
        <v>7128051.2674207799</v>
      </c>
      <c r="D989" s="425">
        <v>9538940.5245065894</v>
      </c>
      <c r="E989" s="426">
        <v>0.19032051916559567</v>
      </c>
    </row>
    <row r="990" spans="2:5" x14ac:dyDescent="0.3">
      <c r="B990" s="424">
        <v>983</v>
      </c>
      <c r="C990" s="425">
        <v>13632195.753251785</v>
      </c>
      <c r="D990" s="425">
        <v>18242953.035851642</v>
      </c>
      <c r="E990" s="426">
        <v>0.31312019371021726</v>
      </c>
    </row>
    <row r="991" spans="2:5" x14ac:dyDescent="0.3">
      <c r="B991" s="424">
        <v>984</v>
      </c>
      <c r="C991" s="425">
        <v>6581320.8627599552</v>
      </c>
      <c r="D991" s="425">
        <v>8807291.912937874</v>
      </c>
      <c r="E991" s="426">
        <v>0.18306798618290943</v>
      </c>
    </row>
    <row r="992" spans="2:5" x14ac:dyDescent="0.3">
      <c r="B992" s="424">
        <v>985</v>
      </c>
      <c r="C992" s="425">
        <v>7562971.7955374457</v>
      </c>
      <c r="D992" s="425">
        <v>10120962.299455611</v>
      </c>
      <c r="E992" s="426">
        <v>0.19755951741214073</v>
      </c>
    </row>
    <row r="993" spans="2:5" x14ac:dyDescent="0.3">
      <c r="B993" s="424">
        <v>986</v>
      </c>
      <c r="C993" s="425">
        <v>7689182.1234929077</v>
      </c>
      <c r="D993" s="425">
        <v>10289860.188482895</v>
      </c>
      <c r="E993" s="426">
        <v>0.19351603382691085</v>
      </c>
    </row>
    <row r="994" spans="2:5" x14ac:dyDescent="0.3">
      <c r="B994" s="424">
        <v>987</v>
      </c>
      <c r="C994" s="425">
        <v>7291023.852006238</v>
      </c>
      <c r="D994" s="425">
        <v>9757034.6056464277</v>
      </c>
      <c r="E994" s="426">
        <v>0.19859979649826487</v>
      </c>
    </row>
    <row r="995" spans="2:5" x14ac:dyDescent="0.3">
      <c r="B995" s="424">
        <v>988</v>
      </c>
      <c r="C995" s="425">
        <v>11722296.314074807</v>
      </c>
      <c r="D995" s="425">
        <v>15687076.755701115</v>
      </c>
      <c r="E995" s="426">
        <v>0.2734808345942441</v>
      </c>
    </row>
    <row r="996" spans="2:5" x14ac:dyDescent="0.3">
      <c r="B996" s="424">
        <v>989</v>
      </c>
      <c r="C996" s="425">
        <v>2512902.920540832</v>
      </c>
      <c r="D996" s="425">
        <v>3362830.9622934829</v>
      </c>
      <c r="E996" s="426">
        <v>0.10765916824121979</v>
      </c>
    </row>
    <row r="997" spans="2:5" x14ac:dyDescent="0.3">
      <c r="B997" s="424">
        <v>990</v>
      </c>
      <c r="C997" s="425">
        <v>11379585.224321488</v>
      </c>
      <c r="D997" s="425">
        <v>15228452.009666055</v>
      </c>
      <c r="E997" s="426">
        <v>0.27060393607912125</v>
      </c>
    </row>
    <row r="998" spans="2:5" x14ac:dyDescent="0.3">
      <c r="B998" s="424">
        <v>991</v>
      </c>
      <c r="C998" s="425">
        <v>13498524.458822222</v>
      </c>
      <c r="D998" s="425">
        <v>18064070.690655101</v>
      </c>
      <c r="E998" s="426">
        <v>0.29787655348346243</v>
      </c>
    </row>
    <row r="999" spans="2:5" x14ac:dyDescent="0.3">
      <c r="B999" s="424">
        <v>992</v>
      </c>
      <c r="C999" s="425">
        <v>13848147.786986064</v>
      </c>
      <c r="D999" s="425">
        <v>18531945.570929594</v>
      </c>
      <c r="E999" s="426">
        <v>0.31145317641203207</v>
      </c>
    </row>
    <row r="1000" spans="2:5" x14ac:dyDescent="0.3">
      <c r="B1000" s="424">
        <v>993</v>
      </c>
      <c r="C1000" s="425">
        <v>6323495.4774861708</v>
      </c>
      <c r="D1000" s="425">
        <v>8462263.3878099211</v>
      </c>
      <c r="E1000" s="426">
        <v>0.17282607895666557</v>
      </c>
    </row>
    <row r="1001" spans="2:5" x14ac:dyDescent="0.3">
      <c r="B1001" s="424">
        <v>994</v>
      </c>
      <c r="C1001" s="425">
        <v>11113473.74616288</v>
      </c>
      <c r="D1001" s="425">
        <v>14872334.823101262</v>
      </c>
      <c r="E1001" s="426">
        <v>0.2556616689972957</v>
      </c>
    </row>
    <row r="1002" spans="2:5" x14ac:dyDescent="0.3">
      <c r="B1002" s="424">
        <v>995</v>
      </c>
      <c r="C1002" s="425">
        <v>10584124.4896338</v>
      </c>
      <c r="D1002" s="425">
        <v>14163946.108530503</v>
      </c>
      <c r="E1002" s="426">
        <v>0.25789044419377882</v>
      </c>
    </row>
    <row r="1003" spans="2:5" x14ac:dyDescent="0.3">
      <c r="B1003" s="424">
        <v>996</v>
      </c>
      <c r="C1003" s="425">
        <v>10309589.989606867</v>
      </c>
      <c r="D1003" s="425">
        <v>13796557.018660832</v>
      </c>
      <c r="E1003" s="426">
        <v>0.24577241700734453</v>
      </c>
    </row>
    <row r="1004" spans="2:5" x14ac:dyDescent="0.3">
      <c r="B1004" s="424">
        <v>997</v>
      </c>
      <c r="C1004" s="425">
        <v>7077697.7850994878</v>
      </c>
      <c r="D1004" s="425">
        <v>9471556.206543006</v>
      </c>
      <c r="E1004" s="426">
        <v>0.18630330107573978</v>
      </c>
    </row>
    <row r="1005" spans="2:5" x14ac:dyDescent="0.3">
      <c r="B1005" s="424">
        <v>998</v>
      </c>
      <c r="C1005" s="425">
        <v>9101995.39031801</v>
      </c>
      <c r="D1005" s="425">
        <v>12180523.038520861</v>
      </c>
      <c r="E1005" s="426">
        <v>0.21569548016061257</v>
      </c>
    </row>
    <row r="1006" spans="2:5" x14ac:dyDescent="0.3">
      <c r="B1006" s="424">
        <v>999</v>
      </c>
      <c r="C1006" s="425">
        <v>10275849.435131935</v>
      </c>
      <c r="D1006" s="425">
        <v>13751404.545660073</v>
      </c>
      <c r="E1006" s="426">
        <v>0.24745085054519511</v>
      </c>
    </row>
    <row r="1007" spans="2:5" x14ac:dyDescent="0.3">
      <c r="B1007" s="424">
        <v>1000</v>
      </c>
      <c r="C1007" s="425">
        <v>9217277.8300492913</v>
      </c>
      <c r="D1007" s="425">
        <v>12334796.948017392</v>
      </c>
      <c r="E1007" s="426">
        <v>0.22552027401767205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ColWidth="8.77734375" defaultRowHeight="14.4" x14ac:dyDescent="0.3"/>
  <sheetData>
    <row r="1" spans="1:3" x14ac:dyDescent="0.3">
      <c r="A1" s="36" t="s">
        <v>289</v>
      </c>
      <c r="B1" s="36" t="s">
        <v>287</v>
      </c>
      <c r="C1" s="36" t="s">
        <v>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9" sqref="G9"/>
    </sheetView>
  </sheetViews>
  <sheetFormatPr defaultColWidth="9" defaultRowHeight="13.8" x14ac:dyDescent="0.25"/>
  <cols>
    <col min="1" max="1" width="22.44140625" style="1" customWidth="1"/>
    <col min="2" max="2" width="19.6640625" style="1" customWidth="1"/>
    <col min="3" max="3" width="20" style="1" customWidth="1"/>
    <col min="4" max="4" width="20.44140625" style="1" customWidth="1"/>
    <col min="5" max="16384" width="9" style="1"/>
  </cols>
  <sheetData>
    <row r="1" spans="1:7" ht="14.4" x14ac:dyDescent="0.25">
      <c r="A1" s="447" t="s">
        <v>215</v>
      </c>
      <c r="B1" s="448" t="s">
        <v>93</v>
      </c>
      <c r="C1" s="448" t="s">
        <v>95</v>
      </c>
      <c r="D1" s="449" t="s">
        <v>94</v>
      </c>
    </row>
    <row r="2" spans="1:7" ht="14.4" x14ac:dyDescent="0.25">
      <c r="A2" s="473" t="s">
        <v>111</v>
      </c>
      <c r="B2" s="180">
        <f>'ALTERNATIVE 1 (ATCF)'!D39</f>
        <v>-13836835.309025731</v>
      </c>
      <c r="C2" s="180">
        <f>'ALTERNATIVE 2 (ATCF)'!F34</f>
        <v>13486381.53261077</v>
      </c>
      <c r="D2" s="474">
        <f>'ALTERNATIVE 3 (ATCF)'!D28</f>
        <v>16299158.436651409</v>
      </c>
      <c r="G2" s="369"/>
    </row>
    <row r="3" spans="1:7" ht="14.4" x14ac:dyDescent="0.25">
      <c r="A3" s="473" t="s">
        <v>141</v>
      </c>
      <c r="B3" s="180">
        <f>'ALTERNATIVE 1 (ATCF)'!D40</f>
        <v>-24779664.640611567</v>
      </c>
      <c r="C3" s="180">
        <f>'ALTERNATIVE 2 (ATCF)'!F35</f>
        <v>24152055.302374091</v>
      </c>
      <c r="D3" s="474">
        <f>'ALTERNATIVE 3 (ATCF)'!D29</f>
        <v>29189310.34186421</v>
      </c>
    </row>
    <row r="4" spans="1:7" ht="14.4" x14ac:dyDescent="0.25">
      <c r="A4" s="473" t="s">
        <v>216</v>
      </c>
      <c r="B4" s="180">
        <f>'ALTERNATIVE 1 (ATCF)'!D41</f>
        <v>-1879982.56166904</v>
      </c>
      <c r="C4" s="180">
        <f>'ALTERNATIVE 2 (ATCF)'!F36</f>
        <v>1832367.1226169164</v>
      </c>
      <c r="D4" s="474">
        <f>'ALTERNATIVE 3 (ATCF)'!D30</f>
        <v>2214533.3774983706</v>
      </c>
    </row>
    <row r="5" spans="1:7" ht="14.4" x14ac:dyDescent="0.25">
      <c r="A5" s="473" t="s">
        <v>54</v>
      </c>
      <c r="B5" s="475">
        <f>'ALTERNATIVE 1 (ATCF)'!D42</f>
        <v>-5.5172994784738361E-2</v>
      </c>
      <c r="C5" s="475">
        <f>'ALTERNATIVE 2 (ATCF)'!F37</f>
        <v>0.17064452197059787</v>
      </c>
      <c r="D5" s="476">
        <f>'ALTERNATIVE 3 (ATCF)'!D31</f>
        <v>0.20189561641454024</v>
      </c>
    </row>
    <row r="6" spans="1:7" ht="14.4" x14ac:dyDescent="0.25">
      <c r="A6" s="473" t="s">
        <v>217</v>
      </c>
      <c r="B6" s="475">
        <f>'ALTERNATIVE 1 (ATCF)'!D43</f>
        <v>-3.5973566563982429E-2</v>
      </c>
      <c r="C6" s="475">
        <f>'ALTERNATIVE 2 (ATCF)'!F38</f>
        <v>0.13007593583609656</v>
      </c>
      <c r="D6" s="476">
        <f>'ALTERNATIVE 3 (ATCF)'!D32</f>
        <v>0.14416938703108872</v>
      </c>
    </row>
    <row r="7" spans="1:7" ht="14.4" x14ac:dyDescent="0.25">
      <c r="A7" s="473" t="s">
        <v>218</v>
      </c>
      <c r="B7" s="477">
        <f>'ALTERNATIVE 1 (ATCF)'!G43</f>
        <v>11.420243055853831</v>
      </c>
      <c r="C7" s="477">
        <f>'ALTERNATIVE 2 (ATCF)'!H36</f>
        <v>6.3476780403151567</v>
      </c>
      <c r="D7" s="478">
        <f>'ALTERNATIVE 3 (ATCF)'!G32</f>
        <v>5.6411787516284644</v>
      </c>
    </row>
    <row r="8" spans="1:7" ht="14.4" x14ac:dyDescent="0.25">
      <c r="A8" s="479" t="s">
        <v>219</v>
      </c>
      <c r="B8" s="480">
        <f>'AHP ANALYSIS'!F41</f>
        <v>8.158094698291582E-2</v>
      </c>
      <c r="C8" s="480">
        <f>'AHP ANALYSIS'!F42</f>
        <v>0.30109522660794191</v>
      </c>
      <c r="D8" s="481">
        <f>'AHP ANALYSIS'!F43</f>
        <v>0.7054699395552555</v>
      </c>
    </row>
    <row r="21" spans="4:4" x14ac:dyDescent="0.25">
      <c r="D21" s="486"/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zoomScaleNormal="70" workbookViewId="0">
      <selection activeCell="I29" sqref="I29"/>
    </sheetView>
  </sheetViews>
  <sheetFormatPr defaultColWidth="9" defaultRowHeight="13.8" x14ac:dyDescent="0.25"/>
  <cols>
    <col min="1" max="1" width="19.33203125" style="1" bestFit="1" customWidth="1"/>
    <col min="2" max="2" width="16.6640625" style="1" bestFit="1" customWidth="1"/>
    <col min="3" max="3" width="13.33203125" style="1" bestFit="1" customWidth="1"/>
    <col min="4" max="4" width="4.77734375" style="1" customWidth="1"/>
    <col min="5" max="5" width="18.5546875" style="1" bestFit="1" customWidth="1"/>
    <col min="6" max="6" width="16.44140625" style="1" bestFit="1" customWidth="1"/>
    <col min="7" max="7" width="13.77734375" style="1" bestFit="1" customWidth="1"/>
    <col min="8" max="8" width="4.6640625" style="1" customWidth="1"/>
    <col min="9" max="9" width="18.5546875" style="1" bestFit="1" customWidth="1"/>
    <col min="10" max="10" width="16.44140625" style="1" bestFit="1" customWidth="1"/>
    <col min="11" max="11" width="13.77734375" style="1" bestFit="1" customWidth="1"/>
    <col min="12" max="16384" width="9" style="1"/>
  </cols>
  <sheetData>
    <row r="1" spans="1:11" x14ac:dyDescent="0.25">
      <c r="A1" s="494" t="s">
        <v>26</v>
      </c>
      <c r="B1" s="495"/>
      <c r="C1" s="496"/>
      <c r="D1" s="369"/>
      <c r="E1" s="494" t="s">
        <v>27</v>
      </c>
      <c r="F1" s="495"/>
      <c r="G1" s="496"/>
      <c r="H1" s="369"/>
      <c r="I1" s="494" t="s">
        <v>28</v>
      </c>
      <c r="J1" s="495"/>
      <c r="K1" s="496"/>
    </row>
    <row r="2" spans="1:11" x14ac:dyDescent="0.25">
      <c r="A2" s="500" t="s">
        <v>55</v>
      </c>
      <c r="B2" s="501"/>
      <c r="C2" s="502"/>
      <c r="D2" s="2"/>
      <c r="E2" s="503" t="s">
        <v>55</v>
      </c>
      <c r="F2" s="504"/>
      <c r="G2" s="505"/>
      <c r="H2" s="2"/>
      <c r="I2" s="500" t="s">
        <v>55</v>
      </c>
      <c r="J2" s="501"/>
      <c r="K2" s="502"/>
    </row>
    <row r="3" spans="1:11" ht="14.4" x14ac:dyDescent="0.3">
      <c r="A3" s="105" t="s">
        <v>230</v>
      </c>
      <c r="B3" s="100">
        <v>120000</v>
      </c>
      <c r="C3" s="106" t="s">
        <v>231</v>
      </c>
      <c r="D3" s="101"/>
      <c r="E3" s="105" t="s">
        <v>230</v>
      </c>
      <c r="F3" s="100">
        <v>3400000</v>
      </c>
      <c r="G3" s="106" t="s">
        <v>231</v>
      </c>
      <c r="H3" s="101"/>
      <c r="I3" s="105" t="s">
        <v>230</v>
      </c>
      <c r="J3" s="100">
        <v>1420000</v>
      </c>
      <c r="K3" s="106" t="s">
        <v>231</v>
      </c>
    </row>
    <row r="4" spans="1:11" ht="14.4" x14ac:dyDescent="0.3">
      <c r="A4" s="105" t="s">
        <v>0</v>
      </c>
      <c r="B4" s="102">
        <v>140</v>
      </c>
      <c r="C4" s="106" t="s">
        <v>232</v>
      </c>
      <c r="D4" s="101"/>
      <c r="E4" s="105" t="s">
        <v>0</v>
      </c>
      <c r="F4" s="102">
        <v>6</v>
      </c>
      <c r="G4" s="106" t="s">
        <v>232</v>
      </c>
      <c r="H4" s="101"/>
      <c r="I4" s="105" t="s">
        <v>0</v>
      </c>
      <c r="J4" s="102">
        <v>13</v>
      </c>
      <c r="K4" s="106" t="s">
        <v>232</v>
      </c>
    </row>
    <row r="5" spans="1:11" ht="14.4" x14ac:dyDescent="0.3">
      <c r="A5" s="105" t="s">
        <v>29</v>
      </c>
      <c r="B5" s="103">
        <f>B3*B4</f>
        <v>16800000</v>
      </c>
      <c r="C5" s="106"/>
      <c r="D5" s="101"/>
      <c r="E5" s="105" t="s">
        <v>29</v>
      </c>
      <c r="F5" s="103">
        <f>F3*F4</f>
        <v>20400000</v>
      </c>
      <c r="G5" s="106"/>
      <c r="H5" s="101"/>
      <c r="I5" s="105" t="s">
        <v>29</v>
      </c>
      <c r="J5" s="103">
        <f>J3*J4</f>
        <v>18460000</v>
      </c>
      <c r="K5" s="106"/>
    </row>
    <row r="6" spans="1:11" ht="14.4" x14ac:dyDescent="0.3">
      <c r="A6" s="105"/>
      <c r="B6" s="102"/>
      <c r="C6" s="106"/>
      <c r="D6" s="101"/>
      <c r="E6" s="105"/>
      <c r="F6" s="102"/>
      <c r="G6" s="106"/>
      <c r="H6" s="101"/>
      <c r="I6" s="105"/>
      <c r="J6" s="102"/>
      <c r="K6" s="106"/>
    </row>
    <row r="7" spans="1:11" ht="14.4" x14ac:dyDescent="0.3">
      <c r="A7" s="105" t="s">
        <v>322</v>
      </c>
      <c r="B7" s="100">
        <v>65000</v>
      </c>
      <c r="C7" s="106" t="s">
        <v>231</v>
      </c>
      <c r="D7" s="101"/>
      <c r="E7" s="105" t="s">
        <v>233</v>
      </c>
      <c r="F7" s="100">
        <v>560000</v>
      </c>
      <c r="G7" s="106" t="s">
        <v>231</v>
      </c>
      <c r="H7" s="104"/>
      <c r="I7" s="105" t="s">
        <v>322</v>
      </c>
      <c r="J7" s="100">
        <v>350000</v>
      </c>
      <c r="K7" s="106" t="s">
        <v>231</v>
      </c>
    </row>
    <row r="8" spans="1:11" ht="14.4" x14ac:dyDescent="0.3">
      <c r="A8" s="105" t="s">
        <v>0</v>
      </c>
      <c r="B8" s="103">
        <v>142</v>
      </c>
      <c r="C8" s="106" t="s">
        <v>321</v>
      </c>
      <c r="D8" s="101"/>
      <c r="E8" s="105" t="s">
        <v>0</v>
      </c>
      <c r="F8" s="103">
        <v>8</v>
      </c>
      <c r="G8" s="106" t="s">
        <v>321</v>
      </c>
      <c r="H8" s="104"/>
      <c r="I8" s="105" t="s">
        <v>0</v>
      </c>
      <c r="J8" s="103">
        <v>14</v>
      </c>
      <c r="K8" s="106" t="s">
        <v>321</v>
      </c>
    </row>
    <row r="9" spans="1:11" ht="14.4" x14ac:dyDescent="0.3">
      <c r="A9" s="105" t="s">
        <v>30</v>
      </c>
      <c r="B9" s="103">
        <f>B7*B8</f>
        <v>9230000</v>
      </c>
      <c r="C9" s="106"/>
      <c r="D9" s="101"/>
      <c r="E9" s="105" t="s">
        <v>30</v>
      </c>
      <c r="F9" s="103">
        <f>F7*F8</f>
        <v>4480000</v>
      </c>
      <c r="G9" s="106"/>
      <c r="H9" s="104"/>
      <c r="I9" s="105" t="s">
        <v>30</v>
      </c>
      <c r="J9" s="103">
        <f>J7*J8</f>
        <v>4900000</v>
      </c>
      <c r="K9" s="106"/>
    </row>
    <row r="10" spans="1:11" ht="14.4" thickBot="1" x14ac:dyDescent="0.3">
      <c r="A10" s="323" t="s">
        <v>323</v>
      </c>
      <c r="B10" s="497">
        <f>SUM(B5,B9)</f>
        <v>26030000</v>
      </c>
      <c r="C10" s="498"/>
      <c r="D10" s="2"/>
      <c r="E10" s="323" t="s">
        <v>323</v>
      </c>
      <c r="F10" s="497">
        <f>SUM(F5,F9)</f>
        <v>24880000</v>
      </c>
      <c r="G10" s="498"/>
      <c r="H10" s="2"/>
      <c r="I10" s="323" t="s">
        <v>323</v>
      </c>
      <c r="J10" s="506">
        <f>SUM(J5,J9)</f>
        <v>23360000</v>
      </c>
      <c r="K10" s="507"/>
    </row>
    <row r="24" spans="4:12" x14ac:dyDescent="0.25">
      <c r="D24" s="39"/>
      <c r="E24" s="39"/>
      <c r="F24" s="39"/>
      <c r="G24" s="39"/>
      <c r="H24" s="39"/>
      <c r="I24" s="39"/>
      <c r="J24" s="39"/>
      <c r="K24" s="39"/>
      <c r="L24" s="39"/>
    </row>
    <row r="25" spans="4:12" x14ac:dyDescent="0.25">
      <c r="D25" s="39"/>
      <c r="E25" s="39"/>
      <c r="F25" s="39"/>
      <c r="G25" s="39"/>
      <c r="H25" s="39"/>
      <c r="I25" s="39"/>
      <c r="J25" s="39"/>
      <c r="K25" s="39"/>
      <c r="L25" s="39"/>
    </row>
    <row r="26" spans="4:12" x14ac:dyDescent="0.25">
      <c r="D26" s="40"/>
      <c r="E26" s="40"/>
      <c r="F26" s="39"/>
      <c r="G26" s="39"/>
      <c r="H26" s="39"/>
      <c r="I26" s="39"/>
      <c r="J26" s="39"/>
      <c r="K26" s="39"/>
      <c r="L26" s="39"/>
    </row>
    <row r="27" spans="4:12" x14ac:dyDescent="0.25">
      <c r="D27" s="40"/>
      <c r="E27" s="40"/>
      <c r="F27" s="39"/>
      <c r="G27" s="39"/>
      <c r="H27" s="39"/>
      <c r="I27" s="39"/>
      <c r="J27" s="39"/>
      <c r="K27" s="39"/>
      <c r="L27" s="39"/>
    </row>
    <row r="28" spans="4:12" x14ac:dyDescent="0.25">
      <c r="D28" s="40"/>
      <c r="E28" s="40"/>
      <c r="F28" s="39"/>
      <c r="G28" s="39"/>
      <c r="H28" s="39"/>
      <c r="I28" s="39"/>
      <c r="J28" s="39"/>
      <c r="K28" s="39"/>
      <c r="L28" s="39"/>
    </row>
    <row r="29" spans="4:12" x14ac:dyDescent="0.25">
      <c r="D29" s="41"/>
      <c r="E29" s="41"/>
      <c r="F29" s="41"/>
      <c r="G29" s="41"/>
      <c r="H29" s="41"/>
      <c r="I29" s="41"/>
      <c r="J29" s="41"/>
      <c r="K29" s="41"/>
      <c r="L29" s="39"/>
    </row>
    <row r="30" spans="4:12" x14ac:dyDescent="0.25">
      <c r="D30" s="39"/>
      <c r="E30" s="499"/>
      <c r="F30" s="499"/>
      <c r="G30" s="499"/>
      <c r="H30" s="39"/>
      <c r="I30" s="499"/>
      <c r="J30" s="499"/>
      <c r="K30" s="499"/>
      <c r="L30" s="39"/>
    </row>
    <row r="31" spans="4:12" x14ac:dyDescent="0.25">
      <c r="D31" s="40"/>
      <c r="E31" s="509"/>
      <c r="F31" s="509"/>
      <c r="G31" s="509"/>
      <c r="H31" s="40"/>
      <c r="I31" s="509"/>
      <c r="J31" s="509"/>
      <c r="K31" s="509"/>
      <c r="L31" s="39"/>
    </row>
    <row r="32" spans="4:12" x14ac:dyDescent="0.25">
      <c r="D32" s="40"/>
      <c r="E32" s="40"/>
      <c r="F32" s="42"/>
      <c r="G32" s="40"/>
      <c r="H32" s="40"/>
      <c r="I32" s="40"/>
      <c r="J32" s="42"/>
      <c r="K32" s="40"/>
      <c r="L32" s="39"/>
    </row>
    <row r="33" spans="4:12" x14ac:dyDescent="0.25">
      <c r="D33" s="40"/>
      <c r="E33" s="40"/>
      <c r="F33" s="43"/>
      <c r="G33" s="40"/>
      <c r="H33" s="40"/>
      <c r="I33" s="40"/>
      <c r="J33" s="43"/>
      <c r="K33" s="40"/>
      <c r="L33" s="39"/>
    </row>
    <row r="34" spans="4:12" x14ac:dyDescent="0.25">
      <c r="D34" s="40"/>
      <c r="E34" s="40"/>
      <c r="F34" s="43"/>
      <c r="G34" s="40"/>
      <c r="H34" s="40"/>
      <c r="I34" s="40"/>
      <c r="J34" s="43"/>
      <c r="K34" s="40"/>
      <c r="L34" s="39"/>
    </row>
    <row r="35" spans="4:12" x14ac:dyDescent="0.25">
      <c r="D35" s="40"/>
      <c r="E35" s="44"/>
      <c r="F35" s="40"/>
      <c r="G35" s="40"/>
      <c r="H35" s="40"/>
      <c r="I35" s="44"/>
      <c r="J35" s="40"/>
      <c r="K35" s="40"/>
      <c r="L35" s="39"/>
    </row>
    <row r="36" spans="4:12" x14ac:dyDescent="0.25">
      <c r="D36" s="40"/>
      <c r="E36" s="40"/>
      <c r="F36" s="42"/>
      <c r="G36" s="40"/>
      <c r="H36" s="40"/>
      <c r="I36" s="40"/>
      <c r="J36" s="42"/>
      <c r="K36" s="40"/>
      <c r="L36" s="39"/>
    </row>
    <row r="37" spans="4:12" x14ac:dyDescent="0.25">
      <c r="D37" s="40"/>
      <c r="E37" s="40"/>
      <c r="F37" s="43"/>
      <c r="G37" s="40"/>
      <c r="H37" s="40"/>
      <c r="I37" s="40"/>
      <c r="J37" s="43"/>
      <c r="K37" s="40"/>
      <c r="L37" s="39"/>
    </row>
    <row r="38" spans="4:12" x14ac:dyDescent="0.25">
      <c r="D38" s="40"/>
      <c r="E38" s="40"/>
      <c r="F38" s="43"/>
      <c r="G38" s="40"/>
      <c r="H38" s="40"/>
      <c r="I38" s="40"/>
      <c r="J38" s="43"/>
      <c r="K38" s="40"/>
      <c r="L38" s="39"/>
    </row>
    <row r="39" spans="4:12" x14ac:dyDescent="0.25">
      <c r="D39" s="39"/>
      <c r="E39" s="39"/>
      <c r="F39" s="39"/>
      <c r="G39" s="39"/>
      <c r="H39" s="39"/>
      <c r="I39" s="39"/>
      <c r="J39" s="39"/>
      <c r="K39" s="39"/>
      <c r="L39" s="39"/>
    </row>
    <row r="40" spans="4:12" x14ac:dyDescent="0.25">
      <c r="D40" s="40"/>
      <c r="E40" s="40"/>
      <c r="F40" s="42"/>
      <c r="G40" s="40"/>
      <c r="H40" s="40"/>
      <c r="I40" s="40"/>
      <c r="J40" s="42"/>
      <c r="K40" s="40"/>
      <c r="L40" s="39"/>
    </row>
    <row r="41" spans="4:12" x14ac:dyDescent="0.25">
      <c r="D41" s="40"/>
      <c r="E41" s="40"/>
      <c r="F41" s="43"/>
      <c r="G41" s="40"/>
      <c r="H41" s="40"/>
      <c r="I41" s="40"/>
      <c r="J41" s="43"/>
      <c r="K41" s="40"/>
      <c r="L41" s="39"/>
    </row>
    <row r="42" spans="4:12" x14ac:dyDescent="0.25">
      <c r="D42" s="40"/>
      <c r="E42" s="40"/>
      <c r="F42" s="43"/>
      <c r="G42" s="40"/>
      <c r="H42" s="40"/>
      <c r="I42" s="40"/>
      <c r="J42" s="43"/>
      <c r="K42" s="40"/>
      <c r="L42" s="39"/>
    </row>
    <row r="43" spans="4:12" x14ac:dyDescent="0.25">
      <c r="D43" s="40"/>
      <c r="E43" s="45"/>
      <c r="F43" s="508"/>
      <c r="G43" s="508"/>
      <c r="H43" s="40"/>
      <c r="I43" s="45"/>
      <c r="J43" s="508"/>
      <c r="K43" s="508"/>
      <c r="L43" s="39"/>
    </row>
    <row r="44" spans="4:12" x14ac:dyDescent="0.25">
      <c r="D44" s="39"/>
      <c r="E44" s="39"/>
      <c r="F44" s="39"/>
      <c r="G44" s="39"/>
      <c r="H44" s="39"/>
      <c r="I44" s="39"/>
      <c r="J44" s="39"/>
      <c r="K44" s="39"/>
      <c r="L44" s="39"/>
    </row>
  </sheetData>
  <mergeCells count="15">
    <mergeCell ref="I1:K1"/>
    <mergeCell ref="J10:K10"/>
    <mergeCell ref="F43:G43"/>
    <mergeCell ref="J43:K43"/>
    <mergeCell ref="I31:K31"/>
    <mergeCell ref="F10:G10"/>
    <mergeCell ref="I2:K2"/>
    <mergeCell ref="E31:G31"/>
    <mergeCell ref="I30:K30"/>
    <mergeCell ref="A1:C1"/>
    <mergeCell ref="B10:C10"/>
    <mergeCell ref="E30:G30"/>
    <mergeCell ref="A2:C2"/>
    <mergeCell ref="E2:G2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opLeftCell="B1" zoomScale="110" zoomScaleNormal="110" workbookViewId="0">
      <selection activeCell="D23" sqref="D23"/>
    </sheetView>
  </sheetViews>
  <sheetFormatPr defaultColWidth="9" defaultRowHeight="13.2" x14ac:dyDescent="0.25"/>
  <cols>
    <col min="1" max="1" width="12.33203125" style="16" bestFit="1" customWidth="1"/>
    <col min="2" max="2" width="16.6640625" style="16" bestFit="1" customWidth="1"/>
    <col min="3" max="3" width="3.6640625" style="16" customWidth="1"/>
    <col min="4" max="4" width="12.33203125" style="16" bestFit="1" customWidth="1"/>
    <col min="5" max="5" width="15.6640625" style="16" bestFit="1" customWidth="1"/>
    <col min="6" max="6" width="3.6640625" style="16" customWidth="1"/>
    <col min="7" max="7" width="12.33203125" style="16" bestFit="1" customWidth="1"/>
    <col min="8" max="8" width="16.6640625" style="16" bestFit="1" customWidth="1"/>
    <col min="9" max="16384" width="9" style="16"/>
  </cols>
  <sheetData>
    <row r="1" spans="1:8" ht="14.4" thickBot="1" x14ac:dyDescent="0.3">
      <c r="A1" s="510" t="s">
        <v>106</v>
      </c>
      <c r="B1" s="510"/>
      <c r="C1" s="511"/>
      <c r="D1" s="510"/>
      <c r="E1" s="510"/>
      <c r="F1" s="511"/>
      <c r="G1" s="510"/>
      <c r="H1" s="510"/>
    </row>
    <row r="2" spans="1:8" s="197" customFormat="1" ht="13.8" x14ac:dyDescent="0.3">
      <c r="A2" s="513" t="s">
        <v>26</v>
      </c>
      <c r="B2" s="514"/>
      <c r="C2" s="238"/>
      <c r="D2" s="513" t="s">
        <v>27</v>
      </c>
      <c r="E2" s="514"/>
      <c r="F2" s="238"/>
      <c r="G2" s="513" t="s">
        <v>28</v>
      </c>
      <c r="H2" s="514"/>
    </row>
    <row r="3" spans="1:8" ht="13.05" customHeight="1" x14ac:dyDescent="0.25">
      <c r="A3" s="515" t="s">
        <v>55</v>
      </c>
      <c r="B3" s="516"/>
      <c r="C3" s="512"/>
      <c r="D3" s="515" t="s">
        <v>55</v>
      </c>
      <c r="E3" s="516"/>
      <c r="F3" s="512"/>
      <c r="G3" s="515" t="s">
        <v>55</v>
      </c>
      <c r="H3" s="516"/>
    </row>
    <row r="4" spans="1:8" x14ac:dyDescent="0.25">
      <c r="A4" s="517"/>
      <c r="B4" s="518"/>
      <c r="C4" s="512"/>
      <c r="D4" s="517"/>
      <c r="E4" s="518"/>
      <c r="F4" s="512"/>
      <c r="G4" s="517"/>
      <c r="H4" s="518"/>
    </row>
    <row r="5" spans="1:8" ht="13.8" x14ac:dyDescent="0.3">
      <c r="A5" s="519" t="s">
        <v>18</v>
      </c>
      <c r="B5" s="520"/>
      <c r="C5" s="512"/>
      <c r="D5" s="519" t="s">
        <v>18</v>
      </c>
      <c r="E5" s="520"/>
      <c r="F5" s="512"/>
      <c r="G5" s="519" t="s">
        <v>18</v>
      </c>
      <c r="H5" s="520"/>
    </row>
    <row r="6" spans="1:8" ht="14.4" x14ac:dyDescent="0.3">
      <c r="A6" s="107" t="s">
        <v>234</v>
      </c>
      <c r="B6" s="108">
        <v>16800000</v>
      </c>
      <c r="C6" s="512"/>
      <c r="D6" s="107" t="s">
        <v>234</v>
      </c>
      <c r="E6" s="109">
        <v>20400000</v>
      </c>
      <c r="F6" s="512"/>
      <c r="G6" s="107" t="s">
        <v>234</v>
      </c>
      <c r="H6" s="108">
        <f>'SALES VOLUME'!J5</f>
        <v>18460000</v>
      </c>
    </row>
    <row r="7" spans="1:8" ht="14.4" x14ac:dyDescent="0.3">
      <c r="A7" s="107" t="s">
        <v>322</v>
      </c>
      <c r="B7" s="108">
        <v>9230000</v>
      </c>
      <c r="C7" s="512"/>
      <c r="D7" s="107" t="s">
        <v>322</v>
      </c>
      <c r="E7" s="108">
        <v>4480000</v>
      </c>
      <c r="F7" s="512"/>
      <c r="G7" s="107" t="s">
        <v>322</v>
      </c>
      <c r="H7" s="108">
        <f>'SALES VOLUME'!J9</f>
        <v>4900000</v>
      </c>
    </row>
    <row r="8" spans="1:8" ht="13.8" x14ac:dyDescent="0.3">
      <c r="A8" s="324" t="s">
        <v>38</v>
      </c>
      <c r="B8" s="325">
        <f>B6+B7</f>
        <v>26030000</v>
      </c>
      <c r="C8" s="512"/>
      <c r="D8" s="324" t="s">
        <v>38</v>
      </c>
      <c r="E8" s="325">
        <f>E6+E7</f>
        <v>24880000</v>
      </c>
      <c r="F8" s="512"/>
      <c r="G8" s="324" t="s">
        <v>38</v>
      </c>
      <c r="H8" s="325">
        <f>H6+H7</f>
        <v>23360000</v>
      </c>
    </row>
    <row r="9" spans="1:8" ht="13.8" x14ac:dyDescent="0.3">
      <c r="A9" s="110"/>
      <c r="B9" s="111"/>
      <c r="C9" s="512"/>
      <c r="D9" s="110"/>
      <c r="E9" s="111"/>
      <c r="F9" s="512"/>
      <c r="G9" s="110"/>
      <c r="H9" s="111"/>
    </row>
    <row r="10" spans="1:8" ht="13.8" x14ac:dyDescent="0.3">
      <c r="A10" s="519" t="s">
        <v>22</v>
      </c>
      <c r="B10" s="520"/>
      <c r="C10" s="512"/>
      <c r="D10" s="519" t="s">
        <v>22</v>
      </c>
      <c r="E10" s="520"/>
      <c r="F10" s="512"/>
      <c r="G10" s="519" t="s">
        <v>22</v>
      </c>
      <c r="H10" s="520"/>
    </row>
    <row r="11" spans="1:8" ht="13.8" x14ac:dyDescent="0.3">
      <c r="A11" s="107" t="s">
        <v>234</v>
      </c>
      <c r="B11" s="112">
        <f>B6*0.45</f>
        <v>7560000</v>
      </c>
      <c r="C11" s="512"/>
      <c r="D11" s="107" t="s">
        <v>234</v>
      </c>
      <c r="E11" s="112">
        <f>E6*0.4</f>
        <v>8160000</v>
      </c>
      <c r="F11" s="512"/>
      <c r="G11" s="107" t="s">
        <v>234</v>
      </c>
      <c r="H11" s="112">
        <f>H6*0.45</f>
        <v>8307000</v>
      </c>
    </row>
    <row r="12" spans="1:8" ht="13.8" x14ac:dyDescent="0.3">
      <c r="A12" s="107" t="s">
        <v>322</v>
      </c>
      <c r="B12" s="112">
        <f>B7*0.35</f>
        <v>3230500</v>
      </c>
      <c r="C12" s="512"/>
      <c r="D12" s="107" t="s">
        <v>322</v>
      </c>
      <c r="E12" s="112">
        <f>E7*0.35</f>
        <v>1568000</v>
      </c>
      <c r="F12" s="512"/>
      <c r="G12" s="107" t="s">
        <v>322</v>
      </c>
      <c r="H12" s="112">
        <f>H7*0.35</f>
        <v>1715000</v>
      </c>
    </row>
    <row r="13" spans="1:8" ht="13.8" x14ac:dyDescent="0.3">
      <c r="A13" s="324" t="s">
        <v>38</v>
      </c>
      <c r="B13" s="325">
        <f>B11+B12</f>
        <v>10790500</v>
      </c>
      <c r="C13" s="512"/>
      <c r="D13" s="324" t="s">
        <v>38</v>
      </c>
      <c r="E13" s="325">
        <f>E11+E12</f>
        <v>9728000</v>
      </c>
      <c r="F13" s="512"/>
      <c r="G13" s="324" t="s">
        <v>38</v>
      </c>
      <c r="H13" s="325">
        <f>H11+H12</f>
        <v>10022000</v>
      </c>
    </row>
    <row r="14" spans="1:8" ht="13.8" x14ac:dyDescent="0.3">
      <c r="A14" s="110"/>
      <c r="B14" s="113"/>
      <c r="C14" s="512"/>
      <c r="D14" s="110"/>
      <c r="E14" s="111"/>
      <c r="F14" s="512"/>
      <c r="G14" s="110"/>
      <c r="H14" s="111"/>
    </row>
    <row r="15" spans="1:8" ht="13.8" x14ac:dyDescent="0.3">
      <c r="A15" s="519" t="s">
        <v>62</v>
      </c>
      <c r="B15" s="520"/>
      <c r="C15" s="512"/>
      <c r="D15" s="519" t="s">
        <v>62</v>
      </c>
      <c r="E15" s="520"/>
      <c r="F15" s="512"/>
      <c r="G15" s="519" t="s">
        <v>62</v>
      </c>
      <c r="H15" s="520"/>
    </row>
    <row r="16" spans="1:8" ht="14.4" thickBot="1" x14ac:dyDescent="0.35">
      <c r="A16" s="326" t="s">
        <v>38</v>
      </c>
      <c r="B16" s="327">
        <f>B8-B13</f>
        <v>15239500</v>
      </c>
      <c r="C16" s="512"/>
      <c r="D16" s="326" t="s">
        <v>38</v>
      </c>
      <c r="E16" s="328">
        <f>E8-E13</f>
        <v>15152000</v>
      </c>
      <c r="F16" s="512"/>
      <c r="G16" s="326" t="s">
        <v>38</v>
      </c>
      <c r="H16" s="329">
        <f>H8-H13</f>
        <v>13338000</v>
      </c>
    </row>
  </sheetData>
  <mergeCells count="18">
    <mergeCell ref="D10:E10"/>
    <mergeCell ref="D15:E15"/>
    <mergeCell ref="A1:H1"/>
    <mergeCell ref="C3:C16"/>
    <mergeCell ref="F3:F16"/>
    <mergeCell ref="G2:H2"/>
    <mergeCell ref="G3:H4"/>
    <mergeCell ref="G5:H5"/>
    <mergeCell ref="G10:H10"/>
    <mergeCell ref="G15:H15"/>
    <mergeCell ref="A2:B2"/>
    <mergeCell ref="A3:B4"/>
    <mergeCell ref="A5:B5"/>
    <mergeCell ref="A10:B10"/>
    <mergeCell ref="A15:B15"/>
    <mergeCell ref="D2:E2"/>
    <mergeCell ref="D3:E4"/>
    <mergeCell ref="D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zoomScale="85" zoomScaleNormal="85" workbookViewId="0">
      <selection activeCell="H3" sqref="H3:H5"/>
    </sheetView>
  </sheetViews>
  <sheetFormatPr defaultColWidth="9" defaultRowHeight="13.8" x14ac:dyDescent="0.25"/>
  <cols>
    <col min="1" max="1" width="25.33203125" style="1" bestFit="1" customWidth="1"/>
    <col min="2" max="2" width="19.77734375" style="1" bestFit="1" customWidth="1"/>
    <col min="3" max="3" width="11.77734375" style="1" customWidth="1"/>
    <col min="4" max="4" width="19.33203125" style="1" bestFit="1" customWidth="1"/>
    <col min="5" max="5" width="16.44140625" style="1" bestFit="1" customWidth="1"/>
    <col min="6" max="6" width="10.77734375" style="1" bestFit="1" customWidth="1"/>
    <col min="7" max="7" width="9.77734375" style="1" bestFit="1" customWidth="1"/>
    <col min="8" max="8" width="20.77734375" style="1" bestFit="1" customWidth="1"/>
    <col min="9" max="9" width="16.44140625" style="1" bestFit="1" customWidth="1"/>
    <col min="10" max="10" width="9.88671875" style="1" bestFit="1" customWidth="1"/>
    <col min="11" max="12" width="7.77734375" style="1" bestFit="1" customWidth="1"/>
    <col min="13" max="13" width="10.109375" style="1" bestFit="1" customWidth="1"/>
    <col min="14" max="14" width="14.33203125" style="1" bestFit="1" customWidth="1"/>
    <col min="15" max="16384" width="9" style="1"/>
  </cols>
  <sheetData>
    <row r="1" spans="1:10" ht="18" x14ac:dyDescent="0.35">
      <c r="A1" s="524" t="s">
        <v>107</v>
      </c>
      <c r="B1" s="525"/>
      <c r="C1" s="114"/>
      <c r="D1" s="524" t="s">
        <v>35</v>
      </c>
      <c r="E1" s="528"/>
      <c r="F1" s="528"/>
      <c r="G1" s="528"/>
      <c r="H1" s="525"/>
      <c r="I1" s="115"/>
    </row>
    <row r="2" spans="1:10" ht="18" x14ac:dyDescent="0.35">
      <c r="A2" s="130" t="s">
        <v>64</v>
      </c>
      <c r="B2" s="483">
        <v>26232000</v>
      </c>
      <c r="C2" s="131"/>
      <c r="D2" s="120" t="s">
        <v>32</v>
      </c>
      <c r="E2" s="51" t="s">
        <v>65</v>
      </c>
      <c r="F2" s="52" t="s">
        <v>66</v>
      </c>
      <c r="G2" s="51" t="s">
        <v>67</v>
      </c>
      <c r="H2" s="121" t="s">
        <v>68</v>
      </c>
      <c r="I2" s="132"/>
    </row>
    <row r="3" spans="1:10" ht="18" x14ac:dyDescent="0.3">
      <c r="A3" s="130" t="s">
        <v>78</v>
      </c>
      <c r="B3" s="484">
        <v>0.65</v>
      </c>
      <c r="C3" s="131"/>
      <c r="D3" s="120" t="s">
        <v>89</v>
      </c>
      <c r="E3" s="51" t="s">
        <v>69</v>
      </c>
      <c r="F3" s="53">
        <f>B14</f>
        <v>3.5722471649074002E-2</v>
      </c>
      <c r="G3" s="54">
        <f>B3</f>
        <v>0.65</v>
      </c>
      <c r="H3" s="522">
        <f>SUMPRODUCT(F3:F5,G3:G5)</f>
        <v>5.6030371003856064E-2</v>
      </c>
      <c r="I3" s="330"/>
      <c r="J3" s="331"/>
    </row>
    <row r="4" spans="1:10" ht="36" x14ac:dyDescent="0.25">
      <c r="A4" s="130" t="s">
        <v>82</v>
      </c>
      <c r="B4" s="484">
        <v>0.1</v>
      </c>
      <c r="C4" s="131"/>
      <c r="D4" s="120" t="s">
        <v>83</v>
      </c>
      <c r="E4" s="51" t="s">
        <v>87</v>
      </c>
      <c r="F4" s="53">
        <f>E14</f>
        <v>0.13343398067875958</v>
      </c>
      <c r="G4" s="54">
        <f>B4</f>
        <v>0.1</v>
      </c>
      <c r="H4" s="522"/>
      <c r="I4" s="533" t="s">
        <v>49</v>
      </c>
      <c r="J4" s="521">
        <f>ROUNDUP(H3,2)</f>
        <v>6.0000000000000005E-2</v>
      </c>
    </row>
    <row r="5" spans="1:10" ht="36.6" thickBot="1" x14ac:dyDescent="0.3">
      <c r="A5" s="134" t="s">
        <v>79</v>
      </c>
      <c r="B5" s="485">
        <v>0.25</v>
      </c>
      <c r="C5" s="131"/>
      <c r="D5" s="122" t="s">
        <v>63</v>
      </c>
      <c r="E5" s="123" t="s">
        <v>70</v>
      </c>
      <c r="F5" s="124">
        <f>I17</f>
        <v>7.7869465456327988E-2</v>
      </c>
      <c r="G5" s="125">
        <f>B5</f>
        <v>0.25</v>
      </c>
      <c r="H5" s="523"/>
      <c r="I5" s="533"/>
      <c r="J5" s="521"/>
    </row>
    <row r="6" spans="1:10" ht="15.6" x14ac:dyDescent="0.3">
      <c r="A6" s="135"/>
      <c r="B6" s="136"/>
      <c r="C6" s="137"/>
      <c r="D6" s="116"/>
      <c r="E6" s="116"/>
      <c r="F6" s="117"/>
      <c r="G6" s="118"/>
      <c r="H6" s="119"/>
      <c r="I6" s="132"/>
    </row>
    <row r="7" spans="1:10" ht="15" thickBot="1" x14ac:dyDescent="0.35">
      <c r="A7" s="138"/>
      <c r="B7" s="139"/>
      <c r="C7" s="137"/>
      <c r="D7" s="140"/>
      <c r="E7" s="132"/>
      <c r="F7" s="132"/>
      <c r="G7" s="140"/>
      <c r="H7" s="140"/>
      <c r="I7" s="132"/>
    </row>
    <row r="8" spans="1:10" ht="18" x14ac:dyDescent="0.35">
      <c r="A8" s="529" t="s">
        <v>90</v>
      </c>
      <c r="B8" s="530"/>
      <c r="C8" s="526"/>
      <c r="D8" s="531" t="s">
        <v>91</v>
      </c>
      <c r="E8" s="532"/>
      <c r="F8" s="527"/>
      <c r="G8" s="527"/>
      <c r="H8" s="529" t="s">
        <v>92</v>
      </c>
      <c r="I8" s="530"/>
    </row>
    <row r="9" spans="1:10" ht="18" x14ac:dyDescent="0.35">
      <c r="A9" s="130" t="s">
        <v>46</v>
      </c>
      <c r="B9" s="141">
        <f>B2*B3</f>
        <v>17050800</v>
      </c>
      <c r="C9" s="526"/>
      <c r="D9" s="130" t="s">
        <v>84</v>
      </c>
      <c r="E9" s="142">
        <f>B2*B4</f>
        <v>2623200</v>
      </c>
      <c r="F9" s="527"/>
      <c r="G9" s="527"/>
      <c r="H9" s="130" t="s">
        <v>71</v>
      </c>
      <c r="I9" s="141">
        <f>B2*B5</f>
        <v>6558000</v>
      </c>
    </row>
    <row r="10" spans="1:10" s="331" customFormat="1" ht="18" x14ac:dyDescent="0.25">
      <c r="A10" s="370" t="s">
        <v>80</v>
      </c>
      <c r="B10" s="371">
        <v>10</v>
      </c>
      <c r="C10" s="526"/>
      <c r="D10" s="370" t="s">
        <v>80</v>
      </c>
      <c r="E10" s="371">
        <v>10</v>
      </c>
      <c r="F10" s="527"/>
      <c r="G10" s="527"/>
      <c r="H10" s="370" t="s">
        <v>80</v>
      </c>
      <c r="I10" s="371">
        <v>10</v>
      </c>
    </row>
    <row r="11" spans="1:10" ht="18" x14ac:dyDescent="0.25">
      <c r="A11" s="130" t="s">
        <v>47</v>
      </c>
      <c r="B11" s="143">
        <v>5.8000000000000003E-2</v>
      </c>
      <c r="C11" s="526"/>
      <c r="D11" s="130" t="s">
        <v>77</v>
      </c>
      <c r="E11" s="133">
        <v>0.4</v>
      </c>
      <c r="F11" s="527"/>
      <c r="G11" s="527"/>
      <c r="H11" s="130" t="s">
        <v>72</v>
      </c>
      <c r="I11" s="144">
        <v>2000</v>
      </c>
    </row>
    <row r="12" spans="1:10" ht="18" x14ac:dyDescent="0.35">
      <c r="A12" s="130" t="s">
        <v>81</v>
      </c>
      <c r="B12" s="143">
        <f>EFFECT(5.8%,10)</f>
        <v>5.9537452748456676E-2</v>
      </c>
      <c r="C12" s="526"/>
      <c r="D12" s="130" t="s">
        <v>85</v>
      </c>
      <c r="E12" s="142">
        <v>35000</v>
      </c>
      <c r="F12" s="527"/>
      <c r="G12" s="527"/>
      <c r="H12" s="130" t="s">
        <v>73</v>
      </c>
      <c r="I12" s="141">
        <f>I9*1.18</f>
        <v>7738440</v>
      </c>
    </row>
    <row r="13" spans="1:10" ht="36" x14ac:dyDescent="0.35">
      <c r="A13" s="130" t="s">
        <v>48</v>
      </c>
      <c r="B13" s="133">
        <v>0.4</v>
      </c>
      <c r="C13" s="526"/>
      <c r="D13" s="130" t="s">
        <v>86</v>
      </c>
      <c r="E13" s="142">
        <v>180</v>
      </c>
      <c r="F13" s="527"/>
      <c r="G13" s="527"/>
      <c r="H13" s="130" t="s">
        <v>74</v>
      </c>
      <c r="I13" s="133">
        <v>0.12</v>
      </c>
    </row>
    <row r="14" spans="1:10" ht="18.600000000000001" thickBot="1" x14ac:dyDescent="0.4">
      <c r="A14" s="134" t="s">
        <v>69</v>
      </c>
      <c r="B14" s="145">
        <f>B12*(1-B13)</f>
        <v>3.5722471649074002E-2</v>
      </c>
      <c r="C14" s="526"/>
      <c r="D14" s="134" t="s">
        <v>87</v>
      </c>
      <c r="E14" s="146">
        <f>(E12*E10)/(E9-E13)</f>
        <v>0.13343398067875958</v>
      </c>
      <c r="F14" s="527"/>
      <c r="G14" s="527"/>
      <c r="H14" s="130" t="s">
        <v>75</v>
      </c>
      <c r="I14" s="141">
        <f>I9*I13</f>
        <v>786960</v>
      </c>
    </row>
    <row r="15" spans="1:10" ht="18" x14ac:dyDescent="0.35">
      <c r="A15" s="147"/>
      <c r="B15" s="148"/>
      <c r="C15" s="148"/>
      <c r="D15" s="149"/>
      <c r="E15" s="149"/>
      <c r="F15" s="149"/>
      <c r="G15" s="150"/>
      <c r="H15" s="130" t="s">
        <v>76</v>
      </c>
      <c r="I15" s="143">
        <f>RATE(I10,I14,-I9,I12)</f>
        <v>0.12978244242721332</v>
      </c>
    </row>
    <row r="16" spans="1:10" ht="18" x14ac:dyDescent="0.35">
      <c r="A16" s="151"/>
      <c r="B16" s="152"/>
      <c r="C16" s="148"/>
      <c r="D16" s="149"/>
      <c r="E16" s="149"/>
      <c r="F16" s="149"/>
      <c r="G16" s="150"/>
      <c r="H16" s="130" t="s">
        <v>77</v>
      </c>
      <c r="I16" s="133">
        <f>B13</f>
        <v>0.4</v>
      </c>
    </row>
    <row r="17" spans="1:9" ht="18.600000000000001" thickBot="1" x14ac:dyDescent="0.4">
      <c r="A17" s="150"/>
      <c r="B17" s="150"/>
      <c r="C17" s="150"/>
      <c r="D17" s="149"/>
      <c r="E17" s="149"/>
      <c r="F17" s="149"/>
      <c r="G17" s="150"/>
      <c r="H17" s="134" t="s">
        <v>70</v>
      </c>
      <c r="I17" s="145">
        <f>I15*(1-I16)</f>
        <v>7.7869465456327988E-2</v>
      </c>
    </row>
    <row r="18" spans="1:9" ht="18" x14ac:dyDescent="0.35">
      <c r="A18" s="49"/>
      <c r="B18" s="49"/>
      <c r="C18" s="49"/>
      <c r="D18" s="48"/>
      <c r="E18" s="48"/>
      <c r="F18" s="48"/>
      <c r="G18" s="48"/>
      <c r="H18" s="48"/>
      <c r="I18" s="49"/>
    </row>
    <row r="19" spans="1:9" ht="18" x14ac:dyDescent="0.35">
      <c r="A19" s="49"/>
      <c r="B19" s="49"/>
      <c r="C19" s="49"/>
      <c r="D19" s="48"/>
      <c r="E19" s="48"/>
      <c r="F19" s="48"/>
      <c r="G19" s="48"/>
      <c r="H19" s="48"/>
      <c r="I19" s="49"/>
    </row>
    <row r="20" spans="1:9" x14ac:dyDescent="0.25">
      <c r="D20" s="17"/>
      <c r="E20" s="17"/>
      <c r="F20" s="17"/>
      <c r="G20" s="17"/>
      <c r="H20" s="17"/>
    </row>
    <row r="21" spans="1:9" x14ac:dyDescent="0.25">
      <c r="D21" s="17"/>
      <c r="E21" s="17"/>
      <c r="F21" s="17"/>
      <c r="G21" s="17"/>
      <c r="H21" s="17"/>
    </row>
    <row r="22" spans="1:9" x14ac:dyDescent="0.25">
      <c r="D22" s="17"/>
      <c r="E22" s="17"/>
      <c r="F22" s="17"/>
      <c r="G22" s="17"/>
      <c r="H22" s="17"/>
    </row>
    <row r="23" spans="1:9" x14ac:dyDescent="0.25">
      <c r="D23" s="17"/>
      <c r="E23" s="17"/>
      <c r="F23" s="17"/>
      <c r="G23" s="17"/>
      <c r="H23" s="17"/>
    </row>
    <row r="24" spans="1:9" x14ac:dyDescent="0.25">
      <c r="D24" s="17"/>
      <c r="E24" s="17"/>
      <c r="F24" s="17"/>
      <c r="G24" s="17"/>
      <c r="H24" s="17"/>
    </row>
    <row r="25" spans="1:9" x14ac:dyDescent="0.25">
      <c r="D25" s="17"/>
      <c r="E25" s="17"/>
      <c r="F25" s="17"/>
      <c r="G25" s="17"/>
      <c r="H25" s="17"/>
    </row>
    <row r="26" spans="1:9" x14ac:dyDescent="0.25">
      <c r="D26" s="17"/>
      <c r="E26" s="17"/>
      <c r="F26" s="17"/>
      <c r="G26" s="17"/>
      <c r="H26" s="17"/>
    </row>
  </sheetData>
  <mergeCells count="10">
    <mergeCell ref="J4:J5"/>
    <mergeCell ref="H3:H5"/>
    <mergeCell ref="A1:B1"/>
    <mergeCell ref="C8:C14"/>
    <mergeCell ref="F8:G14"/>
    <mergeCell ref="D1:H1"/>
    <mergeCell ref="A8:B8"/>
    <mergeCell ref="H8:I8"/>
    <mergeCell ref="D8:E8"/>
    <mergeCell ref="I4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showGridLines="0" zoomScaleNormal="100" workbookViewId="0">
      <selection activeCell="H3" sqref="H3"/>
    </sheetView>
  </sheetViews>
  <sheetFormatPr defaultColWidth="17" defaultRowHeight="13.2" x14ac:dyDescent="0.25"/>
  <cols>
    <col min="1" max="1" width="13.109375" style="19" bestFit="1" customWidth="1"/>
    <col min="2" max="2" width="14.44140625" style="19" bestFit="1" customWidth="1"/>
    <col min="3" max="3" width="12.44140625" style="19" bestFit="1" customWidth="1"/>
    <col min="4" max="4" width="13.109375" style="19" bestFit="1" customWidth="1"/>
    <col min="5" max="5" width="3.44140625" style="19" customWidth="1"/>
    <col min="6" max="6" width="11.109375" style="19" bestFit="1" customWidth="1"/>
    <col min="7" max="7" width="14.44140625" style="19" customWidth="1"/>
    <col min="8" max="8" width="12.44140625" style="19" bestFit="1" customWidth="1"/>
    <col min="9" max="9" width="13.109375" style="19" bestFit="1" customWidth="1"/>
    <col min="10" max="10" width="3" style="19" customWidth="1"/>
    <col min="11" max="11" width="11.109375" style="19" bestFit="1" customWidth="1"/>
    <col min="12" max="12" width="14.44140625" style="19" bestFit="1" customWidth="1"/>
    <col min="13" max="13" width="12.44140625" style="19" bestFit="1" customWidth="1"/>
    <col min="14" max="14" width="13.109375" style="19" bestFit="1" customWidth="1"/>
    <col min="15" max="16384" width="17" style="19"/>
  </cols>
  <sheetData>
    <row r="1" spans="1:14" ht="13.8" customHeight="1" x14ac:dyDescent="0.25">
      <c r="A1" s="534" t="s">
        <v>26</v>
      </c>
      <c r="B1" s="535"/>
      <c r="C1" s="535"/>
      <c r="D1" s="536"/>
      <c r="E1" s="372"/>
      <c r="F1" s="534" t="s">
        <v>27</v>
      </c>
      <c r="G1" s="535"/>
      <c r="H1" s="535"/>
      <c r="I1" s="536"/>
      <c r="J1" s="372"/>
      <c r="K1" s="534" t="s">
        <v>28</v>
      </c>
      <c r="L1" s="535"/>
      <c r="M1" s="535"/>
      <c r="N1" s="536"/>
    </row>
    <row r="2" spans="1:14" ht="27.6" x14ac:dyDescent="0.25">
      <c r="A2" s="153" t="s">
        <v>96</v>
      </c>
      <c r="B2" s="126" t="s">
        <v>36</v>
      </c>
      <c r="C2" s="126" t="s">
        <v>39</v>
      </c>
      <c r="D2" s="154" t="s">
        <v>37</v>
      </c>
      <c r="E2" s="372"/>
      <c r="F2" s="153" t="s">
        <v>96</v>
      </c>
      <c r="G2" s="126" t="s">
        <v>36</v>
      </c>
      <c r="H2" s="126" t="s">
        <v>39</v>
      </c>
      <c r="I2" s="154" t="s">
        <v>37</v>
      </c>
      <c r="J2" s="372"/>
      <c r="K2" s="153" t="s">
        <v>96</v>
      </c>
      <c r="L2" s="126" t="s">
        <v>36</v>
      </c>
      <c r="M2" s="126" t="s">
        <v>39</v>
      </c>
      <c r="N2" s="154" t="s">
        <v>37</v>
      </c>
    </row>
    <row r="3" spans="1:14" ht="13.8" x14ac:dyDescent="0.25">
      <c r="A3" s="336" t="s">
        <v>236</v>
      </c>
      <c r="B3" s="126" t="s">
        <v>239</v>
      </c>
      <c r="C3" s="127">
        <f>'INVESTMENT COST'!B5</f>
        <v>2300000</v>
      </c>
      <c r="D3" s="155">
        <v>700000</v>
      </c>
      <c r="E3" s="372"/>
      <c r="F3" s="336" t="s">
        <v>236</v>
      </c>
      <c r="G3" s="126" t="s">
        <v>239</v>
      </c>
      <c r="H3" s="127">
        <f>'INVESTMENT COST'!D5</f>
        <v>1750000</v>
      </c>
      <c r="I3" s="155">
        <v>670000</v>
      </c>
      <c r="J3" s="372"/>
      <c r="K3" s="336" t="s">
        <v>236</v>
      </c>
      <c r="L3" s="126" t="s">
        <v>239</v>
      </c>
      <c r="M3" s="127">
        <f>'INVESTMENT COST'!F5</f>
        <v>1100000</v>
      </c>
      <c r="N3" s="155">
        <v>655000</v>
      </c>
    </row>
    <row r="4" spans="1:14" ht="13.8" x14ac:dyDescent="0.3">
      <c r="A4" s="377" t="s">
        <v>38</v>
      </c>
      <c r="B4" s="378"/>
      <c r="C4" s="332">
        <f>SUM(C3:C3)</f>
        <v>2300000</v>
      </c>
      <c r="D4" s="333">
        <f>SUM(D3:D3)</f>
        <v>700000</v>
      </c>
      <c r="E4" s="372"/>
      <c r="F4" s="377" t="s">
        <v>38</v>
      </c>
      <c r="G4" s="378"/>
      <c r="H4" s="332">
        <f>SUM(H3:H3)</f>
        <v>1750000</v>
      </c>
      <c r="I4" s="333">
        <f>SUM(I3:I3)</f>
        <v>670000</v>
      </c>
      <c r="J4" s="372"/>
      <c r="K4" s="377" t="s">
        <v>38</v>
      </c>
      <c r="L4" s="378"/>
      <c r="M4" s="332">
        <f>SUM(M3:M3)</f>
        <v>1100000</v>
      </c>
      <c r="N4" s="333">
        <f>SUM(N3:N3)</f>
        <v>655000</v>
      </c>
    </row>
    <row r="5" spans="1:14" ht="13.8" x14ac:dyDescent="0.25">
      <c r="A5" s="373"/>
      <c r="B5" s="374"/>
      <c r="C5" s="374"/>
      <c r="D5" s="375"/>
      <c r="E5" s="372"/>
      <c r="F5" s="373"/>
      <c r="G5" s="374"/>
      <c r="H5" s="374"/>
      <c r="I5" s="375"/>
      <c r="J5" s="372"/>
      <c r="K5" s="373"/>
      <c r="L5" s="374"/>
      <c r="M5" s="374"/>
      <c r="N5" s="375"/>
    </row>
    <row r="6" spans="1:14" ht="27.6" x14ac:dyDescent="0.25">
      <c r="A6" s="153" t="s">
        <v>96</v>
      </c>
      <c r="B6" s="126" t="s">
        <v>36</v>
      </c>
      <c r="C6" s="126" t="s">
        <v>39</v>
      </c>
      <c r="D6" s="154" t="s">
        <v>37</v>
      </c>
      <c r="E6" s="372"/>
      <c r="F6" s="153" t="s">
        <v>96</v>
      </c>
      <c r="G6" s="126" t="s">
        <v>36</v>
      </c>
      <c r="H6" s="126" t="s">
        <v>39</v>
      </c>
      <c r="I6" s="154" t="s">
        <v>37</v>
      </c>
      <c r="J6" s="372"/>
      <c r="K6" s="153" t="s">
        <v>96</v>
      </c>
      <c r="L6" s="126" t="s">
        <v>36</v>
      </c>
      <c r="M6" s="126" t="s">
        <v>39</v>
      </c>
      <c r="N6" s="154" t="s">
        <v>37</v>
      </c>
    </row>
    <row r="7" spans="1:14" ht="27.6" x14ac:dyDescent="0.25">
      <c r="A7" s="337" t="s">
        <v>237</v>
      </c>
      <c r="B7" s="126" t="s">
        <v>238</v>
      </c>
      <c r="C7" s="127">
        <v>1250000</v>
      </c>
      <c r="D7" s="155">
        <v>0</v>
      </c>
      <c r="E7" s="372"/>
      <c r="F7" s="337" t="s">
        <v>237</v>
      </c>
      <c r="G7" s="126" t="s">
        <v>238</v>
      </c>
      <c r="H7" s="127">
        <v>980000</v>
      </c>
      <c r="I7" s="155">
        <v>0</v>
      </c>
      <c r="J7" s="372"/>
      <c r="K7" s="337" t="s">
        <v>237</v>
      </c>
      <c r="L7" s="126" t="s">
        <v>238</v>
      </c>
      <c r="M7" s="127">
        <v>1000000</v>
      </c>
      <c r="N7" s="155">
        <v>0</v>
      </c>
    </row>
    <row r="8" spans="1:14" ht="15" customHeight="1" thickBot="1" x14ac:dyDescent="0.35">
      <c r="A8" s="537" t="s">
        <v>38</v>
      </c>
      <c r="B8" s="538"/>
      <c r="C8" s="334">
        <v>1250000</v>
      </c>
      <c r="D8" s="335">
        <v>0</v>
      </c>
      <c r="E8" s="372"/>
      <c r="F8" s="537" t="s">
        <v>38</v>
      </c>
      <c r="G8" s="538"/>
      <c r="H8" s="334">
        <v>980000</v>
      </c>
      <c r="I8" s="335">
        <v>0</v>
      </c>
      <c r="J8" s="372"/>
      <c r="K8" s="537" t="s">
        <v>38</v>
      </c>
      <c r="L8" s="538"/>
      <c r="M8" s="334">
        <v>1000000</v>
      </c>
      <c r="N8" s="335">
        <v>0</v>
      </c>
    </row>
    <row r="9" spans="1:14" ht="13.8" x14ac:dyDescent="0.3">
      <c r="A9" s="128"/>
      <c r="B9" s="128"/>
      <c r="C9" s="128"/>
      <c r="D9" s="128"/>
      <c r="E9" s="372"/>
      <c r="F9" s="376"/>
      <c r="G9" s="376"/>
      <c r="H9" s="129"/>
      <c r="I9" s="129"/>
      <c r="J9" s="372"/>
      <c r="K9" s="376"/>
      <c r="L9" s="376"/>
      <c r="M9" s="129"/>
      <c r="N9" s="129"/>
    </row>
    <row r="12" spans="1:14" x14ac:dyDescent="0.25">
      <c r="B12" s="20" t="s">
        <v>108</v>
      </c>
      <c r="C12" s="20"/>
    </row>
    <row r="13" spans="1:14" x14ac:dyDescent="0.25">
      <c r="B13" s="20"/>
      <c r="C13" s="20"/>
    </row>
    <row r="14" spans="1:14" x14ac:dyDescent="0.25">
      <c r="B14" s="20"/>
      <c r="C14" s="20"/>
    </row>
    <row r="15" spans="1:14" x14ac:dyDescent="0.25">
      <c r="B15" s="20"/>
      <c r="C15" s="20"/>
    </row>
    <row r="16" spans="1:14" x14ac:dyDescent="0.25">
      <c r="B16" s="20"/>
      <c r="C16" s="20"/>
    </row>
  </sheetData>
  <mergeCells count="6">
    <mergeCell ref="K1:N1"/>
    <mergeCell ref="A1:D1"/>
    <mergeCell ref="F1:I1"/>
    <mergeCell ref="A8:B8"/>
    <mergeCell ref="F8:G8"/>
    <mergeCell ref="K8:L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="60" zoomScaleNormal="51" workbookViewId="0">
      <selection activeCell="K19" sqref="K19"/>
    </sheetView>
  </sheetViews>
  <sheetFormatPr defaultColWidth="9" defaultRowHeight="13.2" x14ac:dyDescent="0.25"/>
  <cols>
    <col min="1" max="1" width="4.77734375" style="16" bestFit="1" customWidth="1"/>
    <col min="2" max="2" width="46.44140625" style="16" customWidth="1"/>
    <col min="3" max="3" width="43.77734375" style="16" customWidth="1"/>
    <col min="4" max="4" width="25" style="16" customWidth="1"/>
    <col min="5" max="5" width="40.6640625" style="16" customWidth="1"/>
    <col min="6" max="6" width="31.44140625" style="16" customWidth="1"/>
    <col min="7" max="7" width="21.44140625" style="16" customWidth="1"/>
    <col min="8" max="8" width="21.77734375" style="16" customWidth="1"/>
    <col min="9" max="9" width="24.109375" style="16" customWidth="1"/>
    <col min="10" max="10" width="18.44140625" style="16" bestFit="1" customWidth="1"/>
    <col min="11" max="11" width="23" style="16" bestFit="1" customWidth="1"/>
    <col min="12" max="16384" width="9" style="16"/>
  </cols>
  <sheetData>
    <row r="1" spans="1:11" ht="18" x14ac:dyDescent="0.35">
      <c r="B1" s="90" t="s">
        <v>60</v>
      </c>
      <c r="C1" s="379">
        <f>'INVESTMENT COST'!C14</f>
        <v>15565000</v>
      </c>
    </row>
    <row r="2" spans="1:11" ht="18" x14ac:dyDescent="0.35">
      <c r="B2" s="91" t="s">
        <v>50</v>
      </c>
      <c r="C2" s="380">
        <f>'PROJECT FUNDING'!B2</f>
        <v>26232000</v>
      </c>
    </row>
    <row r="3" spans="1:11" ht="18" x14ac:dyDescent="0.35">
      <c r="B3" s="91" t="s">
        <v>80</v>
      </c>
      <c r="C3" s="381">
        <v>10</v>
      </c>
    </row>
    <row r="4" spans="1:11" ht="18" x14ac:dyDescent="0.35">
      <c r="B4" s="91" t="s">
        <v>49</v>
      </c>
      <c r="C4" s="382">
        <f>'PROJECT FUNDING'!J4</f>
        <v>6.0000000000000005E-2</v>
      </c>
    </row>
    <row r="5" spans="1:11" ht="18" x14ac:dyDescent="0.35">
      <c r="B5" s="158" t="s">
        <v>47</v>
      </c>
      <c r="C5" s="382">
        <f>'PROJECT FUNDING'!B11</f>
        <v>5.8000000000000003E-2</v>
      </c>
    </row>
    <row r="6" spans="1:11" ht="13.8" thickBot="1" x14ac:dyDescent="0.3">
      <c r="B6" s="159"/>
      <c r="C6" s="160"/>
    </row>
    <row r="7" spans="1:11" ht="18" x14ac:dyDescent="0.25">
      <c r="A7" s="539" t="s">
        <v>202</v>
      </c>
      <c r="B7" s="540"/>
      <c r="C7" s="540"/>
      <c r="D7" s="540"/>
      <c r="E7" s="540"/>
      <c r="F7" s="540"/>
      <c r="G7" s="540"/>
      <c r="H7" s="540"/>
      <c r="I7" s="540"/>
      <c r="J7" s="540"/>
      <c r="K7" s="541"/>
    </row>
    <row r="8" spans="1:11" ht="18" x14ac:dyDescent="0.25">
      <c r="A8" s="161" t="s">
        <v>31</v>
      </c>
      <c r="B8" s="58" t="s">
        <v>60</v>
      </c>
      <c r="C8" s="58" t="s">
        <v>89</v>
      </c>
      <c r="D8" s="58" t="s">
        <v>97</v>
      </c>
      <c r="E8" s="58" t="s">
        <v>88</v>
      </c>
      <c r="F8" s="58" t="s">
        <v>98</v>
      </c>
      <c r="G8" s="58" t="s">
        <v>99</v>
      </c>
      <c r="H8" s="58" t="s">
        <v>100</v>
      </c>
      <c r="I8" s="58" t="s">
        <v>101</v>
      </c>
      <c r="J8" s="58" t="s">
        <v>102</v>
      </c>
      <c r="K8" s="162" t="s">
        <v>103</v>
      </c>
    </row>
    <row r="9" spans="1:11" ht="15.6" x14ac:dyDescent="0.25">
      <c r="A9" s="163">
        <v>0</v>
      </c>
      <c r="B9" s="56"/>
      <c r="C9" s="57">
        <f>-'PROJECT FUNDING'!$B$9</f>
        <v>-17050800</v>
      </c>
      <c r="D9" s="56"/>
      <c r="E9" s="57">
        <f>-'PROJECT FUNDING'!$E$9</f>
        <v>-2623200</v>
      </c>
      <c r="F9" s="56"/>
      <c r="G9" s="57">
        <f>-'PROJECT FUNDING'!$I$9</f>
        <v>-6558000</v>
      </c>
      <c r="H9" s="56"/>
      <c r="I9" s="56"/>
      <c r="J9" s="56"/>
      <c r="K9" s="95">
        <f t="shared" ref="K9:K14" si="0">SUM(B9:J9)</f>
        <v>-26232000</v>
      </c>
    </row>
    <row r="10" spans="1:11" ht="15.6" x14ac:dyDescent="0.25">
      <c r="A10" s="163">
        <v>1</v>
      </c>
      <c r="B10" s="57">
        <f>-($C$1+'INVESTMENT COST'!$B$14)</f>
        <v>-26232000</v>
      </c>
      <c r="C10" s="57"/>
      <c r="D10" s="57">
        <f>PMT($C$5,$C$3,-$C$9)</f>
        <v>-2294755.8601898104</v>
      </c>
      <c r="E10" s="57"/>
      <c r="F10" s="57">
        <f>$E$9*0.1</f>
        <v>-262320</v>
      </c>
      <c r="G10" s="57"/>
      <c r="H10" s="57">
        <f>PMT('PROJECT FUNDING'!$I$13,'ALTERNATIVE 1 CF'!$C$3,-'ALTERNATIVE 1 CF'!$G$9)</f>
        <v>-1160662.1485602574</v>
      </c>
      <c r="I10" s="57">
        <f>'REVENUE GENERATED FROM SALES'!$B$16</f>
        <v>15239500</v>
      </c>
      <c r="J10" s="57"/>
      <c r="K10" s="95">
        <f t="shared" si="0"/>
        <v>-14710238.008750066</v>
      </c>
    </row>
    <row r="11" spans="1:11" ht="15.6" x14ac:dyDescent="0.25">
      <c r="A11" s="163">
        <v>2</v>
      </c>
      <c r="B11" s="57">
        <f>-$C$1</f>
        <v>-15565000</v>
      </c>
      <c r="C11" s="57"/>
      <c r="D11" s="57">
        <f>PMT($C$5,$C$3,-$C$9)</f>
        <v>-2294755.8601898104</v>
      </c>
      <c r="E11" s="57"/>
      <c r="F11" s="57">
        <f t="shared" ref="F11:F19" si="1">$E$9*0.1</f>
        <v>-262320</v>
      </c>
      <c r="G11" s="57"/>
      <c r="H11" s="57">
        <f>PMT('PROJECT FUNDING'!$I$13,'ALTERNATIVE 1 CF'!$C$3,-'ALTERNATIVE 1 CF'!$G$9)</f>
        <v>-1160662.1485602574</v>
      </c>
      <c r="I11" s="57">
        <f>I10*1.058</f>
        <v>16123391</v>
      </c>
      <c r="J11" s="57"/>
      <c r="K11" s="95">
        <f t="shared" si="0"/>
        <v>-3159347.0087500662</v>
      </c>
    </row>
    <row r="12" spans="1:11" ht="15.6" x14ac:dyDescent="0.25">
      <c r="A12" s="163">
        <v>3</v>
      </c>
      <c r="B12" s="57">
        <f>-$C$1</f>
        <v>-15565000</v>
      </c>
      <c r="C12" s="57"/>
      <c r="D12" s="57">
        <f>PMT($C$5,$C$3,-$C$9)</f>
        <v>-2294755.8601898104</v>
      </c>
      <c r="E12" s="57"/>
      <c r="F12" s="57">
        <f t="shared" si="1"/>
        <v>-262320</v>
      </c>
      <c r="G12" s="57"/>
      <c r="H12" s="57">
        <f>PMT('PROJECT FUNDING'!$I$13,'ALTERNATIVE 1 CF'!$C$3,-'ALTERNATIVE 1 CF'!$G$9)</f>
        <v>-1160662.1485602574</v>
      </c>
      <c r="I12" s="57">
        <f t="shared" ref="I12:I19" si="2">I11*1.058</f>
        <v>17058547.677999999</v>
      </c>
      <c r="J12" s="57"/>
      <c r="K12" s="95">
        <f t="shared" si="0"/>
        <v>-2224190.3307500668</v>
      </c>
    </row>
    <row r="13" spans="1:11" ht="15.6" x14ac:dyDescent="0.25">
      <c r="A13" s="163">
        <v>4</v>
      </c>
      <c r="B13" s="57">
        <f>-$C$1</f>
        <v>-15565000</v>
      </c>
      <c r="C13" s="57"/>
      <c r="D13" s="57">
        <f>PMT($C$5,$C$3,-$C$9)</f>
        <v>-2294755.8601898104</v>
      </c>
      <c r="E13" s="57"/>
      <c r="F13" s="57">
        <f t="shared" si="1"/>
        <v>-262320</v>
      </c>
      <c r="G13" s="57"/>
      <c r="H13" s="57">
        <f>PMT('PROJECT FUNDING'!$I$13,'ALTERNATIVE 1 CF'!$C$3,-'ALTERNATIVE 1 CF'!$G$9)</f>
        <v>-1160662.1485602574</v>
      </c>
      <c r="I13" s="57">
        <f t="shared" si="2"/>
        <v>18047943.443324</v>
      </c>
      <c r="J13" s="57"/>
      <c r="K13" s="95">
        <f t="shared" si="0"/>
        <v>-1234794.5654260665</v>
      </c>
    </row>
    <row r="14" spans="1:11" ht="15.6" x14ac:dyDescent="0.25">
      <c r="A14" s="163">
        <v>5</v>
      </c>
      <c r="B14" s="57">
        <f>-$C$1</f>
        <v>-15565000</v>
      </c>
      <c r="C14" s="57"/>
      <c r="D14" s="57">
        <f>PMT($C$5,$C$3,-$C$9)</f>
        <v>-2294755.8601898104</v>
      </c>
      <c r="E14" s="57"/>
      <c r="F14" s="57">
        <f t="shared" si="1"/>
        <v>-262320</v>
      </c>
      <c r="G14" s="57"/>
      <c r="H14" s="57">
        <f>PMT('PROJECT FUNDING'!$I$13,'ALTERNATIVE 1 CF'!$C$3,-'ALTERNATIVE 1 CF'!$G$9)</f>
        <v>-1160662.1485602574</v>
      </c>
      <c r="I14" s="57">
        <f t="shared" si="2"/>
        <v>19094724.163036793</v>
      </c>
      <c r="J14" s="57"/>
      <c r="K14" s="95">
        <f t="shared" si="0"/>
        <v>-188013.84571327269</v>
      </c>
    </row>
    <row r="15" spans="1:11" ht="15.6" x14ac:dyDescent="0.25">
      <c r="A15" s="164">
        <v>6</v>
      </c>
      <c r="B15" s="57">
        <f t="shared" ref="B15:B19" si="3">-$C$1</f>
        <v>-15565000</v>
      </c>
      <c r="C15" s="57"/>
      <c r="D15" s="57">
        <f t="shared" ref="D15:D19" si="4">PMT($C$5,$C$3,-$C$9)</f>
        <v>-2294755.8601898104</v>
      </c>
      <c r="E15" s="57"/>
      <c r="F15" s="57">
        <f t="shared" si="1"/>
        <v>-262320</v>
      </c>
      <c r="G15" s="57"/>
      <c r="H15" s="57">
        <f>PMT('PROJECT FUNDING'!$I$13,'ALTERNATIVE 1 CF'!$C$3,-'ALTERNATIVE 1 CF'!$G$9)</f>
        <v>-1160662.1485602574</v>
      </c>
      <c r="I15" s="57">
        <f t="shared" si="2"/>
        <v>20202218.164492927</v>
      </c>
      <c r="J15" s="57"/>
      <c r="K15" s="95">
        <f t="shared" ref="K15:K19" si="5">SUM(B15:J15)</f>
        <v>919480.15574286133</v>
      </c>
    </row>
    <row r="16" spans="1:11" ht="15.6" x14ac:dyDescent="0.25">
      <c r="A16" s="164">
        <v>7</v>
      </c>
      <c r="B16" s="57">
        <f t="shared" si="3"/>
        <v>-15565000</v>
      </c>
      <c r="C16" s="57"/>
      <c r="D16" s="57">
        <f t="shared" si="4"/>
        <v>-2294755.8601898104</v>
      </c>
      <c r="E16" s="57"/>
      <c r="F16" s="57">
        <f t="shared" si="1"/>
        <v>-262320</v>
      </c>
      <c r="G16" s="57"/>
      <c r="H16" s="57">
        <f>PMT('PROJECT FUNDING'!$I$13,'ALTERNATIVE 1 CF'!$C$3,-'ALTERNATIVE 1 CF'!$G$9)</f>
        <v>-1160662.1485602574</v>
      </c>
      <c r="I16" s="57">
        <f t="shared" si="2"/>
        <v>21373946.81803352</v>
      </c>
      <c r="J16" s="57"/>
      <c r="K16" s="95">
        <f t="shared" si="5"/>
        <v>2091208.809283454</v>
      </c>
    </row>
    <row r="17" spans="1:11" ht="15.6" x14ac:dyDescent="0.25">
      <c r="A17" s="164">
        <v>8</v>
      </c>
      <c r="B17" s="57">
        <f t="shared" si="3"/>
        <v>-15565000</v>
      </c>
      <c r="C17" s="57"/>
      <c r="D17" s="57">
        <f t="shared" si="4"/>
        <v>-2294755.8601898104</v>
      </c>
      <c r="E17" s="57"/>
      <c r="F17" s="57">
        <f t="shared" si="1"/>
        <v>-262320</v>
      </c>
      <c r="G17" s="57"/>
      <c r="H17" s="57">
        <f>PMT('PROJECT FUNDING'!$I$13,'ALTERNATIVE 1 CF'!$C$3,-'ALTERNATIVE 1 CF'!$G$9)</f>
        <v>-1160662.1485602574</v>
      </c>
      <c r="I17" s="57">
        <f t="shared" si="2"/>
        <v>22613635.733479466</v>
      </c>
      <c r="J17" s="57"/>
      <c r="K17" s="95">
        <f t="shared" si="5"/>
        <v>3330897.7247294001</v>
      </c>
    </row>
    <row r="18" spans="1:11" ht="15.6" x14ac:dyDescent="0.25">
      <c r="A18" s="164">
        <v>9</v>
      </c>
      <c r="B18" s="57">
        <f t="shared" si="3"/>
        <v>-15565000</v>
      </c>
      <c r="C18" s="57"/>
      <c r="D18" s="57">
        <f t="shared" si="4"/>
        <v>-2294755.8601898104</v>
      </c>
      <c r="E18" s="57"/>
      <c r="F18" s="57">
        <f t="shared" si="1"/>
        <v>-262320</v>
      </c>
      <c r="G18" s="57"/>
      <c r="H18" s="57">
        <f>PMT('PROJECT FUNDING'!$I$13,'ALTERNATIVE 1 CF'!$C$3,-'ALTERNATIVE 1 CF'!$G$9)</f>
        <v>-1160662.1485602574</v>
      </c>
      <c r="I18" s="57">
        <f t="shared" si="2"/>
        <v>23925226.606021278</v>
      </c>
      <c r="J18" s="57"/>
      <c r="K18" s="95">
        <f t="shared" si="5"/>
        <v>4642488.5972712114</v>
      </c>
    </row>
    <row r="19" spans="1:11" ht="16.2" thickBot="1" x14ac:dyDescent="0.3">
      <c r="A19" s="165">
        <v>10</v>
      </c>
      <c r="B19" s="96">
        <f t="shared" si="3"/>
        <v>-15565000</v>
      </c>
      <c r="C19" s="96"/>
      <c r="D19" s="96">
        <f t="shared" si="4"/>
        <v>-2294755.8601898104</v>
      </c>
      <c r="E19" s="96"/>
      <c r="F19" s="96">
        <f t="shared" si="1"/>
        <v>-262320</v>
      </c>
      <c r="G19" s="96"/>
      <c r="H19" s="96">
        <f>PMT('PROJECT FUNDING'!$I$13,'ALTERNATIVE 1 CF'!$C$3,-'ALTERNATIVE 1 CF'!$G$9)</f>
        <v>-1160662.1485602574</v>
      </c>
      <c r="I19" s="96">
        <f t="shared" si="2"/>
        <v>25312889.749170512</v>
      </c>
      <c r="J19" s="96">
        <f>DEPRECIATION!$D$4+DEPRECIATION!$D$8</f>
        <v>700000</v>
      </c>
      <c r="K19" s="97">
        <f t="shared" si="5"/>
        <v>6730151.7404204458</v>
      </c>
    </row>
    <row r="22" spans="1:11" ht="21" x14ac:dyDescent="0.25">
      <c r="J22" s="338" t="s">
        <v>104</v>
      </c>
      <c r="K22" s="339">
        <f>NPV($C$4,K10:K19)+K9</f>
        <v>-35272651.132260874</v>
      </c>
    </row>
    <row r="29" spans="1:11" x14ac:dyDescent="0.25">
      <c r="F29" s="627"/>
    </row>
    <row r="30" spans="1:11" x14ac:dyDescent="0.25">
      <c r="F30" s="627"/>
    </row>
    <row r="35" spans="1:11" ht="13.8" thickBot="1" x14ac:dyDescent="0.3"/>
    <row r="36" spans="1:11" ht="18" x14ac:dyDescent="0.25">
      <c r="A36" s="539" t="s">
        <v>105</v>
      </c>
      <c r="B36" s="540"/>
      <c r="C36" s="540"/>
      <c r="D36" s="540"/>
      <c r="E36" s="540"/>
      <c r="F36" s="540"/>
      <c r="G36" s="540"/>
      <c r="H36" s="540"/>
      <c r="I36" s="540"/>
      <c r="J36" s="540"/>
      <c r="K36" s="541"/>
    </row>
    <row r="37" spans="1:11" ht="18" x14ac:dyDescent="0.25">
      <c r="A37" s="161" t="s">
        <v>31</v>
      </c>
      <c r="B37" s="58" t="s">
        <v>60</v>
      </c>
      <c r="C37" s="58" t="s">
        <v>89</v>
      </c>
      <c r="D37" s="58" t="s">
        <v>97</v>
      </c>
      <c r="E37" s="58" t="s">
        <v>88</v>
      </c>
      <c r="F37" s="58" t="s">
        <v>98</v>
      </c>
      <c r="G37" s="58" t="s">
        <v>99</v>
      </c>
      <c r="H37" s="58" t="s">
        <v>100</v>
      </c>
      <c r="I37" s="58" t="s">
        <v>101</v>
      </c>
      <c r="J37" s="58" t="s">
        <v>102</v>
      </c>
      <c r="K37" s="162" t="s">
        <v>103</v>
      </c>
    </row>
    <row r="38" spans="1:11" ht="15.6" x14ac:dyDescent="0.25">
      <c r="A38" s="166">
        <v>0</v>
      </c>
      <c r="B38" s="56"/>
      <c r="C38" s="57">
        <f>-'PROJECT FUNDING'!$B$9</f>
        <v>-17050800</v>
      </c>
      <c r="D38" s="56"/>
      <c r="E38" s="57">
        <f>-'PROJECT FUNDING'!$E$9</f>
        <v>-2623200</v>
      </c>
      <c r="F38" s="56"/>
      <c r="G38" s="57">
        <f>-'PROJECT FUNDING'!$I$9</f>
        <v>-6558000</v>
      </c>
      <c r="H38" s="56"/>
      <c r="I38" s="56"/>
      <c r="J38" s="56"/>
      <c r="K38" s="95">
        <f t="shared" ref="K38:K43" si="6">SUM(B38:J38)</f>
        <v>-26232000</v>
      </c>
    </row>
    <row r="39" spans="1:11" ht="15.6" x14ac:dyDescent="0.25">
      <c r="A39" s="166">
        <v>1</v>
      </c>
      <c r="B39" s="57">
        <f>-($C$1+'INVESTMENT COST'!$B$14)</f>
        <v>-26232000</v>
      </c>
      <c r="C39" s="57"/>
      <c r="D39" s="57">
        <f>--$C$38*$C$5</f>
        <v>-988946.4</v>
      </c>
      <c r="E39" s="57"/>
      <c r="F39" s="57">
        <f>$E$9*0.1</f>
        <v>-262320</v>
      </c>
      <c r="G39" s="57"/>
      <c r="H39" s="57" t="s">
        <v>108</v>
      </c>
      <c r="I39" s="57">
        <f>I10</f>
        <v>15239500</v>
      </c>
      <c r="J39" s="57"/>
      <c r="K39" s="95">
        <f t="shared" si="6"/>
        <v>-12243766.399999999</v>
      </c>
    </row>
    <row r="40" spans="1:11" ht="15.6" x14ac:dyDescent="0.25">
      <c r="A40" s="166">
        <v>2</v>
      </c>
      <c r="B40" s="57">
        <f>-$C$1</f>
        <v>-15565000</v>
      </c>
      <c r="C40" s="57"/>
      <c r="D40" s="57">
        <f>--$C$38*$C$5</f>
        <v>-988946.4</v>
      </c>
      <c r="E40" s="57"/>
      <c r="F40" s="57">
        <f t="shared" ref="F40:F48" si="7">$E$9*0.1</f>
        <v>-262320</v>
      </c>
      <c r="G40" s="57"/>
      <c r="H40" s="57">
        <f>PMT('PROJECT FUNDING'!$I$13,'ALTERNATIVE 1 CF'!$C$3,-'ALTERNATIVE 1 CF'!$G$9)</f>
        <v>-1160662.1485602574</v>
      </c>
      <c r="I40" s="57">
        <f>I39*1.058</f>
        <v>16123391</v>
      </c>
      <c r="J40" s="57"/>
      <c r="K40" s="95">
        <f t="shared" si="6"/>
        <v>-1853537.5485602543</v>
      </c>
    </row>
    <row r="41" spans="1:11" ht="15.6" x14ac:dyDescent="0.25">
      <c r="A41" s="166">
        <v>3</v>
      </c>
      <c r="B41" s="57">
        <f>-$C$1</f>
        <v>-15565000</v>
      </c>
      <c r="C41" s="57"/>
      <c r="D41" s="57">
        <f>--$C$38*$C$5</f>
        <v>-988946.4</v>
      </c>
      <c r="E41" s="57"/>
      <c r="F41" s="57">
        <f t="shared" si="7"/>
        <v>-262320</v>
      </c>
      <c r="G41" s="57"/>
      <c r="H41" s="57">
        <f>PMT('PROJECT FUNDING'!$I$13,'ALTERNATIVE 1 CF'!$C$3,-'ALTERNATIVE 1 CF'!$G$9)</f>
        <v>-1160662.1485602574</v>
      </c>
      <c r="I41" s="57">
        <f t="shared" ref="I41:I48" si="8">I40*1.058</f>
        <v>17058547.677999999</v>
      </c>
      <c r="J41" s="57"/>
      <c r="K41" s="95">
        <f t="shared" si="6"/>
        <v>-918380.8705602549</v>
      </c>
    </row>
    <row r="42" spans="1:11" ht="15.6" x14ac:dyDescent="0.25">
      <c r="A42" s="166">
        <v>4</v>
      </c>
      <c r="B42" s="57">
        <f>-$C$1</f>
        <v>-15565000</v>
      </c>
      <c r="C42" s="57"/>
      <c r="D42" s="57">
        <f>--$C$38*$C$5</f>
        <v>-988946.4</v>
      </c>
      <c r="E42" s="57"/>
      <c r="F42" s="57">
        <f t="shared" si="7"/>
        <v>-262320</v>
      </c>
      <c r="G42" s="57"/>
      <c r="H42" s="57">
        <f>PMT('PROJECT FUNDING'!$I$13,'ALTERNATIVE 1 CF'!$C$3,-'ALTERNATIVE 1 CF'!$G$9)</f>
        <v>-1160662.1485602574</v>
      </c>
      <c r="I42" s="57">
        <f t="shared" si="8"/>
        <v>18047943.443324</v>
      </c>
      <c r="J42" s="57"/>
      <c r="K42" s="95">
        <f t="shared" si="6"/>
        <v>71014.894763745368</v>
      </c>
    </row>
    <row r="43" spans="1:11" ht="15.6" x14ac:dyDescent="0.25">
      <c r="A43" s="166">
        <v>5</v>
      </c>
      <c r="B43" s="57">
        <f>-$C$1</f>
        <v>-15565000</v>
      </c>
      <c r="C43" s="57"/>
      <c r="D43" s="57">
        <f>--$C$38*$C$5</f>
        <v>-988946.4</v>
      </c>
      <c r="E43" s="57"/>
      <c r="F43" s="57">
        <f t="shared" si="7"/>
        <v>-262320</v>
      </c>
      <c r="G43" s="57"/>
      <c r="H43" s="57">
        <f>PMT('PROJECT FUNDING'!$I$13,'ALTERNATIVE 1 CF'!$C$3,-'ALTERNATIVE 1 CF'!$G$9)</f>
        <v>-1160662.1485602574</v>
      </c>
      <c r="I43" s="57">
        <f t="shared" si="8"/>
        <v>19094724.163036793</v>
      </c>
      <c r="J43" s="57"/>
      <c r="K43" s="95">
        <f t="shared" si="6"/>
        <v>1117795.6144765392</v>
      </c>
    </row>
    <row r="44" spans="1:11" ht="15.6" x14ac:dyDescent="0.3">
      <c r="A44" s="110">
        <v>6</v>
      </c>
      <c r="B44" s="57">
        <f t="shared" ref="B44:B48" si="9">-$C$1</f>
        <v>-15565000</v>
      </c>
      <c r="C44" s="57"/>
      <c r="D44" s="57">
        <f t="shared" ref="D44:D47" si="10">($C$38*$C$5)+C39</f>
        <v>-988946.4</v>
      </c>
      <c r="E44" s="57"/>
      <c r="F44" s="57">
        <f t="shared" si="7"/>
        <v>-262320</v>
      </c>
      <c r="G44" s="57"/>
      <c r="H44" s="57">
        <f>PMT('PROJECT FUNDING'!$I$13,'ALTERNATIVE 1 CF'!$C$3,-'ALTERNATIVE 1 CF'!$G$9)</f>
        <v>-1160662.1485602574</v>
      </c>
      <c r="I44" s="57">
        <f t="shared" si="8"/>
        <v>20202218.164492927</v>
      </c>
      <c r="J44" s="57"/>
      <c r="K44" s="95">
        <f t="shared" ref="K44:K47" si="11">SUM(B44:J44)</f>
        <v>2225289.6159326732</v>
      </c>
    </row>
    <row r="45" spans="1:11" ht="15.6" x14ac:dyDescent="0.3">
      <c r="A45" s="110">
        <v>7</v>
      </c>
      <c r="B45" s="57">
        <f t="shared" si="9"/>
        <v>-15565000</v>
      </c>
      <c r="C45" s="57"/>
      <c r="D45" s="57">
        <f t="shared" si="10"/>
        <v>-988946.4</v>
      </c>
      <c r="E45" s="57"/>
      <c r="F45" s="57">
        <f t="shared" si="7"/>
        <v>-262320</v>
      </c>
      <c r="G45" s="57"/>
      <c r="H45" s="57">
        <f>PMT('PROJECT FUNDING'!$I$13,'ALTERNATIVE 1 CF'!$C$3,-'ALTERNATIVE 1 CF'!$G$9)</f>
        <v>-1160662.1485602574</v>
      </c>
      <c r="I45" s="57">
        <f t="shared" si="8"/>
        <v>21373946.81803352</v>
      </c>
      <c r="J45" s="57"/>
      <c r="K45" s="95">
        <f t="shared" si="11"/>
        <v>3397018.2694732659</v>
      </c>
    </row>
    <row r="46" spans="1:11" ht="15.6" x14ac:dyDescent="0.3">
      <c r="A46" s="110">
        <v>8</v>
      </c>
      <c r="B46" s="57">
        <f t="shared" si="9"/>
        <v>-15565000</v>
      </c>
      <c r="C46" s="57"/>
      <c r="D46" s="57">
        <f t="shared" si="10"/>
        <v>-988946.4</v>
      </c>
      <c r="E46" s="57"/>
      <c r="F46" s="57">
        <f t="shared" si="7"/>
        <v>-262320</v>
      </c>
      <c r="G46" s="57"/>
      <c r="H46" s="57">
        <f>PMT('PROJECT FUNDING'!$I$13,'ALTERNATIVE 1 CF'!$C$3,-'ALTERNATIVE 1 CF'!$G$9)</f>
        <v>-1160662.1485602574</v>
      </c>
      <c r="I46" s="57">
        <f t="shared" si="8"/>
        <v>22613635.733479466</v>
      </c>
      <c r="J46" s="57"/>
      <c r="K46" s="95">
        <f t="shared" si="11"/>
        <v>4636707.184919212</v>
      </c>
    </row>
    <row r="47" spans="1:11" ht="15.6" x14ac:dyDescent="0.3">
      <c r="A47" s="110">
        <v>9</v>
      </c>
      <c r="B47" s="57">
        <f t="shared" si="9"/>
        <v>-15565000</v>
      </c>
      <c r="C47" s="57"/>
      <c r="D47" s="57">
        <f t="shared" si="10"/>
        <v>-988946.4</v>
      </c>
      <c r="E47" s="57"/>
      <c r="F47" s="57">
        <f t="shared" si="7"/>
        <v>-262320</v>
      </c>
      <c r="G47" s="57"/>
      <c r="H47" s="57">
        <f>PMT('PROJECT FUNDING'!$I$13,'ALTERNATIVE 1 CF'!$C$3,-'ALTERNATIVE 1 CF'!$G$9)</f>
        <v>-1160662.1485602574</v>
      </c>
      <c r="I47" s="57">
        <f t="shared" si="8"/>
        <v>23925226.606021278</v>
      </c>
      <c r="J47" s="57"/>
      <c r="K47" s="95">
        <f t="shared" si="11"/>
        <v>5948298.0574610233</v>
      </c>
    </row>
    <row r="48" spans="1:11" ht="16.2" thickBot="1" x14ac:dyDescent="0.3">
      <c r="A48" s="167">
        <v>10</v>
      </c>
      <c r="B48" s="96">
        <f t="shared" si="9"/>
        <v>-15565000</v>
      </c>
      <c r="C48" s="96"/>
      <c r="D48" s="96">
        <f>($C$38*$C$5)+C38</f>
        <v>-18039746.399999999</v>
      </c>
      <c r="E48" s="96"/>
      <c r="F48" s="96">
        <f t="shared" si="7"/>
        <v>-262320</v>
      </c>
      <c r="G48" s="96"/>
      <c r="H48" s="96">
        <f>PMT('PROJECT FUNDING'!$I$13,'ALTERNATIVE 1 CF'!$C$3,-'ALTERNATIVE 1 CF'!$G$9)</f>
        <v>-1160662.1485602574</v>
      </c>
      <c r="I48" s="96">
        <f t="shared" si="8"/>
        <v>25312889.749170512</v>
      </c>
      <c r="J48" s="96">
        <f>DEPRECIATION!$D$4+DEPRECIATION!$D$8</f>
        <v>700000</v>
      </c>
      <c r="K48" s="97">
        <f t="shared" ref="K48" si="12">SUM(B48:J48)</f>
        <v>-9014838.7993897423</v>
      </c>
    </row>
    <row r="51" spans="10:11" ht="13.8" thickBot="1" x14ac:dyDescent="0.3"/>
    <row r="52" spans="10:11" ht="18.600000000000001" thickBot="1" x14ac:dyDescent="0.3">
      <c r="J52" s="340" t="s">
        <v>104</v>
      </c>
      <c r="K52" s="341">
        <f>NPV($C$4,K39:K48)+K38</f>
        <v>-34087893.203832738</v>
      </c>
    </row>
  </sheetData>
  <mergeCells count="2">
    <mergeCell ref="A36:K36"/>
    <mergeCell ref="A7:K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O22" sqref="O22"/>
    </sheetView>
  </sheetViews>
  <sheetFormatPr defaultColWidth="8.77734375" defaultRowHeight="14.4" x14ac:dyDescent="0.3"/>
  <sheetData>
    <row r="1" spans="1:9" x14ac:dyDescent="0.3">
      <c r="A1" t="s">
        <v>291</v>
      </c>
    </row>
    <row r="2" spans="1:9" ht="15" thickBot="1" x14ac:dyDescent="0.35"/>
    <row r="3" spans="1:9" x14ac:dyDescent="0.3">
      <c r="A3" s="445" t="s">
        <v>292</v>
      </c>
      <c r="B3" s="445"/>
    </row>
    <row r="4" spans="1:9" x14ac:dyDescent="0.3">
      <c r="A4" s="59" t="s">
        <v>293</v>
      </c>
      <c r="B4" s="59">
        <v>0.9647694461970292</v>
      </c>
    </row>
    <row r="5" spans="1:9" x14ac:dyDescent="0.3">
      <c r="A5" s="59" t="s">
        <v>294</v>
      </c>
      <c r="B5" s="59">
        <v>0.93078008431532233</v>
      </c>
    </row>
    <row r="6" spans="1:9" x14ac:dyDescent="0.3">
      <c r="A6" s="59" t="s">
        <v>295</v>
      </c>
      <c r="B6" s="59">
        <v>0.92308898257258043</v>
      </c>
    </row>
    <row r="7" spans="1:9" x14ac:dyDescent="0.3">
      <c r="A7" s="59" t="s">
        <v>296</v>
      </c>
      <c r="B7" s="59">
        <v>1379915.3759984949</v>
      </c>
    </row>
    <row r="8" spans="1:9" ht="15" thickBot="1" x14ac:dyDescent="0.35">
      <c r="A8" s="443" t="s">
        <v>297</v>
      </c>
      <c r="B8" s="443">
        <v>11</v>
      </c>
    </row>
    <row r="10" spans="1:9" ht="15" thickBot="1" x14ac:dyDescent="0.35">
      <c r="A10" t="s">
        <v>298</v>
      </c>
    </row>
    <row r="11" spans="1:9" x14ac:dyDescent="0.3">
      <c r="A11" s="444"/>
      <c r="B11" s="444" t="s">
        <v>302</v>
      </c>
      <c r="C11" s="444" t="s">
        <v>303</v>
      </c>
      <c r="D11" s="444" t="s">
        <v>304</v>
      </c>
      <c r="E11" s="444" t="s">
        <v>305</v>
      </c>
      <c r="F11" s="444" t="s">
        <v>306</v>
      </c>
    </row>
    <row r="12" spans="1:9" x14ac:dyDescent="0.3">
      <c r="A12" s="59" t="s">
        <v>299</v>
      </c>
      <c r="B12" s="59">
        <v>1</v>
      </c>
      <c r="C12" s="59">
        <v>230442953874960.38</v>
      </c>
      <c r="D12" s="59">
        <v>230442953874960.38</v>
      </c>
      <c r="E12" s="59">
        <v>121.02038374329031</v>
      </c>
      <c r="F12" s="59">
        <v>1.6087894185931375E-6</v>
      </c>
    </row>
    <row r="13" spans="1:9" x14ac:dyDescent="0.3">
      <c r="A13" s="59" t="s">
        <v>300</v>
      </c>
      <c r="B13" s="59">
        <v>9</v>
      </c>
      <c r="C13" s="59">
        <v>17137498004253.607</v>
      </c>
      <c r="D13" s="59">
        <v>1904166444917.0674</v>
      </c>
      <c r="E13" s="59"/>
      <c r="F13" s="59"/>
    </row>
    <row r="14" spans="1:9" ht="15" thickBot="1" x14ac:dyDescent="0.35">
      <c r="A14" s="443" t="s">
        <v>240</v>
      </c>
      <c r="B14" s="443">
        <v>10</v>
      </c>
      <c r="C14" s="443">
        <v>247580451879213.97</v>
      </c>
      <c r="D14" s="443"/>
      <c r="E14" s="443"/>
      <c r="F14" s="443"/>
    </row>
    <row r="15" spans="1:9" ht="15" thickBot="1" x14ac:dyDescent="0.35"/>
    <row r="16" spans="1:9" x14ac:dyDescent="0.3">
      <c r="A16" s="444"/>
      <c r="B16" s="444" t="s">
        <v>307</v>
      </c>
      <c r="C16" s="444" t="s">
        <v>296</v>
      </c>
      <c r="D16" s="444" t="s">
        <v>308</v>
      </c>
      <c r="E16" s="444" t="s">
        <v>309</v>
      </c>
      <c r="F16" s="444" t="s">
        <v>310</v>
      </c>
      <c r="G16" s="444" t="s">
        <v>311</v>
      </c>
      <c r="H16" s="444" t="s">
        <v>312</v>
      </c>
      <c r="I16" s="444" t="s">
        <v>313</v>
      </c>
    </row>
    <row r="17" spans="1:9" x14ac:dyDescent="0.3">
      <c r="A17" s="59" t="s">
        <v>301</v>
      </c>
      <c r="B17" s="59">
        <v>-8044032.8767384356</v>
      </c>
      <c r="C17" s="59">
        <v>778377.24887391296</v>
      </c>
      <c r="D17" s="59">
        <v>-10.334362789220558</v>
      </c>
      <c r="E17" s="59">
        <v>2.7195095492756455E-6</v>
      </c>
      <c r="F17" s="59">
        <v>-9804844.5456377193</v>
      </c>
      <c r="G17" s="59">
        <v>-6283221.2078391518</v>
      </c>
      <c r="H17" s="59">
        <v>-9804844.5456377193</v>
      </c>
      <c r="I17" s="59">
        <v>-6283221.2078391518</v>
      </c>
    </row>
    <row r="18" spans="1:9" ht="15" thickBot="1" x14ac:dyDescent="0.35">
      <c r="A18" s="443" t="s">
        <v>314</v>
      </c>
      <c r="B18" s="443">
        <v>1447389.3547756323</v>
      </c>
      <c r="C18" s="443">
        <v>131569.76873393302</v>
      </c>
      <c r="D18" s="443">
        <v>11.000926494768077</v>
      </c>
      <c r="E18" s="443">
        <v>1.6087894185931404E-6</v>
      </c>
      <c r="F18" s="443">
        <v>1149757.8600264625</v>
      </c>
      <c r="G18" s="443">
        <v>1745020.8495248021</v>
      </c>
      <c r="H18" s="443">
        <v>1149757.8600264625</v>
      </c>
      <c r="I18" s="443">
        <v>1745020.8495248021</v>
      </c>
    </row>
    <row r="22" spans="1:9" x14ac:dyDescent="0.3">
      <c r="A22" t="s">
        <v>315</v>
      </c>
    </row>
    <row r="23" spans="1:9" ht="15" thickBot="1" x14ac:dyDescent="0.35"/>
    <row r="24" spans="1:9" x14ac:dyDescent="0.3">
      <c r="A24" s="444" t="s">
        <v>316</v>
      </c>
      <c r="B24" s="444" t="s">
        <v>317</v>
      </c>
      <c r="C24" s="444" t="s">
        <v>318</v>
      </c>
    </row>
    <row r="25" spans="1:9" x14ac:dyDescent="0.3">
      <c r="A25" s="59">
        <v>1</v>
      </c>
      <c r="B25" s="59">
        <v>-8044032.8767384356</v>
      </c>
      <c r="C25" s="59">
        <v>-1137167.1232615644</v>
      </c>
    </row>
    <row r="26" spans="1:9" x14ac:dyDescent="0.3">
      <c r="A26" s="59">
        <v>2</v>
      </c>
      <c r="B26" s="59">
        <v>-6596643.5219628029</v>
      </c>
      <c r="C26" s="59">
        <v>-2598783.0673631616</v>
      </c>
    </row>
    <row r="27" spans="1:9" x14ac:dyDescent="0.3">
      <c r="A27" s="59">
        <v>3</v>
      </c>
      <c r="B27" s="59">
        <v>-5149254.1671871711</v>
      </c>
      <c r="C27" s="59">
        <v>2117800.1224292582</v>
      </c>
    </row>
    <row r="28" spans="1:9" x14ac:dyDescent="0.3">
      <c r="A28" s="59">
        <v>4</v>
      </c>
      <c r="B28" s="59">
        <v>-3701864.8124115383</v>
      </c>
      <c r="C28" s="59">
        <v>1543113.0715347193</v>
      </c>
    </row>
    <row r="29" spans="1:9" x14ac:dyDescent="0.3">
      <c r="A29" s="59">
        <v>5</v>
      </c>
      <c r="B29" s="59">
        <v>-2254475.4576359065</v>
      </c>
      <c r="C29" s="59">
        <v>1019304.076894406</v>
      </c>
    </row>
    <row r="30" spans="1:9" x14ac:dyDescent="0.3">
      <c r="A30" s="59">
        <v>6</v>
      </c>
      <c r="B30" s="59">
        <v>-807086.10286027472</v>
      </c>
      <c r="C30" s="59">
        <v>549294.79763660172</v>
      </c>
    </row>
    <row r="31" spans="1:9" x14ac:dyDescent="0.3">
      <c r="A31" s="59">
        <v>7</v>
      </c>
      <c r="B31" s="59">
        <v>640303.25191535894</v>
      </c>
      <c r="C31" s="59">
        <v>136179.62715008436</v>
      </c>
    </row>
    <row r="32" spans="1:9" x14ac:dyDescent="0.3">
      <c r="A32" s="59">
        <v>8</v>
      </c>
      <c r="B32" s="59">
        <v>2087692.6066909907</v>
      </c>
      <c r="C32" s="59">
        <v>-216764.65546822431</v>
      </c>
    </row>
    <row r="33" spans="1:3" x14ac:dyDescent="0.3">
      <c r="A33" s="59">
        <v>9</v>
      </c>
      <c r="B33" s="59">
        <v>3535081.9614666225</v>
      </c>
      <c r="C33" s="59">
        <v>-506068.6330620693</v>
      </c>
    </row>
    <row r="34" spans="1:3" x14ac:dyDescent="0.3">
      <c r="A34" s="59">
        <v>10</v>
      </c>
      <c r="B34" s="59">
        <v>4982471.3162422543</v>
      </c>
      <c r="C34" s="59">
        <v>-728059.36691403762</v>
      </c>
    </row>
    <row r="35" spans="1:3" ht="15" thickBot="1" x14ac:dyDescent="0.35">
      <c r="A35" s="443">
        <v>11</v>
      </c>
      <c r="B35" s="443">
        <v>6429860.6710178861</v>
      </c>
      <c r="C35" s="443">
        <v>-178848.84957601968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zoomScale="102" zoomScaleNormal="102" workbookViewId="0">
      <selection activeCell="C26" sqref="C26"/>
    </sheetView>
  </sheetViews>
  <sheetFormatPr defaultColWidth="9.109375" defaultRowHeight="13.8" x14ac:dyDescent="0.25"/>
  <cols>
    <col min="1" max="1" width="6.109375" style="1" bestFit="1" customWidth="1"/>
    <col min="2" max="2" width="28.109375" style="1" bestFit="1" customWidth="1"/>
    <col min="3" max="3" width="38.109375" style="1" customWidth="1"/>
    <col min="4" max="4" width="47.33203125" style="1" customWidth="1"/>
    <col min="5" max="5" width="21.21875" style="1" bestFit="1" customWidth="1"/>
    <col min="6" max="6" width="37.44140625" style="1" customWidth="1"/>
    <col min="7" max="7" width="48.109375" style="1" customWidth="1"/>
    <col min="8" max="8" width="30" style="1" bestFit="1" customWidth="1"/>
    <col min="9" max="9" width="27.33203125" style="1" customWidth="1"/>
    <col min="10" max="10" width="26.33203125" style="1" customWidth="1"/>
    <col min="11" max="11" width="21.33203125" style="1" bestFit="1" customWidth="1"/>
    <col min="12" max="12" width="14.109375" style="1" bestFit="1" customWidth="1"/>
    <col min="13" max="13" width="11.6640625" style="1" bestFit="1" customWidth="1"/>
    <col min="14" max="14" width="12.6640625" style="1" bestFit="1" customWidth="1"/>
    <col min="15" max="16384" width="9.109375" style="1"/>
  </cols>
  <sheetData>
    <row r="1" spans="1:11" ht="18" x14ac:dyDescent="0.35">
      <c r="A1" s="50"/>
      <c r="B1" s="90" t="s">
        <v>60</v>
      </c>
      <c r="C1" s="262">
        <f>'INVESTMENT COST'!C14</f>
        <v>15565000</v>
      </c>
      <c r="D1" s="50"/>
      <c r="E1" s="50"/>
      <c r="F1" s="299" t="s">
        <v>26</v>
      </c>
      <c r="G1" s="267"/>
      <c r="H1" s="267"/>
      <c r="I1" s="268"/>
      <c r="J1" s="50"/>
      <c r="K1" s="50"/>
    </row>
    <row r="2" spans="1:11" ht="18" x14ac:dyDescent="0.35">
      <c r="A2" s="50"/>
      <c r="B2" s="91" t="s">
        <v>50</v>
      </c>
      <c r="C2" s="195">
        <f>'PROJECT FUNDING'!B2</f>
        <v>26232000</v>
      </c>
      <c r="D2" s="50"/>
      <c r="E2" s="50"/>
      <c r="F2" s="342" t="s">
        <v>96</v>
      </c>
      <c r="G2" s="248" t="s">
        <v>36</v>
      </c>
      <c r="H2" s="248" t="s">
        <v>39</v>
      </c>
      <c r="I2" s="270" t="s">
        <v>37</v>
      </c>
      <c r="J2" s="50"/>
      <c r="K2" s="50"/>
    </row>
    <row r="3" spans="1:11" ht="18" x14ac:dyDescent="0.35">
      <c r="A3" s="50"/>
      <c r="B3" s="91" t="s">
        <v>80</v>
      </c>
      <c r="C3" s="156">
        <v>10</v>
      </c>
      <c r="D3" s="50"/>
      <c r="E3" s="50"/>
      <c r="F3" s="342" t="s">
        <v>236</v>
      </c>
      <c r="G3" s="248" t="s">
        <v>239</v>
      </c>
      <c r="H3" s="249">
        <v>2300000</v>
      </c>
      <c r="I3" s="271">
        <v>700000</v>
      </c>
      <c r="J3" s="50"/>
      <c r="K3" s="50"/>
    </row>
    <row r="4" spans="1:11" ht="18" x14ac:dyDescent="0.35">
      <c r="A4" s="50"/>
      <c r="B4" s="91" t="s">
        <v>49</v>
      </c>
      <c r="C4" s="157">
        <f>'PROJECT FUNDING'!J4</f>
        <v>6.0000000000000005E-2</v>
      </c>
      <c r="D4" s="50"/>
      <c r="E4" s="50"/>
      <c r="F4" s="343" t="s">
        <v>38</v>
      </c>
      <c r="G4" s="344"/>
      <c r="H4" s="345">
        <v>2300000</v>
      </c>
      <c r="I4" s="346">
        <v>700000</v>
      </c>
      <c r="J4" s="50"/>
      <c r="K4" s="50"/>
    </row>
    <row r="5" spans="1:11" ht="18" x14ac:dyDescent="0.35">
      <c r="A5" s="50"/>
      <c r="B5" s="158" t="s">
        <v>47</v>
      </c>
      <c r="C5" s="157">
        <f>'PROJECT FUNDING'!B11</f>
        <v>5.8000000000000003E-2</v>
      </c>
      <c r="D5" s="50"/>
      <c r="E5" s="50"/>
      <c r="F5" s="273"/>
      <c r="G5" s="252"/>
      <c r="H5" s="252"/>
      <c r="I5" s="274"/>
      <c r="J5" s="50"/>
      <c r="K5" s="50"/>
    </row>
    <row r="6" spans="1:11" ht="18.600000000000001" thickBot="1" x14ac:dyDescent="0.4">
      <c r="A6" s="50"/>
      <c r="B6" s="275" t="s">
        <v>48</v>
      </c>
      <c r="C6" s="265">
        <f>'PROJECT FUNDING'!B13</f>
        <v>0.4</v>
      </c>
      <c r="D6" s="50"/>
      <c r="E6" s="50"/>
      <c r="F6" s="161" t="s">
        <v>96</v>
      </c>
      <c r="G6" s="248" t="s">
        <v>36</v>
      </c>
      <c r="H6" s="248" t="s">
        <v>39</v>
      </c>
      <c r="I6" s="270" t="s">
        <v>37</v>
      </c>
      <c r="J6" s="50"/>
      <c r="K6" s="50"/>
    </row>
    <row r="7" spans="1:11" ht="18" x14ac:dyDescent="0.35">
      <c r="A7" s="50"/>
      <c r="B7" s="254"/>
      <c r="C7" s="255"/>
      <c r="D7" s="50"/>
      <c r="E7" s="50"/>
      <c r="F7" s="342" t="s">
        <v>237</v>
      </c>
      <c r="G7" s="248" t="s">
        <v>238</v>
      </c>
      <c r="H7" s="249">
        <v>1250000</v>
      </c>
      <c r="I7" s="271">
        <v>0</v>
      </c>
      <c r="J7" s="50"/>
      <c r="K7" s="50"/>
    </row>
    <row r="8" spans="1:11" ht="18.600000000000001" thickBot="1" x14ac:dyDescent="0.4">
      <c r="A8" s="50"/>
      <c r="B8" s="254"/>
      <c r="C8" s="255"/>
      <c r="D8" s="50"/>
      <c r="E8" s="50"/>
      <c r="F8" s="542" t="s">
        <v>38</v>
      </c>
      <c r="G8" s="543"/>
      <c r="H8" s="347">
        <v>1250000</v>
      </c>
      <c r="I8" s="348">
        <v>0</v>
      </c>
      <c r="J8" s="50"/>
      <c r="K8" s="50"/>
    </row>
    <row r="9" spans="1:11" ht="18.600000000000001" thickBot="1" x14ac:dyDescent="0.4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ht="18" x14ac:dyDescent="0.25">
      <c r="A10" s="539" t="s">
        <v>26</v>
      </c>
      <c r="B10" s="540"/>
      <c r="C10" s="540"/>
      <c r="D10" s="540"/>
      <c r="E10" s="540"/>
      <c r="F10" s="540"/>
      <c r="G10" s="540"/>
      <c r="H10" s="540"/>
      <c r="I10" s="540"/>
      <c r="J10" s="540"/>
      <c r="K10" s="541"/>
    </row>
    <row r="11" spans="1:11" ht="18" x14ac:dyDescent="0.25">
      <c r="A11" s="161" t="s">
        <v>31</v>
      </c>
      <c r="B11" s="58" t="s">
        <v>40</v>
      </c>
      <c r="C11" s="58" t="s">
        <v>45</v>
      </c>
      <c r="D11" s="58" t="s">
        <v>44</v>
      </c>
      <c r="E11" s="58" t="s">
        <v>208</v>
      </c>
      <c r="F11" s="384" t="s">
        <v>241</v>
      </c>
      <c r="G11" s="384" t="s">
        <v>242</v>
      </c>
      <c r="H11" s="58" t="s">
        <v>41</v>
      </c>
      <c r="I11" s="58" t="s">
        <v>42</v>
      </c>
      <c r="J11" s="58" t="s">
        <v>43</v>
      </c>
      <c r="K11" s="162" t="s">
        <v>122</v>
      </c>
    </row>
    <row r="12" spans="1:11" ht="18" x14ac:dyDescent="0.25">
      <c r="A12" s="161">
        <v>0</v>
      </c>
      <c r="B12" s="65">
        <f>-C2</f>
        <v>-26232000</v>
      </c>
      <c r="C12" s="65">
        <f>-'PROJECT FUNDING'!B9</f>
        <v>-17050800</v>
      </c>
      <c r="D12" s="172"/>
      <c r="E12" s="172"/>
      <c r="F12" s="172"/>
      <c r="G12" s="172"/>
      <c r="H12" s="172"/>
      <c r="I12" s="172"/>
      <c r="J12" s="65">
        <f>B12-C12</f>
        <v>-9181200</v>
      </c>
      <c r="K12" s="181">
        <f>J12</f>
        <v>-9181200</v>
      </c>
    </row>
    <row r="13" spans="1:11" ht="18" x14ac:dyDescent="0.25">
      <c r="A13" s="161">
        <v>1</v>
      </c>
      <c r="B13" s="65">
        <f>'ALTERNATIVE 1 CF'!B10+'ALTERNATIVE 1 CF'!I10+'ALTERNATIVE 1 CF'!F10</f>
        <v>-11254820</v>
      </c>
      <c r="C13" s="173">
        <f>-PPMT($C$5,A13,$C$3,-$C$12)</f>
        <v>1305809.4601898105</v>
      </c>
      <c r="D13" s="173">
        <f>-IPMT($C$5,A13,$C$3,-$C$12)</f>
        <v>988946.4</v>
      </c>
      <c r="E13" s="173">
        <f>-'ALTERNATIVE 1 CF'!H10</f>
        <v>1160662.1485602574</v>
      </c>
      <c r="F13" s="173">
        <f>DB($H$4,$I$4,$C$3,A13)</f>
        <v>257600</v>
      </c>
      <c r="G13" s="173">
        <f>SLN($H$8,$I$8,$C$3)</f>
        <v>125000</v>
      </c>
      <c r="H13" s="65">
        <f>B13-D13-F13-G13-E13</f>
        <v>-13787028.548560258</v>
      </c>
      <c r="I13" s="65">
        <f>H13*$C$6</f>
        <v>-5514811.4194241036</v>
      </c>
      <c r="J13" s="65">
        <f>B13-C13-D13-I13-E13</f>
        <v>-9195426.5893259645</v>
      </c>
      <c r="K13" s="181">
        <f>K12+J13</f>
        <v>-18376626.589325964</v>
      </c>
    </row>
    <row r="14" spans="1:11" ht="18" x14ac:dyDescent="0.25">
      <c r="A14" s="161">
        <v>2</v>
      </c>
      <c r="B14" s="172">
        <f>'ALTERNATIVE 1 CF'!B11+'ALTERNATIVE 1 CF'!I11+'ALTERNATIVE 1 CF'!F11</f>
        <v>296071</v>
      </c>
      <c r="C14" s="173">
        <f>-PPMT($C$5,A14,$C$3,-$C$12)</f>
        <v>1381546.4088808196</v>
      </c>
      <c r="D14" s="173">
        <f>-IPMT($C$5,A14,$C$3,-$C$12)</f>
        <v>913209.45130899095</v>
      </c>
      <c r="E14" s="173">
        <f>-'ALTERNATIVE 1 CF'!H11</f>
        <v>1160662.1485602574</v>
      </c>
      <c r="F14" s="173">
        <f>DB($H$4,$I$4,$C$3,A14)</f>
        <v>228748.80000000002</v>
      </c>
      <c r="G14" s="173">
        <f>SLN($H$8,$I$8,$C$3)</f>
        <v>125000</v>
      </c>
      <c r="H14" s="65">
        <f t="shared" ref="H14:H16" si="0">B14-D14-F14-G14-E14</f>
        <v>-2131549.3998692483</v>
      </c>
      <c r="I14" s="65">
        <f>H14*$C$4</f>
        <v>-127892.96399215491</v>
      </c>
      <c r="J14" s="65">
        <f t="shared" ref="J14:J17" si="1">B14-C14-D14-I14-E14</f>
        <v>-3031454.0447579129</v>
      </c>
      <c r="K14" s="181">
        <f t="shared" ref="K14:K17" si="2">K13+J14</f>
        <v>-21408080.634083878</v>
      </c>
    </row>
    <row r="15" spans="1:11" ht="18" x14ac:dyDescent="0.25">
      <c r="A15" s="161">
        <v>3</v>
      </c>
      <c r="B15" s="172">
        <f>'ALTERNATIVE 1 CF'!B12+'ALTERNATIVE 1 CF'!I12+'ALTERNATIVE 1 CF'!F12</f>
        <v>1231227.6779999994</v>
      </c>
      <c r="C15" s="173">
        <f>-PPMT($C$5,A15,$C$3,-$C$12)</f>
        <v>1461676.1005959071</v>
      </c>
      <c r="D15" s="173">
        <f>-IPMT($C$5,A15,$C$3,-$C$12)</f>
        <v>833079.75959390332</v>
      </c>
      <c r="E15" s="173">
        <f>-'ALTERNATIVE 1 CF'!H12</f>
        <v>1160662.1485602574</v>
      </c>
      <c r="F15" s="173">
        <f>DB($H$4,$I$4,$C$3,A15)</f>
        <v>203128.9344</v>
      </c>
      <c r="G15" s="173">
        <f>SLN($H$8,$I$8,$C$3)</f>
        <v>125000</v>
      </c>
      <c r="H15" s="65">
        <f t="shared" si="0"/>
        <v>-1090643.1645541613</v>
      </c>
      <c r="I15" s="65">
        <f>H15*$C$4</f>
        <v>-65438.589873249679</v>
      </c>
      <c r="J15" s="65">
        <f t="shared" si="1"/>
        <v>-2158751.740876819</v>
      </c>
      <c r="K15" s="181">
        <f t="shared" si="2"/>
        <v>-23566832.374960698</v>
      </c>
    </row>
    <row r="16" spans="1:11" ht="18" x14ac:dyDescent="0.25">
      <c r="A16" s="161">
        <v>4</v>
      </c>
      <c r="B16" s="172">
        <f>'ALTERNATIVE 1 CF'!B13+'ALTERNATIVE 1 CF'!I13+'ALTERNATIVE 1 CF'!F13</f>
        <v>2220623.4433239996</v>
      </c>
      <c r="C16" s="173">
        <f>-PPMT($C$5,A16,$C$3,-$C$12)</f>
        <v>1546453.3144304699</v>
      </c>
      <c r="D16" s="173">
        <f>-IPMT($C$5,A16,$C$3,-$C$12)</f>
        <v>748302.54575934086</v>
      </c>
      <c r="E16" s="173">
        <f>-'ALTERNATIVE 1 CF'!H13</f>
        <v>1160662.1485602574</v>
      </c>
      <c r="F16" s="173">
        <f>DB($H$4,$I$4,$C$3,A16)</f>
        <v>180378.4937472</v>
      </c>
      <c r="G16" s="173">
        <f>SLN($H$8,$I$8,$C$3)</f>
        <v>125000</v>
      </c>
      <c r="H16" s="65">
        <f t="shared" si="0"/>
        <v>6280.2552572016139</v>
      </c>
      <c r="I16" s="65">
        <f>H16*$C$4</f>
        <v>376.81531543209684</v>
      </c>
      <c r="J16" s="65">
        <f t="shared" si="1"/>
        <v>-1235171.3807415005</v>
      </c>
      <c r="K16" s="181">
        <f t="shared" si="2"/>
        <v>-24802003.755702198</v>
      </c>
    </row>
    <row r="17" spans="1:11" ht="18" x14ac:dyDescent="0.25">
      <c r="A17" s="161">
        <v>5</v>
      </c>
      <c r="B17" s="172">
        <f>'ALTERNATIVE 1 CF'!B14+'ALTERNATIVE 1 CF'!F14+'ALTERNATIVE 1 CF'!I14</f>
        <v>3267404.1630367935</v>
      </c>
      <c r="C17" s="173">
        <f>-PPMT($C$5,A17,$C$3,-$C$12)</f>
        <v>1636147.6066674367</v>
      </c>
      <c r="D17" s="173">
        <f>-IPMT($C$5,A17,$C$3,-$C$12)</f>
        <v>658608.2535223735</v>
      </c>
      <c r="E17" s="173">
        <f>-'ALTERNATIVE 1 CF'!H14</f>
        <v>1160662.1485602574</v>
      </c>
      <c r="F17" s="173">
        <f>DB($H$4,$I$4,$C$3,A17)</f>
        <v>160176.10244751361</v>
      </c>
      <c r="G17" s="173">
        <f>SLN($H$8,$I$8,$C$3)</f>
        <v>125000</v>
      </c>
      <c r="H17" s="65">
        <f>B17-D17-F17-G17-E17</f>
        <v>1162957.6585066488</v>
      </c>
      <c r="I17" s="65">
        <f>H17*$C$4</f>
        <v>69777.459510398941</v>
      </c>
      <c r="J17" s="65">
        <f t="shared" si="1"/>
        <v>-257791.305223673</v>
      </c>
      <c r="K17" s="181">
        <f t="shared" si="2"/>
        <v>-25059795.060925871</v>
      </c>
    </row>
    <row r="18" spans="1:11" ht="18" x14ac:dyDescent="0.35">
      <c r="A18" s="193">
        <v>6</v>
      </c>
      <c r="B18" s="172">
        <f>'ALTERNATIVE 1 CF'!B15+'ALTERNATIVE 1 CF'!F15+'ALTERNATIVE 1 CF'!I15</f>
        <v>4374898.1644929275</v>
      </c>
      <c r="C18" s="173">
        <f t="shared" ref="C18:C22" si="3">-PPMT($C$5,A18,$C$3,-$C$12)</f>
        <v>1731044.1678541482</v>
      </c>
      <c r="D18" s="173">
        <f t="shared" ref="D18:D22" si="4">-IPMT($C$5,A18,$C$3,-$C$12)</f>
        <v>563711.69233566208</v>
      </c>
      <c r="E18" s="173">
        <f>-'ALTERNATIVE 1 CF'!H15</f>
        <v>1160662.1485602574</v>
      </c>
      <c r="F18" s="173">
        <f t="shared" ref="F18:F22" si="5">DB($H$4,$I$4,$C$3,A18)</f>
        <v>142236.3789733921</v>
      </c>
      <c r="G18" s="173">
        <f t="shared" ref="G18:G22" si="6">SLN($H$8,$I$8,$C$3)</f>
        <v>125000</v>
      </c>
      <c r="H18" s="65">
        <f t="shared" ref="H18:H21" si="7">B18-D18-F18-G18-E18</f>
        <v>2383287.9446236156</v>
      </c>
      <c r="I18" s="65">
        <f t="shared" ref="I18:I22" si="8">H18*$C$4</f>
        <v>142997.27667741696</v>
      </c>
      <c r="J18" s="65">
        <f t="shared" ref="J18:J22" si="9">B18-C18-D18-I18-E18</f>
        <v>776482.8790654433</v>
      </c>
      <c r="K18" s="181">
        <f t="shared" ref="K18:K22" si="10">K17+J18</f>
        <v>-24283312.181860428</v>
      </c>
    </row>
    <row r="19" spans="1:11" ht="18" x14ac:dyDescent="0.35">
      <c r="A19" s="193">
        <v>7</v>
      </c>
      <c r="B19" s="172">
        <f>'ALTERNATIVE 1 CF'!B16+'ALTERNATIVE 1 CF'!F16+'ALTERNATIVE 1 CF'!I16</f>
        <v>5546626.8180335201</v>
      </c>
      <c r="C19" s="173">
        <f t="shared" si="3"/>
        <v>1831444.7295896888</v>
      </c>
      <c r="D19" s="173">
        <f t="shared" si="4"/>
        <v>463311.13060012157</v>
      </c>
      <c r="E19" s="173">
        <f>-'ALTERNATIVE 1 CF'!H16</f>
        <v>1160662.1485602574</v>
      </c>
      <c r="F19" s="173">
        <f t="shared" si="5"/>
        <v>126305.90452837219</v>
      </c>
      <c r="G19" s="173">
        <f t="shared" si="6"/>
        <v>125000</v>
      </c>
      <c r="H19" s="65">
        <f t="shared" si="7"/>
        <v>3671347.6343447687</v>
      </c>
      <c r="I19" s="65">
        <f t="shared" si="8"/>
        <v>220280.85806068615</v>
      </c>
      <c r="J19" s="65">
        <f t="shared" si="9"/>
        <v>1870927.9512227664</v>
      </c>
      <c r="K19" s="181">
        <f t="shared" si="10"/>
        <v>-22412384.230637662</v>
      </c>
    </row>
    <row r="20" spans="1:11" ht="18" x14ac:dyDescent="0.35">
      <c r="A20" s="193">
        <v>8</v>
      </c>
      <c r="B20" s="172">
        <f>'ALTERNATIVE 1 CF'!B17+'ALTERNATIVE 1 CF'!F17+'ALTERNATIVE 1 CF'!I17</f>
        <v>6786315.7334794663</v>
      </c>
      <c r="C20" s="173">
        <f t="shared" si="3"/>
        <v>1937668.523905891</v>
      </c>
      <c r="D20" s="173">
        <f t="shared" si="4"/>
        <v>357087.33628391963</v>
      </c>
      <c r="E20" s="173">
        <f>-'ALTERNATIVE 1 CF'!H17</f>
        <v>1160662.1485602574</v>
      </c>
      <c r="F20" s="173">
        <f t="shared" si="5"/>
        <v>112159.64322119451</v>
      </c>
      <c r="G20" s="173">
        <f t="shared" si="6"/>
        <v>125000</v>
      </c>
      <c r="H20" s="65">
        <f t="shared" si="7"/>
        <v>5031406.6054140944</v>
      </c>
      <c r="I20" s="65">
        <f t="shared" si="8"/>
        <v>301884.39632484567</v>
      </c>
      <c r="J20" s="65">
        <f t="shared" si="9"/>
        <v>3029013.3284045532</v>
      </c>
      <c r="K20" s="181">
        <f t="shared" si="10"/>
        <v>-19383370.902233109</v>
      </c>
    </row>
    <row r="21" spans="1:11" ht="18" x14ac:dyDescent="0.35">
      <c r="A21" s="193">
        <v>9</v>
      </c>
      <c r="B21" s="172">
        <f>'ALTERNATIVE 1 CF'!B18+'ALTERNATIVE 1 CF'!F18+'ALTERNATIVE 1 CF'!I18</f>
        <v>8097906.6060212776</v>
      </c>
      <c r="C21" s="173">
        <f t="shared" si="3"/>
        <v>2050053.2982924324</v>
      </c>
      <c r="D21" s="173">
        <f t="shared" si="4"/>
        <v>244702.56189737795</v>
      </c>
      <c r="E21" s="173">
        <f>-'ALTERNATIVE 1 CF'!H18</f>
        <v>1160662.1485602574</v>
      </c>
      <c r="F21" s="173">
        <f t="shared" si="5"/>
        <v>99597.763180420719</v>
      </c>
      <c r="G21" s="173">
        <f t="shared" si="6"/>
        <v>125000</v>
      </c>
      <c r="H21" s="65">
        <f t="shared" si="7"/>
        <v>6467944.1323832208</v>
      </c>
      <c r="I21" s="65">
        <f t="shared" si="8"/>
        <v>388076.64794299327</v>
      </c>
      <c r="J21" s="65">
        <f t="shared" si="9"/>
        <v>4254411.9493282167</v>
      </c>
      <c r="K21" s="181">
        <f t="shared" si="10"/>
        <v>-15128958.952904891</v>
      </c>
    </row>
    <row r="22" spans="1:11" ht="18.600000000000001" thickBot="1" x14ac:dyDescent="0.4">
      <c r="A22" s="196">
        <v>10</v>
      </c>
      <c r="B22" s="184">
        <f>'ALTERNATIVE 1 CF'!B19+'ALTERNATIVE 1 CF'!F19+'ALTERNATIVE 1 CF'!I19+'ALTERNATIVE 1 (ATCF)'!I4+'ALTERNATIVE 1 (ATCF)'!I8</f>
        <v>10185569.749170512</v>
      </c>
      <c r="C22" s="185">
        <f t="shared" si="3"/>
        <v>2168956.3895933935</v>
      </c>
      <c r="D22" s="185">
        <f t="shared" si="4"/>
        <v>125799.47059641685</v>
      </c>
      <c r="E22" s="185">
        <f>-'ALTERNATIVE 1 CF'!H19</f>
        <v>1160662.1485602574</v>
      </c>
      <c r="F22" s="185">
        <f t="shared" si="5"/>
        <v>88442.813704213608</v>
      </c>
      <c r="G22" s="185">
        <f t="shared" si="6"/>
        <v>125000</v>
      </c>
      <c r="H22" s="186">
        <f>B22-D22-F22-G22-E22-I4-I8</f>
        <v>7985665.3163096234</v>
      </c>
      <c r="I22" s="186">
        <f t="shared" si="8"/>
        <v>479139.91897857742</v>
      </c>
      <c r="J22" s="186">
        <f t="shared" si="9"/>
        <v>6251011.8214418665</v>
      </c>
      <c r="K22" s="187">
        <f t="shared" si="10"/>
        <v>-8877947.1314630248</v>
      </c>
    </row>
    <row r="23" spans="1:11" ht="18" x14ac:dyDescent="0.35">
      <c r="A23" s="50"/>
      <c r="B23" s="50"/>
      <c r="C23" s="628"/>
      <c r="D23" s="628"/>
      <c r="E23" s="50"/>
      <c r="F23" s="628"/>
      <c r="G23" s="628"/>
      <c r="H23" s="50"/>
      <c r="I23" s="50"/>
      <c r="J23" s="50"/>
      <c r="K23" s="50"/>
    </row>
    <row r="24" spans="1:11" ht="18" x14ac:dyDescent="0.35">
      <c r="A24" s="50"/>
      <c r="B24" s="50"/>
      <c r="C24" s="50"/>
      <c r="D24" s="50"/>
      <c r="E24" s="50"/>
      <c r="F24" s="629"/>
      <c r="G24" s="50"/>
      <c r="H24" s="50"/>
      <c r="I24" s="50"/>
      <c r="J24" s="50"/>
      <c r="K24" s="50"/>
    </row>
    <row r="25" spans="1:11" ht="18" x14ac:dyDescent="0.3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ht="18" x14ac:dyDescent="0.3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 ht="18" x14ac:dyDescent="0.3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 ht="18" x14ac:dyDescent="0.3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ht="18" x14ac:dyDescent="0.3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ht="18" x14ac:dyDescent="0.3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ht="18" x14ac:dyDescent="0.3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ht="18" x14ac:dyDescent="0.3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1:16" ht="18" x14ac:dyDescent="0.3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1:16" ht="18" x14ac:dyDescent="0.3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1:16" ht="18" x14ac:dyDescent="0.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16" ht="18" x14ac:dyDescent="0.3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1:16" ht="18.600000000000001" thickBot="1" x14ac:dyDescent="0.4">
      <c r="A37" s="50"/>
      <c r="B37" s="72"/>
      <c r="C37" s="50"/>
      <c r="D37" s="50"/>
      <c r="E37" s="256"/>
      <c r="F37" s="256"/>
      <c r="G37" s="257"/>
      <c r="H37" s="257"/>
      <c r="I37" s="50"/>
      <c r="J37" s="50"/>
      <c r="K37" s="50"/>
    </row>
    <row r="38" spans="1:16" ht="18" x14ac:dyDescent="0.35">
      <c r="A38" s="50"/>
      <c r="B38" s="72"/>
      <c r="C38" s="539" t="s">
        <v>126</v>
      </c>
      <c r="D38" s="541"/>
      <c r="E38" s="256"/>
      <c r="F38" s="256"/>
      <c r="G38" s="544" t="s">
        <v>201</v>
      </c>
      <c r="H38" s="545"/>
      <c r="I38" s="50"/>
      <c r="J38" s="50"/>
      <c r="K38" s="50"/>
    </row>
    <row r="39" spans="1:16" ht="18" x14ac:dyDescent="0.35">
      <c r="A39" s="50"/>
      <c r="B39" s="72"/>
      <c r="C39" s="120" t="s">
        <v>51</v>
      </c>
      <c r="D39" s="276">
        <f>NPV($C$4,J13:J22)+J12</f>
        <v>-13836835.309025731</v>
      </c>
      <c r="E39" s="258"/>
      <c r="F39" s="258"/>
      <c r="G39" s="58" t="s">
        <v>125</v>
      </c>
      <c r="H39" s="58" t="s">
        <v>123</v>
      </c>
      <c r="I39" s="50"/>
      <c r="J39" s="50"/>
      <c r="K39" s="50"/>
    </row>
    <row r="40" spans="1:16" ht="18" x14ac:dyDescent="0.35">
      <c r="A40" s="50"/>
      <c r="B40" s="72"/>
      <c r="C40" s="120" t="s">
        <v>52</v>
      </c>
      <c r="D40" s="276">
        <f>FV($C$4,$C$3,,-D39)</f>
        <v>-24779664.640611567</v>
      </c>
      <c r="E40" s="258"/>
      <c r="F40" s="258"/>
      <c r="G40" s="259">
        <v>9</v>
      </c>
      <c r="H40" s="65">
        <f>K21</f>
        <v>-15128958.952904891</v>
      </c>
      <c r="I40" s="50"/>
      <c r="J40" s="50"/>
      <c r="K40" s="50"/>
    </row>
    <row r="41" spans="1:16" ht="18" x14ac:dyDescent="0.35">
      <c r="A41" s="50"/>
      <c r="B41" s="72"/>
      <c r="C41" s="120" t="s">
        <v>53</v>
      </c>
      <c r="D41" s="276">
        <f>PMT($C$4,$C$3,-D39)</f>
        <v>-1879982.56166904</v>
      </c>
      <c r="E41" s="258"/>
      <c r="F41" s="258"/>
      <c r="G41" s="259">
        <v>10</v>
      </c>
      <c r="H41" s="65">
        <f>K22</f>
        <v>-8877947.1314630248</v>
      </c>
      <c r="I41" s="50"/>
      <c r="J41" s="50"/>
      <c r="K41" s="50"/>
    </row>
    <row r="42" spans="1:16" ht="18" x14ac:dyDescent="0.35">
      <c r="A42" s="50"/>
      <c r="B42" s="50"/>
      <c r="C42" s="120" t="s">
        <v>54</v>
      </c>
      <c r="D42" s="277">
        <f>IRR(J12:J22)</f>
        <v>-5.5172994784738361E-2</v>
      </c>
      <c r="E42" s="50"/>
      <c r="F42" s="50"/>
      <c r="G42" s="544" t="s">
        <v>124</v>
      </c>
      <c r="H42" s="545"/>
      <c r="I42" s="50"/>
      <c r="J42" s="50"/>
      <c r="K42" s="50"/>
    </row>
    <row r="43" spans="1:16" ht="18.600000000000001" thickBot="1" x14ac:dyDescent="0.4">
      <c r="A43" s="50"/>
      <c r="B43" s="50"/>
      <c r="C43" s="122" t="s">
        <v>217</v>
      </c>
      <c r="D43" s="278">
        <f>MIRR(J12:J22,,$C$4)</f>
        <v>-3.5973566563982429E-2</v>
      </c>
      <c r="E43" s="50"/>
      <c r="F43" s="50"/>
      <c r="G43" s="546">
        <f>G40+(G40-H40)*(G41-G40)/(H41-H40)</f>
        <v>11.420243055853831</v>
      </c>
      <c r="H43" s="547"/>
      <c r="I43" s="50"/>
      <c r="J43" s="50"/>
      <c r="K43" s="50"/>
    </row>
    <row r="44" spans="1:16" ht="18.600000000000001" thickBot="1" x14ac:dyDescent="0.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16" ht="18" x14ac:dyDescent="0.35">
      <c r="A45" s="50"/>
      <c r="B45" s="50"/>
      <c r="C45" s="539" t="s">
        <v>127</v>
      </c>
      <c r="D45" s="541"/>
      <c r="E45" s="50"/>
      <c r="F45" s="73"/>
      <c r="G45" s="73"/>
      <c r="H45" s="73"/>
      <c r="I45" s="73"/>
      <c r="J45" s="73"/>
      <c r="K45" s="73"/>
      <c r="L45" s="31"/>
      <c r="M45" s="31"/>
      <c r="N45" s="31"/>
      <c r="O45" s="31"/>
      <c r="P45" s="31"/>
    </row>
    <row r="46" spans="1:16" ht="18" x14ac:dyDescent="0.35">
      <c r="A46" s="50"/>
      <c r="B46" s="50"/>
      <c r="C46" s="193" t="s">
        <v>128</v>
      </c>
      <c r="D46" s="194" t="s">
        <v>129</v>
      </c>
      <c r="E46" s="50"/>
      <c r="F46" s="60"/>
      <c r="G46" s="60"/>
      <c r="H46" s="60"/>
      <c r="I46" s="60"/>
      <c r="J46" s="60"/>
      <c r="K46" s="60"/>
      <c r="L46"/>
      <c r="M46"/>
      <c r="N46"/>
      <c r="O46" s="60"/>
      <c r="P46" s="31"/>
    </row>
    <row r="47" spans="1:16" ht="18" x14ac:dyDescent="0.35">
      <c r="A47" s="50"/>
      <c r="B47" s="50"/>
      <c r="C47" s="193">
        <v>0</v>
      </c>
      <c r="D47" s="195">
        <v>-9181200</v>
      </c>
      <c r="E47" s="50"/>
      <c r="F47" s="60"/>
      <c r="G47" s="60"/>
      <c r="H47" s="60"/>
      <c r="I47" s="60"/>
      <c r="J47" s="60"/>
      <c r="K47" s="60"/>
      <c r="L47"/>
      <c r="M47"/>
      <c r="N47"/>
      <c r="O47" s="60"/>
      <c r="P47" s="31"/>
    </row>
    <row r="48" spans="1:16" ht="18" x14ac:dyDescent="0.35">
      <c r="A48" s="50"/>
      <c r="B48" s="50"/>
      <c r="C48" s="193">
        <v>1</v>
      </c>
      <c r="D48" s="195">
        <v>-9195426.5893259645</v>
      </c>
      <c r="E48" s="50"/>
      <c r="F48" s="446"/>
      <c r="G48" s="446"/>
      <c r="H48" s="60"/>
      <c r="I48" s="60"/>
      <c r="J48" s="60"/>
      <c r="K48" s="60"/>
      <c r="L48"/>
      <c r="M48"/>
      <c r="N48"/>
      <c r="O48" s="60"/>
      <c r="P48" s="31"/>
    </row>
    <row r="49" spans="1:17" ht="18" x14ac:dyDescent="0.35">
      <c r="A49" s="50"/>
      <c r="B49" s="50"/>
      <c r="C49" s="193">
        <v>2</v>
      </c>
      <c r="D49" s="195">
        <v>-3031454.0447579129</v>
      </c>
      <c r="E49" s="50"/>
      <c r="F49" s="59"/>
      <c r="G49" s="59"/>
      <c r="H49" s="60"/>
      <c r="I49" s="60"/>
      <c r="J49" s="60"/>
      <c r="K49" s="60"/>
      <c r="L49"/>
      <c r="M49"/>
      <c r="N49"/>
      <c r="O49" s="60"/>
      <c r="P49" s="31"/>
    </row>
    <row r="50" spans="1:17" ht="18" x14ac:dyDescent="0.35">
      <c r="A50" s="50"/>
      <c r="B50" s="50"/>
      <c r="C50" s="193">
        <f>C49+1</f>
        <v>3</v>
      </c>
      <c r="D50" s="195">
        <v>-2158751.740876819</v>
      </c>
      <c r="E50" s="50"/>
      <c r="F50" s="59"/>
      <c r="G50" s="59"/>
      <c r="H50" s="60"/>
      <c r="I50" s="60"/>
      <c r="J50" s="60"/>
      <c r="K50" s="60"/>
      <c r="L50"/>
      <c r="M50"/>
      <c r="N50"/>
      <c r="O50" s="60"/>
      <c r="P50" s="31"/>
    </row>
    <row r="51" spans="1:17" ht="18" x14ac:dyDescent="0.35">
      <c r="A51" s="50"/>
      <c r="B51" s="50"/>
      <c r="C51" s="193">
        <f t="shared" ref="C51:C57" si="11">C50+1</f>
        <v>4</v>
      </c>
      <c r="D51" s="195">
        <v>-1235171.3807415005</v>
      </c>
      <c r="E51" s="50"/>
      <c r="F51" s="59"/>
      <c r="G51" s="59"/>
      <c r="H51" s="60"/>
      <c r="I51" s="60"/>
      <c r="J51" s="60"/>
      <c r="K51" s="60"/>
      <c r="L51"/>
      <c r="M51"/>
      <c r="N51"/>
      <c r="O51" s="60"/>
      <c r="P51" s="31"/>
    </row>
    <row r="52" spans="1:17" ht="18" x14ac:dyDescent="0.35">
      <c r="A52" s="50"/>
      <c r="B52" s="50"/>
      <c r="C52" s="193">
        <f t="shared" si="11"/>
        <v>5</v>
      </c>
      <c r="D52" s="195">
        <v>-257791.305223673</v>
      </c>
      <c r="E52" s="50"/>
      <c r="F52" s="59"/>
      <c r="G52" s="59"/>
      <c r="H52" s="60"/>
      <c r="I52" s="60"/>
      <c r="J52" s="60"/>
      <c r="K52" s="60"/>
      <c r="L52"/>
      <c r="M52"/>
      <c r="N52"/>
      <c r="O52" s="60"/>
      <c r="P52" s="31"/>
    </row>
    <row r="53" spans="1:17" ht="18" x14ac:dyDescent="0.35">
      <c r="A53" s="279"/>
      <c r="B53" s="279"/>
      <c r="C53" s="193">
        <f t="shared" si="11"/>
        <v>6</v>
      </c>
      <c r="D53" s="181">
        <v>776482.8790654433</v>
      </c>
      <c r="E53" s="279"/>
      <c r="F53" s="59"/>
      <c r="G53" s="59"/>
      <c r="H53" s="60"/>
      <c r="I53" s="60"/>
      <c r="J53" s="60"/>
      <c r="K53" s="60"/>
      <c r="L53"/>
      <c r="M53"/>
      <c r="N53"/>
      <c r="O53" s="60"/>
      <c r="P53" s="31"/>
    </row>
    <row r="54" spans="1:17" ht="18" x14ac:dyDescent="0.35">
      <c r="A54" s="279"/>
      <c r="B54" s="279"/>
      <c r="C54" s="193">
        <f t="shared" si="11"/>
        <v>7</v>
      </c>
      <c r="D54" s="181">
        <v>1870927.9512227664</v>
      </c>
      <c r="E54" s="279"/>
      <c r="F54" s="60"/>
      <c r="G54" s="60"/>
      <c r="H54" s="60"/>
      <c r="I54" s="60"/>
      <c r="J54" s="60"/>
      <c r="K54" s="60"/>
      <c r="L54"/>
      <c r="M54"/>
      <c r="N54"/>
      <c r="O54" s="60"/>
      <c r="P54" s="31"/>
    </row>
    <row r="55" spans="1:17" ht="18" x14ac:dyDescent="0.35">
      <c r="A55" s="279"/>
      <c r="B55" s="279"/>
      <c r="C55" s="193">
        <f t="shared" si="11"/>
        <v>8</v>
      </c>
      <c r="D55" s="181">
        <v>3029013.3284045532</v>
      </c>
      <c r="E55" s="279"/>
      <c r="F55" s="60"/>
      <c r="G55" s="60"/>
      <c r="H55" s="60"/>
      <c r="I55" s="60"/>
      <c r="J55" s="60"/>
      <c r="K55" s="60"/>
      <c r="L55"/>
      <c r="M55"/>
      <c r="N55"/>
      <c r="O55" s="60"/>
      <c r="P55" s="31"/>
    </row>
    <row r="56" spans="1:17" ht="18" x14ac:dyDescent="0.35">
      <c r="A56" s="279"/>
      <c r="B56" s="279"/>
      <c r="C56" s="193">
        <f t="shared" si="11"/>
        <v>9</v>
      </c>
      <c r="D56" s="181">
        <v>4254411.9493282167</v>
      </c>
      <c r="E56" s="279"/>
      <c r="F56" s="61"/>
      <c r="G56" s="61"/>
      <c r="H56" s="61"/>
      <c r="I56" s="61"/>
      <c r="J56" s="61"/>
      <c r="K56" s="61"/>
      <c r="L56"/>
      <c r="M56"/>
      <c r="N56"/>
      <c r="O56" s="60"/>
      <c r="P56" s="31"/>
    </row>
    <row r="57" spans="1:17" ht="18.600000000000001" thickBot="1" x14ac:dyDescent="0.4">
      <c r="A57" s="279"/>
      <c r="B57" s="279"/>
      <c r="C57" s="193">
        <f t="shared" si="11"/>
        <v>10</v>
      </c>
      <c r="D57" s="187">
        <v>6251011.8214418665</v>
      </c>
      <c r="E57" s="279"/>
      <c r="F57" s="59"/>
      <c r="G57" s="59"/>
      <c r="H57" s="59"/>
      <c r="I57" s="59"/>
      <c r="J57" s="59"/>
      <c r="K57" s="59"/>
      <c r="L57" s="60"/>
      <c r="M57" s="60"/>
      <c r="N57" s="60"/>
      <c r="O57" s="60"/>
      <c r="P57" s="31"/>
      <c r="Q57" s="31"/>
    </row>
    <row r="58" spans="1:17" ht="17.399999999999999" x14ac:dyDescent="0.3">
      <c r="A58" s="279"/>
      <c r="B58" s="279"/>
      <c r="C58" s="279"/>
      <c r="D58" s="279"/>
      <c r="E58" s="279"/>
      <c r="F58" s="59"/>
      <c r="G58" s="59"/>
      <c r="H58" s="59"/>
      <c r="I58" s="59"/>
      <c r="J58" s="59"/>
      <c r="K58" s="59"/>
      <c r="L58" s="60"/>
      <c r="M58" s="60"/>
      <c r="N58" s="60"/>
      <c r="O58" s="60"/>
      <c r="P58" s="31"/>
      <c r="Q58" s="31"/>
    </row>
    <row r="59" spans="1:17" ht="17.399999999999999" x14ac:dyDescent="0.3">
      <c r="A59" s="279"/>
      <c r="B59" s="279"/>
      <c r="C59" s="279"/>
      <c r="D59" s="279"/>
      <c r="E59" s="279"/>
      <c r="F59" s="59"/>
      <c r="G59" s="59"/>
      <c r="H59" s="59"/>
      <c r="I59" s="59"/>
      <c r="J59" s="59"/>
      <c r="K59" s="59"/>
      <c r="L59" s="60"/>
      <c r="M59" s="60"/>
      <c r="N59" s="60"/>
      <c r="O59" s="60"/>
      <c r="P59" s="31"/>
      <c r="Q59" s="31"/>
    </row>
    <row r="60" spans="1:17" ht="17.399999999999999" x14ac:dyDescent="0.3">
      <c r="A60" s="279"/>
      <c r="B60" s="279"/>
      <c r="C60" s="279"/>
      <c r="D60" s="279"/>
      <c r="E60" s="279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31"/>
      <c r="Q60" s="31"/>
    </row>
    <row r="61" spans="1:17" ht="14.4" x14ac:dyDescent="0.3"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31"/>
      <c r="Q61" s="31"/>
    </row>
    <row r="62" spans="1:17" ht="14.4" x14ac:dyDescent="0.3"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31"/>
      <c r="Q62" s="31"/>
    </row>
    <row r="63" spans="1:17" ht="14.4" x14ac:dyDescent="0.3"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31"/>
      <c r="Q63" s="31"/>
    </row>
    <row r="64" spans="1:17" ht="14.4" x14ac:dyDescent="0.3"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31"/>
      <c r="Q64" s="31"/>
    </row>
    <row r="65" spans="6:17" ht="14.4" x14ac:dyDescent="0.3"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31"/>
      <c r="Q65" s="31"/>
    </row>
    <row r="66" spans="6:17" ht="14.4" x14ac:dyDescent="0.3"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31"/>
      <c r="Q66" s="31"/>
    </row>
    <row r="67" spans="6:17" ht="14.4" x14ac:dyDescent="0.3"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31"/>
      <c r="Q67" s="31"/>
    </row>
    <row r="68" spans="6:17" ht="14.4" x14ac:dyDescent="0.3"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31"/>
      <c r="Q68" s="31"/>
    </row>
    <row r="69" spans="6:17" ht="14.4" x14ac:dyDescent="0.3">
      <c r="F69" s="61"/>
      <c r="G69" s="61"/>
      <c r="H69" s="61"/>
      <c r="I69" s="60"/>
      <c r="J69" s="60"/>
      <c r="K69" s="60"/>
      <c r="L69" s="60"/>
      <c r="M69" s="60"/>
      <c r="N69" s="60"/>
      <c r="O69" s="60"/>
      <c r="P69" s="31"/>
      <c r="Q69" s="31"/>
    </row>
    <row r="70" spans="6:17" ht="14.4" x14ac:dyDescent="0.3">
      <c r="F70" s="59"/>
      <c r="G70" s="59"/>
      <c r="H70" s="59"/>
      <c r="I70" s="60"/>
      <c r="J70" s="60"/>
      <c r="K70" s="60"/>
      <c r="L70"/>
      <c r="M70"/>
      <c r="N70"/>
      <c r="O70" s="60"/>
      <c r="P70" s="31"/>
    </row>
    <row r="71" spans="6:17" ht="14.4" x14ac:dyDescent="0.3">
      <c r="F71" s="59"/>
      <c r="G71" s="59"/>
      <c r="H71" s="59"/>
      <c r="I71" s="60"/>
      <c r="J71" s="60"/>
      <c r="K71" s="60"/>
      <c r="L71"/>
      <c r="M71"/>
      <c r="N71"/>
      <c r="O71" s="60"/>
      <c r="P71" s="31"/>
    </row>
    <row r="72" spans="6:17" ht="14.4" x14ac:dyDescent="0.3">
      <c r="F72" s="59"/>
      <c r="G72" s="59"/>
      <c r="H72" s="59"/>
      <c r="I72" s="60"/>
      <c r="J72" s="60"/>
      <c r="K72" s="60"/>
      <c r="L72"/>
      <c r="M72"/>
      <c r="N72"/>
      <c r="O72" s="60"/>
      <c r="P72" s="31"/>
    </row>
    <row r="73" spans="6:17" ht="14.4" x14ac:dyDescent="0.3">
      <c r="F73" s="59"/>
      <c r="G73" s="59"/>
      <c r="H73" s="59"/>
      <c r="I73" s="60"/>
      <c r="J73" s="60"/>
      <c r="K73" s="60"/>
      <c r="L73"/>
      <c r="M73"/>
      <c r="N73"/>
      <c r="O73" s="60"/>
      <c r="P73" s="31"/>
    </row>
    <row r="74" spans="6:17" ht="14.4" x14ac:dyDescent="0.3">
      <c r="F74" s="59"/>
      <c r="G74" s="59"/>
      <c r="H74" s="59"/>
      <c r="I74" s="60"/>
      <c r="J74" s="60"/>
      <c r="K74" s="60"/>
      <c r="L74"/>
      <c r="M74"/>
      <c r="N74"/>
      <c r="O74" s="60"/>
      <c r="P74" s="31"/>
    </row>
    <row r="75" spans="6:17" ht="14.4" x14ac:dyDescent="0.3">
      <c r="F75" s="59"/>
      <c r="G75" s="59"/>
      <c r="H75" s="59"/>
      <c r="I75" s="60"/>
      <c r="J75" s="60"/>
      <c r="K75" s="60"/>
      <c r="L75"/>
      <c r="M75"/>
      <c r="N75"/>
      <c r="O75" s="60"/>
      <c r="P75" s="31"/>
    </row>
    <row r="76" spans="6:17" ht="14.4" x14ac:dyDescent="0.3">
      <c r="F76" s="59"/>
      <c r="G76" s="59"/>
      <c r="H76" s="59"/>
      <c r="I76" s="60"/>
      <c r="J76" s="60"/>
      <c r="K76" s="60"/>
      <c r="L76"/>
      <c r="M76"/>
      <c r="N76"/>
      <c r="O76" s="60"/>
      <c r="P76" s="31"/>
    </row>
    <row r="77" spans="6:17" ht="14.4" x14ac:dyDescent="0.3">
      <c r="F77" s="59"/>
      <c r="G77" s="59"/>
      <c r="H77" s="59"/>
      <c r="I77" s="60"/>
      <c r="J77" s="60"/>
      <c r="K77" s="60"/>
      <c r="L77"/>
      <c r="M77"/>
      <c r="N77"/>
      <c r="O77" s="60"/>
      <c r="P77" s="31"/>
    </row>
    <row r="78" spans="6:17" ht="14.4" x14ac:dyDescent="0.3">
      <c r="F78" s="59"/>
      <c r="G78" s="59"/>
      <c r="H78" s="59"/>
      <c r="I78" s="60"/>
      <c r="J78" s="60"/>
      <c r="K78" s="60"/>
      <c r="L78"/>
      <c r="M78"/>
      <c r="N78"/>
      <c r="O78" s="60"/>
      <c r="P78" s="31"/>
    </row>
    <row r="79" spans="6:17" ht="14.4" x14ac:dyDescent="0.3">
      <c r="F79" s="59"/>
      <c r="G79" s="59"/>
      <c r="H79" s="59"/>
      <c r="I79" s="60"/>
      <c r="J79" s="60"/>
      <c r="K79" s="60"/>
      <c r="L79"/>
      <c r="M79"/>
      <c r="N79"/>
      <c r="O79" s="60"/>
      <c r="P79" s="31"/>
    </row>
    <row r="80" spans="6:17" ht="14.4" x14ac:dyDescent="0.3">
      <c r="F80" s="59"/>
      <c r="G80" s="59"/>
      <c r="H80" s="59"/>
      <c r="I80" s="60"/>
      <c r="J80" s="60"/>
      <c r="K80" s="60"/>
      <c r="L80"/>
      <c r="M80"/>
      <c r="N80"/>
      <c r="O80" s="60"/>
      <c r="P80" s="31"/>
    </row>
    <row r="81" spans="6:16" x14ac:dyDescent="0.25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</sheetData>
  <mergeCells count="7">
    <mergeCell ref="C45:D45"/>
    <mergeCell ref="F8:G8"/>
    <mergeCell ref="G38:H38"/>
    <mergeCell ref="G42:H42"/>
    <mergeCell ref="G43:H43"/>
    <mergeCell ref="A10:K10"/>
    <mergeCell ref="C38:D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TEAM </vt:lpstr>
      <vt:lpstr>INVESTMENT COST</vt:lpstr>
      <vt:lpstr>SALES VOLUME</vt:lpstr>
      <vt:lpstr>REVENUE GENERATED FROM SALES</vt:lpstr>
      <vt:lpstr>PROJECT FUNDING</vt:lpstr>
      <vt:lpstr>DEPRECIATION</vt:lpstr>
      <vt:lpstr>ALTERNATIVE 1 CF</vt:lpstr>
      <vt:lpstr>Linear Regression (ALT 1)</vt:lpstr>
      <vt:lpstr>ALTERNATIVE 1 (ATCF)</vt:lpstr>
      <vt:lpstr>MARR vs PW (ALT 1)</vt:lpstr>
      <vt:lpstr>ALTERNATIVE 2 CF</vt:lpstr>
      <vt:lpstr>ALTERNATIVE 2 (ATCF)</vt:lpstr>
      <vt:lpstr>MARR vs PW (ALT 2) </vt:lpstr>
      <vt:lpstr>ALTERNATIVE 3 CF</vt:lpstr>
      <vt:lpstr>ALTERNATIVE 3 (ATCF)</vt:lpstr>
      <vt:lpstr>MARR vs PW (ALT 3)</vt:lpstr>
      <vt:lpstr>PW ANALYSIS</vt:lpstr>
      <vt:lpstr>AHP METHOD</vt:lpstr>
      <vt:lpstr>AHP ANALYSIS</vt:lpstr>
      <vt:lpstr>@RISK ANALYSIS</vt:lpstr>
      <vt:lpstr>COST-BENEFIT ANALYSIS</vt:lpstr>
      <vt:lpstr>RiskSerializationData</vt:lpstr>
      <vt:lpstr>@RISK PW</vt:lpstr>
      <vt:lpstr>@RISK FW</vt:lpstr>
      <vt:lpstr>@RISK IRR</vt:lpstr>
      <vt:lpstr>Output Results</vt:lpstr>
      <vt:lpstr>Output Data</vt:lpstr>
      <vt:lpstr>rsklibSimData</vt:lpstr>
      <vt:lpstr>SUMMARY</vt:lpstr>
      <vt:lpstr>'@RISK FW'!Print_Area</vt:lpstr>
      <vt:lpstr>'@RISK IRR'!Print_Area</vt:lpstr>
      <vt:lpstr>'@RISK PW'!Print_Area</vt:lpstr>
      <vt:lpstr>'@RISK FW'!Print_Titles</vt:lpstr>
      <vt:lpstr>'@RISK IRR'!Print_Titles</vt:lpstr>
      <vt:lpstr>'@RISK PW'!Print_Titles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Sangoi</dc:creator>
  <cp:lastModifiedBy>hshah</cp:lastModifiedBy>
  <dcterms:created xsi:type="dcterms:W3CDTF">2017-04-10T23:18:46Z</dcterms:created>
  <dcterms:modified xsi:type="dcterms:W3CDTF">2018-04-23T23:26:01Z</dcterms:modified>
</cp:coreProperties>
</file>