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NCI\Sem 3\Research Project\"/>
    </mc:Choice>
  </mc:AlternateContent>
  <xr:revisionPtr revIDLastSave="0" documentId="13_ncr:1_{BD2D716B-E7ED-4E9D-9FE8-7940D795A96F}" xr6:coauthVersionLast="45" xr6:coauthVersionMax="45" xr10:uidLastSave="{00000000-0000-0000-0000-000000000000}"/>
  <bookViews>
    <workbookView xWindow="-110" yWindow="-110" windowWidth="19420" windowHeight="10560" activeTab="1" xr2:uid="{766C6301-D7F7-462F-ABDE-A8CED3E73600}"/>
  </bookViews>
  <sheets>
    <sheet name="ARMA" sheetId="1" r:id="rId1"/>
    <sheet name="ARIM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G54" i="1"/>
  <c r="F54" i="1"/>
  <c r="E54" i="1"/>
  <c r="K54" i="1" s="1"/>
  <c r="H53" i="1"/>
  <c r="G53" i="1"/>
  <c r="F53" i="1"/>
  <c r="E53" i="1"/>
  <c r="K53" i="1" s="1"/>
  <c r="H52" i="1"/>
  <c r="G52" i="1"/>
  <c r="F52" i="1"/>
  <c r="E52" i="1"/>
  <c r="K52" i="1" s="1"/>
  <c r="H51" i="1"/>
  <c r="G51" i="1"/>
  <c r="F51" i="1"/>
  <c r="E51" i="1"/>
  <c r="K51" i="1" s="1"/>
  <c r="H50" i="1"/>
  <c r="G50" i="1"/>
  <c r="F50" i="1"/>
  <c r="E50" i="1"/>
  <c r="K50" i="1" s="1"/>
  <c r="H49" i="1"/>
  <c r="G49" i="1"/>
  <c r="F49" i="1"/>
  <c r="E49" i="1"/>
  <c r="K49" i="1" s="1"/>
  <c r="H48" i="1"/>
  <c r="G48" i="1"/>
  <c r="F48" i="1"/>
  <c r="E48" i="1"/>
  <c r="K48" i="1" s="1"/>
  <c r="H47" i="1"/>
  <c r="G47" i="1"/>
  <c r="F47" i="1"/>
  <c r="E47" i="1"/>
  <c r="K47" i="1" s="1"/>
  <c r="H46" i="1"/>
  <c r="G46" i="1"/>
  <c r="F46" i="1"/>
  <c r="E46" i="1"/>
  <c r="K46" i="1" s="1"/>
  <c r="H45" i="1"/>
  <c r="G45" i="1"/>
  <c r="F45" i="1"/>
  <c r="E45" i="1"/>
  <c r="K45" i="1" s="1"/>
  <c r="P40" i="1"/>
  <c r="O40" i="1"/>
  <c r="N40" i="1"/>
  <c r="M40" i="1"/>
  <c r="S38" i="1"/>
  <c r="R38" i="1"/>
  <c r="Q38" i="1"/>
  <c r="P38" i="1"/>
  <c r="O38" i="1"/>
  <c r="N38" i="1"/>
  <c r="M38" i="1"/>
  <c r="J38" i="1"/>
  <c r="I38" i="1"/>
  <c r="H38" i="1"/>
  <c r="D36" i="1"/>
  <c r="P33" i="1"/>
  <c r="O33" i="1"/>
  <c r="N33" i="1"/>
  <c r="M33" i="1"/>
  <c r="S31" i="1"/>
  <c r="R31" i="1"/>
  <c r="Q31" i="1"/>
  <c r="P31" i="1"/>
  <c r="O31" i="1"/>
  <c r="N31" i="1"/>
  <c r="M31" i="1"/>
  <c r="J31" i="1"/>
  <c r="I31" i="1"/>
  <c r="H31" i="1"/>
  <c r="D29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N9" i="1"/>
  <c r="L9" i="1"/>
  <c r="N8" i="1"/>
  <c r="O8" i="1" s="1"/>
  <c r="L8" i="1"/>
  <c r="N7" i="1"/>
  <c r="L7" i="1"/>
  <c r="F7" i="1"/>
  <c r="H7" i="1" s="1"/>
  <c r="E7" i="1"/>
  <c r="N6" i="1"/>
  <c r="L6" i="1"/>
  <c r="F6" i="1"/>
  <c r="H6" i="1" s="1"/>
  <c r="E6" i="1"/>
  <c r="N5" i="1"/>
  <c r="O5" i="1" s="1"/>
  <c r="L5" i="1"/>
  <c r="F5" i="1"/>
  <c r="H5" i="1" s="1"/>
  <c r="E5" i="1"/>
  <c r="N4" i="1"/>
  <c r="O4" i="1" s="1"/>
  <c r="L4" i="1"/>
  <c r="F4" i="1"/>
  <c r="H4" i="1" s="1"/>
  <c r="E4" i="1"/>
  <c r="P3" i="1"/>
  <c r="M8" i="1" s="1"/>
  <c r="I2" i="1"/>
  <c r="G7" i="1" s="1"/>
  <c r="M4" i="1" l="1"/>
  <c r="M5" i="1"/>
  <c r="M6" i="1"/>
  <c r="M7" i="1"/>
  <c r="M9" i="1"/>
  <c r="O6" i="1"/>
  <c r="O7" i="1"/>
  <c r="O9" i="1"/>
  <c r="G4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</author>
  </authors>
  <commentList>
    <comment ref="E2" authorId="0" shapeId="0" xr:uid="{0C7A7126-0CB4-492B-BC16-8649D59F7FE5}">
      <text>
        <r>
          <rPr>
            <sz val="9"/>
            <color indexed="81"/>
            <rFont val="Tahoma"/>
            <family val="2"/>
          </rPr>
          <t>Test Statistics (e.g Z-score)</t>
        </r>
      </text>
    </comment>
    <comment ref="F2" authorId="0" shapeId="0" xr:uid="{0F39C211-F4E6-4B10-A2F5-F169C938C909}">
      <text>
        <r>
          <rPr>
            <sz val="9"/>
            <color indexed="81"/>
            <rFont val="Tahoma"/>
            <family val="2"/>
          </rPr>
          <t>The probability, under the null hypothesis, that test statistics (score) are at least as extreme as observed</t>
        </r>
      </text>
    </comment>
    <comment ref="G2" authorId="0" shapeId="0" xr:uid="{466A3580-AF37-4651-8E06-431416618587}">
      <text>
        <r>
          <rPr>
            <sz val="9"/>
            <color indexed="81"/>
            <rFont val="Tahoma"/>
            <family val="2"/>
          </rPr>
          <t>A boundary limit of the region of all possible values for the test statistics (i.e. score) under the null hypothesis and significance level</t>
        </r>
      </text>
    </comment>
    <comment ref="H2" authorId="0" shapeId="0" xr:uid="{EB91BA7F-5C7A-44D2-9C97-630BC33A3308}">
      <text>
        <r>
          <rPr>
            <sz val="9"/>
            <color indexed="81"/>
            <rFont val="Tahoma"/>
            <family val="2"/>
          </rPr>
          <t>Determines whether the sample data observations are stationary (i.e. no unit-root)</t>
        </r>
      </text>
    </comment>
    <comment ref="I2" authorId="0" shapeId="0" xr:uid="{130B2379-212C-4169-876E-6EA9A976BE33}">
      <text>
        <r>
          <rPr>
            <sz val="9"/>
            <color indexed="81"/>
            <rFont val="Tahoma"/>
            <family val="2"/>
          </rPr>
          <t>Significance level (a), a probability threshold below which the null hypothesis will be rejected</t>
        </r>
      </text>
    </comment>
    <comment ref="K3" authorId="0" shapeId="0" xr:uid="{C843C1B0-3269-4879-880E-DD08B7C61152}">
      <text>
        <r>
          <rPr>
            <sz val="9"/>
            <color indexed="81"/>
            <rFont val="Tahoma"/>
            <family val="2"/>
          </rPr>
          <t>Lag or Backshift Order</t>
        </r>
      </text>
    </comment>
    <comment ref="L3" authorId="0" shapeId="0" xr:uid="{FB9DD514-1C8B-4A4D-AE20-AC7B60A4D87E}">
      <text>
        <r>
          <rPr>
            <sz val="9"/>
            <color indexed="81"/>
            <rFont val="Tahoma"/>
            <family val="2"/>
          </rPr>
          <t>Test Statistics (e.g Z-score)</t>
        </r>
      </text>
    </comment>
    <comment ref="M3" authorId="0" shapeId="0" xr:uid="{57878F07-8D72-4D20-A24B-693DF692D476}">
      <text>
        <r>
          <rPr>
            <sz val="9"/>
            <color indexed="81"/>
            <rFont val="Tahoma"/>
            <family val="2"/>
          </rPr>
          <t>A boundary limit of the region of all possible values for the test statistics (i.e. score) under the null hypothesis and significance level</t>
        </r>
      </text>
    </comment>
    <comment ref="N3" authorId="0" shapeId="0" xr:uid="{F50B865E-F3B9-4D76-BF15-A2A47F9DFAB1}">
      <text>
        <r>
          <rPr>
            <sz val="9"/>
            <color indexed="81"/>
            <rFont val="Tahoma"/>
            <family val="2"/>
          </rPr>
          <t>The probability, under the null hypothesis, that test statistics (score) are at least as extreme as observed</t>
        </r>
      </text>
    </comment>
    <comment ref="O3" authorId="0" shapeId="0" xr:uid="{D207C0B6-A4DA-4412-867A-98767E01CD7E}">
      <text>
        <r>
          <rPr>
            <sz val="9"/>
            <color indexed="81"/>
            <rFont val="Tahoma"/>
            <family val="2"/>
          </rPr>
          <t>Determines if the data exhibit an ARCH effect</t>
        </r>
      </text>
    </comment>
    <comment ref="P3" authorId="0" shapeId="0" xr:uid="{0DC572AF-6296-4107-B96F-FF0DEB5F32E3}">
      <text>
        <r>
          <rPr>
            <sz val="9"/>
            <color indexed="81"/>
            <rFont val="Tahoma"/>
            <family val="2"/>
          </rPr>
          <t>Significance level (a), a probability threshold below which the null hypothesis will be rejected</t>
        </r>
      </text>
    </comment>
    <comment ref="D12" authorId="0" shapeId="0" xr:uid="{F2F57D26-99A9-4A75-B76C-9DF137DD36F9}">
      <text>
        <r>
          <rPr>
            <sz val="9"/>
            <color indexed="81"/>
            <rFont val="Tahoma"/>
            <family val="2"/>
          </rPr>
          <t>Lag or Backshift Order</t>
        </r>
      </text>
    </comment>
    <comment ref="E12" authorId="0" shapeId="0" xr:uid="{B0B7B39A-1208-4648-9170-D560A5DF916E}">
      <text>
        <r>
          <rPr>
            <sz val="9"/>
            <color indexed="81"/>
            <rFont val="Tahoma"/>
            <family val="2"/>
          </rPr>
          <t>Auto-correlation function</t>
        </r>
      </text>
    </comment>
    <comment ref="F12" authorId="0" shapeId="0" xr:uid="{F34D9F30-C449-4DAE-850B-34765058F67D}">
      <text>
        <r>
          <rPr>
            <sz val="9"/>
            <color indexed="81"/>
            <rFont val="Tahoma"/>
            <family val="2"/>
          </rPr>
          <t>Upper limit of the ACF confidence interval</t>
        </r>
      </text>
    </comment>
    <comment ref="G12" authorId="0" shapeId="0" xr:uid="{05856EDA-605C-47D6-BCC6-C405945687E4}">
      <text>
        <r>
          <rPr>
            <sz val="9"/>
            <color indexed="81"/>
            <rFont val="Tahoma"/>
            <family val="2"/>
          </rPr>
          <t>Lower limit of the ACF confidence interval</t>
        </r>
      </text>
    </comment>
    <comment ref="H12" authorId="0" shapeId="0" xr:uid="{28BA77EF-35E1-4B8F-99DD-52DEDC395044}">
      <text>
        <r>
          <rPr>
            <sz val="9"/>
            <color indexed="81"/>
            <rFont val="Tahoma"/>
            <family val="2"/>
          </rPr>
          <t>Partial autocorrelation function</t>
        </r>
      </text>
    </comment>
    <comment ref="I12" authorId="0" shapeId="0" xr:uid="{2356BA3D-C195-4EA0-95F6-E89643D6A009}">
      <text>
        <r>
          <rPr>
            <sz val="9"/>
            <color indexed="81"/>
            <rFont val="Tahoma"/>
            <family val="2"/>
          </rPr>
          <t>Upper limit of the PACF confidence interval</t>
        </r>
      </text>
    </comment>
    <comment ref="J12" authorId="0" shapeId="0" xr:uid="{D01470FC-A739-4478-A22E-B68320B3D980}">
      <text>
        <r>
          <rPr>
            <sz val="9"/>
            <color indexed="81"/>
            <rFont val="Tahoma"/>
            <family val="2"/>
          </rPr>
          <t>Lower limit of the PACF confidence interval</t>
        </r>
      </text>
    </comment>
    <comment ref="H30" authorId="0" shapeId="0" xr:uid="{FBBC0385-A534-4A18-B915-E3F6C4547BC4}">
      <text>
        <r>
          <rPr>
            <sz val="9"/>
            <color indexed="81"/>
            <rFont val="Tahoma"/>
            <family val="2"/>
          </rPr>
          <t>Uses the log-likelihood method to measure goodness of fit</t>
        </r>
      </text>
    </comment>
    <comment ref="I30" authorId="0" shapeId="0" xr:uid="{810AA603-62A0-40C6-AE68-8E6C671DE9D8}">
      <text>
        <r>
          <rPr>
            <sz val="9"/>
            <color indexed="81"/>
            <rFont val="Tahoma"/>
            <family val="2"/>
          </rPr>
          <t>Uses the Akaike-Information Criterion (AIC) method to measure goodness of fit</t>
        </r>
      </text>
    </comment>
    <comment ref="J30" authorId="0" shapeId="0" xr:uid="{AD4F4DAC-9A49-4059-BB96-A3339B4408E1}">
      <text>
        <r>
          <rPr>
            <sz val="9"/>
            <color indexed="81"/>
            <rFont val="Tahoma"/>
            <family val="2"/>
          </rPr>
          <t>Examines the values of the model's parameters for stability: stationarity, invertibility, and causality</t>
        </r>
      </text>
    </comment>
    <comment ref="M30" authorId="0" shapeId="0" xr:uid="{611526B1-9BB4-4479-B717-3DAF90130C15}">
      <text>
        <r>
          <rPr>
            <sz val="9"/>
            <color indexed="81"/>
            <rFont val="Tahoma"/>
            <family val="2"/>
          </rPr>
          <t>Average</t>
        </r>
      </text>
    </comment>
    <comment ref="N30" authorId="0" shapeId="0" xr:uid="{F3CBF173-DBCC-45A8-8CF8-EE55E0737C13}">
      <text>
        <r>
          <rPr>
            <sz val="9"/>
            <color indexed="81"/>
            <rFont val="Tahoma"/>
            <family val="2"/>
          </rPr>
          <t>Sample standard deviation</t>
        </r>
      </text>
    </comment>
    <comment ref="O30" authorId="0" shapeId="0" xr:uid="{6380BF0C-7A05-4107-BB62-9FCBF785DB39}">
      <text>
        <r>
          <rPr>
            <sz val="9"/>
            <color indexed="81"/>
            <rFont val="Tahoma"/>
            <family val="2"/>
          </rPr>
          <t>Skewness</t>
        </r>
      </text>
    </comment>
    <comment ref="P30" authorId="0" shapeId="0" xr:uid="{BCC6EBC4-312F-4BAA-8461-61CFF493D85B}">
      <text>
        <r>
          <rPr>
            <sz val="9"/>
            <color indexed="81"/>
            <rFont val="Tahoma"/>
            <family val="2"/>
          </rPr>
          <t>Excess Kurtosis (aka fat-tails)</t>
        </r>
      </text>
    </comment>
    <comment ref="Q30" authorId="0" shapeId="0" xr:uid="{6E915E3D-B87D-4333-8C49-8940B0736693}">
      <text>
        <r>
          <rPr>
            <sz val="9"/>
            <color indexed="81"/>
            <rFont val="Tahoma"/>
            <family val="2"/>
          </rPr>
          <t>Determines if observations are not significantly autocorrelated</t>
        </r>
      </text>
    </comment>
    <comment ref="R30" authorId="0" shapeId="0" xr:uid="{7B7668E7-FB3A-4CAA-8554-4DB5E7DFA333}">
      <text>
        <r>
          <rPr>
            <sz val="9"/>
            <color indexed="81"/>
            <rFont val="Tahoma"/>
            <family val="2"/>
          </rPr>
          <t>Determines if observations are normaly distributed</t>
        </r>
      </text>
    </comment>
    <comment ref="S30" authorId="0" shapeId="0" xr:uid="{C23D7651-B8AC-4D8F-B593-0FC1378BAC17}">
      <text>
        <r>
          <rPr>
            <sz val="9"/>
            <color indexed="81"/>
            <rFont val="Tahoma"/>
            <family val="2"/>
          </rPr>
          <t>Determines if observations exhibit a significant ARCH effect</t>
        </r>
      </text>
    </comment>
    <comment ref="E31" authorId="0" shapeId="0" xr:uid="{DA6EA1D0-F864-4762-A47A-611930F49FEC}">
      <text>
        <r>
          <rPr>
            <sz val="9"/>
            <color indexed="81"/>
            <rFont val="Tahoma"/>
            <family val="2"/>
          </rPr>
          <t>ARMA long-run mean (mu)</t>
        </r>
      </text>
    </comment>
    <comment ref="E32" authorId="0" shapeId="0" xr:uid="{11B6F5D6-C23A-49FF-ACD1-7A54F2877171}">
      <text>
        <r>
          <rPr>
            <sz val="9"/>
            <color indexed="81"/>
            <rFont val="Tahoma"/>
            <family val="2"/>
          </rPr>
          <t>1st Coefficient of the AR component</t>
        </r>
      </text>
    </comment>
    <comment ref="L32" authorId="0" shapeId="0" xr:uid="{A0ED06D7-DD0B-4E1A-B2A1-F33E9D40266E}">
      <text>
        <r>
          <rPr>
            <sz val="9"/>
            <color indexed="81"/>
            <rFont val="Tahoma"/>
            <family val="2"/>
          </rPr>
          <t>Targets the desired sample statistics value</t>
        </r>
      </text>
    </comment>
    <comment ref="E33" authorId="0" shapeId="0" xr:uid="{EDE011E5-8326-4C91-A446-3672606896E5}">
      <text>
        <r>
          <rPr>
            <sz val="9"/>
            <color indexed="81"/>
            <rFont val="Tahoma"/>
            <family val="2"/>
          </rPr>
          <t>1st Coefficient of the MA component</t>
        </r>
      </text>
    </comment>
    <comment ref="L33" authorId="0" shapeId="0" xr:uid="{ACF2B200-A692-419C-8F58-64DEE9B27C5B}">
      <text>
        <r>
          <rPr>
            <sz val="9"/>
            <color indexed="81"/>
            <rFont val="Tahoma"/>
            <family val="2"/>
          </rPr>
          <t>Determines if the calculated statistics (e.g. mean, stdev, etc.) are significantly different from the target value</t>
        </r>
      </text>
    </comment>
    <comment ref="E34" authorId="0" shapeId="0" xr:uid="{92EEDDC6-45A0-48F4-A11E-127A32C06A6D}">
      <text>
        <r>
          <rPr>
            <sz val="9"/>
            <color indexed="81"/>
            <rFont val="Tahoma"/>
            <family val="2"/>
          </rPr>
          <t>Standard deviation of the residuals/innovations</t>
        </r>
      </text>
    </comment>
    <comment ref="H37" authorId="0" shapeId="0" xr:uid="{96A13902-CBEC-4D63-A090-840090411F77}">
      <text>
        <r>
          <rPr>
            <sz val="9"/>
            <color indexed="81"/>
            <rFont val="Tahoma"/>
            <family val="2"/>
          </rPr>
          <t>Uses the log-likelihood method to measure goodness of fit</t>
        </r>
      </text>
    </comment>
    <comment ref="I37" authorId="0" shapeId="0" xr:uid="{94792B90-7E65-4505-88EA-2F17D1B4A502}">
      <text>
        <r>
          <rPr>
            <sz val="9"/>
            <color indexed="81"/>
            <rFont val="Tahoma"/>
            <family val="2"/>
          </rPr>
          <t>Uses the Akaike-Information Criterion (AIC) method to measure goodness of fit</t>
        </r>
      </text>
    </comment>
    <comment ref="J37" authorId="0" shapeId="0" xr:uid="{C04CC8CD-C801-47C7-B9E6-9FFB6A10A2C4}">
      <text>
        <r>
          <rPr>
            <sz val="9"/>
            <color indexed="81"/>
            <rFont val="Tahoma"/>
            <family val="2"/>
          </rPr>
          <t>Examines the values of the model's parameters for stability: stationarity, invertibility, and causality</t>
        </r>
      </text>
    </comment>
    <comment ref="M37" authorId="0" shapeId="0" xr:uid="{FDCAF1E2-7EA7-4A5B-9273-70CE374A2B3D}">
      <text>
        <r>
          <rPr>
            <sz val="9"/>
            <color indexed="81"/>
            <rFont val="Tahoma"/>
            <family val="2"/>
          </rPr>
          <t>Average</t>
        </r>
      </text>
    </comment>
    <comment ref="N37" authorId="0" shapeId="0" xr:uid="{27B54D05-54A3-42F3-A8FD-BBC953728BF3}">
      <text>
        <r>
          <rPr>
            <sz val="9"/>
            <color indexed="81"/>
            <rFont val="Tahoma"/>
            <family val="2"/>
          </rPr>
          <t>Sample standard deviation</t>
        </r>
      </text>
    </comment>
    <comment ref="O37" authorId="0" shapeId="0" xr:uid="{33A1082A-4A8F-42F8-8D9F-4F99F6F21ED6}">
      <text>
        <r>
          <rPr>
            <sz val="9"/>
            <color indexed="81"/>
            <rFont val="Tahoma"/>
            <family val="2"/>
          </rPr>
          <t>Skewness</t>
        </r>
      </text>
    </comment>
    <comment ref="P37" authorId="0" shapeId="0" xr:uid="{B7CDF154-EEE2-4874-9744-540411186F25}">
      <text>
        <r>
          <rPr>
            <sz val="9"/>
            <color indexed="81"/>
            <rFont val="Tahoma"/>
            <family val="2"/>
          </rPr>
          <t>Excess Kurtosis (aka fat-tails)</t>
        </r>
      </text>
    </comment>
    <comment ref="Q37" authorId="0" shapeId="0" xr:uid="{88A085E0-F7FE-4C06-AD68-807799A367CD}">
      <text>
        <r>
          <rPr>
            <sz val="9"/>
            <color indexed="81"/>
            <rFont val="Tahoma"/>
            <family val="2"/>
          </rPr>
          <t>Determines if observations are not significantly autocorrelated</t>
        </r>
      </text>
    </comment>
    <comment ref="R37" authorId="0" shapeId="0" xr:uid="{1ED80327-C863-442D-AD93-21F41CDE1274}">
      <text>
        <r>
          <rPr>
            <sz val="9"/>
            <color indexed="81"/>
            <rFont val="Tahoma"/>
            <family val="2"/>
          </rPr>
          <t>Determines if observations are normaly distributed</t>
        </r>
      </text>
    </comment>
    <comment ref="S37" authorId="0" shapeId="0" xr:uid="{BBE00236-3FDE-438C-BFCB-5327B23C0753}">
      <text>
        <r>
          <rPr>
            <sz val="9"/>
            <color indexed="81"/>
            <rFont val="Tahoma"/>
            <family val="2"/>
          </rPr>
          <t>Determines if observations exhibit a significant ARCH effect</t>
        </r>
      </text>
    </comment>
    <comment ref="E38" authorId="0" shapeId="0" xr:uid="{BFD059CA-9A88-4B7D-B1F6-56E0819B19B1}">
      <text>
        <r>
          <rPr>
            <sz val="9"/>
            <color indexed="81"/>
            <rFont val="Tahoma"/>
            <family val="2"/>
          </rPr>
          <t>ARMA long-run mean (mu)</t>
        </r>
      </text>
    </comment>
    <comment ref="E39" authorId="0" shapeId="0" xr:uid="{3D3453E0-EF65-4A72-9C11-CF27A1F2B403}">
      <text>
        <r>
          <rPr>
            <sz val="9"/>
            <color indexed="81"/>
            <rFont val="Tahoma"/>
            <family val="2"/>
          </rPr>
          <t>1st Coefficient of the AR component</t>
        </r>
      </text>
    </comment>
    <comment ref="L39" authorId="0" shapeId="0" xr:uid="{9E70702A-8489-4DEA-ADE1-B1E6BC9BC8AD}">
      <text>
        <r>
          <rPr>
            <sz val="9"/>
            <color indexed="81"/>
            <rFont val="Tahoma"/>
            <family val="2"/>
          </rPr>
          <t>Targets the desired sample statistics value</t>
        </r>
      </text>
    </comment>
    <comment ref="E40" authorId="0" shapeId="0" xr:uid="{61A62F49-9362-4F72-8151-DA4B97BFD402}">
      <text>
        <r>
          <rPr>
            <sz val="9"/>
            <color indexed="81"/>
            <rFont val="Tahoma"/>
            <family val="2"/>
          </rPr>
          <t>1st Coefficient of the MA component</t>
        </r>
      </text>
    </comment>
    <comment ref="L40" authorId="0" shapeId="0" xr:uid="{06C07A85-ED7F-464A-BED8-7ABE74C1F070}">
      <text>
        <r>
          <rPr>
            <sz val="9"/>
            <color indexed="81"/>
            <rFont val="Tahoma"/>
            <family val="2"/>
          </rPr>
          <t>Determines if the calculated statistics (e.g. mean, stdev, etc.) are significantly different from the target value</t>
        </r>
      </text>
    </comment>
    <comment ref="E41" authorId="0" shapeId="0" xr:uid="{98078CF0-CB46-4847-BFA6-674498483903}">
      <text>
        <r>
          <rPr>
            <sz val="9"/>
            <color indexed="81"/>
            <rFont val="Tahoma"/>
            <family val="2"/>
          </rPr>
          <t>2nd Coefficient of the MA component</t>
        </r>
      </text>
    </comment>
    <comment ref="E42" authorId="0" shapeId="0" xr:uid="{2F2CF479-BBB0-46F8-BCA0-68C379C35C06}">
      <text>
        <r>
          <rPr>
            <sz val="9"/>
            <color indexed="81"/>
            <rFont val="Tahoma"/>
            <family val="2"/>
          </rPr>
          <t>Standard deviation of the residuals/innovations</t>
        </r>
      </text>
    </comment>
  </commentList>
</comments>
</file>

<file path=xl/sharedStrings.xml><?xml version="1.0" encoding="utf-8"?>
<sst xmlns="http://schemas.openxmlformats.org/spreadsheetml/2006/main" count="152" uniqueCount="52">
  <si>
    <t>date</t>
  </si>
  <si>
    <t>Log Transform</t>
  </si>
  <si>
    <t>Stationary Test</t>
  </si>
  <si>
    <t>Test</t>
  </si>
  <si>
    <t>Score</t>
  </si>
  <si>
    <t>P-Value</t>
  </si>
  <si>
    <t>C.V.</t>
  </si>
  <si>
    <t>Stationary?</t>
  </si>
  <si>
    <t>ARCH Effect Test</t>
  </si>
  <si>
    <t>ADF</t>
  </si>
  <si>
    <t>Lag</t>
  </si>
  <si>
    <t>Present?</t>
  </si>
  <si>
    <t>No Const</t>
  </si>
  <si>
    <t>Const-Only</t>
  </si>
  <si>
    <t>Const + Trend</t>
  </si>
  <si>
    <t>Const+Trend+Trend^2</t>
  </si>
  <si>
    <t>Correlogram Analysis</t>
  </si>
  <si>
    <t>ACF</t>
  </si>
  <si>
    <t>UL</t>
  </si>
  <si>
    <t>LL</t>
  </si>
  <si>
    <t>PACF</t>
  </si>
  <si>
    <t>Goodness-of-fit</t>
  </si>
  <si>
    <t>Residuals (standardized) Analysis</t>
  </si>
  <si>
    <t>Param</t>
  </si>
  <si>
    <t>Value</t>
  </si>
  <si>
    <t>LLF</t>
  </si>
  <si>
    <t>AIC</t>
  </si>
  <si>
    <t>CHECK</t>
  </si>
  <si>
    <t>AVG</t>
  </si>
  <si>
    <t>STDEV</t>
  </si>
  <si>
    <t>Skew</t>
  </si>
  <si>
    <t>Kurtosis</t>
  </si>
  <si>
    <t>Noise?</t>
  </si>
  <si>
    <t>Normal?</t>
  </si>
  <si>
    <t>ARCH?</t>
  </si>
  <si>
    <t>μ</t>
  </si>
  <si>
    <r>
      <t>φ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</si>
  <si>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Target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</si>
  <si>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</si>
  <si>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SIG?</t>
  </si>
  <si>
    <t>σ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</si>
  <si>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</si>
  <si>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Step</t>
  </si>
  <si>
    <t>Mean</t>
  </si>
  <si>
    <t>STD</t>
  </si>
  <si>
    <t>confirmed</t>
  </si>
  <si>
    <t>Predicted Values</t>
  </si>
  <si>
    <t>ARIMA(1,1,1)</t>
  </si>
  <si>
    <t>φ1</t>
  </si>
  <si>
    <t>θ1</t>
  </si>
  <si>
    <t>ARIMA(1,1,2)</t>
  </si>
  <si>
    <t>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</si>
</sst>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%"/>
    <numFmt numFmtId="165" formatCode="#0.0"/>
    <numFmt numFmtId="166" formatCode="#0.00"/>
    <numFmt numFmtId="167" formatCode="0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1" xfId="0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right"/>
    </xf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[1]ARMA!$E$12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[1]ARMA!$E$13:$E$22</c:f>
              <c:numCache>
                <c:formatCode>0.00%</c:formatCode>
                <c:ptCount val="10"/>
                <c:pt idx="0">
                  <c:v>0.98642834455257222</c:v>
                </c:pt>
                <c:pt idx="1">
                  <c:v>0.97342246995066928</c:v>
                </c:pt>
                <c:pt idx="2">
                  <c:v>0.95993961476166001</c:v>
                </c:pt>
                <c:pt idx="3">
                  <c:v>0.94618845679959573</c:v>
                </c:pt>
                <c:pt idx="4">
                  <c:v>0.93217485347895312</c:v>
                </c:pt>
                <c:pt idx="5">
                  <c:v>0.91787112417845773</c:v>
                </c:pt>
                <c:pt idx="6">
                  <c:v>0.90325876876971234</c:v>
                </c:pt>
                <c:pt idx="7">
                  <c:v>0.88841716779020141</c:v>
                </c:pt>
                <c:pt idx="8">
                  <c:v>0.87327677243902491</c:v>
                </c:pt>
                <c:pt idx="9">
                  <c:v>0.85791526371696647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6-4AF1-BCD1-D06770F8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9759"/>
        <c:axId val="162551007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[1]ARMA!$F$13:$F$22</c:f>
              <c:numCache>
                <c:formatCode>0.00%</c:formatCode>
                <c:ptCount val="10"/>
                <c:pt idx="0">
                  <c:v>0.14858448621649267</c:v>
                </c:pt>
                <c:pt idx="1">
                  <c:v>0.25503269742215362</c:v>
                </c:pt>
                <c:pt idx="2">
                  <c:v>0.32692586238743238</c:v>
                </c:pt>
                <c:pt idx="3">
                  <c:v>0.38414628861669531</c:v>
                </c:pt>
                <c:pt idx="4">
                  <c:v>0.43254926092505069</c:v>
                </c:pt>
                <c:pt idx="5">
                  <c:v>0.4748337467169948</c:v>
                </c:pt>
                <c:pt idx="6">
                  <c:v>0.51251035568134651</c:v>
                </c:pt>
                <c:pt idx="7">
                  <c:v>0.5465268902481476</c:v>
                </c:pt>
                <c:pt idx="8">
                  <c:v>0.57753119938346642</c:v>
                </c:pt>
                <c:pt idx="9">
                  <c:v>0.60598284119983636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6-4AF1-BCD1-D06770F803F5}"/>
            </c:ext>
          </c:extLst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[1]ARMA!$G$13:$G$22</c:f>
              <c:numCache>
                <c:formatCode>0.00%</c:formatCode>
                <c:ptCount val="10"/>
                <c:pt idx="0">
                  <c:v>-0.14858448621649267</c:v>
                </c:pt>
                <c:pt idx="1">
                  <c:v>-0.25503269742215362</c:v>
                </c:pt>
                <c:pt idx="2">
                  <c:v>-0.32692586238743238</c:v>
                </c:pt>
                <c:pt idx="3">
                  <c:v>-0.38414628861669531</c:v>
                </c:pt>
                <c:pt idx="4">
                  <c:v>-0.43254926092505069</c:v>
                </c:pt>
                <c:pt idx="5">
                  <c:v>-0.4748337467169948</c:v>
                </c:pt>
                <c:pt idx="6">
                  <c:v>-0.51251035568134651</c:v>
                </c:pt>
                <c:pt idx="7">
                  <c:v>-0.5465268902481476</c:v>
                </c:pt>
                <c:pt idx="8">
                  <c:v>-0.57753119938346642</c:v>
                </c:pt>
                <c:pt idx="9">
                  <c:v>-0.60598284119983636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6-4AF1-BCD1-D06770F8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89759"/>
        <c:axId val="162551007"/>
      </c:lineChart>
      <c:catAx>
        <c:axId val="166289759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1007"/>
        <c:crosses val="autoZero"/>
        <c:auto val="1"/>
        <c:lblAlgn val="ctr"/>
        <c:lblOffset val="100"/>
        <c:noMultiLvlLbl val="0"/>
      </c:catAx>
      <c:valAx>
        <c:axId val="162551007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6289759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[1]ARMA!$H$12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[1]ARMA!$H$13:$H$22</c:f>
              <c:numCache>
                <c:formatCode>0.00%</c:formatCode>
                <c:ptCount val="10"/>
                <c:pt idx="0">
                  <c:v>0.99465132184159766</c:v>
                </c:pt>
                <c:pt idx="1">
                  <c:v>-0.16374983007040073</c:v>
                </c:pt>
                <c:pt idx="2">
                  <c:v>-0.29032292412688987</c:v>
                </c:pt>
                <c:pt idx="3">
                  <c:v>1.9915976648774467E-2</c:v>
                </c:pt>
                <c:pt idx="4">
                  <c:v>3.3068073819440796E-2</c:v>
                </c:pt>
                <c:pt idx="5">
                  <c:v>-9.7308605156317562E-2</c:v>
                </c:pt>
                <c:pt idx="6">
                  <c:v>-0.10517138364604808</c:v>
                </c:pt>
                <c:pt idx="7">
                  <c:v>5.1746584606020538E-2</c:v>
                </c:pt>
                <c:pt idx="8">
                  <c:v>-6.2317999122148825E-2</c:v>
                </c:pt>
                <c:pt idx="9">
                  <c:v>-1.8367239623329017E-2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0-4826-B559-A9E5C93E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91759"/>
        <c:axId val="162551423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[1]ARMA!$I$13:$I$22</c:f>
              <c:numCache>
                <c:formatCode>0.00%</c:formatCode>
                <c:ptCount val="10"/>
                <c:pt idx="0">
                  <c:v>0.14901330236414775</c:v>
                </c:pt>
                <c:pt idx="1">
                  <c:v>0.14944585277287672</c:v>
                </c:pt>
                <c:pt idx="2">
                  <c:v>0.14988219195770891</c:v>
                </c:pt>
                <c:pt idx="3">
                  <c:v>0.15032237555440098</c:v>
                </c:pt>
                <c:pt idx="4">
                  <c:v>0.15076646034923491</c:v>
                </c:pt>
                <c:pt idx="5">
                  <c:v>0.15121450430979</c:v>
                </c:pt>
                <c:pt idx="6">
                  <c:v>0.15166656661672712</c:v>
                </c:pt>
                <c:pt idx="7">
                  <c:v>0.15212270769662414</c:v>
                </c:pt>
                <c:pt idx="8">
                  <c:v>0.15258298925590433</c:v>
                </c:pt>
                <c:pt idx="9">
                  <c:v>0.15304747431590096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0-4826-B559-A9E5C93EAFEA}"/>
            </c:ext>
          </c:extLst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[1]ARMA!$J$13:$J$22</c:f>
              <c:numCache>
                <c:formatCode>0.00%</c:formatCode>
                <c:ptCount val="10"/>
                <c:pt idx="0">
                  <c:v>-0.14901330236414775</c:v>
                </c:pt>
                <c:pt idx="1">
                  <c:v>-0.14944585277287672</c:v>
                </c:pt>
                <c:pt idx="2">
                  <c:v>-0.14988219195770891</c:v>
                </c:pt>
                <c:pt idx="3">
                  <c:v>-0.15032237555440098</c:v>
                </c:pt>
                <c:pt idx="4">
                  <c:v>-0.15076646034923491</c:v>
                </c:pt>
                <c:pt idx="5">
                  <c:v>-0.15121450430979</c:v>
                </c:pt>
                <c:pt idx="6">
                  <c:v>-0.15166656661672712</c:v>
                </c:pt>
                <c:pt idx="7">
                  <c:v>-0.15212270769662414</c:v>
                </c:pt>
                <c:pt idx="8">
                  <c:v>-0.15258298925590433</c:v>
                </c:pt>
                <c:pt idx="9">
                  <c:v>-0.15304747431590096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0-4826-B559-A9E5C93E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1759"/>
        <c:axId val="162551423"/>
      </c:lineChart>
      <c:catAx>
        <c:axId val="166291759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1423"/>
        <c:crosses val="autoZero"/>
        <c:auto val="1"/>
        <c:lblAlgn val="ctr"/>
        <c:lblOffset val="100"/>
        <c:noMultiLvlLbl val="0"/>
      </c:catAx>
      <c:valAx>
        <c:axId val="162551423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6291759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[1]ARIMA!$E$12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[1]ARIMA!$E$13:$E$22</c:f>
              <c:numCache>
                <c:formatCode>0.00%</c:formatCode>
                <c:ptCount val="10"/>
                <c:pt idx="0">
                  <c:v>0.98642834455257222</c:v>
                </c:pt>
                <c:pt idx="1">
                  <c:v>0.97342246995066928</c:v>
                </c:pt>
                <c:pt idx="2">
                  <c:v>0.95993961476166001</c:v>
                </c:pt>
                <c:pt idx="3">
                  <c:v>0.94618845679959573</c:v>
                </c:pt>
                <c:pt idx="4">
                  <c:v>0.93217485347895312</c:v>
                </c:pt>
                <c:pt idx="5">
                  <c:v>0.91787112417845773</c:v>
                </c:pt>
                <c:pt idx="6">
                  <c:v>0.90325876876971234</c:v>
                </c:pt>
                <c:pt idx="7">
                  <c:v>0.88841716779020141</c:v>
                </c:pt>
                <c:pt idx="8">
                  <c:v>0.87327677243902491</c:v>
                </c:pt>
                <c:pt idx="9">
                  <c:v>0.85791526371696647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44D9-887C-D2488BB8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349967"/>
        <c:axId val="1402234959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[1]ARIMA!$F$13:$F$22</c:f>
              <c:numCache>
                <c:formatCode>0.00%</c:formatCode>
                <c:ptCount val="10"/>
                <c:pt idx="0">
                  <c:v>0.14858448621649267</c:v>
                </c:pt>
                <c:pt idx="1">
                  <c:v>0.25503269742215362</c:v>
                </c:pt>
                <c:pt idx="2">
                  <c:v>0.32692586238743238</c:v>
                </c:pt>
                <c:pt idx="3">
                  <c:v>0.38414628861669531</c:v>
                </c:pt>
                <c:pt idx="4">
                  <c:v>0.43254926092505069</c:v>
                </c:pt>
                <c:pt idx="5">
                  <c:v>0.4748337467169948</c:v>
                </c:pt>
                <c:pt idx="6">
                  <c:v>0.51251035568134651</c:v>
                </c:pt>
                <c:pt idx="7">
                  <c:v>0.5465268902481476</c:v>
                </c:pt>
                <c:pt idx="8">
                  <c:v>0.57753119938346642</c:v>
                </c:pt>
                <c:pt idx="9">
                  <c:v>0.60598284119983636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3-44D9-887C-D2488BB82944}"/>
            </c:ext>
          </c:extLst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[1]ARIMA!$G$13:$G$22</c:f>
              <c:numCache>
                <c:formatCode>0.00%</c:formatCode>
                <c:ptCount val="10"/>
                <c:pt idx="0">
                  <c:v>-0.14858448621649267</c:v>
                </c:pt>
                <c:pt idx="1">
                  <c:v>-0.25503269742215362</c:v>
                </c:pt>
                <c:pt idx="2">
                  <c:v>-0.32692586238743238</c:v>
                </c:pt>
                <c:pt idx="3">
                  <c:v>-0.38414628861669531</c:v>
                </c:pt>
                <c:pt idx="4">
                  <c:v>-0.43254926092505069</c:v>
                </c:pt>
                <c:pt idx="5">
                  <c:v>-0.4748337467169948</c:v>
                </c:pt>
                <c:pt idx="6">
                  <c:v>-0.51251035568134651</c:v>
                </c:pt>
                <c:pt idx="7">
                  <c:v>-0.5465268902481476</c:v>
                </c:pt>
                <c:pt idx="8">
                  <c:v>-0.57753119938346642</c:v>
                </c:pt>
                <c:pt idx="9">
                  <c:v>-0.60598284119983636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3-44D9-887C-D2488BB8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49967"/>
        <c:axId val="1402234959"/>
      </c:lineChart>
      <c:catAx>
        <c:axId val="1366349967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234959"/>
        <c:crosses val="autoZero"/>
        <c:auto val="1"/>
        <c:lblAlgn val="ctr"/>
        <c:lblOffset val="100"/>
        <c:noMultiLvlLbl val="0"/>
      </c:catAx>
      <c:valAx>
        <c:axId val="140223495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6349967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[1]ARIMA!$H$12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[1]ARIMA!$H$13:$H$22</c:f>
              <c:numCache>
                <c:formatCode>0.00%</c:formatCode>
                <c:ptCount val="10"/>
                <c:pt idx="0">
                  <c:v>0.99465132184159766</c:v>
                </c:pt>
                <c:pt idx="1">
                  <c:v>-0.16374983007040073</c:v>
                </c:pt>
                <c:pt idx="2">
                  <c:v>-0.29032292412688987</c:v>
                </c:pt>
                <c:pt idx="3">
                  <c:v>1.9915976648774467E-2</c:v>
                </c:pt>
                <c:pt idx="4">
                  <c:v>3.3068073819440796E-2</c:v>
                </c:pt>
                <c:pt idx="5">
                  <c:v>-9.7308605156317562E-2</c:v>
                </c:pt>
                <c:pt idx="6">
                  <c:v>-0.10517138364604808</c:v>
                </c:pt>
                <c:pt idx="7">
                  <c:v>5.1746584606020538E-2</c:v>
                </c:pt>
                <c:pt idx="8">
                  <c:v>-6.2317999122148825E-2</c:v>
                </c:pt>
                <c:pt idx="9">
                  <c:v>-1.8367239623329017E-2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6-4D92-8841-E425FA8E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348367"/>
        <c:axId val="1402239951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[1]ARIMA!$I$13:$I$22</c:f>
              <c:numCache>
                <c:formatCode>0.00%</c:formatCode>
                <c:ptCount val="10"/>
                <c:pt idx="0">
                  <c:v>0.14901330236414775</c:v>
                </c:pt>
                <c:pt idx="1">
                  <c:v>0.14944585277287672</c:v>
                </c:pt>
                <c:pt idx="2">
                  <c:v>0.14988219195770891</c:v>
                </c:pt>
                <c:pt idx="3">
                  <c:v>0.15032237555440098</c:v>
                </c:pt>
                <c:pt idx="4">
                  <c:v>0.15076646034923491</c:v>
                </c:pt>
                <c:pt idx="5">
                  <c:v>0.15121450430979</c:v>
                </c:pt>
                <c:pt idx="6">
                  <c:v>0.15166656661672712</c:v>
                </c:pt>
                <c:pt idx="7">
                  <c:v>0.15212270769662414</c:v>
                </c:pt>
                <c:pt idx="8">
                  <c:v>0.15258298925590433</c:v>
                </c:pt>
                <c:pt idx="9">
                  <c:v>0.15304747431590096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D92-8841-E425FA8E5514}"/>
            </c:ext>
          </c:extLst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[1]ARIMA!$J$13:$J$22</c:f>
              <c:numCache>
                <c:formatCode>0.00%</c:formatCode>
                <c:ptCount val="10"/>
                <c:pt idx="0">
                  <c:v>-0.14901330236414775</c:v>
                </c:pt>
                <c:pt idx="1">
                  <c:v>-0.14944585277287672</c:v>
                </c:pt>
                <c:pt idx="2">
                  <c:v>-0.14988219195770891</c:v>
                </c:pt>
                <c:pt idx="3">
                  <c:v>-0.15032237555440098</c:v>
                </c:pt>
                <c:pt idx="4">
                  <c:v>-0.15076646034923491</c:v>
                </c:pt>
                <c:pt idx="5">
                  <c:v>-0.15121450430979</c:v>
                </c:pt>
                <c:pt idx="6">
                  <c:v>-0.15166656661672712</c:v>
                </c:pt>
                <c:pt idx="7">
                  <c:v>-0.15212270769662414</c:v>
                </c:pt>
                <c:pt idx="8">
                  <c:v>-0.15258298925590433</c:v>
                </c:pt>
                <c:pt idx="9">
                  <c:v>-0.15304747431590096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D92-8841-E425FA8E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48367"/>
        <c:axId val="1402239951"/>
      </c:lineChart>
      <c:catAx>
        <c:axId val="1366348367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239951"/>
        <c:crosses val="autoZero"/>
        <c:auto val="1"/>
        <c:lblAlgn val="ctr"/>
        <c:lblOffset val="100"/>
        <c:noMultiLvlLbl val="0"/>
      </c:catAx>
      <c:valAx>
        <c:axId val="140223995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66348367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23</xdr:col>
      <xdr:colOff>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AD53A-943C-4390-9859-90B250A8A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6350</xdr:rowOff>
    </xdr:from>
    <xdr:to>
      <xdr:col>23</xdr:col>
      <xdr:colOff>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E13B4-AE3D-43C4-B93B-4FC4B96AB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24</xdr:col>
      <xdr:colOff>63500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F5224-7831-4A1E-A12A-A1D350ED4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12700</xdr:rowOff>
    </xdr:from>
    <xdr:to>
      <xdr:col>24</xdr:col>
      <xdr:colOff>63500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84ADA-0290-4D1B-ACFC-43AAA3D3B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/input/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MA"/>
      <sheetName val="ARIMA"/>
    </sheetNames>
    <sheetDataSet>
      <sheetData sheetId="0">
        <row r="2">
          <cell r="B2">
            <v>0.69314718099999995</v>
          </cell>
        </row>
        <row r="3">
          <cell r="B3">
            <v>1.0986122890000001</v>
          </cell>
        </row>
        <row r="4">
          <cell r="B4">
            <v>1.0986122890000001</v>
          </cell>
        </row>
        <row r="5">
          <cell r="B5">
            <v>1.0986122890000001</v>
          </cell>
        </row>
        <row r="6">
          <cell r="B6">
            <v>1.0986122890000001</v>
          </cell>
        </row>
        <row r="7">
          <cell r="B7">
            <v>1.0986122890000001</v>
          </cell>
        </row>
        <row r="8">
          <cell r="B8">
            <v>1.0986122890000001</v>
          </cell>
        </row>
        <row r="9">
          <cell r="B9">
            <v>1.0986122890000001</v>
          </cell>
        </row>
        <row r="10">
          <cell r="B10">
            <v>1.0986122890000001</v>
          </cell>
        </row>
        <row r="11">
          <cell r="B11">
            <v>1.0986122890000001</v>
          </cell>
        </row>
        <row r="12">
          <cell r="B12">
            <v>1.0986122890000001</v>
          </cell>
          <cell r="E12" t="str">
            <v>ACF</v>
          </cell>
          <cell r="H12" t="str">
            <v>PACF</v>
          </cell>
        </row>
        <row r="13">
          <cell r="B13">
            <v>1.0986122890000001</v>
          </cell>
          <cell r="E13">
            <v>0.98642834455257222</v>
          </cell>
          <cell r="F13">
            <v>0.14858448621649267</v>
          </cell>
          <cell r="G13">
            <v>-0.14858448621649267</v>
          </cell>
          <cell r="H13">
            <v>0.99465132184159766</v>
          </cell>
          <cell r="I13">
            <v>0.14901330236414775</v>
          </cell>
          <cell r="J13">
            <v>-0.14901330236414775</v>
          </cell>
        </row>
        <row r="14">
          <cell r="B14">
            <v>1.0986122890000001</v>
          </cell>
          <cell r="E14">
            <v>0.97342246995066928</v>
          </cell>
          <cell r="F14">
            <v>0.25503269742215362</v>
          </cell>
          <cell r="G14">
            <v>-0.25503269742215362</v>
          </cell>
          <cell r="H14">
            <v>-0.16374983007040073</v>
          </cell>
          <cell r="I14">
            <v>0.14944585277287672</v>
          </cell>
          <cell r="J14">
            <v>-0.14944585277287672</v>
          </cell>
        </row>
        <row r="15">
          <cell r="B15">
            <v>1.0986122890000001</v>
          </cell>
          <cell r="E15">
            <v>0.95993961476166001</v>
          </cell>
          <cell r="F15">
            <v>0.32692586238743238</v>
          </cell>
          <cell r="G15">
            <v>-0.32692586238743238</v>
          </cell>
          <cell r="H15">
            <v>-0.29032292412688987</v>
          </cell>
          <cell r="I15">
            <v>0.14988219195770891</v>
          </cell>
          <cell r="J15">
            <v>-0.14988219195770891</v>
          </cell>
        </row>
        <row r="16">
          <cell r="B16">
            <v>1.0986122890000001</v>
          </cell>
          <cell r="E16">
            <v>0.94618845679959573</v>
          </cell>
          <cell r="F16">
            <v>0.38414628861669531</v>
          </cell>
          <cell r="G16">
            <v>-0.38414628861669531</v>
          </cell>
          <cell r="H16">
            <v>1.9915976648774467E-2</v>
          </cell>
          <cell r="I16">
            <v>0.15032237555440098</v>
          </cell>
          <cell r="J16">
            <v>-0.15032237555440098</v>
          </cell>
        </row>
        <row r="17">
          <cell r="B17">
            <v>1.0986122890000001</v>
          </cell>
          <cell r="E17">
            <v>0.93217485347895312</v>
          </cell>
          <cell r="F17">
            <v>0.43254926092505069</v>
          </cell>
          <cell r="G17">
            <v>-0.43254926092505069</v>
          </cell>
          <cell r="H17">
            <v>3.3068073819440796E-2</v>
          </cell>
          <cell r="I17">
            <v>0.15076646034923491</v>
          </cell>
          <cell r="J17">
            <v>-0.15076646034923491</v>
          </cell>
        </row>
        <row r="18">
          <cell r="B18">
            <v>1.0986122890000001</v>
          </cell>
          <cell r="E18">
            <v>0.91787112417845773</v>
          </cell>
          <cell r="F18">
            <v>0.4748337467169948</v>
          </cell>
          <cell r="G18">
            <v>-0.4748337467169948</v>
          </cell>
          <cell r="H18">
            <v>-9.7308605156317562E-2</v>
          </cell>
          <cell r="I18">
            <v>0.15121450430979</v>
          </cell>
          <cell r="J18">
            <v>-0.15121450430979</v>
          </cell>
        </row>
        <row r="19">
          <cell r="B19">
            <v>1.0986122890000001</v>
          </cell>
          <cell r="E19">
            <v>0.90325876876971234</v>
          </cell>
          <cell r="F19">
            <v>0.51251035568134651</v>
          </cell>
          <cell r="G19">
            <v>-0.51251035568134651</v>
          </cell>
          <cell r="H19">
            <v>-0.10517138364604808</v>
          </cell>
          <cell r="I19">
            <v>0.15166656661672712</v>
          </cell>
          <cell r="J19">
            <v>-0.15166656661672712</v>
          </cell>
        </row>
        <row r="20">
          <cell r="B20">
            <v>1.0986122890000001</v>
          </cell>
          <cell r="E20">
            <v>0.88841716779020141</v>
          </cell>
          <cell r="F20">
            <v>0.5465268902481476</v>
          </cell>
          <cell r="G20">
            <v>-0.5465268902481476</v>
          </cell>
          <cell r="H20">
            <v>5.1746584606020538E-2</v>
          </cell>
          <cell r="I20">
            <v>0.15212270769662414</v>
          </cell>
          <cell r="J20">
            <v>-0.15212270769662414</v>
          </cell>
        </row>
        <row r="21">
          <cell r="B21">
            <v>1.0986122890000001</v>
          </cell>
          <cell r="E21">
            <v>0.87327677243902491</v>
          </cell>
          <cell r="F21">
            <v>0.57753119938346642</v>
          </cell>
          <cell r="G21">
            <v>-0.57753119938346642</v>
          </cell>
          <cell r="H21">
            <v>-6.2317999122148825E-2</v>
          </cell>
          <cell r="I21">
            <v>0.15258298925590433</v>
          </cell>
          <cell r="J21">
            <v>-0.15258298925590433</v>
          </cell>
        </row>
        <row r="22">
          <cell r="B22">
            <v>1.0986122890000001</v>
          </cell>
          <cell r="E22">
            <v>0.85791526371696647</v>
          </cell>
          <cell r="F22">
            <v>0.60598284119983636</v>
          </cell>
          <cell r="G22">
            <v>-0.60598284119983636</v>
          </cell>
          <cell r="H22">
            <v>-1.8367239623329017E-2</v>
          </cell>
          <cell r="I22">
            <v>0.15304747431590096</v>
          </cell>
          <cell r="J22">
            <v>-0.15304747431590096</v>
          </cell>
        </row>
        <row r="23">
          <cell r="B23">
            <v>1.0986122890000001</v>
          </cell>
        </row>
        <row r="24">
          <cell r="B24">
            <v>1.0986122890000001</v>
          </cell>
        </row>
        <row r="25">
          <cell r="B25">
            <v>1.0986122890000001</v>
          </cell>
        </row>
        <row r="26">
          <cell r="B26">
            <v>1.0986122890000001</v>
          </cell>
        </row>
        <row r="27">
          <cell r="B27">
            <v>1.0986122890000001</v>
          </cell>
        </row>
        <row r="28">
          <cell r="B28">
            <v>1.0986122890000001</v>
          </cell>
        </row>
        <row r="29">
          <cell r="B29">
            <v>1.0986122890000001</v>
          </cell>
        </row>
        <row r="30">
          <cell r="B30">
            <v>1.0986122890000001</v>
          </cell>
        </row>
        <row r="31">
          <cell r="B31">
            <v>1.0986122890000001</v>
          </cell>
        </row>
        <row r="32">
          <cell r="B32">
            <v>1.609437912</v>
          </cell>
        </row>
        <row r="33">
          <cell r="B33">
            <v>1.791759469</v>
          </cell>
        </row>
        <row r="34">
          <cell r="B34">
            <v>3.33220451</v>
          </cell>
        </row>
        <row r="35">
          <cell r="B35">
            <v>3.4011973819999999</v>
          </cell>
        </row>
        <row r="36">
          <cell r="B36">
            <v>3.4339872040000001</v>
          </cell>
        </row>
        <row r="37">
          <cell r="B37">
            <v>3.5263605249999999</v>
          </cell>
        </row>
        <row r="38">
          <cell r="B38">
            <v>3.6635616459999998</v>
          </cell>
        </row>
        <row r="39">
          <cell r="B39">
            <v>3.8286413960000001</v>
          </cell>
        </row>
        <row r="40">
          <cell r="B40">
            <v>4.0604430110000003</v>
          </cell>
        </row>
        <row r="41">
          <cell r="B41">
            <v>4.0943445619999999</v>
          </cell>
        </row>
        <row r="42">
          <cell r="B42">
            <v>4.3040650930000002</v>
          </cell>
        </row>
        <row r="43">
          <cell r="B43">
            <v>4.3944491550000002</v>
          </cell>
        </row>
        <row r="44">
          <cell r="B44">
            <v>4.4308167989999996</v>
          </cell>
        </row>
        <row r="45">
          <cell r="B45">
            <v>4.7004803659999999</v>
          </cell>
        </row>
        <row r="46">
          <cell r="B46">
            <v>4.7361984479999997</v>
          </cell>
        </row>
        <row r="47">
          <cell r="B47">
            <v>4.919980926</v>
          </cell>
        </row>
        <row r="48">
          <cell r="B48">
            <v>5.0172798370000002</v>
          </cell>
        </row>
        <row r="49">
          <cell r="B49">
            <v>5.1532915939999997</v>
          </cell>
        </row>
        <row r="50">
          <cell r="B50">
            <v>5.4071717709999998</v>
          </cell>
        </row>
        <row r="51">
          <cell r="B51">
            <v>5.6454468980000003</v>
          </cell>
        </row>
        <row r="52">
          <cell r="B52">
            <v>5.8861040310000003</v>
          </cell>
        </row>
        <row r="53">
          <cell r="B53">
            <v>6.0707377280000001</v>
          </cell>
        </row>
        <row r="54">
          <cell r="B54">
            <v>6.2519038829999998</v>
          </cell>
        </row>
        <row r="55">
          <cell r="B55">
            <v>6.4068799859999999</v>
          </cell>
        </row>
        <row r="56">
          <cell r="B56">
            <v>6.5424719610000004</v>
          </cell>
        </row>
        <row r="57">
          <cell r="B57">
            <v>6.5847913919999996</v>
          </cell>
        </row>
        <row r="58">
          <cell r="B58">
            <v>6.8123450940000003</v>
          </cell>
        </row>
        <row r="59">
          <cell r="B59">
            <v>6.9314718060000002</v>
          </cell>
        </row>
        <row r="60">
          <cell r="B60">
            <v>7.1316985099999997</v>
          </cell>
        </row>
        <row r="61">
          <cell r="B61">
            <v>7.2420823590000003</v>
          </cell>
        </row>
        <row r="62">
          <cell r="B62">
            <v>7.5142546530000001</v>
          </cell>
        </row>
        <row r="63">
          <cell r="B63">
            <v>7.6348206779999996</v>
          </cell>
        </row>
        <row r="64">
          <cell r="B64">
            <v>7.8426714750000004</v>
          </cell>
        </row>
        <row r="65">
          <cell r="B65">
            <v>8.0300840939999993</v>
          </cell>
        </row>
        <row r="66">
          <cell r="B66">
            <v>8.1822797390000002</v>
          </cell>
        </row>
        <row r="67">
          <cell r="B67">
            <v>8.3619419060000002</v>
          </cell>
        </row>
        <row r="68">
          <cell r="B68">
            <v>8.4740769</v>
          </cell>
        </row>
        <row r="69">
          <cell r="B69">
            <v>8.5705443670000001</v>
          </cell>
        </row>
        <row r="70">
          <cell r="B70">
            <v>8.6767577609999993</v>
          </cell>
        </row>
        <row r="71">
          <cell r="B71">
            <v>8.8189260869999995</v>
          </cell>
        </row>
        <row r="72">
          <cell r="B72">
            <v>8.92651751</v>
          </cell>
        </row>
        <row r="73">
          <cell r="B73">
            <v>9.041566628</v>
          </cell>
        </row>
        <row r="74">
          <cell r="B74">
            <v>9.1433455030000008</v>
          </cell>
        </row>
        <row r="75">
          <cell r="B75">
            <v>9.2886893379999993</v>
          </cell>
        </row>
        <row r="76">
          <cell r="B76">
            <v>9.3870629500000007</v>
          </cell>
        </row>
        <row r="77">
          <cell r="B77">
            <v>9.4539921840000005</v>
          </cell>
        </row>
        <row r="78">
          <cell r="B78">
            <v>9.5349568920000003</v>
          </cell>
        </row>
        <row r="79">
          <cell r="B79">
            <v>9.6018417730000003</v>
          </cell>
        </row>
        <row r="80">
          <cell r="B80">
            <v>9.6875678460000003</v>
          </cell>
        </row>
        <row r="81">
          <cell r="B81">
            <v>9.7788309479999995</v>
          </cell>
        </row>
        <row r="82">
          <cell r="B82">
            <v>9.8514044730000006</v>
          </cell>
        </row>
        <row r="83">
          <cell r="B83">
            <v>9.9267645289999997</v>
          </cell>
        </row>
        <row r="84">
          <cell r="B84">
            <v>9.9850675399999993</v>
          </cell>
        </row>
        <row r="85">
          <cell r="B85">
            <v>10.06271106</v>
          </cell>
        </row>
        <row r="86">
          <cell r="B86">
            <v>10.12234192</v>
          </cell>
        </row>
        <row r="87">
          <cell r="B87">
            <v>10.188854449999999</v>
          </cell>
        </row>
        <row r="88">
          <cell r="B88">
            <v>10.245657810000001</v>
          </cell>
        </row>
        <row r="89">
          <cell r="B89">
            <v>10.303403960000001</v>
          </cell>
        </row>
        <row r="90">
          <cell r="B90">
            <v>10.364355829999999</v>
          </cell>
        </row>
        <row r="91">
          <cell r="B91">
            <v>10.41421317</v>
          </cell>
        </row>
        <row r="92">
          <cell r="B92">
            <v>10.46230302</v>
          </cell>
        </row>
        <row r="93">
          <cell r="B93">
            <v>10.522907460000001</v>
          </cell>
        </row>
        <row r="94">
          <cell r="B94">
            <v>10.59972994</v>
          </cell>
        </row>
        <row r="95">
          <cell r="B95">
            <v>10.66513415</v>
          </cell>
        </row>
        <row r="96">
          <cell r="B96">
            <v>10.75173496</v>
          </cell>
        </row>
        <row r="97">
          <cell r="B97">
            <v>10.8075235</v>
          </cell>
        </row>
        <row r="98">
          <cell r="B98">
            <v>10.877141119999999</v>
          </cell>
        </row>
        <row r="99">
          <cell r="B99">
            <v>10.93919554</v>
          </cell>
        </row>
        <row r="100">
          <cell r="B100">
            <v>10.996450579999999</v>
          </cell>
        </row>
        <row r="101">
          <cell r="B101">
            <v>11.04992128</v>
          </cell>
        </row>
        <row r="102">
          <cell r="B102">
            <v>11.11471399</v>
          </cell>
        </row>
        <row r="103">
          <cell r="B103">
            <v>11.16699262</v>
          </cell>
        </row>
        <row r="104">
          <cell r="B104">
            <v>11.21561048</v>
          </cell>
        </row>
        <row r="105">
          <cell r="B105">
            <v>11.264502569999999</v>
          </cell>
        </row>
        <row r="106">
          <cell r="B106">
            <v>11.31410861</v>
          </cell>
        </row>
        <row r="107">
          <cell r="B107">
            <v>11.358724779999999</v>
          </cell>
        </row>
        <row r="108">
          <cell r="B108">
            <v>11.4146178</v>
          </cell>
        </row>
        <row r="109">
          <cell r="B109">
            <v>11.469589900000001</v>
          </cell>
        </row>
        <row r="110">
          <cell r="B110">
            <v>11.516170199999999</v>
          </cell>
        </row>
        <row r="111">
          <cell r="B111">
            <v>11.57824493</v>
          </cell>
        </row>
        <row r="112">
          <cell r="B112">
            <v>11.62945438</v>
          </cell>
        </row>
        <row r="113">
          <cell r="B113">
            <v>11.682220879999999</v>
          </cell>
        </row>
        <row r="114">
          <cell r="B114">
            <v>11.736876690000001</v>
          </cell>
        </row>
        <row r="115">
          <cell r="B115">
            <v>11.7895567</v>
          </cell>
        </row>
        <row r="116">
          <cell r="B116">
            <v>11.841113480000001</v>
          </cell>
        </row>
        <row r="117">
          <cell r="B117">
            <v>11.887106279999999</v>
          </cell>
        </row>
        <row r="118">
          <cell r="B118">
            <v>11.930101730000001</v>
          </cell>
        </row>
        <row r="119">
          <cell r="B119">
            <v>11.97245569</v>
          </cell>
        </row>
        <row r="120">
          <cell r="B120">
            <v>12.018531490000001</v>
          </cell>
        </row>
        <row r="121">
          <cell r="B121">
            <v>12.065447580000001</v>
          </cell>
        </row>
        <row r="122">
          <cell r="B122">
            <v>12.11254737</v>
          </cell>
        </row>
        <row r="123">
          <cell r="B123">
            <v>12.157591180000001</v>
          </cell>
        </row>
        <row r="124">
          <cell r="B124">
            <v>12.19958162</v>
          </cell>
        </row>
        <row r="125">
          <cell r="B125">
            <v>12.243440680000001</v>
          </cell>
        </row>
        <row r="126">
          <cell r="B126">
            <v>12.287279290000001</v>
          </cell>
        </row>
        <row r="127">
          <cell r="B127">
            <v>12.33169157</v>
          </cell>
        </row>
        <row r="128">
          <cell r="B128">
            <v>12.37436711</v>
          </cell>
        </row>
        <row r="129">
          <cell r="B129">
            <v>12.415636409999999</v>
          </cell>
        </row>
        <row r="130">
          <cell r="B130">
            <v>12.4553166</v>
          </cell>
        </row>
        <row r="131">
          <cell r="B131">
            <v>12.49349718</v>
          </cell>
        </row>
        <row r="132">
          <cell r="B132">
            <v>12.53026624</v>
          </cell>
        </row>
        <row r="133">
          <cell r="B133">
            <v>12.56576952</v>
          </cell>
        </row>
        <row r="134">
          <cell r="B134">
            <v>12.603287140000001</v>
          </cell>
        </row>
        <row r="135">
          <cell r="B135">
            <v>12.6410739</v>
          </cell>
        </row>
        <row r="136">
          <cell r="B136">
            <v>12.678953379999999</v>
          </cell>
        </row>
        <row r="137">
          <cell r="B137">
            <v>12.714166540000001</v>
          </cell>
        </row>
        <row r="138">
          <cell r="B138">
            <v>12.745751</v>
          </cell>
        </row>
        <row r="139">
          <cell r="B139">
            <v>12.777235790000001</v>
          </cell>
        </row>
        <row r="140">
          <cell r="B140">
            <v>12.81296998</v>
          </cell>
        </row>
        <row r="141">
          <cell r="B141">
            <v>12.84932555</v>
          </cell>
        </row>
        <row r="142">
          <cell r="B142">
            <v>12.886762559999999</v>
          </cell>
        </row>
        <row r="143">
          <cell r="B143">
            <v>12.925036199999999</v>
          </cell>
        </row>
        <row r="144">
          <cell r="B144">
            <v>12.96050776</v>
          </cell>
        </row>
        <row r="145">
          <cell r="B145">
            <v>12.99501852</v>
          </cell>
        </row>
        <row r="146">
          <cell r="B146">
            <v>13.03064932</v>
          </cell>
        </row>
        <row r="147">
          <cell r="B147">
            <v>13.06707263</v>
          </cell>
        </row>
        <row r="148">
          <cell r="B148">
            <v>13.1029787</v>
          </cell>
        </row>
        <row r="149">
          <cell r="B149">
            <v>13.14011095</v>
          </cell>
        </row>
        <row r="150">
          <cell r="B150">
            <v>13.178477129999999</v>
          </cell>
        </row>
        <row r="151">
          <cell r="B151">
            <v>13.214610690000001</v>
          </cell>
        </row>
        <row r="152">
          <cell r="B152">
            <v>13.24783236</v>
          </cell>
        </row>
        <row r="153">
          <cell r="B153">
            <v>13.280209510000001</v>
          </cell>
        </row>
        <row r="154">
          <cell r="B154">
            <v>13.31239017</v>
          </cell>
        </row>
        <row r="155">
          <cell r="B155">
            <v>13.34637695</v>
          </cell>
        </row>
        <row r="156">
          <cell r="B156">
            <v>13.38213197</v>
          </cell>
        </row>
        <row r="157">
          <cell r="B157">
            <v>13.419745750000001</v>
          </cell>
        </row>
        <row r="158">
          <cell r="B158">
            <v>13.455133050000001</v>
          </cell>
        </row>
        <row r="159">
          <cell r="B159">
            <v>13.4865411</v>
          </cell>
        </row>
        <row r="160">
          <cell r="B160">
            <v>13.51766636</v>
          </cell>
        </row>
        <row r="161">
          <cell r="B161">
            <v>13.550627929999999</v>
          </cell>
        </row>
        <row r="162">
          <cell r="B162">
            <v>13.584589340000001</v>
          </cell>
        </row>
        <row r="163">
          <cell r="B163">
            <v>13.618176070000001</v>
          </cell>
        </row>
        <row r="164">
          <cell r="B164">
            <v>13.65246561</v>
          </cell>
        </row>
        <row r="165">
          <cell r="B165">
            <v>13.68569112</v>
          </cell>
        </row>
        <row r="166">
          <cell r="B166">
            <v>13.717624259999999</v>
          </cell>
        </row>
        <row r="167">
          <cell r="B167">
            <v>13.74956411</v>
          </cell>
        </row>
        <row r="168">
          <cell r="B168">
            <v>13.78389192</v>
          </cell>
        </row>
        <row r="169">
          <cell r="B169">
            <v>13.81933523</v>
          </cell>
        </row>
        <row r="170">
          <cell r="B170">
            <v>13.85349589</v>
          </cell>
        </row>
        <row r="171">
          <cell r="B171">
            <v>13.89026361</v>
          </cell>
        </row>
        <row r="172">
          <cell r="B172">
            <v>13.92709039</v>
          </cell>
        </row>
        <row r="173">
          <cell r="B173">
            <v>13.95977626</v>
          </cell>
        </row>
        <row r="174">
          <cell r="B174">
            <v>13.991910450000001</v>
          </cell>
        </row>
        <row r="175">
          <cell r="B175">
            <v>14.02952052</v>
          </cell>
        </row>
      </sheetData>
      <sheetData sheetId="1">
        <row r="12">
          <cell r="E12" t="str">
            <v>ACF</v>
          </cell>
          <cell r="H12" t="str">
            <v>PACF</v>
          </cell>
        </row>
        <row r="13">
          <cell r="E13">
            <v>0.98642834455257222</v>
          </cell>
          <cell r="F13">
            <v>0.14858448621649267</v>
          </cell>
          <cell r="G13">
            <v>-0.14858448621649267</v>
          </cell>
          <cell r="H13">
            <v>0.99465132184159766</v>
          </cell>
          <cell r="I13">
            <v>0.14901330236414775</v>
          </cell>
          <cell r="J13">
            <v>-0.14901330236414775</v>
          </cell>
        </row>
        <row r="14">
          <cell r="E14">
            <v>0.97342246995066928</v>
          </cell>
          <cell r="F14">
            <v>0.25503269742215362</v>
          </cell>
          <cell r="G14">
            <v>-0.25503269742215362</v>
          </cell>
          <cell r="H14">
            <v>-0.16374983007040073</v>
          </cell>
          <cell r="I14">
            <v>0.14944585277287672</v>
          </cell>
          <cell r="J14">
            <v>-0.14944585277287672</v>
          </cell>
        </row>
        <row r="15">
          <cell r="E15">
            <v>0.95993961476166001</v>
          </cell>
          <cell r="F15">
            <v>0.32692586238743238</v>
          </cell>
          <cell r="G15">
            <v>-0.32692586238743238</v>
          </cell>
          <cell r="H15">
            <v>-0.29032292412688987</v>
          </cell>
          <cell r="I15">
            <v>0.14988219195770891</v>
          </cell>
          <cell r="J15">
            <v>-0.14988219195770891</v>
          </cell>
        </row>
        <row r="16">
          <cell r="E16">
            <v>0.94618845679959573</v>
          </cell>
          <cell r="F16">
            <v>0.38414628861669531</v>
          </cell>
          <cell r="G16">
            <v>-0.38414628861669531</v>
          </cell>
          <cell r="H16">
            <v>1.9915976648774467E-2</v>
          </cell>
          <cell r="I16">
            <v>0.15032237555440098</v>
          </cell>
          <cell r="J16">
            <v>-0.15032237555440098</v>
          </cell>
        </row>
        <row r="17">
          <cell r="E17">
            <v>0.93217485347895312</v>
          </cell>
          <cell r="F17">
            <v>0.43254926092505069</v>
          </cell>
          <cell r="G17">
            <v>-0.43254926092505069</v>
          </cell>
          <cell r="H17">
            <v>3.3068073819440796E-2</v>
          </cell>
          <cell r="I17">
            <v>0.15076646034923491</v>
          </cell>
          <cell r="J17">
            <v>-0.15076646034923491</v>
          </cell>
        </row>
        <row r="18">
          <cell r="E18">
            <v>0.91787112417845773</v>
          </cell>
          <cell r="F18">
            <v>0.4748337467169948</v>
          </cell>
          <cell r="G18">
            <v>-0.4748337467169948</v>
          </cell>
          <cell r="H18">
            <v>-9.7308605156317562E-2</v>
          </cell>
          <cell r="I18">
            <v>0.15121450430979</v>
          </cell>
          <cell r="J18">
            <v>-0.15121450430979</v>
          </cell>
        </row>
        <row r="19">
          <cell r="E19">
            <v>0.90325876876971234</v>
          </cell>
          <cell r="F19">
            <v>0.51251035568134651</v>
          </cell>
          <cell r="G19">
            <v>-0.51251035568134651</v>
          </cell>
          <cell r="H19">
            <v>-0.10517138364604808</v>
          </cell>
          <cell r="I19">
            <v>0.15166656661672712</v>
          </cell>
          <cell r="J19">
            <v>-0.15166656661672712</v>
          </cell>
        </row>
        <row r="20">
          <cell r="E20">
            <v>0.88841716779020141</v>
          </cell>
          <cell r="F20">
            <v>0.5465268902481476</v>
          </cell>
          <cell r="G20">
            <v>-0.5465268902481476</v>
          </cell>
          <cell r="H20">
            <v>5.1746584606020538E-2</v>
          </cell>
          <cell r="I20">
            <v>0.15212270769662414</v>
          </cell>
          <cell r="J20">
            <v>-0.15212270769662414</v>
          </cell>
        </row>
        <row r="21">
          <cell r="E21">
            <v>0.87327677243902491</v>
          </cell>
          <cell r="F21">
            <v>0.57753119938346642</v>
          </cell>
          <cell r="G21">
            <v>-0.57753119938346642</v>
          </cell>
          <cell r="H21">
            <v>-6.2317999122148825E-2</v>
          </cell>
          <cell r="I21">
            <v>0.15258298925590433</v>
          </cell>
          <cell r="J21">
            <v>-0.15258298925590433</v>
          </cell>
        </row>
        <row r="22">
          <cell r="E22">
            <v>0.85791526371696647</v>
          </cell>
          <cell r="F22">
            <v>0.60598284119983636</v>
          </cell>
          <cell r="G22">
            <v>-0.60598284119983636</v>
          </cell>
          <cell r="H22">
            <v>-1.8367239623329017E-2</v>
          </cell>
          <cell r="I22">
            <v>0.15304747431590096</v>
          </cell>
          <cell r="J22">
            <v>-0.15304747431590096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1931-75CC-4D0B-986D-25301EDA555E}">
  <dimension ref="A1:S175"/>
  <sheetViews>
    <sheetView topLeftCell="H22" workbookViewId="0">
      <selection activeCell="K23" sqref="K23"/>
    </sheetView>
  </sheetViews>
  <sheetFormatPr defaultRowHeight="14.5" x14ac:dyDescent="0.35"/>
  <cols>
    <col min="1" max="1" width="10.08984375" bestFit="1" customWidth="1"/>
    <col min="2" max="2" width="12.90625" bestFit="1" customWidth="1"/>
    <col min="4" max="4" width="19.54296875" bestFit="1" customWidth="1"/>
    <col min="5" max="7" width="11.81640625" bestFit="1" customWidth="1"/>
    <col min="8" max="8" width="13.90625" bestFit="1" customWidth="1"/>
    <col min="9" max="9" width="11.81640625" bestFit="1" customWidth="1"/>
    <col min="10" max="10" width="16.81640625" bestFit="1" customWidth="1"/>
    <col min="11" max="11" width="16.6328125" bestFit="1" customWidth="1"/>
    <col min="12" max="12" width="6.81640625" bestFit="1" customWidth="1"/>
    <col min="13" max="13" width="28.7265625" bestFit="1" customWidth="1"/>
    <col min="14" max="14" width="7.08984375" bestFit="1" customWidth="1"/>
    <col min="15" max="15" width="8" bestFit="1" customWidth="1"/>
    <col min="16" max="16" width="7.453125" bestFit="1" customWidth="1"/>
    <col min="17" max="17" width="6.36328125" bestFit="1" customWidth="1"/>
    <col min="18" max="18" width="7.90625" bestFit="1" customWidth="1"/>
    <col min="19" max="19" width="6.36328125" bestFit="1" customWidth="1"/>
  </cols>
  <sheetData>
    <row r="1" spans="1:16" ht="15" thickBot="1" x14ac:dyDescent="0.4">
      <c r="A1" t="s">
        <v>0</v>
      </c>
      <c r="B1" t="s">
        <v>1</v>
      </c>
      <c r="D1" s="1" t="s">
        <v>2</v>
      </c>
    </row>
    <row r="2" spans="1:16" ht="15" thickBot="1" x14ac:dyDescent="0.4">
      <c r="A2" s="2">
        <v>43862</v>
      </c>
      <c r="B2">
        <v>0.69314718099999995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>
        <f>0.05</f>
        <v>0.05</v>
      </c>
      <c r="K2" s="1" t="s">
        <v>8</v>
      </c>
    </row>
    <row r="3" spans="1:16" ht="15" thickBot="1" x14ac:dyDescent="0.4">
      <c r="A3" s="2">
        <v>43863</v>
      </c>
      <c r="B3">
        <v>1.0986122890000001</v>
      </c>
      <c r="D3" s="1" t="s">
        <v>9</v>
      </c>
      <c r="K3" s="4" t="s">
        <v>10</v>
      </c>
      <c r="L3" s="4" t="s">
        <v>4</v>
      </c>
      <c r="M3" s="4" t="s">
        <v>6</v>
      </c>
      <c r="N3" s="4" t="s">
        <v>5</v>
      </c>
      <c r="O3" s="4" t="s">
        <v>11</v>
      </c>
      <c r="P3" s="5">
        <f>0.05</f>
        <v>0.05</v>
      </c>
    </row>
    <row r="4" spans="1:16" x14ac:dyDescent="0.35">
      <c r="A4" s="2">
        <v>43864</v>
      </c>
      <c r="B4">
        <v>1.0986122890000001</v>
      </c>
      <c r="D4" s="6" t="s">
        <v>12</v>
      </c>
      <c r="E4" s="7">
        <f>_xll.ADFTest([1]ARMA!$B$2:$B$175,1,6,1,1,2)</f>
        <v>2.2453729376525824</v>
      </c>
      <c r="F4" s="8">
        <f>_xll.ADFTest([1]ARMA!$B$2:$B$175,1,6,1,1,1)</f>
        <v>0.99349966241740728</v>
      </c>
      <c r="G4" s="7">
        <f>_xll.ADFTest([1]ARMA!$B$2:$B$175,1,6,1,1,3,$I$2)</f>
        <v>-1.9561565333333335</v>
      </c>
      <c r="H4" s="9" t="b">
        <f>IF($F4&lt;$I$2, TRUE, FALSE)</f>
        <v>0</v>
      </c>
      <c r="K4" s="10">
        <v>1</v>
      </c>
      <c r="L4" s="11">
        <f>_xll.ARCHTest([1]ARMA!$B$2:$B$175,1,$K4,2)</f>
        <v>172.63960163155608</v>
      </c>
      <c r="M4" s="11">
        <f>_xll.ARCHTest([1]ARMA!$B$2:$B$175,1,$K4,3,$P$3)</f>
        <v>3.8414588206941236</v>
      </c>
      <c r="N4" s="8">
        <f>_xll.ARCHTest([1]ARMA!$B$2:$B$175,1,$K4,1)</f>
        <v>1.9618983004129399E-39</v>
      </c>
      <c r="O4" s="9" t="b">
        <f t="shared" ref="O4:O9" si="0">IF($N4&lt;$P$3, TRUE, FALSE)</f>
        <v>1</v>
      </c>
    </row>
    <row r="5" spans="1:16" x14ac:dyDescent="0.35">
      <c r="A5" s="2">
        <v>43865</v>
      </c>
      <c r="B5">
        <v>1.0986122890000001</v>
      </c>
      <c r="D5" s="6" t="s">
        <v>13</v>
      </c>
      <c r="E5" s="7">
        <f>_xll.ADFTest([1]ARMA!$B$2:$B$175,1,6,2,1,2)</f>
        <v>-1.4888533194105844</v>
      </c>
      <c r="F5" s="8">
        <f>_xll.ADFTest([1]ARMA!$B$2:$B$175,1,6,2,1,1)</f>
        <v>0.54281320728120352</v>
      </c>
      <c r="G5" s="7">
        <f>_xll.ADFTest([1]ARMA!$B$2:$B$175,1,6,2,1,3,$I$2)</f>
        <v>-2.9372089333333333</v>
      </c>
      <c r="H5" s="9" t="b">
        <f>IF($F5&lt;$I$2, TRUE, FALSE)</f>
        <v>0</v>
      </c>
      <c r="K5" s="10">
        <v>2</v>
      </c>
      <c r="L5" s="11">
        <f>_xll.ARCHTest([1]ARMA!$B$2:$B$175,1,$K5,2)</f>
        <v>341.88839283131529</v>
      </c>
      <c r="M5" s="11">
        <f>_xll.ARCHTest([1]ARMA!$B$2:$B$175,1,$K5,3,$P$3)</f>
        <v>5.9914645471079817</v>
      </c>
      <c r="N5" s="8">
        <f>_xll.ARCHTest([1]ARMA!$B$2:$B$175,1,$K5,1)</f>
        <v>5.7527934768441265E-75</v>
      </c>
      <c r="O5" s="9" t="b">
        <f t="shared" si="0"/>
        <v>1</v>
      </c>
    </row>
    <row r="6" spans="1:16" x14ac:dyDescent="0.35">
      <c r="A6" s="2">
        <v>43866</v>
      </c>
      <c r="B6">
        <v>1.0986122890000001</v>
      </c>
      <c r="D6" s="6" t="s">
        <v>14</v>
      </c>
      <c r="E6" s="7">
        <f>_xll.ADFTest([1]ARMA!$B$2:$B$175,1,6,4,1,2)</f>
        <v>-0.45359277026099892</v>
      </c>
      <c r="F6" s="8">
        <f>_xll.ADFTest([1]ARMA!$B$2:$B$175,1,6,4,1,1)</f>
        <v>0.32506097903636688</v>
      </c>
      <c r="G6" s="7">
        <f>_xll.ADFTest([1]ARMA!$B$2:$B$175,1,6,4,1,3,$I$2)</f>
        <v>-1.6448536269514726</v>
      </c>
      <c r="H6" s="9" t="b">
        <f>IF($F6&lt;$I$2, TRUE, FALSE)</f>
        <v>0</v>
      </c>
      <c r="K6" s="10">
        <v>3</v>
      </c>
      <c r="L6" s="11">
        <f>_xll.ARCHTest([1]ARMA!$B$2:$B$175,1,$K6,2)</f>
        <v>507.67412409494767</v>
      </c>
      <c r="M6" s="11">
        <f>_xll.ARCHTest([1]ARMA!$B$2:$B$175,1,$K6,3,$P$3)</f>
        <v>7.8147279032511783</v>
      </c>
      <c r="N6" s="8">
        <f>_xll.ARCHTest([1]ARMA!$B$2:$B$175,1,$K6,1)</f>
        <v>1.0364543334109285E-109</v>
      </c>
      <c r="O6" s="9" t="b">
        <f t="shared" si="0"/>
        <v>1</v>
      </c>
    </row>
    <row r="7" spans="1:16" x14ac:dyDescent="0.35">
      <c r="A7" s="2">
        <v>43867</v>
      </c>
      <c r="B7">
        <v>1.0986122890000001</v>
      </c>
      <c r="D7" s="6" t="s">
        <v>15</v>
      </c>
      <c r="E7" s="7">
        <f>_xll.ADFTest([1]ARMA!$B$2:$B$175,1,6,5,1,2)</f>
        <v>-3.7765359320958769</v>
      </c>
      <c r="F7" s="8">
        <f>_xll.ADFTest([1]ARMA!$B$2:$B$175,1,6,5,1,1)</f>
        <v>7.951231359141654E-5</v>
      </c>
      <c r="G7" s="7">
        <f>_xll.ADFTest([1]ARMA!$B$2:$B$175,1,6,5,1,3,$I$2)</f>
        <v>-1.6448536269514726</v>
      </c>
      <c r="H7" s="9" t="b">
        <f>IF($F7&lt;$I$2, TRUE, FALSE)</f>
        <v>1</v>
      </c>
      <c r="K7" s="10">
        <v>4</v>
      </c>
      <c r="L7" s="11">
        <f>_xll.ARCHTest([1]ARMA!$B$2:$B$175,1,$K7,2)</f>
        <v>669.93486892522697</v>
      </c>
      <c r="M7" s="11">
        <f>_xll.ARCHTest([1]ARMA!$B$2:$B$175,1,$K7,3,$P$3)</f>
        <v>9.487729036781154</v>
      </c>
      <c r="N7" s="8">
        <f>_xll.ARCHTest([1]ARMA!$B$2:$B$175,1,$K7,1)</f>
        <v>1.1266493710375148E-143</v>
      </c>
      <c r="O7" s="9" t="b">
        <f t="shared" si="0"/>
        <v>1</v>
      </c>
    </row>
    <row r="8" spans="1:16" x14ac:dyDescent="0.35">
      <c r="A8" s="2">
        <v>43868</v>
      </c>
      <c r="B8">
        <v>1.0986122890000001</v>
      </c>
      <c r="K8" s="10">
        <v>5</v>
      </c>
      <c r="L8" s="11">
        <f>_xll.ARCHTest([1]ARMA!$B$2:$B$175,1,$K8,2)</f>
        <v>828.61543016319831</v>
      </c>
      <c r="M8" s="11">
        <f>_xll.ARCHTest([1]ARMA!$B$2:$B$175,1,$K8,3,$P$3)</f>
        <v>11.070497693516351</v>
      </c>
      <c r="N8" s="8">
        <f>_xll.ARCHTest([1]ARMA!$B$2:$B$175,1,$K8,1)</f>
        <v>7.4535860955304998E-177</v>
      </c>
      <c r="O8" s="9" t="b">
        <f t="shared" si="0"/>
        <v>1</v>
      </c>
    </row>
    <row r="9" spans="1:16" x14ac:dyDescent="0.35">
      <c r="A9" s="2">
        <v>43869</v>
      </c>
      <c r="B9">
        <v>1.0986122890000001</v>
      </c>
      <c r="K9" s="10">
        <v>6</v>
      </c>
      <c r="L9" s="11">
        <f>_xll.ARCHTest([1]ARMA!$B$2:$B$175,1,$K9,2)</f>
        <v>983.66227468205614</v>
      </c>
      <c r="M9" s="11">
        <f>_xll.ARCHTest([1]ARMA!$B$2:$B$175,1,$K9,3,$P$3)</f>
        <v>12.591587243743973</v>
      </c>
      <c r="N9" s="8">
        <f>_xll.ARCHTest([1]ARMA!$B$2:$B$175,1,$K9,1)</f>
        <v>3.0536488532644757E-209</v>
      </c>
      <c r="O9" s="9" t="b">
        <f t="shared" si="0"/>
        <v>1</v>
      </c>
    </row>
    <row r="10" spans="1:16" x14ac:dyDescent="0.35">
      <c r="A10" s="2">
        <v>43870</v>
      </c>
      <c r="B10">
        <v>1.0986122890000001</v>
      </c>
    </row>
    <row r="11" spans="1:16" ht="15" thickBot="1" x14ac:dyDescent="0.4">
      <c r="A11" s="2">
        <v>43871</v>
      </c>
      <c r="B11">
        <v>1.0986122890000001</v>
      </c>
      <c r="D11" s="1" t="s">
        <v>16</v>
      </c>
    </row>
    <row r="12" spans="1:16" ht="15" thickBot="1" x14ac:dyDescent="0.4">
      <c r="A12" s="2">
        <v>43872</v>
      </c>
      <c r="B12">
        <v>1.0986122890000001</v>
      </c>
      <c r="D12" s="4" t="s">
        <v>10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18</v>
      </c>
      <c r="J12" s="4" t="s">
        <v>19</v>
      </c>
    </row>
    <row r="13" spans="1:16" x14ac:dyDescent="0.35">
      <c r="A13" s="2">
        <v>43873</v>
      </c>
      <c r="B13">
        <v>1.0986122890000001</v>
      </c>
      <c r="D13" s="10">
        <v>1</v>
      </c>
      <c r="E13" s="12">
        <f>_xll.ACF([1]ARMA!$B$2:$B$175,1,$D13,0)</f>
        <v>0.98642834455257222</v>
      </c>
      <c r="F13" s="12">
        <f>_xll.ACFCI([1]ARMA!$B$2:$B$175,1,$D13,0,0.05,1)</f>
        <v>0.14858448621649267</v>
      </c>
      <c r="G13" s="12">
        <f>_xll.ACFCI([1]ARMA!$B$2:$B$175,1,$D13,0,0.05,0)</f>
        <v>-0.14858448621649267</v>
      </c>
      <c r="H13" s="12">
        <f>_xll.PACF([1]ARMA!$B$2:$B$175,1,$D13)</f>
        <v>0.99465132184159766</v>
      </c>
      <c r="I13" s="12">
        <f>_xll.PACFCI([1]ARMA!$B$2:$B$175,1,$D13,0.05,1)</f>
        <v>0.14901330236414775</v>
      </c>
      <c r="J13" s="12">
        <f>_xll.PACFCI([1]ARMA!$B$2:$B$175,1,$D13,0.05,0)</f>
        <v>-0.14901330236414775</v>
      </c>
    </row>
    <row r="14" spans="1:16" x14ac:dyDescent="0.35">
      <c r="A14" s="2">
        <v>43874</v>
      </c>
      <c r="B14">
        <v>1.0986122890000001</v>
      </c>
      <c r="D14" s="10">
        <v>2</v>
      </c>
      <c r="E14" s="12">
        <f>_xll.ACF([1]ARMA!$B$2:$B$175,1,$D14,0)</f>
        <v>0.97342246995066928</v>
      </c>
      <c r="F14" s="12">
        <f>_xll.ACFCI([1]ARMA!$B$2:$B$175,1,$D14,0,0.05,1)</f>
        <v>0.25503269742215362</v>
      </c>
      <c r="G14" s="12">
        <f>_xll.ACFCI([1]ARMA!$B$2:$B$175,1,$D14,0,0.05,0)</f>
        <v>-0.25503269742215362</v>
      </c>
      <c r="H14" s="12">
        <f>_xll.PACF([1]ARMA!$B$2:$B$175,1,$D14)</f>
        <v>-0.16374983007040073</v>
      </c>
      <c r="I14" s="12">
        <f>_xll.PACFCI([1]ARMA!$B$2:$B$175,1,$D14,0.05,1)</f>
        <v>0.14944585277287672</v>
      </c>
      <c r="J14" s="12">
        <f>_xll.PACFCI([1]ARMA!$B$2:$B$175,1,$D14,0.05,0)</f>
        <v>-0.14944585277287672</v>
      </c>
    </row>
    <row r="15" spans="1:16" x14ac:dyDescent="0.35">
      <c r="A15" s="2">
        <v>43875</v>
      </c>
      <c r="B15">
        <v>1.0986122890000001</v>
      </c>
      <c r="D15" s="10">
        <v>3</v>
      </c>
      <c r="E15" s="12">
        <f>_xll.ACF([1]ARMA!$B$2:$B$175,1,$D15,0)</f>
        <v>0.95993961476166001</v>
      </c>
      <c r="F15" s="12">
        <f>_xll.ACFCI([1]ARMA!$B$2:$B$175,1,$D15,0,0.05,1)</f>
        <v>0.32692586238743238</v>
      </c>
      <c r="G15" s="12">
        <f>_xll.ACFCI([1]ARMA!$B$2:$B$175,1,$D15,0,0.05,0)</f>
        <v>-0.32692586238743238</v>
      </c>
      <c r="H15" s="12">
        <f>_xll.PACF([1]ARMA!$B$2:$B$175,1,$D15)</f>
        <v>-0.29032292412688987</v>
      </c>
      <c r="I15" s="12">
        <f>_xll.PACFCI([1]ARMA!$B$2:$B$175,1,$D15,0.05,1)</f>
        <v>0.14988219195770891</v>
      </c>
      <c r="J15" s="12">
        <f>_xll.PACFCI([1]ARMA!$B$2:$B$175,1,$D15,0.05,0)</f>
        <v>-0.14988219195770891</v>
      </c>
    </row>
    <row r="16" spans="1:16" x14ac:dyDescent="0.35">
      <c r="A16" s="2">
        <v>43876</v>
      </c>
      <c r="B16">
        <v>1.0986122890000001</v>
      </c>
      <c r="D16" s="10">
        <v>4</v>
      </c>
      <c r="E16" s="12">
        <f>_xll.ACF([1]ARMA!$B$2:$B$175,1,$D16,0)</f>
        <v>0.94618845679959573</v>
      </c>
      <c r="F16" s="12">
        <f>_xll.ACFCI([1]ARMA!$B$2:$B$175,1,$D16,0,0.05,1)</f>
        <v>0.38414628861669531</v>
      </c>
      <c r="G16" s="12">
        <f>_xll.ACFCI([1]ARMA!$B$2:$B$175,1,$D16,0,0.05,0)</f>
        <v>-0.38414628861669531</v>
      </c>
      <c r="H16" s="12">
        <f>_xll.PACF([1]ARMA!$B$2:$B$175,1,$D16)</f>
        <v>1.9915976648774467E-2</v>
      </c>
      <c r="I16" s="12">
        <f>_xll.PACFCI([1]ARMA!$B$2:$B$175,1,$D16,0.05,1)</f>
        <v>0.15032237555440098</v>
      </c>
      <c r="J16" s="12">
        <f>_xll.PACFCI([1]ARMA!$B$2:$B$175,1,$D16,0.05,0)</f>
        <v>-0.15032237555440098</v>
      </c>
    </row>
    <row r="17" spans="1:19" x14ac:dyDescent="0.35">
      <c r="A17" s="2">
        <v>43877</v>
      </c>
      <c r="B17">
        <v>1.0986122890000001</v>
      </c>
      <c r="D17" s="10">
        <v>5</v>
      </c>
      <c r="E17" s="12">
        <f>_xll.ACF([1]ARMA!$B$2:$B$175,1,$D17,0)</f>
        <v>0.93217485347895312</v>
      </c>
      <c r="F17" s="12">
        <f>_xll.ACFCI([1]ARMA!$B$2:$B$175,1,$D17,0,0.05,1)</f>
        <v>0.43254926092505069</v>
      </c>
      <c r="G17" s="12">
        <f>_xll.ACFCI([1]ARMA!$B$2:$B$175,1,$D17,0,0.05,0)</f>
        <v>-0.43254926092505069</v>
      </c>
      <c r="H17" s="12">
        <f>_xll.PACF([1]ARMA!$B$2:$B$175,1,$D17)</f>
        <v>3.3068073819440796E-2</v>
      </c>
      <c r="I17" s="12">
        <f>_xll.PACFCI([1]ARMA!$B$2:$B$175,1,$D17,0.05,1)</f>
        <v>0.15076646034923491</v>
      </c>
      <c r="J17" s="12">
        <f>_xll.PACFCI([1]ARMA!$B$2:$B$175,1,$D17,0.05,0)</f>
        <v>-0.15076646034923491</v>
      </c>
    </row>
    <row r="18" spans="1:19" x14ac:dyDescent="0.35">
      <c r="A18" s="2">
        <v>43878</v>
      </c>
      <c r="B18">
        <v>1.0986122890000001</v>
      </c>
      <c r="D18" s="10">
        <v>6</v>
      </c>
      <c r="E18" s="12">
        <f>_xll.ACF([1]ARMA!$B$2:$B$175,1,$D18,0)</f>
        <v>0.91787112417845773</v>
      </c>
      <c r="F18" s="12">
        <f>_xll.ACFCI([1]ARMA!$B$2:$B$175,1,$D18,0,0.05,1)</f>
        <v>0.4748337467169948</v>
      </c>
      <c r="G18" s="12">
        <f>_xll.ACFCI([1]ARMA!$B$2:$B$175,1,$D18,0,0.05,0)</f>
        <v>-0.4748337467169948</v>
      </c>
      <c r="H18" s="12">
        <f>_xll.PACF([1]ARMA!$B$2:$B$175,1,$D18)</f>
        <v>-9.7308605156317562E-2</v>
      </c>
      <c r="I18" s="12">
        <f>_xll.PACFCI([1]ARMA!$B$2:$B$175,1,$D18,0.05,1)</f>
        <v>0.15121450430979</v>
      </c>
      <c r="J18" s="12">
        <f>_xll.PACFCI([1]ARMA!$B$2:$B$175,1,$D18,0.05,0)</f>
        <v>-0.15121450430979</v>
      </c>
    </row>
    <row r="19" spans="1:19" x14ac:dyDescent="0.35">
      <c r="A19" s="2">
        <v>43879</v>
      </c>
      <c r="B19">
        <v>1.0986122890000001</v>
      </c>
      <c r="D19" s="10">
        <v>7</v>
      </c>
      <c r="E19" s="12">
        <f>_xll.ACF([1]ARMA!$B$2:$B$175,1,$D19,0)</f>
        <v>0.90325876876971234</v>
      </c>
      <c r="F19" s="12">
        <f>_xll.ACFCI([1]ARMA!$B$2:$B$175,1,$D19,0,0.05,1)</f>
        <v>0.51251035568134651</v>
      </c>
      <c r="G19" s="12">
        <f>_xll.ACFCI([1]ARMA!$B$2:$B$175,1,$D19,0,0.05,0)</f>
        <v>-0.51251035568134651</v>
      </c>
      <c r="H19" s="12">
        <f>_xll.PACF([1]ARMA!$B$2:$B$175,1,$D19)</f>
        <v>-0.10517138364604808</v>
      </c>
      <c r="I19" s="12">
        <f>_xll.PACFCI([1]ARMA!$B$2:$B$175,1,$D19,0.05,1)</f>
        <v>0.15166656661672712</v>
      </c>
      <c r="J19" s="12">
        <f>_xll.PACFCI([1]ARMA!$B$2:$B$175,1,$D19,0.05,0)</f>
        <v>-0.15166656661672712</v>
      </c>
    </row>
    <row r="20" spans="1:19" x14ac:dyDescent="0.35">
      <c r="A20" s="2">
        <v>43880</v>
      </c>
      <c r="B20">
        <v>1.0986122890000001</v>
      </c>
      <c r="D20" s="10">
        <v>8</v>
      </c>
      <c r="E20" s="12">
        <f>_xll.ACF([1]ARMA!$B$2:$B$175,1,$D20,0)</f>
        <v>0.88841716779020141</v>
      </c>
      <c r="F20" s="12">
        <f>_xll.ACFCI([1]ARMA!$B$2:$B$175,1,$D20,0,0.05,1)</f>
        <v>0.5465268902481476</v>
      </c>
      <c r="G20" s="12">
        <f>_xll.ACFCI([1]ARMA!$B$2:$B$175,1,$D20,0,0.05,0)</f>
        <v>-0.5465268902481476</v>
      </c>
      <c r="H20" s="12">
        <f>_xll.PACF([1]ARMA!$B$2:$B$175,1,$D20)</f>
        <v>5.1746584606020538E-2</v>
      </c>
      <c r="I20" s="12">
        <f>_xll.PACFCI([1]ARMA!$B$2:$B$175,1,$D20,0.05,1)</f>
        <v>0.15212270769662414</v>
      </c>
      <c r="J20" s="12">
        <f>_xll.PACFCI([1]ARMA!$B$2:$B$175,1,$D20,0.05,0)</f>
        <v>-0.15212270769662414</v>
      </c>
    </row>
    <row r="21" spans="1:19" x14ac:dyDescent="0.35">
      <c r="A21" s="2">
        <v>43881</v>
      </c>
      <c r="B21">
        <v>1.0986122890000001</v>
      </c>
      <c r="D21" s="10">
        <v>9</v>
      </c>
      <c r="E21" s="12">
        <f>_xll.ACF([1]ARMA!$B$2:$B$175,1,$D21,0)</f>
        <v>0.87327677243902491</v>
      </c>
      <c r="F21" s="12">
        <f>_xll.ACFCI([1]ARMA!$B$2:$B$175,1,$D21,0,0.05,1)</f>
        <v>0.57753119938346642</v>
      </c>
      <c r="G21" s="12">
        <f>_xll.ACFCI([1]ARMA!$B$2:$B$175,1,$D21,0,0.05,0)</f>
        <v>-0.57753119938346642</v>
      </c>
      <c r="H21" s="12">
        <f>_xll.PACF([1]ARMA!$B$2:$B$175,1,$D21)</f>
        <v>-6.2317999122148825E-2</v>
      </c>
      <c r="I21" s="12">
        <f>_xll.PACFCI([1]ARMA!$B$2:$B$175,1,$D21,0.05,1)</f>
        <v>0.15258298925590433</v>
      </c>
      <c r="J21" s="12">
        <f>_xll.PACFCI([1]ARMA!$B$2:$B$175,1,$D21,0.05,0)</f>
        <v>-0.15258298925590433</v>
      </c>
    </row>
    <row r="22" spans="1:19" x14ac:dyDescent="0.35">
      <c r="A22" s="2">
        <v>43882</v>
      </c>
      <c r="B22">
        <v>1.0986122890000001</v>
      </c>
      <c r="D22" s="10">
        <v>10</v>
      </c>
      <c r="E22" s="12">
        <f>_xll.ACF([1]ARMA!$B$2:$B$175,1,$D22,0)</f>
        <v>0.85791526371696647</v>
      </c>
      <c r="F22" s="12">
        <f>_xll.ACFCI([1]ARMA!$B$2:$B$175,1,$D22,0,0.05,1)</f>
        <v>0.60598284119983636</v>
      </c>
      <c r="G22" s="12">
        <f>_xll.ACFCI([1]ARMA!$B$2:$B$175,1,$D22,0,0.05,0)</f>
        <v>-0.60598284119983636</v>
      </c>
      <c r="H22" s="12">
        <f>_xll.PACF([1]ARMA!$B$2:$B$175,1,$D22)</f>
        <v>-1.8367239623329017E-2</v>
      </c>
      <c r="I22" s="12">
        <f>_xll.PACFCI([1]ARMA!$B$2:$B$175,1,$D22,0.05,1)</f>
        <v>0.15304747431590096</v>
      </c>
      <c r="J22" s="12">
        <f>_xll.PACFCI([1]ARMA!$B$2:$B$175,1,$D22,0.05,0)</f>
        <v>-0.15304747431590096</v>
      </c>
    </row>
    <row r="23" spans="1:19" x14ac:dyDescent="0.35">
      <c r="A23" s="2">
        <v>43883</v>
      </c>
      <c r="B23">
        <v>1.0986122890000001</v>
      </c>
    </row>
    <row r="24" spans="1:19" x14ac:dyDescent="0.35">
      <c r="A24" s="2">
        <v>43884</v>
      </c>
      <c r="B24">
        <v>1.0986122890000001</v>
      </c>
    </row>
    <row r="25" spans="1:19" x14ac:dyDescent="0.35">
      <c r="A25" s="2">
        <v>43885</v>
      </c>
      <c r="B25">
        <v>1.0986122890000001</v>
      </c>
    </row>
    <row r="26" spans="1:19" x14ac:dyDescent="0.35">
      <c r="A26" s="2">
        <v>43886</v>
      </c>
      <c r="B26">
        <v>1.0986122890000001</v>
      </c>
    </row>
    <row r="27" spans="1:19" x14ac:dyDescent="0.35">
      <c r="A27" s="2">
        <v>43887</v>
      </c>
      <c r="B27">
        <v>1.0986122890000001</v>
      </c>
    </row>
    <row r="28" spans="1:19" x14ac:dyDescent="0.35">
      <c r="A28" s="2">
        <v>43888</v>
      </c>
      <c r="B28">
        <v>1.0986122890000001</v>
      </c>
    </row>
    <row r="29" spans="1:19" ht="15" thickBot="1" x14ac:dyDescent="0.4">
      <c r="A29" s="2">
        <v>43889</v>
      </c>
      <c r="B29">
        <v>1.0986122890000001</v>
      </c>
      <c r="D29" s="1" t="str">
        <f>_xll.ARMA($F$31,$F$34,$F$32,$F$33)</f>
        <v>ARMA(1,1)</v>
      </c>
      <c r="H29" s="1" t="s">
        <v>21</v>
      </c>
      <c r="M29" s="1" t="s">
        <v>22</v>
      </c>
    </row>
    <row r="30" spans="1:19" ht="15" thickBot="1" x14ac:dyDescent="0.4">
      <c r="A30" s="2">
        <v>43890</v>
      </c>
      <c r="B30">
        <v>1.0986122890000001</v>
      </c>
      <c r="D30" s="13"/>
      <c r="E30" s="13" t="s">
        <v>23</v>
      </c>
      <c r="F30" s="13" t="s">
        <v>24</v>
      </c>
      <c r="H30" s="13" t="s">
        <v>25</v>
      </c>
      <c r="I30" s="13" t="s">
        <v>26</v>
      </c>
      <c r="J30" s="13" t="s">
        <v>27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32</v>
      </c>
      <c r="R30" s="4" t="s">
        <v>33</v>
      </c>
      <c r="S30" s="4" t="s">
        <v>34</v>
      </c>
    </row>
    <row r="31" spans="1:19" x14ac:dyDescent="0.35">
      <c r="A31" s="2">
        <v>43891</v>
      </c>
      <c r="B31">
        <v>1.0986122890000001</v>
      </c>
      <c r="E31" s="10" t="s">
        <v>35</v>
      </c>
      <c r="F31" s="14">
        <v>8.6475357331037355</v>
      </c>
      <c r="H31" s="15">
        <f>_xll.ARMA_LLF([1]ARMA!$B$2:$B$175,1,$F$31,$F$34,$F$32,$F$33)</f>
        <v>-246.63716212037323</v>
      </c>
      <c r="I31" s="15">
        <f>_xll.ARMA_AIC([1]ARMA!$B$2:$B$175,1,$F$31,$F$34,$F$32,$F$33)</f>
        <v>501.27432424074647</v>
      </c>
      <c r="J31" s="16">
        <f>_xll.ARMA_CHECK($F$31,$F$34,$F$32,$F$33)</f>
        <v>1</v>
      </c>
      <c r="M31" s="14">
        <f>AVERAGE(_xll.RMNA(_xll.ARMA_RESID([1]ARMA!$B$2:$B$175,1,$F$31,$F$34,$F$32,$F$33)))</f>
        <v>6.9014189044554988E-2</v>
      </c>
      <c r="N31" s="14">
        <f>STDEV(_xll.RMNA(_xll.ARMA_RESID([1]ARMA!$B$2:$B$175,1,$F$31,$F$34,$F$32,$F$33)))</f>
        <v>0.13144113480642491</v>
      </c>
      <c r="O31" s="14">
        <f>SKEW(_xll.RMNA(_xll.ARMA_RESID([1]ARMA!$B$2:$B$175,1,$F$31,$F$34,$F$32,$F$33)))</f>
        <v>8.048402143570625</v>
      </c>
      <c r="P31" s="14">
        <f>KURT(_xll.RMNA(_xll.ARMA_RESID([1]ARMA!$B$2:$B$175,1,$F$31,$F$34,$F$32,$F$33)))</f>
        <v>84.150262732499925</v>
      </c>
      <c r="Q31" s="14" t="b">
        <f>IF(_xll.WNTest(_xll.RMNA(_xll.ARMA_RESID([1]ARMA!$B$2:$B$175,1,$F$31,$F$34,$F$32,$F$33)),1) &gt;0.05, TRUE, FALSE)</f>
        <v>0</v>
      </c>
      <c r="R31" s="14" t="b">
        <f>IF(_xll.NormalityTest(_xll.RMNA(_xll.ARMA_RESID([1]ARMA!$B$2:$B$175,1,$F$31,$F$34,$F$32,$F$33)),1) &gt;0.05, TRUE, FALSE)</f>
        <v>0</v>
      </c>
      <c r="S31" s="14" t="b">
        <f>IF(_xll.ARCHTest(_xll.RMNA(_xll.ARMA_RESID([1]ARMA!$B$2:$B$175,1,$F$31,$F$34,$F$32,$F$33)),1) &lt;0.05, TRUE, FALSE)</f>
        <v>0</v>
      </c>
    </row>
    <row r="32" spans="1:19" ht="16.5" x14ac:dyDescent="0.45">
      <c r="A32" s="2">
        <v>43892</v>
      </c>
      <c r="B32">
        <v>1.609437912</v>
      </c>
      <c r="E32" s="10" t="s">
        <v>36</v>
      </c>
      <c r="F32" s="14">
        <v>0.99989900268262955</v>
      </c>
      <c r="L32" s="17" t="s">
        <v>37</v>
      </c>
      <c r="M32" s="14">
        <v>0</v>
      </c>
      <c r="N32" s="14">
        <v>1</v>
      </c>
      <c r="O32" s="14">
        <v>0</v>
      </c>
      <c r="P32" s="14">
        <v>0</v>
      </c>
    </row>
    <row r="33" spans="1:19" ht="16.5" x14ac:dyDescent="0.45">
      <c r="A33" s="2">
        <v>43893</v>
      </c>
      <c r="B33">
        <v>1.791759469</v>
      </c>
      <c r="E33" s="10" t="s">
        <v>38</v>
      </c>
      <c r="F33" s="14">
        <v>8.7330614274223756E-2</v>
      </c>
      <c r="L33" s="17" t="s">
        <v>39</v>
      </c>
      <c r="M33" s="9" t="b">
        <f>IF( _xll.TEST_MEAN(_xll.RMNA(_xll.ARMA_RESID([1]ARMA!$B$2:$B$175,1,$F$31,$F$34,$F$32,$F$33)),M32) &gt;0.05/2, FALSE, TRUE)</f>
        <v>1</v>
      </c>
      <c r="N33" s="9" t="b">
        <f>IF( _xll.TEST_STDEV(_xll.RMNA(_xll.ARMA_RESID([1]ARMA!$B$2:$B$175,1,$F$31,$F$34,$F$32,$F$33)),N32) &gt;0.05, FALSE, TRUE)</f>
        <v>1</v>
      </c>
      <c r="O33" s="9" t="b">
        <f>IF( _xll.TEST_SKEW(_xll.RMNA(_xll.ARMA_RESID([1]ARMA!$B$2:$B$175,1,$F$31,$F$34,$F$32,$F$33))) &gt;0.05/2, FALSE, TRUE)</f>
        <v>1</v>
      </c>
      <c r="P33" s="9" t="b">
        <f>IF( _xll.TEST_XKURT(_xll.RMNA(_xll.ARMA_RESID([1]ARMA!$B$2:$B$175,1,$F$31,$F$34,$F$32,$F$33))) &gt;0.05/2, FALSE, TRUE)</f>
        <v>1</v>
      </c>
    </row>
    <row r="34" spans="1:19" x14ac:dyDescent="0.35">
      <c r="A34" s="2">
        <v>43894</v>
      </c>
      <c r="B34">
        <v>3.33220451</v>
      </c>
      <c r="E34" s="10" t="s">
        <v>40</v>
      </c>
      <c r="F34" s="14">
        <v>1.0128224922207651</v>
      </c>
    </row>
    <row r="35" spans="1:19" x14ac:dyDescent="0.35">
      <c r="A35" s="2">
        <v>43895</v>
      </c>
      <c r="B35">
        <v>3.4011973819999999</v>
      </c>
    </row>
    <row r="36" spans="1:19" ht="15" thickBot="1" x14ac:dyDescent="0.4">
      <c r="A36" s="2">
        <v>43896</v>
      </c>
      <c r="B36">
        <v>3.4339872040000001</v>
      </c>
      <c r="D36" s="1" t="str">
        <f>_xll.ARMA($F$38,$F$42,$F$39,$F$40:$F$41)</f>
        <v>ARMA(1,2)</v>
      </c>
      <c r="H36" s="1" t="s">
        <v>21</v>
      </c>
      <c r="M36" s="1" t="s">
        <v>22</v>
      </c>
    </row>
    <row r="37" spans="1:19" ht="15" thickBot="1" x14ac:dyDescent="0.4">
      <c r="A37" s="2">
        <v>43897</v>
      </c>
      <c r="B37">
        <v>3.5263605249999999</v>
      </c>
      <c r="D37" s="13"/>
      <c r="E37" s="13" t="s">
        <v>23</v>
      </c>
      <c r="F37" s="13" t="s">
        <v>24</v>
      </c>
      <c r="H37" s="13" t="s">
        <v>25</v>
      </c>
      <c r="I37" s="13" t="s">
        <v>26</v>
      </c>
      <c r="J37" s="13" t="s">
        <v>27</v>
      </c>
      <c r="M37" s="4" t="s">
        <v>28</v>
      </c>
      <c r="N37" s="4" t="s">
        <v>29</v>
      </c>
      <c r="O37" s="4" t="s">
        <v>30</v>
      </c>
      <c r="P37" s="4" t="s">
        <v>31</v>
      </c>
      <c r="Q37" s="4" t="s">
        <v>32</v>
      </c>
      <c r="R37" s="4" t="s">
        <v>33</v>
      </c>
      <c r="S37" s="4" t="s">
        <v>34</v>
      </c>
    </row>
    <row r="38" spans="1:19" x14ac:dyDescent="0.35">
      <c r="A38" s="2">
        <v>43898</v>
      </c>
      <c r="B38">
        <v>3.6635616459999998</v>
      </c>
      <c r="E38" s="10" t="s">
        <v>35</v>
      </c>
      <c r="F38" s="14">
        <v>8.6475357331034512</v>
      </c>
      <c r="H38" s="15">
        <f>_xll.ARMA_LLF([1]ARMA!$B$2:$B$175,1,$F$38,$F$42,$F$39,$F$40:$F$41)</f>
        <v>-253.37164151988532</v>
      </c>
      <c r="I38" s="15">
        <f>_xll.ARMA_AIC([1]ARMA!$B$2:$B$175,1,$F$38,$F$42,$F$39,$F$40:$F$41)</f>
        <v>516.74328303977063</v>
      </c>
      <c r="J38" s="16">
        <f>_xll.ARMA_CHECK($F$38,$F$42,$F$39,$F$40:$F$41)</f>
        <v>1</v>
      </c>
      <c r="M38" s="14">
        <f>AVERAGE(_xll.RMNA(_xll.ARMA_RESID([1]ARMA!$B$2:$B$175,1,$F$38,$F$42,$F$39,$F$40:$F$41)))</f>
        <v>4.9504428949731089E-2</v>
      </c>
      <c r="N38" s="14">
        <f>STDEV(_xll.RMNA(_xll.ARMA_RESID([1]ARMA!$B$2:$B$175,1,$F$38,$F$42,$F$39,$F$40:$F$41)))</f>
        <v>0.12032877559767811</v>
      </c>
      <c r="O38" s="14">
        <f>SKEW(_xll.RMNA(_xll.ARMA_RESID([1]ARMA!$B$2:$B$175,1,$F$38,$F$42,$F$39,$F$40:$F$41)))</f>
        <v>7.5319140315107038</v>
      </c>
      <c r="P38" s="14">
        <f>KURT(_xll.RMNA(_xll.ARMA_RESID([1]ARMA!$B$2:$B$175,1,$F$38,$F$42,$F$39,$F$40:$F$41)))</f>
        <v>79.22003698581122</v>
      </c>
      <c r="Q38" s="14" t="b">
        <f>IF(_xll.WNTest(_xll.RMNA(_xll.ARMA_RESID([1]ARMA!$B$2:$B$175,1,$F$38,$F$42,$F$39,$F$40:$F$41)),1) &gt;0.05, TRUE, FALSE)</f>
        <v>0</v>
      </c>
      <c r="R38" s="14" t="b">
        <f>IF(_xll.NormalityTest(_xll.RMNA(_xll.ARMA_RESID([1]ARMA!$B$2:$B$175,1,$F$38,$F$42,$F$39,$F$40:$F$41)),1) &gt;0.05, TRUE, FALSE)</f>
        <v>0</v>
      </c>
      <c r="S38" s="14" t="b">
        <f>IF(_xll.ARCHTest(_xll.RMNA(_xll.ARMA_RESID([1]ARMA!$B$2:$B$175,1,$F$38,$F$42,$F$39,$F$40:$F$41)),1) &lt;0.05, TRUE, FALSE)</f>
        <v>0</v>
      </c>
    </row>
    <row r="39" spans="1:19" ht="16.5" x14ac:dyDescent="0.45">
      <c r="A39" s="2">
        <v>43899</v>
      </c>
      <c r="B39">
        <v>3.8286413960000001</v>
      </c>
      <c r="E39" s="10" t="s">
        <v>36</v>
      </c>
      <c r="F39" s="14">
        <v>0.99989884380260452</v>
      </c>
      <c r="L39" s="17" t="s">
        <v>37</v>
      </c>
      <c r="M39" s="14">
        <v>0</v>
      </c>
      <c r="N39" s="14">
        <v>1</v>
      </c>
      <c r="O39" s="14">
        <v>0</v>
      </c>
      <c r="P39" s="14">
        <v>0</v>
      </c>
    </row>
    <row r="40" spans="1:19" ht="16.5" x14ac:dyDescent="0.45">
      <c r="A40" s="2">
        <v>43900</v>
      </c>
      <c r="B40">
        <v>4.0604430110000003</v>
      </c>
      <c r="E40" s="10" t="s">
        <v>38</v>
      </c>
      <c r="F40" s="14">
        <v>0.28226371688859014</v>
      </c>
      <c r="L40" s="17" t="s">
        <v>39</v>
      </c>
      <c r="M40" s="9" t="b">
        <f>IF( _xll.TEST_MEAN(_xll.RMNA(_xll.ARMA_RESID([1]ARMA!$B$2:$B$175,1,$F$38,$F$42,$F$39,$F$40:$F$41)),M39) &gt;0.05/2, FALSE, TRUE)</f>
        <v>1</v>
      </c>
      <c r="N40" s="9" t="b">
        <f>IF( _xll.TEST_STDEV(_xll.RMNA(_xll.ARMA_RESID([1]ARMA!$B$2:$B$175,1,$F$38,$F$42,$F$39,$F$40:$F$41)),N39) &gt;0.05, FALSE, TRUE)</f>
        <v>1</v>
      </c>
      <c r="O40" s="9" t="b">
        <f>IF( _xll.TEST_SKEW(_xll.RMNA(_xll.ARMA_RESID([1]ARMA!$B$2:$B$175,1,$F$38,$F$42,$F$39,$F$40:$F$41))) &gt;0.05/2, FALSE, TRUE)</f>
        <v>1</v>
      </c>
      <c r="P40" s="9" t="b">
        <f>IF( _xll.TEST_XKURT(_xll.RMNA(_xll.ARMA_RESID([1]ARMA!$B$2:$B$175,1,$F$38,$F$42,$F$39,$F$40:$F$41))) &gt;0.05/2, FALSE, TRUE)</f>
        <v>1</v>
      </c>
    </row>
    <row r="41" spans="1:19" ht="16.5" x14ac:dyDescent="0.45">
      <c r="A41" s="2">
        <v>43901</v>
      </c>
      <c r="B41">
        <v>4.0943445619999999</v>
      </c>
      <c r="E41" s="10" t="s">
        <v>41</v>
      </c>
      <c r="F41" s="14">
        <v>0.12680955787939721</v>
      </c>
    </row>
    <row r="42" spans="1:19" x14ac:dyDescent="0.35">
      <c r="A42" s="2">
        <v>43902</v>
      </c>
      <c r="B42">
        <v>4.3040650930000002</v>
      </c>
      <c r="E42" s="10" t="s">
        <v>40</v>
      </c>
      <c r="F42" s="14">
        <v>1.0886669051673035</v>
      </c>
    </row>
    <row r="43" spans="1:19" ht="15" thickBot="1" x14ac:dyDescent="0.4">
      <c r="A43" s="2">
        <v>43903</v>
      </c>
      <c r="B43">
        <v>4.3944491550000002</v>
      </c>
    </row>
    <row r="44" spans="1:19" ht="15" thickBot="1" x14ac:dyDescent="0.4">
      <c r="A44" s="2">
        <v>43904</v>
      </c>
      <c r="B44">
        <v>4.4308167989999996</v>
      </c>
      <c r="D44" s="4" t="s">
        <v>42</v>
      </c>
      <c r="E44" s="4" t="s">
        <v>43</v>
      </c>
      <c r="F44" s="4" t="s">
        <v>44</v>
      </c>
      <c r="G44" s="4" t="s">
        <v>18</v>
      </c>
      <c r="H44" s="4" t="s">
        <v>19</v>
      </c>
      <c r="J44" s="18" t="s">
        <v>45</v>
      </c>
      <c r="K44" s="18" t="s">
        <v>46</v>
      </c>
    </row>
    <row r="45" spans="1:19" x14ac:dyDescent="0.35">
      <c r="A45" s="2">
        <v>43905</v>
      </c>
      <c r="B45">
        <v>4.7004803659999999</v>
      </c>
      <c r="D45" s="10">
        <v>1</v>
      </c>
      <c r="E45" s="9">
        <f>_xll.ARMA_FORE([1]ARMA!$B$2:$B$175,1,$F$31,$F$34,$F$32,$F$33,$D45,1,0.05)</f>
        <v>14.032079562774101</v>
      </c>
      <c r="F45" s="9">
        <f>_xll.ARMA_FORE([1]ARMA!$B$2:$B$175,1,$F$31,$F$34,$F$32,$F$33,$D45,2,0.05)</f>
        <v>1.0128224922207651</v>
      </c>
      <c r="G45" s="9">
        <f>_xll.ARMA_FORE([1]ARMA!$B$2:$B$175,1,$F$31,$F$34,$F$32,$F$33,$D45,5,0.05)</f>
        <v>16.017175170258898</v>
      </c>
      <c r="H45" s="9">
        <f>_xll.ARMA_FORE([1]ARMA!$B$2:$B$175,1,$F$31,$F$34,$F$32,$F$33,$D45,4,0.05)</f>
        <v>12.046983955289303</v>
      </c>
      <c r="J45" s="19">
        <v>1287945</v>
      </c>
      <c r="K45" s="19">
        <f t="shared" ref="K45:K54" si="1">EXP(E45)</f>
        <v>1241808.773175593</v>
      </c>
    </row>
    <row r="46" spans="1:19" x14ac:dyDescent="0.35">
      <c r="A46" s="2">
        <v>43906</v>
      </c>
      <c r="B46">
        <v>4.7361984479999997</v>
      </c>
      <c r="D46" s="10">
        <v>2</v>
      </c>
      <c r="E46" s="9">
        <f>_xll.ARMA_FORE([1]ARMA!$B$2:$B$175,1,$F$31,$F$34,$F$32,$F$33,$D46,1,0.05)</f>
        <v>14.031535738292041</v>
      </c>
      <c r="F46" s="9">
        <f>_xll.ARMA_FORE([1]ARMA!$B$2:$B$175,1,$F$31,$F$34,$F$32,$F$33,$D46,2,0.05)</f>
        <v>1.4961236959737312</v>
      </c>
      <c r="G46" s="9">
        <f>_xll.ARMA_FORE([1]ARMA!$B$2:$B$175,1,$F$31,$F$34,$F$32,$F$33,$D46,5,0.05)</f>
        <v>16.963884298817508</v>
      </c>
      <c r="H46" s="9">
        <f>_xll.ARMA_FORE([1]ARMA!$B$2:$B$175,1,$F$31,$F$34,$F$32,$F$33,$D46,4,0.05)</f>
        <v>11.099187177766574</v>
      </c>
      <c r="J46" s="19">
        <v>1336861</v>
      </c>
      <c r="K46" s="19">
        <f t="shared" si="1"/>
        <v>1241133.6307588299</v>
      </c>
    </row>
    <row r="47" spans="1:19" x14ac:dyDescent="0.35">
      <c r="A47" s="2">
        <v>43907</v>
      </c>
      <c r="B47">
        <v>4.919980926</v>
      </c>
      <c r="D47" s="10">
        <v>3</v>
      </c>
      <c r="E47" s="9">
        <f>_xll.ARMA_FORE([1]ARMA!$B$2:$B$175,1,$F$31,$F$34,$F$32,$F$33,$D47,1,0.05)</f>
        <v>14.030991968734794</v>
      </c>
      <c r="F47" s="9">
        <f>_xll.ARMA_FORE([1]ARMA!$B$2:$B$175,1,$F$31,$F$34,$F$32,$F$33,$D47,2,0.05)</f>
        <v>1.8576108055614162</v>
      </c>
      <c r="G47" s="9">
        <f>_xll.ARMA_FORE([1]ARMA!$B$2:$B$175,1,$F$31,$F$34,$F$32,$F$33,$D47,5,0.05)</f>
        <v>17.671842244927607</v>
      </c>
      <c r="H47" s="9">
        <f>_xll.ARMA_FORE([1]ARMA!$B$2:$B$175,1,$F$31,$F$34,$F$32,$F$33,$D47,4,0.05)</f>
        <v>10.390141692541981</v>
      </c>
      <c r="J47" s="19">
        <v>1385522</v>
      </c>
      <c r="K47" s="19">
        <f t="shared" si="1"/>
        <v>1240458.923533198</v>
      </c>
    </row>
    <row r="48" spans="1:19" x14ac:dyDescent="0.35">
      <c r="A48" s="2">
        <v>43908</v>
      </c>
      <c r="B48">
        <v>5.0172798370000002</v>
      </c>
      <c r="D48" s="10">
        <v>4</v>
      </c>
      <c r="E48" s="9">
        <f>_xll.ARMA_FORE([1]ARMA!$B$2:$B$175,1,$F$31,$F$34,$F$32,$F$33,$D48,1,0.05)</f>
        <v>14.030448254096815</v>
      </c>
      <c r="F48" s="9">
        <f>_xll.ARMA_FORE([1]ARMA!$B$2:$B$175,1,$F$31,$F$34,$F$32,$F$33,$D48,2,0.05)</f>
        <v>2.1593528715964752</v>
      </c>
      <c r="G48" s="9">
        <f>_xll.ARMA_FORE([1]ARMA!$B$2:$B$175,1,$F$31,$F$34,$F$32,$F$33,$D48,5,0.05)</f>
        <v>18.262702112339049</v>
      </c>
      <c r="H48" s="9">
        <f>_xll.ARMA_FORE([1]ARMA!$B$2:$B$175,1,$F$31,$F$34,$F$32,$F$33,$D48,4,0.05)</f>
        <v>9.7981943958545799</v>
      </c>
      <c r="J48" s="19">
        <v>1435453</v>
      </c>
      <c r="K48" s="19">
        <f t="shared" si="1"/>
        <v>1239784.6511811456</v>
      </c>
    </row>
    <row r="49" spans="1:11" x14ac:dyDescent="0.35">
      <c r="A49" s="2">
        <v>43909</v>
      </c>
      <c r="B49">
        <v>5.1532915939999997</v>
      </c>
      <c r="D49" s="10">
        <v>5</v>
      </c>
      <c r="E49" s="9">
        <f>_xll.ARMA_FORE([1]ARMA!$B$2:$B$175,1,$F$31,$F$34,$F$32,$F$33,$D49,1,0.05)</f>
        <v>14.029904594372553</v>
      </c>
      <c r="F49" s="9">
        <f>_xll.ARMA_FORE([1]ARMA!$B$2:$B$175,1,$F$31,$F$34,$F$32,$F$33,$D49,2,0.05)</f>
        <v>2.4237670928772617</v>
      </c>
      <c r="G49" s="9">
        <f>_xll.ARMA_FORE([1]ARMA!$B$2:$B$175,1,$F$31,$F$34,$F$32,$F$33,$D49,5,0.05)</f>
        <v>18.780400803325335</v>
      </c>
      <c r="H49" s="9">
        <f>_xll.ARMA_FORE([1]ARMA!$B$2:$B$175,1,$F$31,$F$34,$F$32,$F$33,$D49,4,0.05)</f>
        <v>9.2794083854197726</v>
      </c>
      <c r="J49" s="19">
        <v>1483156</v>
      </c>
      <c r="K49" s="19">
        <f t="shared" si="1"/>
        <v>1239110.813385373</v>
      </c>
    </row>
    <row r="50" spans="1:11" x14ac:dyDescent="0.35">
      <c r="A50" s="2">
        <v>43910</v>
      </c>
      <c r="B50">
        <v>5.4071717709999998</v>
      </c>
      <c r="D50" s="10">
        <v>6</v>
      </c>
      <c r="E50" s="9">
        <f>_xll.ARMA_FORE([1]ARMA!$B$2:$B$175,1,$F$31,$F$34,$F$32,$F$33,$D50,1,0.05)</f>
        <v>14.029360989556466</v>
      </c>
      <c r="F50" s="9">
        <f>_xll.ARMA_FORE([1]ARMA!$B$2:$B$175,1,$F$31,$F$34,$F$32,$F$33,$D50,2,0.05)</f>
        <v>2.6620000457770749</v>
      </c>
      <c r="G50" s="9">
        <f>_xll.ARMA_FORE([1]ARMA!$B$2:$B$175,1,$F$31,$F$34,$F$32,$F$33,$D50,5,0.05)</f>
        <v>19.246785206123509</v>
      </c>
      <c r="H50" s="9">
        <f>_xll.ARMA_FORE([1]ARMA!$B$2:$B$175,1,$F$31,$F$34,$F$32,$F$33,$D50,4,0.05)</f>
        <v>8.8119367729894229</v>
      </c>
      <c r="J50" s="19">
        <v>1531669</v>
      </c>
      <c r="K50" s="19">
        <f t="shared" si="1"/>
        <v>1238437.4098288419</v>
      </c>
    </row>
    <row r="51" spans="1:11" x14ac:dyDescent="0.35">
      <c r="A51" s="2">
        <v>43911</v>
      </c>
      <c r="B51">
        <v>5.6454468980000003</v>
      </c>
      <c r="D51" s="10">
        <v>7</v>
      </c>
      <c r="E51" s="9">
        <f>_xll.ARMA_FORE([1]ARMA!$B$2:$B$175,1,$F$31,$F$34,$F$32,$F$33,$D51,1,0.05)</f>
        <v>14.028817439643007</v>
      </c>
      <c r="F51" s="9">
        <f>_xll.ARMA_FORE([1]ARMA!$B$2:$B$175,1,$F$31,$F$34,$F$32,$F$33,$D51,2,0.05)</f>
        <v>2.8805549540183573</v>
      </c>
      <c r="G51" s="9">
        <f>_xll.ARMA_FORE([1]ARMA!$B$2:$B$175,1,$F$31,$F$34,$F$32,$F$33,$D51,5,0.05)</f>
        <v>19.674601405007419</v>
      </c>
      <c r="H51" s="9">
        <f>_xll.ARMA_FORE([1]ARMA!$B$2:$B$175,1,$F$31,$F$34,$F$32,$F$33,$D51,4,0.05)</f>
        <v>8.3830334742785944</v>
      </c>
      <c r="J51" s="19">
        <v>1583792</v>
      </c>
      <c r="K51" s="19">
        <f t="shared" si="1"/>
        <v>1237764.440194767</v>
      </c>
    </row>
    <row r="52" spans="1:11" x14ac:dyDescent="0.35">
      <c r="A52" s="2">
        <v>43912</v>
      </c>
      <c r="B52">
        <v>5.8861040310000003</v>
      </c>
      <c r="D52" s="10">
        <v>8</v>
      </c>
      <c r="E52" s="9">
        <f>_xll.ARMA_FORE([1]ARMA!$B$2:$B$175,1,$F$31,$F$34,$F$32,$F$33,$D52,1,0.05)</f>
        <v>14.028273944626632</v>
      </c>
      <c r="F52" s="9">
        <f>_xll.ARMA_FORE([1]ARMA!$B$2:$B$175,1,$F$31,$F$34,$F$32,$F$33,$D52,2,0.05)</f>
        <v>3.0836187780192197</v>
      </c>
      <c r="G52" s="9">
        <f>_xll.ARMA_FORE([1]ARMA!$B$2:$B$175,1,$F$31,$F$34,$F$32,$F$33,$D52,5,0.05)</f>
        <v>20.072055691595715</v>
      </c>
      <c r="H52" s="9">
        <f>_xll.ARMA_FORE([1]ARMA!$B$2:$B$175,1,$F$31,$F$34,$F$32,$F$33,$D52,4,0.05)</f>
        <v>7.9844921976575502</v>
      </c>
      <c r="J52" s="19">
        <v>1638870</v>
      </c>
      <c r="K52" s="19">
        <f t="shared" si="1"/>
        <v>1237091.9041666195</v>
      </c>
    </row>
    <row r="53" spans="1:11" x14ac:dyDescent="0.35">
      <c r="A53" s="2">
        <v>43913</v>
      </c>
      <c r="B53">
        <v>6.0707377280000001</v>
      </c>
      <c r="D53" s="10">
        <v>9</v>
      </c>
      <c r="E53" s="9">
        <f>_xll.ARMA_FORE([1]ARMA!$B$2:$B$175,1,$F$31,$F$34,$F$32,$F$33,$D53,1,0.05)</f>
        <v>14.027730504501795</v>
      </c>
      <c r="F53" s="9">
        <f>_xll.ARMA_FORE([1]ARMA!$B$2:$B$175,1,$F$31,$F$34,$F$32,$F$33,$D53,2,0.05)</f>
        <v>3.2740751470051355</v>
      </c>
      <c r="G53" s="9">
        <f>_xll.ARMA_FORE([1]ARMA!$B$2:$B$175,1,$F$31,$F$34,$F$32,$F$33,$D53,5,0.05)</f>
        <v>20.444799875309542</v>
      </c>
      <c r="H53" s="9">
        <f>_xll.ARMA_FORE([1]ARMA!$B$2:$B$175,1,$F$31,$F$34,$F$32,$F$33,$D53,4,0.05)</f>
        <v>7.6106611336940473</v>
      </c>
      <c r="J53" s="19">
        <v>1695988</v>
      </c>
      <c r="K53" s="19">
        <f t="shared" si="1"/>
        <v>1236419.8014281238</v>
      </c>
    </row>
    <row r="54" spans="1:11" x14ac:dyDescent="0.35">
      <c r="A54" s="2">
        <v>43914</v>
      </c>
      <c r="B54">
        <v>6.2519038829999998</v>
      </c>
      <c r="D54" s="10">
        <v>10</v>
      </c>
      <c r="E54" s="9">
        <f>_xll.ARMA_FORE([1]ARMA!$B$2:$B$175,1,$F$31,$F$34,$F$32,$F$33,$D54,1,0.05)</f>
        <v>14.027187119262953</v>
      </c>
      <c r="F54" s="9">
        <f>_xll.ARMA_FORE([1]ARMA!$B$2:$B$175,1,$F$31,$F$34,$F$32,$F$33,$D54,2,0.05)</f>
        <v>3.4540102479266022</v>
      </c>
      <c r="G54" s="9">
        <f>_xll.ARMA_FORE([1]ARMA!$B$2:$B$175,1,$F$31,$F$34,$F$32,$F$33,$D54,5,0.05)</f>
        <v>20.796922807431354</v>
      </c>
      <c r="H54" s="9">
        <f>_xll.ARMA_FORE([1]ARMA!$B$2:$B$175,1,$F$31,$F$34,$F$32,$F$33,$D54,4,0.05)</f>
        <v>7.2574514310945508</v>
      </c>
      <c r="J54" s="19">
        <v>1750723</v>
      </c>
      <c r="K54" s="19">
        <f t="shared" si="1"/>
        <v>1235748.1316632605</v>
      </c>
    </row>
    <row r="55" spans="1:11" x14ac:dyDescent="0.35">
      <c r="A55" s="2">
        <v>43915</v>
      </c>
      <c r="B55">
        <v>6.4068799859999999</v>
      </c>
    </row>
    <row r="56" spans="1:11" x14ac:dyDescent="0.35">
      <c r="A56" s="2">
        <v>43916</v>
      </c>
      <c r="B56">
        <v>6.5424719610000004</v>
      </c>
    </row>
    <row r="57" spans="1:11" x14ac:dyDescent="0.35">
      <c r="A57" s="2">
        <v>43917</v>
      </c>
      <c r="B57">
        <v>6.5847913919999996</v>
      </c>
    </row>
    <row r="58" spans="1:11" x14ac:dyDescent="0.35">
      <c r="A58" s="2">
        <v>43918</v>
      </c>
      <c r="B58">
        <v>6.8123450940000003</v>
      </c>
    </row>
    <row r="59" spans="1:11" x14ac:dyDescent="0.35">
      <c r="A59" s="2">
        <v>43919</v>
      </c>
      <c r="B59">
        <v>6.9314718060000002</v>
      </c>
    </row>
    <row r="60" spans="1:11" x14ac:dyDescent="0.35">
      <c r="A60" s="2">
        <v>43920</v>
      </c>
      <c r="B60">
        <v>7.1316985099999997</v>
      </c>
    </row>
    <row r="61" spans="1:11" x14ac:dyDescent="0.35">
      <c r="A61" s="2">
        <v>43921</v>
      </c>
      <c r="B61">
        <v>7.2420823590000003</v>
      </c>
    </row>
    <row r="62" spans="1:11" x14ac:dyDescent="0.35">
      <c r="A62" s="2">
        <v>43922</v>
      </c>
      <c r="B62">
        <v>7.5142546530000001</v>
      </c>
    </row>
    <row r="63" spans="1:11" x14ac:dyDescent="0.35">
      <c r="A63" s="2">
        <v>43923</v>
      </c>
      <c r="B63">
        <v>7.6348206779999996</v>
      </c>
    </row>
    <row r="64" spans="1:11" x14ac:dyDescent="0.35">
      <c r="A64" s="2">
        <v>43924</v>
      </c>
      <c r="B64">
        <v>7.8426714750000004</v>
      </c>
    </row>
    <row r="65" spans="1:2" x14ac:dyDescent="0.35">
      <c r="A65" s="2">
        <v>43925</v>
      </c>
      <c r="B65">
        <v>8.0300840939999993</v>
      </c>
    </row>
    <row r="66" spans="1:2" x14ac:dyDescent="0.35">
      <c r="A66" s="2">
        <v>43926</v>
      </c>
      <c r="B66">
        <v>8.1822797390000002</v>
      </c>
    </row>
    <row r="67" spans="1:2" x14ac:dyDescent="0.35">
      <c r="A67" s="2">
        <v>43927</v>
      </c>
      <c r="B67">
        <v>8.3619419060000002</v>
      </c>
    </row>
    <row r="68" spans="1:2" x14ac:dyDescent="0.35">
      <c r="A68" s="2">
        <v>43928</v>
      </c>
      <c r="B68">
        <v>8.4740769</v>
      </c>
    </row>
    <row r="69" spans="1:2" x14ac:dyDescent="0.35">
      <c r="A69" s="2">
        <v>43929</v>
      </c>
      <c r="B69">
        <v>8.5705443670000001</v>
      </c>
    </row>
    <row r="70" spans="1:2" x14ac:dyDescent="0.35">
      <c r="A70" s="2">
        <v>43930</v>
      </c>
      <c r="B70">
        <v>8.6767577609999993</v>
      </c>
    </row>
    <row r="71" spans="1:2" x14ac:dyDescent="0.35">
      <c r="A71" s="2">
        <v>43931</v>
      </c>
      <c r="B71">
        <v>8.8189260869999995</v>
      </c>
    </row>
    <row r="72" spans="1:2" x14ac:dyDescent="0.35">
      <c r="A72" s="2">
        <v>43932</v>
      </c>
      <c r="B72">
        <v>8.92651751</v>
      </c>
    </row>
    <row r="73" spans="1:2" x14ac:dyDescent="0.35">
      <c r="A73" s="2">
        <v>43933</v>
      </c>
      <c r="B73">
        <v>9.041566628</v>
      </c>
    </row>
    <row r="74" spans="1:2" x14ac:dyDescent="0.35">
      <c r="A74" s="2">
        <v>43934</v>
      </c>
      <c r="B74">
        <v>9.1433455030000008</v>
      </c>
    </row>
    <row r="75" spans="1:2" x14ac:dyDescent="0.35">
      <c r="A75" s="2">
        <v>43935</v>
      </c>
      <c r="B75">
        <v>9.2886893379999993</v>
      </c>
    </row>
    <row r="76" spans="1:2" x14ac:dyDescent="0.35">
      <c r="A76" s="2">
        <v>43936</v>
      </c>
      <c r="B76">
        <v>9.3870629500000007</v>
      </c>
    </row>
    <row r="77" spans="1:2" x14ac:dyDescent="0.35">
      <c r="A77" s="2">
        <v>43937</v>
      </c>
      <c r="B77">
        <v>9.4539921840000005</v>
      </c>
    </row>
    <row r="78" spans="1:2" x14ac:dyDescent="0.35">
      <c r="A78" s="2">
        <v>43938</v>
      </c>
      <c r="B78">
        <v>9.5349568920000003</v>
      </c>
    </row>
    <row r="79" spans="1:2" x14ac:dyDescent="0.35">
      <c r="A79" s="2">
        <v>43939</v>
      </c>
      <c r="B79">
        <v>9.6018417730000003</v>
      </c>
    </row>
    <row r="80" spans="1:2" x14ac:dyDescent="0.35">
      <c r="A80" s="2">
        <v>43940</v>
      </c>
      <c r="B80">
        <v>9.6875678460000003</v>
      </c>
    </row>
    <row r="81" spans="1:2" x14ac:dyDescent="0.35">
      <c r="A81" s="2">
        <v>43941</v>
      </c>
      <c r="B81">
        <v>9.7788309479999995</v>
      </c>
    </row>
    <row r="82" spans="1:2" x14ac:dyDescent="0.35">
      <c r="A82" s="2">
        <v>43942</v>
      </c>
      <c r="B82">
        <v>9.8514044730000006</v>
      </c>
    </row>
    <row r="83" spans="1:2" x14ac:dyDescent="0.35">
      <c r="A83" s="2">
        <v>43943</v>
      </c>
      <c r="B83">
        <v>9.9267645289999997</v>
      </c>
    </row>
    <row r="84" spans="1:2" x14ac:dyDescent="0.35">
      <c r="A84" s="2">
        <v>43944</v>
      </c>
      <c r="B84">
        <v>9.9850675399999993</v>
      </c>
    </row>
    <row r="85" spans="1:2" x14ac:dyDescent="0.35">
      <c r="A85" s="2">
        <v>43945</v>
      </c>
      <c r="B85">
        <v>10.06271106</v>
      </c>
    </row>
    <row r="86" spans="1:2" x14ac:dyDescent="0.35">
      <c r="A86" s="2">
        <v>43946</v>
      </c>
      <c r="B86">
        <v>10.12234192</v>
      </c>
    </row>
    <row r="87" spans="1:2" x14ac:dyDescent="0.35">
      <c r="A87" s="2">
        <v>43947</v>
      </c>
      <c r="B87">
        <v>10.188854449999999</v>
      </c>
    </row>
    <row r="88" spans="1:2" x14ac:dyDescent="0.35">
      <c r="A88" s="2">
        <v>43948</v>
      </c>
      <c r="B88">
        <v>10.245657810000001</v>
      </c>
    </row>
    <row r="89" spans="1:2" x14ac:dyDescent="0.35">
      <c r="A89" s="2">
        <v>43949</v>
      </c>
      <c r="B89">
        <v>10.303403960000001</v>
      </c>
    </row>
    <row r="90" spans="1:2" x14ac:dyDescent="0.35">
      <c r="A90" s="2">
        <v>43950</v>
      </c>
      <c r="B90">
        <v>10.364355829999999</v>
      </c>
    </row>
    <row r="91" spans="1:2" x14ac:dyDescent="0.35">
      <c r="A91" s="2">
        <v>43951</v>
      </c>
      <c r="B91">
        <v>10.41421317</v>
      </c>
    </row>
    <row r="92" spans="1:2" x14ac:dyDescent="0.35">
      <c r="A92" s="2">
        <v>43952</v>
      </c>
      <c r="B92">
        <v>10.46230302</v>
      </c>
    </row>
    <row r="93" spans="1:2" x14ac:dyDescent="0.35">
      <c r="A93" s="2">
        <v>43953</v>
      </c>
      <c r="B93">
        <v>10.522907460000001</v>
      </c>
    </row>
    <row r="94" spans="1:2" x14ac:dyDescent="0.35">
      <c r="A94" s="2">
        <v>43954</v>
      </c>
      <c r="B94">
        <v>10.59972994</v>
      </c>
    </row>
    <row r="95" spans="1:2" x14ac:dyDescent="0.35">
      <c r="A95" s="2">
        <v>43955</v>
      </c>
      <c r="B95">
        <v>10.66513415</v>
      </c>
    </row>
    <row r="96" spans="1:2" x14ac:dyDescent="0.35">
      <c r="A96" s="2">
        <v>43956</v>
      </c>
      <c r="B96">
        <v>10.75173496</v>
      </c>
    </row>
    <row r="97" spans="1:2" x14ac:dyDescent="0.35">
      <c r="A97" s="2">
        <v>43957</v>
      </c>
      <c r="B97">
        <v>10.8075235</v>
      </c>
    </row>
    <row r="98" spans="1:2" x14ac:dyDescent="0.35">
      <c r="A98" s="2">
        <v>43958</v>
      </c>
      <c r="B98">
        <v>10.877141119999999</v>
      </c>
    </row>
    <row r="99" spans="1:2" x14ac:dyDescent="0.35">
      <c r="A99" s="2">
        <v>43959</v>
      </c>
      <c r="B99">
        <v>10.93919554</v>
      </c>
    </row>
    <row r="100" spans="1:2" x14ac:dyDescent="0.35">
      <c r="A100" s="2">
        <v>43960</v>
      </c>
      <c r="B100">
        <v>10.996450579999999</v>
      </c>
    </row>
    <row r="101" spans="1:2" x14ac:dyDescent="0.35">
      <c r="A101" s="2">
        <v>43961</v>
      </c>
      <c r="B101">
        <v>11.04992128</v>
      </c>
    </row>
    <row r="102" spans="1:2" x14ac:dyDescent="0.35">
      <c r="A102" s="2">
        <v>43962</v>
      </c>
      <c r="B102">
        <v>11.11471399</v>
      </c>
    </row>
    <row r="103" spans="1:2" x14ac:dyDescent="0.35">
      <c r="A103" s="2">
        <v>43963</v>
      </c>
      <c r="B103">
        <v>11.16699262</v>
      </c>
    </row>
    <row r="104" spans="1:2" x14ac:dyDescent="0.35">
      <c r="A104" s="2">
        <v>43964</v>
      </c>
      <c r="B104">
        <v>11.21561048</v>
      </c>
    </row>
    <row r="105" spans="1:2" x14ac:dyDescent="0.35">
      <c r="A105" s="2">
        <v>43965</v>
      </c>
      <c r="B105">
        <v>11.264502569999999</v>
      </c>
    </row>
    <row r="106" spans="1:2" x14ac:dyDescent="0.35">
      <c r="A106" s="2">
        <v>43966</v>
      </c>
      <c r="B106">
        <v>11.31410861</v>
      </c>
    </row>
    <row r="107" spans="1:2" x14ac:dyDescent="0.35">
      <c r="A107" s="2">
        <v>43967</v>
      </c>
      <c r="B107">
        <v>11.358724779999999</v>
      </c>
    </row>
    <row r="108" spans="1:2" x14ac:dyDescent="0.35">
      <c r="A108" s="2">
        <v>43968</v>
      </c>
      <c r="B108">
        <v>11.4146178</v>
      </c>
    </row>
    <row r="109" spans="1:2" x14ac:dyDescent="0.35">
      <c r="A109" s="2">
        <v>43969</v>
      </c>
      <c r="B109">
        <v>11.469589900000001</v>
      </c>
    </row>
    <row r="110" spans="1:2" x14ac:dyDescent="0.35">
      <c r="A110" s="2">
        <v>43970</v>
      </c>
      <c r="B110">
        <v>11.516170199999999</v>
      </c>
    </row>
    <row r="111" spans="1:2" x14ac:dyDescent="0.35">
      <c r="A111" s="2">
        <v>43971</v>
      </c>
      <c r="B111">
        <v>11.57824493</v>
      </c>
    </row>
    <row r="112" spans="1:2" x14ac:dyDescent="0.35">
      <c r="A112" s="2">
        <v>43972</v>
      </c>
      <c r="B112">
        <v>11.62945438</v>
      </c>
    </row>
    <row r="113" spans="1:2" x14ac:dyDescent="0.35">
      <c r="A113" s="2">
        <v>43973</v>
      </c>
      <c r="B113">
        <v>11.682220879999999</v>
      </c>
    </row>
    <row r="114" spans="1:2" x14ac:dyDescent="0.35">
      <c r="A114" s="2">
        <v>43974</v>
      </c>
      <c r="B114">
        <v>11.736876690000001</v>
      </c>
    </row>
    <row r="115" spans="1:2" x14ac:dyDescent="0.35">
      <c r="A115" s="2">
        <v>43975</v>
      </c>
      <c r="B115">
        <v>11.7895567</v>
      </c>
    </row>
    <row r="116" spans="1:2" x14ac:dyDescent="0.35">
      <c r="A116" s="2">
        <v>43976</v>
      </c>
      <c r="B116">
        <v>11.841113480000001</v>
      </c>
    </row>
    <row r="117" spans="1:2" x14ac:dyDescent="0.35">
      <c r="A117" s="2">
        <v>43977</v>
      </c>
      <c r="B117">
        <v>11.887106279999999</v>
      </c>
    </row>
    <row r="118" spans="1:2" x14ac:dyDescent="0.35">
      <c r="A118" s="2">
        <v>43978</v>
      </c>
      <c r="B118">
        <v>11.930101730000001</v>
      </c>
    </row>
    <row r="119" spans="1:2" x14ac:dyDescent="0.35">
      <c r="A119" s="2">
        <v>43979</v>
      </c>
      <c r="B119">
        <v>11.97245569</v>
      </c>
    </row>
    <row r="120" spans="1:2" x14ac:dyDescent="0.35">
      <c r="A120" s="2">
        <v>43980</v>
      </c>
      <c r="B120">
        <v>12.018531490000001</v>
      </c>
    </row>
    <row r="121" spans="1:2" x14ac:dyDescent="0.35">
      <c r="A121" s="2">
        <v>43981</v>
      </c>
      <c r="B121">
        <v>12.065447580000001</v>
      </c>
    </row>
    <row r="122" spans="1:2" x14ac:dyDescent="0.35">
      <c r="A122" s="2">
        <v>43982</v>
      </c>
      <c r="B122">
        <v>12.11254737</v>
      </c>
    </row>
    <row r="123" spans="1:2" x14ac:dyDescent="0.35">
      <c r="A123" s="2">
        <v>43983</v>
      </c>
      <c r="B123">
        <v>12.157591180000001</v>
      </c>
    </row>
    <row r="124" spans="1:2" x14ac:dyDescent="0.35">
      <c r="A124" s="2">
        <v>43984</v>
      </c>
      <c r="B124">
        <v>12.19958162</v>
      </c>
    </row>
    <row r="125" spans="1:2" x14ac:dyDescent="0.35">
      <c r="A125" s="2">
        <v>43985</v>
      </c>
      <c r="B125">
        <v>12.243440680000001</v>
      </c>
    </row>
    <row r="126" spans="1:2" x14ac:dyDescent="0.35">
      <c r="A126" s="2">
        <v>43986</v>
      </c>
      <c r="B126">
        <v>12.287279290000001</v>
      </c>
    </row>
    <row r="127" spans="1:2" x14ac:dyDescent="0.35">
      <c r="A127" s="2">
        <v>43987</v>
      </c>
      <c r="B127">
        <v>12.33169157</v>
      </c>
    </row>
    <row r="128" spans="1:2" x14ac:dyDescent="0.35">
      <c r="A128" s="2">
        <v>43988</v>
      </c>
      <c r="B128">
        <v>12.37436711</v>
      </c>
    </row>
    <row r="129" spans="1:2" x14ac:dyDescent="0.35">
      <c r="A129" s="2">
        <v>43989</v>
      </c>
      <c r="B129">
        <v>12.415636409999999</v>
      </c>
    </row>
    <row r="130" spans="1:2" x14ac:dyDescent="0.35">
      <c r="A130" s="2">
        <v>43990</v>
      </c>
      <c r="B130">
        <v>12.4553166</v>
      </c>
    </row>
    <row r="131" spans="1:2" x14ac:dyDescent="0.35">
      <c r="A131" s="2">
        <v>43991</v>
      </c>
      <c r="B131">
        <v>12.49349718</v>
      </c>
    </row>
    <row r="132" spans="1:2" x14ac:dyDescent="0.35">
      <c r="A132" s="2">
        <v>43992</v>
      </c>
      <c r="B132">
        <v>12.53026624</v>
      </c>
    </row>
    <row r="133" spans="1:2" x14ac:dyDescent="0.35">
      <c r="A133" s="2">
        <v>43993</v>
      </c>
      <c r="B133">
        <v>12.56576952</v>
      </c>
    </row>
    <row r="134" spans="1:2" x14ac:dyDescent="0.35">
      <c r="A134" s="2">
        <v>43994</v>
      </c>
      <c r="B134">
        <v>12.603287140000001</v>
      </c>
    </row>
    <row r="135" spans="1:2" x14ac:dyDescent="0.35">
      <c r="A135" s="2">
        <v>43995</v>
      </c>
      <c r="B135">
        <v>12.6410739</v>
      </c>
    </row>
    <row r="136" spans="1:2" x14ac:dyDescent="0.35">
      <c r="A136" s="2">
        <v>43996</v>
      </c>
      <c r="B136">
        <v>12.678953379999999</v>
      </c>
    </row>
    <row r="137" spans="1:2" x14ac:dyDescent="0.35">
      <c r="A137" s="2">
        <v>43997</v>
      </c>
      <c r="B137">
        <v>12.714166540000001</v>
      </c>
    </row>
    <row r="138" spans="1:2" x14ac:dyDescent="0.35">
      <c r="A138" s="2">
        <v>43998</v>
      </c>
      <c r="B138">
        <v>12.745751</v>
      </c>
    </row>
    <row r="139" spans="1:2" x14ac:dyDescent="0.35">
      <c r="A139" s="2">
        <v>43999</v>
      </c>
      <c r="B139">
        <v>12.777235790000001</v>
      </c>
    </row>
    <row r="140" spans="1:2" x14ac:dyDescent="0.35">
      <c r="A140" s="2">
        <v>44000</v>
      </c>
      <c r="B140">
        <v>12.81296998</v>
      </c>
    </row>
    <row r="141" spans="1:2" x14ac:dyDescent="0.35">
      <c r="A141" s="2">
        <v>44001</v>
      </c>
      <c r="B141">
        <v>12.84932555</v>
      </c>
    </row>
    <row r="142" spans="1:2" x14ac:dyDescent="0.35">
      <c r="A142" s="2">
        <v>44002</v>
      </c>
      <c r="B142">
        <v>12.886762559999999</v>
      </c>
    </row>
    <row r="143" spans="1:2" x14ac:dyDescent="0.35">
      <c r="A143" s="2">
        <v>44003</v>
      </c>
      <c r="B143">
        <v>12.925036199999999</v>
      </c>
    </row>
    <row r="144" spans="1:2" x14ac:dyDescent="0.35">
      <c r="A144" s="2">
        <v>44004</v>
      </c>
      <c r="B144">
        <v>12.96050776</v>
      </c>
    </row>
    <row r="145" spans="1:2" x14ac:dyDescent="0.35">
      <c r="A145" s="2">
        <v>44005</v>
      </c>
      <c r="B145">
        <v>12.99501852</v>
      </c>
    </row>
    <row r="146" spans="1:2" x14ac:dyDescent="0.35">
      <c r="A146" s="2">
        <v>44006</v>
      </c>
      <c r="B146">
        <v>13.03064932</v>
      </c>
    </row>
    <row r="147" spans="1:2" x14ac:dyDescent="0.35">
      <c r="A147" s="2">
        <v>44007</v>
      </c>
      <c r="B147">
        <v>13.06707263</v>
      </c>
    </row>
    <row r="148" spans="1:2" x14ac:dyDescent="0.35">
      <c r="A148" s="2">
        <v>44008</v>
      </c>
      <c r="B148">
        <v>13.1029787</v>
      </c>
    </row>
    <row r="149" spans="1:2" x14ac:dyDescent="0.35">
      <c r="A149" s="2">
        <v>44009</v>
      </c>
      <c r="B149">
        <v>13.14011095</v>
      </c>
    </row>
    <row r="150" spans="1:2" x14ac:dyDescent="0.35">
      <c r="A150" s="2">
        <v>44010</v>
      </c>
      <c r="B150">
        <v>13.178477129999999</v>
      </c>
    </row>
    <row r="151" spans="1:2" x14ac:dyDescent="0.35">
      <c r="A151" s="2">
        <v>44011</v>
      </c>
      <c r="B151">
        <v>13.214610690000001</v>
      </c>
    </row>
    <row r="152" spans="1:2" x14ac:dyDescent="0.35">
      <c r="A152" s="2">
        <v>44012</v>
      </c>
      <c r="B152">
        <v>13.24783236</v>
      </c>
    </row>
    <row r="153" spans="1:2" x14ac:dyDescent="0.35">
      <c r="A153" s="2">
        <v>44013</v>
      </c>
      <c r="B153">
        <v>13.280209510000001</v>
      </c>
    </row>
    <row r="154" spans="1:2" x14ac:dyDescent="0.35">
      <c r="A154" s="2">
        <v>44014</v>
      </c>
      <c r="B154">
        <v>13.31239017</v>
      </c>
    </row>
    <row r="155" spans="1:2" x14ac:dyDescent="0.35">
      <c r="A155" s="2">
        <v>44015</v>
      </c>
      <c r="B155">
        <v>13.34637695</v>
      </c>
    </row>
    <row r="156" spans="1:2" x14ac:dyDescent="0.35">
      <c r="A156" s="2">
        <v>44016</v>
      </c>
      <c r="B156">
        <v>13.38213197</v>
      </c>
    </row>
    <row r="157" spans="1:2" x14ac:dyDescent="0.35">
      <c r="A157" s="2">
        <v>44017</v>
      </c>
      <c r="B157">
        <v>13.419745750000001</v>
      </c>
    </row>
    <row r="158" spans="1:2" x14ac:dyDescent="0.35">
      <c r="A158" s="2">
        <v>44018</v>
      </c>
      <c r="B158">
        <v>13.455133050000001</v>
      </c>
    </row>
    <row r="159" spans="1:2" x14ac:dyDescent="0.35">
      <c r="A159" s="2">
        <v>44019</v>
      </c>
      <c r="B159">
        <v>13.4865411</v>
      </c>
    </row>
    <row r="160" spans="1:2" x14ac:dyDescent="0.35">
      <c r="A160" s="2">
        <v>44020</v>
      </c>
      <c r="B160">
        <v>13.51766636</v>
      </c>
    </row>
    <row r="161" spans="1:2" x14ac:dyDescent="0.35">
      <c r="A161" s="2">
        <v>44021</v>
      </c>
      <c r="B161">
        <v>13.550627929999999</v>
      </c>
    </row>
    <row r="162" spans="1:2" x14ac:dyDescent="0.35">
      <c r="A162" s="2">
        <v>44022</v>
      </c>
      <c r="B162">
        <v>13.584589340000001</v>
      </c>
    </row>
    <row r="163" spans="1:2" x14ac:dyDescent="0.35">
      <c r="A163" s="2">
        <v>44023</v>
      </c>
      <c r="B163">
        <v>13.618176070000001</v>
      </c>
    </row>
    <row r="164" spans="1:2" x14ac:dyDescent="0.35">
      <c r="A164" s="2">
        <v>44024</v>
      </c>
      <c r="B164">
        <v>13.65246561</v>
      </c>
    </row>
    <row r="165" spans="1:2" x14ac:dyDescent="0.35">
      <c r="A165" s="2">
        <v>44025</v>
      </c>
      <c r="B165">
        <v>13.68569112</v>
      </c>
    </row>
    <row r="166" spans="1:2" x14ac:dyDescent="0.35">
      <c r="A166" s="2">
        <v>44026</v>
      </c>
      <c r="B166">
        <v>13.717624259999999</v>
      </c>
    </row>
    <row r="167" spans="1:2" x14ac:dyDescent="0.35">
      <c r="A167" s="2">
        <v>44027</v>
      </c>
      <c r="B167">
        <v>13.74956411</v>
      </c>
    </row>
    <row r="168" spans="1:2" x14ac:dyDescent="0.35">
      <c r="A168" s="2">
        <v>44028</v>
      </c>
      <c r="B168">
        <v>13.78389192</v>
      </c>
    </row>
    <row r="169" spans="1:2" x14ac:dyDescent="0.35">
      <c r="A169" s="2">
        <v>44029</v>
      </c>
      <c r="B169">
        <v>13.81933523</v>
      </c>
    </row>
    <row r="170" spans="1:2" x14ac:dyDescent="0.35">
      <c r="A170" s="2">
        <v>44030</v>
      </c>
      <c r="B170">
        <v>13.85349589</v>
      </c>
    </row>
    <row r="171" spans="1:2" x14ac:dyDescent="0.35">
      <c r="A171" s="2">
        <v>44031</v>
      </c>
      <c r="B171">
        <v>13.89026361</v>
      </c>
    </row>
    <row r="172" spans="1:2" x14ac:dyDescent="0.35">
      <c r="A172" s="2">
        <v>44032</v>
      </c>
      <c r="B172">
        <v>13.92709039</v>
      </c>
    </row>
    <row r="173" spans="1:2" x14ac:dyDescent="0.35">
      <c r="A173" s="2">
        <v>44033</v>
      </c>
      <c r="B173">
        <v>13.95977626</v>
      </c>
    </row>
    <row r="174" spans="1:2" x14ac:dyDescent="0.35">
      <c r="A174" s="2">
        <v>44034</v>
      </c>
      <c r="B174">
        <v>13.991910450000001</v>
      </c>
    </row>
    <row r="175" spans="1:2" x14ac:dyDescent="0.35">
      <c r="A175" s="2">
        <v>44035</v>
      </c>
      <c r="B175">
        <v>14.02952052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4958-61A9-4E22-965F-7BCE3B1854F9}">
  <dimension ref="A1:S175"/>
  <sheetViews>
    <sheetView tabSelected="1" topLeftCell="A22" workbookViewId="0">
      <selection activeCell="J32" sqref="J32"/>
    </sheetView>
  </sheetViews>
  <sheetFormatPr defaultRowHeight="14.5" x14ac:dyDescent="0.35"/>
  <cols>
    <col min="10" max="10" width="12.453125" bestFit="1" customWidth="1"/>
    <col min="11" max="11" width="14.6328125" bestFit="1" customWidth="1"/>
  </cols>
  <sheetData>
    <row r="1" spans="1:16" x14ac:dyDescent="0.35">
      <c r="A1" t="s">
        <v>0</v>
      </c>
      <c r="B1" t="s">
        <v>1</v>
      </c>
      <c r="D1" t="s">
        <v>2</v>
      </c>
    </row>
    <row r="2" spans="1:16" x14ac:dyDescent="0.35">
      <c r="A2">
        <v>43862</v>
      </c>
      <c r="B2">
        <v>0.69314718099999995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0.05</v>
      </c>
      <c r="K2" t="s">
        <v>8</v>
      </c>
    </row>
    <row r="3" spans="1:16" x14ac:dyDescent="0.35">
      <c r="A3">
        <v>43863</v>
      </c>
      <c r="B3">
        <v>1.0986122890000001</v>
      </c>
      <c r="D3" t="s">
        <v>9</v>
      </c>
      <c r="K3" t="s">
        <v>10</v>
      </c>
      <c r="L3" t="s">
        <v>4</v>
      </c>
      <c r="M3" t="s">
        <v>6</v>
      </c>
      <c r="N3" t="s">
        <v>5</v>
      </c>
      <c r="O3" t="s">
        <v>11</v>
      </c>
      <c r="P3">
        <v>0.05</v>
      </c>
    </row>
    <row r="4" spans="1:16" x14ac:dyDescent="0.35">
      <c r="A4">
        <v>43864</v>
      </c>
      <c r="B4">
        <v>1.0986122890000001</v>
      </c>
      <c r="D4" t="s">
        <v>12</v>
      </c>
      <c r="E4">
        <v>2.2453729376525824</v>
      </c>
      <c r="F4">
        <v>0.99349966241740728</v>
      </c>
      <c r="G4">
        <v>-1.9561565333333335</v>
      </c>
      <c r="H4" t="b">
        <v>0</v>
      </c>
      <c r="K4">
        <v>1</v>
      </c>
      <c r="L4">
        <v>172.63960163155608</v>
      </c>
      <c r="M4">
        <v>3.8414588206941236</v>
      </c>
      <c r="N4">
        <v>1.9618983004129399E-39</v>
      </c>
      <c r="O4" t="b">
        <v>1</v>
      </c>
    </row>
    <row r="5" spans="1:16" x14ac:dyDescent="0.35">
      <c r="A5">
        <v>43865</v>
      </c>
      <c r="B5">
        <v>1.0986122890000001</v>
      </c>
      <c r="D5" t="s">
        <v>13</v>
      </c>
      <c r="E5">
        <v>-1.4888533194105844</v>
      </c>
      <c r="F5">
        <v>0.54281320728120352</v>
      </c>
      <c r="G5">
        <v>-2.9372089333333333</v>
      </c>
      <c r="H5" t="b">
        <v>0</v>
      </c>
      <c r="K5">
        <v>2</v>
      </c>
      <c r="L5">
        <v>341.88839283131529</v>
      </c>
      <c r="M5">
        <v>5.9914645471079817</v>
      </c>
      <c r="N5">
        <v>5.7527934768441265E-75</v>
      </c>
      <c r="O5" t="b">
        <v>1</v>
      </c>
    </row>
    <row r="6" spans="1:16" x14ac:dyDescent="0.35">
      <c r="A6">
        <v>43866</v>
      </c>
      <c r="B6">
        <v>1.0986122890000001</v>
      </c>
      <c r="D6" t="s">
        <v>14</v>
      </c>
      <c r="E6">
        <v>-0.45359277026099892</v>
      </c>
      <c r="F6">
        <v>0.32506097903636688</v>
      </c>
      <c r="G6">
        <v>-1.6448536269514726</v>
      </c>
      <c r="H6" t="b">
        <v>0</v>
      </c>
      <c r="K6">
        <v>3</v>
      </c>
      <c r="L6">
        <v>507.67412409494767</v>
      </c>
      <c r="M6">
        <v>7.8147279032511783</v>
      </c>
      <c r="N6">
        <v>1.0364543334109285E-109</v>
      </c>
      <c r="O6" t="b">
        <v>1</v>
      </c>
    </row>
    <row r="7" spans="1:16" x14ac:dyDescent="0.35">
      <c r="A7">
        <v>43867</v>
      </c>
      <c r="B7">
        <v>1.0986122890000001</v>
      </c>
      <c r="D7" t="s">
        <v>15</v>
      </c>
      <c r="E7">
        <v>-3.7765359320958769</v>
      </c>
      <c r="F7">
        <v>7.951231359141654E-5</v>
      </c>
      <c r="G7">
        <v>-1.6448536269514726</v>
      </c>
      <c r="H7" t="b">
        <v>1</v>
      </c>
      <c r="K7">
        <v>4</v>
      </c>
      <c r="L7">
        <v>669.93486892522697</v>
      </c>
      <c r="M7">
        <v>9.487729036781154</v>
      </c>
      <c r="N7">
        <v>1.1266493710375148E-143</v>
      </c>
      <c r="O7" t="b">
        <v>1</v>
      </c>
    </row>
    <row r="8" spans="1:16" x14ac:dyDescent="0.35">
      <c r="A8">
        <v>43868</v>
      </c>
      <c r="B8">
        <v>1.0986122890000001</v>
      </c>
      <c r="K8">
        <v>5</v>
      </c>
      <c r="L8">
        <v>828.61543016319831</v>
      </c>
      <c r="M8">
        <v>11.070497693516351</v>
      </c>
      <c r="N8">
        <v>7.4535860955304998E-177</v>
      </c>
      <c r="O8" t="b">
        <v>1</v>
      </c>
    </row>
    <row r="9" spans="1:16" x14ac:dyDescent="0.35">
      <c r="A9">
        <v>43869</v>
      </c>
      <c r="B9">
        <v>1.0986122890000001</v>
      </c>
      <c r="K9">
        <v>6</v>
      </c>
      <c r="L9">
        <v>983.66227468205614</v>
      </c>
      <c r="M9">
        <v>12.591587243743973</v>
      </c>
      <c r="N9">
        <v>3.0536488532644757E-209</v>
      </c>
      <c r="O9" t="b">
        <v>1</v>
      </c>
    </row>
    <row r="10" spans="1:16" x14ac:dyDescent="0.35">
      <c r="A10">
        <v>43870</v>
      </c>
      <c r="B10">
        <v>1.0986122890000001</v>
      </c>
    </row>
    <row r="11" spans="1:16" x14ac:dyDescent="0.35">
      <c r="A11">
        <v>43871</v>
      </c>
      <c r="B11">
        <v>1.0986122890000001</v>
      </c>
      <c r="D11" t="s">
        <v>16</v>
      </c>
    </row>
    <row r="12" spans="1:16" x14ac:dyDescent="0.35">
      <c r="A12">
        <v>43872</v>
      </c>
      <c r="B12">
        <v>1.0986122890000001</v>
      </c>
      <c r="D12" t="s">
        <v>10</v>
      </c>
      <c r="E12" t="s">
        <v>17</v>
      </c>
      <c r="F12" t="s">
        <v>18</v>
      </c>
      <c r="G12" t="s">
        <v>19</v>
      </c>
      <c r="H12" t="s">
        <v>20</v>
      </c>
      <c r="I12" t="s">
        <v>18</v>
      </c>
      <c r="J12" t="s">
        <v>19</v>
      </c>
    </row>
    <row r="13" spans="1:16" x14ac:dyDescent="0.35">
      <c r="A13">
        <v>43873</v>
      </c>
      <c r="B13">
        <v>1.0986122890000001</v>
      </c>
      <c r="D13">
        <v>1</v>
      </c>
      <c r="E13">
        <v>0.98642834455257222</v>
      </c>
      <c r="F13">
        <v>0.14858448621649267</v>
      </c>
      <c r="G13">
        <v>-0.14858448621649267</v>
      </c>
      <c r="H13">
        <v>0.99465132184159766</v>
      </c>
      <c r="I13">
        <v>0.14901330236414775</v>
      </c>
      <c r="J13">
        <v>-0.14901330236414775</v>
      </c>
    </row>
    <row r="14" spans="1:16" x14ac:dyDescent="0.35">
      <c r="A14">
        <v>43874</v>
      </c>
      <c r="B14">
        <v>1.0986122890000001</v>
      </c>
      <c r="D14">
        <v>2</v>
      </c>
      <c r="E14">
        <v>0.97342246995066928</v>
      </c>
      <c r="F14">
        <v>0.25503269742215362</v>
      </c>
      <c r="G14">
        <v>-0.25503269742215362</v>
      </c>
      <c r="H14">
        <v>-0.16374983007040073</v>
      </c>
      <c r="I14">
        <v>0.14944585277287672</v>
      </c>
      <c r="J14">
        <v>-0.14944585277287672</v>
      </c>
    </row>
    <row r="15" spans="1:16" x14ac:dyDescent="0.35">
      <c r="A15">
        <v>43875</v>
      </c>
      <c r="B15">
        <v>1.0986122890000001</v>
      </c>
      <c r="D15">
        <v>3</v>
      </c>
      <c r="E15">
        <v>0.95993961476166001</v>
      </c>
      <c r="F15">
        <v>0.32692586238743238</v>
      </c>
      <c r="G15">
        <v>-0.32692586238743238</v>
      </c>
      <c r="H15">
        <v>-0.29032292412688987</v>
      </c>
      <c r="I15">
        <v>0.14988219195770891</v>
      </c>
      <c r="J15">
        <v>-0.14988219195770891</v>
      </c>
    </row>
    <row r="16" spans="1:16" x14ac:dyDescent="0.35">
      <c r="A16">
        <v>43876</v>
      </c>
      <c r="B16">
        <v>1.0986122890000001</v>
      </c>
      <c r="D16">
        <v>4</v>
      </c>
      <c r="E16">
        <v>0.94618845679959573</v>
      </c>
      <c r="F16">
        <v>0.38414628861669531</v>
      </c>
      <c r="G16">
        <v>-0.38414628861669531</v>
      </c>
      <c r="H16">
        <v>1.9915976648774467E-2</v>
      </c>
      <c r="I16">
        <v>0.15032237555440098</v>
      </c>
      <c r="J16">
        <v>-0.15032237555440098</v>
      </c>
    </row>
    <row r="17" spans="1:19" x14ac:dyDescent="0.35">
      <c r="A17">
        <v>43877</v>
      </c>
      <c r="B17">
        <v>1.0986122890000001</v>
      </c>
      <c r="D17">
        <v>5</v>
      </c>
      <c r="E17">
        <v>0.93217485347895312</v>
      </c>
      <c r="F17">
        <v>0.43254926092505069</v>
      </c>
      <c r="G17">
        <v>-0.43254926092505069</v>
      </c>
      <c r="H17">
        <v>3.3068073819440796E-2</v>
      </c>
      <c r="I17">
        <v>0.15076646034923491</v>
      </c>
      <c r="J17">
        <v>-0.15076646034923491</v>
      </c>
    </row>
    <row r="18" spans="1:19" x14ac:dyDescent="0.35">
      <c r="A18">
        <v>43878</v>
      </c>
      <c r="B18">
        <v>1.0986122890000001</v>
      </c>
      <c r="D18">
        <v>6</v>
      </c>
      <c r="E18">
        <v>0.91787112417845773</v>
      </c>
      <c r="F18">
        <v>0.4748337467169948</v>
      </c>
      <c r="G18">
        <v>-0.4748337467169948</v>
      </c>
      <c r="H18">
        <v>-9.7308605156317562E-2</v>
      </c>
      <c r="I18">
        <v>0.15121450430979</v>
      </c>
      <c r="J18">
        <v>-0.15121450430979</v>
      </c>
    </row>
    <row r="19" spans="1:19" x14ac:dyDescent="0.35">
      <c r="A19">
        <v>43879</v>
      </c>
      <c r="B19">
        <v>1.0986122890000001</v>
      </c>
      <c r="D19">
        <v>7</v>
      </c>
      <c r="E19">
        <v>0.90325876876971234</v>
      </c>
      <c r="F19">
        <v>0.51251035568134651</v>
      </c>
      <c r="G19">
        <v>-0.51251035568134651</v>
      </c>
      <c r="H19">
        <v>-0.10517138364604808</v>
      </c>
      <c r="I19">
        <v>0.15166656661672712</v>
      </c>
      <c r="J19">
        <v>-0.15166656661672712</v>
      </c>
    </row>
    <row r="20" spans="1:19" x14ac:dyDescent="0.35">
      <c r="A20">
        <v>43880</v>
      </c>
      <c r="B20">
        <v>1.0986122890000001</v>
      </c>
      <c r="D20">
        <v>8</v>
      </c>
      <c r="E20">
        <v>0.88841716779020141</v>
      </c>
      <c r="F20">
        <v>0.5465268902481476</v>
      </c>
      <c r="G20">
        <v>-0.5465268902481476</v>
      </c>
      <c r="H20">
        <v>5.1746584606020538E-2</v>
      </c>
      <c r="I20">
        <v>0.15212270769662414</v>
      </c>
      <c r="J20">
        <v>-0.15212270769662414</v>
      </c>
    </row>
    <row r="21" spans="1:19" x14ac:dyDescent="0.35">
      <c r="A21">
        <v>43881</v>
      </c>
      <c r="B21">
        <v>1.0986122890000001</v>
      </c>
      <c r="D21">
        <v>9</v>
      </c>
      <c r="E21">
        <v>0.87327677243902491</v>
      </c>
      <c r="F21">
        <v>0.57753119938346642</v>
      </c>
      <c r="G21">
        <v>-0.57753119938346642</v>
      </c>
      <c r="H21">
        <v>-6.2317999122148825E-2</v>
      </c>
      <c r="I21">
        <v>0.15258298925590433</v>
      </c>
      <c r="J21">
        <v>-0.15258298925590433</v>
      </c>
    </row>
    <row r="22" spans="1:19" x14ac:dyDescent="0.35">
      <c r="A22">
        <v>43882</v>
      </c>
      <c r="B22">
        <v>1.0986122890000001</v>
      </c>
      <c r="D22">
        <v>10</v>
      </c>
      <c r="E22">
        <v>0.85791526371696647</v>
      </c>
      <c r="F22">
        <v>0.60598284119983636</v>
      </c>
      <c r="G22">
        <v>-0.60598284119983636</v>
      </c>
      <c r="H22">
        <v>-1.8367239623329017E-2</v>
      </c>
      <c r="I22">
        <v>0.15304747431590096</v>
      </c>
      <c r="J22">
        <v>-0.15304747431590096</v>
      </c>
    </row>
    <row r="23" spans="1:19" x14ac:dyDescent="0.35">
      <c r="A23">
        <v>43883</v>
      </c>
      <c r="B23">
        <v>1.0986122890000001</v>
      </c>
    </row>
    <row r="24" spans="1:19" x14ac:dyDescent="0.35">
      <c r="A24">
        <v>43884</v>
      </c>
      <c r="B24">
        <v>1.0986122890000001</v>
      </c>
    </row>
    <row r="25" spans="1:19" x14ac:dyDescent="0.35">
      <c r="A25">
        <v>43885</v>
      </c>
      <c r="B25">
        <v>1.0986122890000001</v>
      </c>
    </row>
    <row r="26" spans="1:19" x14ac:dyDescent="0.35">
      <c r="A26">
        <v>43886</v>
      </c>
      <c r="B26">
        <v>1.0986122890000001</v>
      </c>
    </row>
    <row r="27" spans="1:19" x14ac:dyDescent="0.35">
      <c r="A27">
        <v>43887</v>
      </c>
      <c r="B27">
        <v>1.0986122890000001</v>
      </c>
    </row>
    <row r="28" spans="1:19" x14ac:dyDescent="0.35">
      <c r="A28">
        <v>43888</v>
      </c>
      <c r="B28">
        <v>1.0986122890000001</v>
      </c>
    </row>
    <row r="29" spans="1:19" x14ac:dyDescent="0.35">
      <c r="A29">
        <v>43889</v>
      </c>
      <c r="B29">
        <v>1.0986122890000001</v>
      </c>
      <c r="D29" t="s">
        <v>47</v>
      </c>
      <c r="H29" t="s">
        <v>21</v>
      </c>
      <c r="M29" t="s">
        <v>22</v>
      </c>
    </row>
    <row r="30" spans="1:19" x14ac:dyDescent="0.35">
      <c r="A30">
        <v>43890</v>
      </c>
      <c r="B30">
        <v>1.0986122890000001</v>
      </c>
      <c r="E30" t="s">
        <v>23</v>
      </c>
      <c r="F30" t="s">
        <v>24</v>
      </c>
      <c r="H30" t="s">
        <v>25</v>
      </c>
      <c r="I30" t="s">
        <v>26</v>
      </c>
      <c r="J30" t="s">
        <v>27</v>
      </c>
      <c r="M30" t="s">
        <v>28</v>
      </c>
      <c r="N30" t="s">
        <v>29</v>
      </c>
      <c r="O30" t="s">
        <v>30</v>
      </c>
      <c r="P30" t="s">
        <v>31</v>
      </c>
      <c r="Q30" t="s">
        <v>32</v>
      </c>
      <c r="R30" t="s">
        <v>33</v>
      </c>
      <c r="S30" t="s">
        <v>34</v>
      </c>
    </row>
    <row r="31" spans="1:19" x14ac:dyDescent="0.35">
      <c r="A31">
        <v>43891</v>
      </c>
      <c r="B31">
        <v>1.0986122890000001</v>
      </c>
      <c r="E31" t="s">
        <v>35</v>
      </c>
      <c r="F31">
        <v>7.7088863249729467E-2</v>
      </c>
      <c r="H31">
        <v>-245.63084775977848</v>
      </c>
      <c r="I31">
        <v>499.26169551955695</v>
      </c>
      <c r="J31">
        <v>1</v>
      </c>
      <c r="M31">
        <v>0.12657491348310745</v>
      </c>
      <c r="N31">
        <v>0.12940718445680249</v>
      </c>
      <c r="O31">
        <v>7.4937112235781607</v>
      </c>
      <c r="P31">
        <v>78.623798887069128</v>
      </c>
      <c r="Q31" t="b">
        <v>0</v>
      </c>
      <c r="R31" t="b">
        <v>0</v>
      </c>
      <c r="S31" t="b">
        <v>0</v>
      </c>
    </row>
    <row r="32" spans="1:19" x14ac:dyDescent="0.35">
      <c r="A32">
        <v>43892</v>
      </c>
      <c r="B32">
        <v>1.609437912</v>
      </c>
      <c r="E32" t="s">
        <v>48</v>
      </c>
      <c r="F32">
        <v>0.99420472075261634</v>
      </c>
      <c r="L32" t="s">
        <v>37</v>
      </c>
      <c r="M32">
        <v>0</v>
      </c>
      <c r="N32">
        <v>1</v>
      </c>
      <c r="O32">
        <v>0</v>
      </c>
      <c r="P32">
        <v>0</v>
      </c>
    </row>
    <row r="33" spans="1:19" x14ac:dyDescent="0.35">
      <c r="A33">
        <v>43893</v>
      </c>
      <c r="B33">
        <v>1.791759469</v>
      </c>
      <c r="E33" t="s">
        <v>49</v>
      </c>
      <c r="F33">
        <v>-2.4310490033056149E-2</v>
      </c>
      <c r="L33" t="s">
        <v>39</v>
      </c>
      <c r="M33" t="b">
        <v>1</v>
      </c>
      <c r="N33" t="b">
        <v>1</v>
      </c>
      <c r="O33" t="b">
        <v>1</v>
      </c>
      <c r="P33" t="b">
        <v>1</v>
      </c>
    </row>
    <row r="34" spans="1:19" x14ac:dyDescent="0.35">
      <c r="A34">
        <v>43894</v>
      </c>
      <c r="B34">
        <v>3.33220451</v>
      </c>
      <c r="E34" t="s">
        <v>40</v>
      </c>
      <c r="F34">
        <v>1.0219877047482373</v>
      </c>
    </row>
    <row r="35" spans="1:19" x14ac:dyDescent="0.35">
      <c r="A35">
        <v>43895</v>
      </c>
      <c r="B35">
        <v>3.4011973819999999</v>
      </c>
    </row>
    <row r="36" spans="1:19" x14ac:dyDescent="0.35">
      <c r="A36">
        <v>43896</v>
      </c>
      <c r="B36">
        <v>3.4339872040000001</v>
      </c>
      <c r="D36" t="s">
        <v>50</v>
      </c>
      <c r="H36" t="s">
        <v>21</v>
      </c>
      <c r="M36" t="s">
        <v>22</v>
      </c>
    </row>
    <row r="37" spans="1:19" x14ac:dyDescent="0.35">
      <c r="A37">
        <v>43897</v>
      </c>
      <c r="B37">
        <v>3.5263605249999999</v>
      </c>
      <c r="E37" t="s">
        <v>23</v>
      </c>
      <c r="F37" t="s">
        <v>24</v>
      </c>
      <c r="H37" t="s">
        <v>25</v>
      </c>
      <c r="I37" t="s">
        <v>26</v>
      </c>
      <c r="J37" t="s">
        <v>27</v>
      </c>
      <c r="M37" t="s">
        <v>28</v>
      </c>
      <c r="N37" t="s">
        <v>29</v>
      </c>
      <c r="O37" t="s">
        <v>30</v>
      </c>
      <c r="P37" t="s">
        <v>31</v>
      </c>
      <c r="Q37" t="s">
        <v>32</v>
      </c>
      <c r="R37" t="s">
        <v>33</v>
      </c>
      <c r="S37" t="s">
        <v>34</v>
      </c>
    </row>
    <row r="38" spans="1:19" x14ac:dyDescent="0.35">
      <c r="A38">
        <v>43898</v>
      </c>
      <c r="B38">
        <v>3.6635616459999998</v>
      </c>
      <c r="E38" t="s">
        <v>35</v>
      </c>
      <c r="F38">
        <v>7.7088863236734556E-2</v>
      </c>
      <c r="H38" t="e">
        <v>#VALUE!</v>
      </c>
      <c r="I38" t="e">
        <v>#VALUE!</v>
      </c>
      <c r="J38">
        <v>1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</row>
    <row r="39" spans="1:19" x14ac:dyDescent="0.35">
      <c r="A39">
        <v>43899</v>
      </c>
      <c r="B39">
        <v>3.8286413960000001</v>
      </c>
      <c r="E39" t="s">
        <v>48</v>
      </c>
      <c r="F39">
        <v>9.4385804001595727E-2</v>
      </c>
      <c r="L39" t="s">
        <v>37</v>
      </c>
      <c r="M39">
        <v>0</v>
      </c>
      <c r="N39">
        <v>1</v>
      </c>
      <c r="O39">
        <v>0</v>
      </c>
      <c r="P39">
        <v>0</v>
      </c>
    </row>
    <row r="40" spans="1:19" x14ac:dyDescent="0.35">
      <c r="A40">
        <v>43900</v>
      </c>
      <c r="B40">
        <v>4.0604430110000003</v>
      </c>
      <c r="E40" t="s">
        <v>49</v>
      </c>
      <c r="F40">
        <v>4.9378935369963364E-2</v>
      </c>
      <c r="L40" t="s">
        <v>39</v>
      </c>
      <c r="M40" t="e">
        <v>#NUM!</v>
      </c>
      <c r="N40" t="e">
        <v>#NUM!</v>
      </c>
      <c r="O40" t="e">
        <v>#NUM!</v>
      </c>
      <c r="P40" t="e">
        <v>#NUM!</v>
      </c>
    </row>
    <row r="41" spans="1:19" x14ac:dyDescent="0.35">
      <c r="A41">
        <v>43901</v>
      </c>
      <c r="B41">
        <v>4.0943445619999999</v>
      </c>
      <c r="E41" t="s">
        <v>51</v>
      </c>
      <c r="F41">
        <v>0.32398991377120279</v>
      </c>
    </row>
    <row r="42" spans="1:19" x14ac:dyDescent="0.35">
      <c r="A42">
        <v>43902</v>
      </c>
      <c r="B42">
        <v>4.3040650930000002</v>
      </c>
      <c r="E42" t="s">
        <v>40</v>
      </c>
      <c r="F42">
        <v>0.12545827107830104</v>
      </c>
    </row>
    <row r="43" spans="1:19" x14ac:dyDescent="0.35">
      <c r="A43">
        <v>43903</v>
      </c>
      <c r="B43">
        <v>4.3944491550000002</v>
      </c>
    </row>
    <row r="44" spans="1:19" x14ac:dyDescent="0.35">
      <c r="A44">
        <v>43904</v>
      </c>
      <c r="B44">
        <v>4.4308167989999996</v>
      </c>
      <c r="D44" t="s">
        <v>42</v>
      </c>
      <c r="E44" t="s">
        <v>43</v>
      </c>
      <c r="F44" t="s">
        <v>44</v>
      </c>
      <c r="G44" t="s">
        <v>18</v>
      </c>
      <c r="H44" t="s">
        <v>19</v>
      </c>
      <c r="J44" t="s">
        <v>45</v>
      </c>
      <c r="K44" t="s">
        <v>46</v>
      </c>
    </row>
    <row r="45" spans="1:19" x14ac:dyDescent="0.35">
      <c r="A45">
        <v>43905</v>
      </c>
      <c r="B45">
        <v>4.7004803659999999</v>
      </c>
      <c r="D45">
        <v>1</v>
      </c>
      <c r="E45">
        <v>14.101237954993051</v>
      </c>
      <c r="F45">
        <v>0.12545827107830104</v>
      </c>
      <c r="G45">
        <v>14.347131647869185</v>
      </c>
      <c r="H45">
        <v>13.855344262116917</v>
      </c>
      <c r="J45">
        <v>1287945</v>
      </c>
      <c r="K45">
        <v>1330729.6449478476</v>
      </c>
    </row>
    <row r="46" spans="1:19" x14ac:dyDescent="0.35">
      <c r="A46">
        <v>43906</v>
      </c>
      <c r="B46">
        <v>4.7361984479999997</v>
      </c>
      <c r="D46">
        <v>2</v>
      </c>
      <c r="E46">
        <v>14.177819831656368</v>
      </c>
      <c r="F46">
        <v>0.17347807389633702</v>
      </c>
      <c r="G46">
        <v>14.517830608600567</v>
      </c>
      <c r="H46">
        <v>13.837809054712169</v>
      </c>
      <c r="J46">
        <v>1336861</v>
      </c>
      <c r="K46">
        <v>1436643.189203165</v>
      </c>
    </row>
    <row r="47" spans="1:19" x14ac:dyDescent="0.35">
      <c r="A47">
        <v>43907</v>
      </c>
      <c r="B47">
        <v>4.919980926</v>
      </c>
      <c r="D47">
        <v>3</v>
      </c>
      <c r="E47">
        <v>14.254860842557752</v>
      </c>
      <c r="F47">
        <v>0.21113383760975446</v>
      </c>
      <c r="G47">
        <v>14.6686755601906</v>
      </c>
      <c r="H47">
        <v>13.841046124924905</v>
      </c>
      <c r="J47">
        <v>1385522</v>
      </c>
      <c r="K47">
        <v>1551698.7283609218</v>
      </c>
    </row>
    <row r="48" spans="1:19" x14ac:dyDescent="0.35">
      <c r="A48">
        <v>43908</v>
      </c>
      <c r="B48">
        <v>5.0172798370000002</v>
      </c>
      <c r="D48">
        <v>4</v>
      </c>
      <c r="E48">
        <v>14.331945189213341</v>
      </c>
      <c r="F48">
        <v>0.24299845234195683</v>
      </c>
      <c r="G48">
        <v>14.808213404102549</v>
      </c>
      <c r="H48">
        <v>13.855676974324133</v>
      </c>
      <c r="J48">
        <v>1435453</v>
      </c>
      <c r="K48">
        <v>1676041.279029391</v>
      </c>
    </row>
    <row r="49" spans="1:11" x14ac:dyDescent="0.35">
      <c r="A49">
        <v>43909</v>
      </c>
      <c r="B49">
        <v>5.1532915939999997</v>
      </c>
      <c r="D49">
        <v>5</v>
      </c>
      <c r="E49">
        <v>14.409033626148933</v>
      </c>
      <c r="F49">
        <v>0.27114597655644079</v>
      </c>
      <c r="G49">
        <v>14.940469974752498</v>
      </c>
      <c r="H49">
        <v>13.877597277545368</v>
      </c>
      <c r="J49">
        <v>1483156</v>
      </c>
      <c r="K49">
        <v>1810355.1983094155</v>
      </c>
    </row>
    <row r="50" spans="1:11" x14ac:dyDescent="0.35">
      <c r="A50">
        <v>43910</v>
      </c>
      <c r="B50">
        <v>5.4071717709999998</v>
      </c>
      <c r="D50">
        <v>6</v>
      </c>
      <c r="E50">
        <v>14.48612244914889</v>
      </c>
      <c r="F50">
        <v>0.29663432968145415</v>
      </c>
      <c r="G50">
        <v>15.067515051902721</v>
      </c>
      <c r="H50">
        <v>13.90472984639506</v>
      </c>
      <c r="J50">
        <v>1531669</v>
      </c>
      <c r="K50">
        <v>1955433.4671435158</v>
      </c>
    </row>
    <row r="51" spans="1:11" x14ac:dyDescent="0.35">
      <c r="A51">
        <v>43911</v>
      </c>
      <c r="B51">
        <v>5.6454468980000003</v>
      </c>
      <c r="D51">
        <v>7</v>
      </c>
      <c r="E51">
        <v>14.563211308587844</v>
      </c>
      <c r="F51">
        <v>0.32009954805494995</v>
      </c>
      <c r="G51">
        <v>15.190594894243095</v>
      </c>
      <c r="H51">
        <v>13.935827722932594</v>
      </c>
      <c r="J51">
        <v>1583792</v>
      </c>
      <c r="K51">
        <v>2112138.0971690975</v>
      </c>
    </row>
    <row r="52" spans="1:11" x14ac:dyDescent="0.35">
      <c r="A52">
        <v>43912</v>
      </c>
      <c r="B52">
        <v>5.8861040310000003</v>
      </c>
      <c r="D52">
        <v>8</v>
      </c>
      <c r="E52">
        <v>14.640300171466123</v>
      </c>
      <c r="F52">
        <v>0.34195835246982093</v>
      </c>
      <c r="G52">
        <v>15.310526226519626</v>
      </c>
      <c r="H52">
        <v>13.97007411641262</v>
      </c>
      <c r="J52">
        <v>1638870</v>
      </c>
      <c r="K52">
        <v>2281400.7389231953</v>
      </c>
    </row>
    <row r="53" spans="1:11" x14ac:dyDescent="0.35">
      <c r="A53">
        <v>43913</v>
      </c>
      <c r="B53">
        <v>6.0707377280000001</v>
      </c>
      <c r="D53">
        <v>9</v>
      </c>
      <c r="E53">
        <v>14.717389034669024</v>
      </c>
      <c r="F53">
        <v>0.36250146078798828</v>
      </c>
      <c r="G53">
        <v>15.427878842156639</v>
      </c>
      <c r="H53">
        <v>14.006899227181409</v>
      </c>
      <c r="J53">
        <v>1695988</v>
      </c>
      <c r="K53">
        <v>2464227.7605923973</v>
      </c>
    </row>
    <row r="54" spans="1:11" x14ac:dyDescent="0.35">
      <c r="A54">
        <v>43914</v>
      </c>
      <c r="B54">
        <v>6.2519038829999998</v>
      </c>
      <c r="D54">
        <v>10</v>
      </c>
      <c r="E54">
        <v>14.794477897902565</v>
      </c>
      <c r="F54">
        <v>0.38194123018393744</v>
      </c>
      <c r="G54">
        <v>15.543068953274005</v>
      </c>
      <c r="H54">
        <v>14.045886842531125</v>
      </c>
      <c r="J54">
        <v>1750723</v>
      </c>
      <c r="K54">
        <v>2661706.1845637956</v>
      </c>
    </row>
    <row r="55" spans="1:11" x14ac:dyDescent="0.35">
      <c r="A55">
        <v>43915</v>
      </c>
      <c r="B55">
        <v>6.4068799859999999</v>
      </c>
      <c r="D55">
        <v>11</v>
      </c>
      <c r="E55">
        <v>14.871566761138999</v>
      </c>
      <c r="F55">
        <v>0.40043838172210872</v>
      </c>
      <c r="G55">
        <v>15.656411567341834</v>
      </c>
      <c r="H55">
        <v>14.086721954936163</v>
      </c>
    </row>
    <row r="56" spans="1:11" x14ac:dyDescent="0.35">
      <c r="A56">
        <v>43916</v>
      </c>
      <c r="B56">
        <v>6.5424719610000004</v>
      </c>
      <c r="D56">
        <v>12</v>
      </c>
      <c r="E56">
        <v>14.948655624375705</v>
      </c>
      <c r="F56">
        <v>0.41811803572429973</v>
      </c>
      <c r="G56">
        <v>15.768151915681965</v>
      </c>
      <c r="H56">
        <v>14.129159333069445</v>
      </c>
    </row>
    <row r="57" spans="1:11" x14ac:dyDescent="0.35">
      <c r="A57">
        <v>43917</v>
      </c>
      <c r="B57">
        <v>6.5847913919999996</v>
      </c>
    </row>
    <row r="58" spans="1:11" x14ac:dyDescent="0.35">
      <c r="A58">
        <v>43918</v>
      </c>
      <c r="B58">
        <v>6.8123450940000003</v>
      </c>
    </row>
    <row r="59" spans="1:11" x14ac:dyDescent="0.35">
      <c r="A59">
        <v>43919</v>
      </c>
      <c r="B59">
        <v>6.9314718060000002</v>
      </c>
    </row>
    <row r="60" spans="1:11" x14ac:dyDescent="0.35">
      <c r="A60">
        <v>43920</v>
      </c>
      <c r="B60">
        <v>7.1316985099999997</v>
      </c>
    </row>
    <row r="61" spans="1:11" x14ac:dyDescent="0.35">
      <c r="A61">
        <v>43921</v>
      </c>
      <c r="B61">
        <v>7.2420823590000003</v>
      </c>
    </row>
    <row r="62" spans="1:11" x14ac:dyDescent="0.35">
      <c r="A62">
        <v>43922</v>
      </c>
      <c r="B62">
        <v>7.5142546530000001</v>
      </c>
    </row>
    <row r="63" spans="1:11" x14ac:dyDescent="0.35">
      <c r="A63">
        <v>43923</v>
      </c>
      <c r="B63">
        <v>7.6348206779999996</v>
      </c>
    </row>
    <row r="64" spans="1:11" x14ac:dyDescent="0.35">
      <c r="A64">
        <v>43924</v>
      </c>
      <c r="B64">
        <v>7.8426714750000004</v>
      </c>
    </row>
    <row r="65" spans="1:2" x14ac:dyDescent="0.35">
      <c r="A65">
        <v>43925</v>
      </c>
      <c r="B65">
        <v>8.0300840939999993</v>
      </c>
    </row>
    <row r="66" spans="1:2" x14ac:dyDescent="0.35">
      <c r="A66">
        <v>43926</v>
      </c>
      <c r="B66">
        <v>8.1822797390000002</v>
      </c>
    </row>
    <row r="67" spans="1:2" x14ac:dyDescent="0.35">
      <c r="A67">
        <v>43927</v>
      </c>
      <c r="B67">
        <v>8.3619419060000002</v>
      </c>
    </row>
    <row r="68" spans="1:2" x14ac:dyDescent="0.35">
      <c r="A68">
        <v>43928</v>
      </c>
      <c r="B68">
        <v>8.4740769</v>
      </c>
    </row>
    <row r="69" spans="1:2" x14ac:dyDescent="0.35">
      <c r="A69">
        <v>43929</v>
      </c>
      <c r="B69">
        <v>8.5705443670000001</v>
      </c>
    </row>
    <row r="70" spans="1:2" x14ac:dyDescent="0.35">
      <c r="A70">
        <v>43930</v>
      </c>
      <c r="B70">
        <v>8.6767577609999993</v>
      </c>
    </row>
    <row r="71" spans="1:2" x14ac:dyDescent="0.35">
      <c r="A71">
        <v>43931</v>
      </c>
      <c r="B71">
        <v>8.8189260869999995</v>
      </c>
    </row>
    <row r="72" spans="1:2" x14ac:dyDescent="0.35">
      <c r="A72">
        <v>43932</v>
      </c>
      <c r="B72">
        <v>8.92651751</v>
      </c>
    </row>
    <row r="73" spans="1:2" x14ac:dyDescent="0.35">
      <c r="A73">
        <v>43933</v>
      </c>
      <c r="B73">
        <v>9.041566628</v>
      </c>
    </row>
    <row r="74" spans="1:2" x14ac:dyDescent="0.35">
      <c r="A74">
        <v>43934</v>
      </c>
      <c r="B74">
        <v>9.1433455030000008</v>
      </c>
    </row>
    <row r="75" spans="1:2" x14ac:dyDescent="0.35">
      <c r="A75">
        <v>43935</v>
      </c>
      <c r="B75">
        <v>9.2886893379999993</v>
      </c>
    </row>
    <row r="76" spans="1:2" x14ac:dyDescent="0.35">
      <c r="A76">
        <v>43936</v>
      </c>
      <c r="B76">
        <v>9.3870629500000007</v>
      </c>
    </row>
    <row r="77" spans="1:2" x14ac:dyDescent="0.35">
      <c r="A77">
        <v>43937</v>
      </c>
      <c r="B77">
        <v>9.4539921840000005</v>
      </c>
    </row>
    <row r="78" spans="1:2" x14ac:dyDescent="0.35">
      <c r="A78">
        <v>43938</v>
      </c>
      <c r="B78">
        <v>9.5349568920000003</v>
      </c>
    </row>
    <row r="79" spans="1:2" x14ac:dyDescent="0.35">
      <c r="A79">
        <v>43939</v>
      </c>
      <c r="B79">
        <v>9.6018417730000003</v>
      </c>
    </row>
    <row r="80" spans="1:2" x14ac:dyDescent="0.35">
      <c r="A80">
        <v>43940</v>
      </c>
      <c r="B80">
        <v>9.6875678460000003</v>
      </c>
    </row>
    <row r="81" spans="1:2" x14ac:dyDescent="0.35">
      <c r="A81">
        <v>43941</v>
      </c>
      <c r="B81">
        <v>9.7788309479999995</v>
      </c>
    </row>
    <row r="82" spans="1:2" x14ac:dyDescent="0.35">
      <c r="A82">
        <v>43942</v>
      </c>
      <c r="B82">
        <v>9.8514044730000006</v>
      </c>
    </row>
    <row r="83" spans="1:2" x14ac:dyDescent="0.35">
      <c r="A83">
        <v>43943</v>
      </c>
      <c r="B83">
        <v>9.9267645289999997</v>
      </c>
    </row>
    <row r="84" spans="1:2" x14ac:dyDescent="0.35">
      <c r="A84">
        <v>43944</v>
      </c>
      <c r="B84">
        <v>9.9850675399999993</v>
      </c>
    </row>
    <row r="85" spans="1:2" x14ac:dyDescent="0.35">
      <c r="A85">
        <v>43945</v>
      </c>
      <c r="B85">
        <v>10.06271106</v>
      </c>
    </row>
    <row r="86" spans="1:2" x14ac:dyDescent="0.35">
      <c r="A86">
        <v>43946</v>
      </c>
      <c r="B86">
        <v>10.12234192</v>
      </c>
    </row>
    <row r="87" spans="1:2" x14ac:dyDescent="0.35">
      <c r="A87">
        <v>43947</v>
      </c>
      <c r="B87">
        <v>10.188854449999999</v>
      </c>
    </row>
    <row r="88" spans="1:2" x14ac:dyDescent="0.35">
      <c r="A88">
        <v>43948</v>
      </c>
      <c r="B88">
        <v>10.245657810000001</v>
      </c>
    </row>
    <row r="89" spans="1:2" x14ac:dyDescent="0.35">
      <c r="A89">
        <v>43949</v>
      </c>
      <c r="B89">
        <v>10.303403960000001</v>
      </c>
    </row>
    <row r="90" spans="1:2" x14ac:dyDescent="0.35">
      <c r="A90">
        <v>43950</v>
      </c>
      <c r="B90">
        <v>10.364355829999999</v>
      </c>
    </row>
    <row r="91" spans="1:2" x14ac:dyDescent="0.35">
      <c r="A91">
        <v>43951</v>
      </c>
      <c r="B91">
        <v>10.41421317</v>
      </c>
    </row>
    <row r="92" spans="1:2" x14ac:dyDescent="0.35">
      <c r="A92">
        <v>43952</v>
      </c>
      <c r="B92">
        <v>10.46230302</v>
      </c>
    </row>
    <row r="93" spans="1:2" x14ac:dyDescent="0.35">
      <c r="A93">
        <v>43953</v>
      </c>
      <c r="B93">
        <v>10.522907460000001</v>
      </c>
    </row>
    <row r="94" spans="1:2" x14ac:dyDescent="0.35">
      <c r="A94">
        <v>43954</v>
      </c>
      <c r="B94">
        <v>10.59972994</v>
      </c>
    </row>
    <row r="95" spans="1:2" x14ac:dyDescent="0.35">
      <c r="A95">
        <v>43955</v>
      </c>
      <c r="B95">
        <v>10.66513415</v>
      </c>
    </row>
    <row r="96" spans="1:2" x14ac:dyDescent="0.35">
      <c r="A96">
        <v>43956</v>
      </c>
      <c r="B96">
        <v>10.75173496</v>
      </c>
    </row>
    <row r="97" spans="1:2" x14ac:dyDescent="0.35">
      <c r="A97">
        <v>43957</v>
      </c>
      <c r="B97">
        <v>10.8075235</v>
      </c>
    </row>
    <row r="98" spans="1:2" x14ac:dyDescent="0.35">
      <c r="A98">
        <v>43958</v>
      </c>
      <c r="B98">
        <v>10.877141119999999</v>
      </c>
    </row>
    <row r="99" spans="1:2" x14ac:dyDescent="0.35">
      <c r="A99">
        <v>43959</v>
      </c>
      <c r="B99">
        <v>10.93919554</v>
      </c>
    </row>
    <row r="100" spans="1:2" x14ac:dyDescent="0.35">
      <c r="A100">
        <v>43960</v>
      </c>
      <c r="B100">
        <v>10.996450579999999</v>
      </c>
    </row>
    <row r="101" spans="1:2" x14ac:dyDescent="0.35">
      <c r="A101">
        <v>43961</v>
      </c>
      <c r="B101">
        <v>11.04992128</v>
      </c>
    </row>
    <row r="102" spans="1:2" x14ac:dyDescent="0.35">
      <c r="A102">
        <v>43962</v>
      </c>
      <c r="B102">
        <v>11.11471399</v>
      </c>
    </row>
    <row r="103" spans="1:2" x14ac:dyDescent="0.35">
      <c r="A103">
        <v>43963</v>
      </c>
      <c r="B103">
        <v>11.16699262</v>
      </c>
    </row>
    <row r="104" spans="1:2" x14ac:dyDescent="0.35">
      <c r="A104">
        <v>43964</v>
      </c>
      <c r="B104">
        <v>11.21561048</v>
      </c>
    </row>
    <row r="105" spans="1:2" x14ac:dyDescent="0.35">
      <c r="A105">
        <v>43965</v>
      </c>
      <c r="B105">
        <v>11.264502569999999</v>
      </c>
    </row>
    <row r="106" spans="1:2" x14ac:dyDescent="0.35">
      <c r="A106">
        <v>43966</v>
      </c>
      <c r="B106">
        <v>11.31410861</v>
      </c>
    </row>
    <row r="107" spans="1:2" x14ac:dyDescent="0.35">
      <c r="A107">
        <v>43967</v>
      </c>
      <c r="B107">
        <v>11.358724779999999</v>
      </c>
    </row>
    <row r="108" spans="1:2" x14ac:dyDescent="0.35">
      <c r="A108">
        <v>43968</v>
      </c>
      <c r="B108">
        <v>11.4146178</v>
      </c>
    </row>
    <row r="109" spans="1:2" x14ac:dyDescent="0.35">
      <c r="A109">
        <v>43969</v>
      </c>
      <c r="B109">
        <v>11.469589900000001</v>
      </c>
    </row>
    <row r="110" spans="1:2" x14ac:dyDescent="0.35">
      <c r="A110">
        <v>43970</v>
      </c>
      <c r="B110">
        <v>11.516170199999999</v>
      </c>
    </row>
    <row r="111" spans="1:2" x14ac:dyDescent="0.35">
      <c r="A111">
        <v>43971</v>
      </c>
      <c r="B111">
        <v>11.57824493</v>
      </c>
    </row>
    <row r="112" spans="1:2" x14ac:dyDescent="0.35">
      <c r="A112">
        <v>43972</v>
      </c>
      <c r="B112">
        <v>11.62945438</v>
      </c>
    </row>
    <row r="113" spans="1:2" x14ac:dyDescent="0.35">
      <c r="A113">
        <v>43973</v>
      </c>
      <c r="B113">
        <v>11.682220879999999</v>
      </c>
    </row>
    <row r="114" spans="1:2" x14ac:dyDescent="0.35">
      <c r="A114">
        <v>43974</v>
      </c>
      <c r="B114">
        <v>11.736876690000001</v>
      </c>
    </row>
    <row r="115" spans="1:2" x14ac:dyDescent="0.35">
      <c r="A115">
        <v>43975</v>
      </c>
      <c r="B115">
        <v>11.7895567</v>
      </c>
    </row>
    <row r="116" spans="1:2" x14ac:dyDescent="0.35">
      <c r="A116">
        <v>43976</v>
      </c>
      <c r="B116">
        <v>11.841113480000001</v>
      </c>
    </row>
    <row r="117" spans="1:2" x14ac:dyDescent="0.35">
      <c r="A117">
        <v>43977</v>
      </c>
      <c r="B117">
        <v>11.887106279999999</v>
      </c>
    </row>
    <row r="118" spans="1:2" x14ac:dyDescent="0.35">
      <c r="A118">
        <v>43978</v>
      </c>
      <c r="B118">
        <v>11.930101730000001</v>
      </c>
    </row>
    <row r="119" spans="1:2" x14ac:dyDescent="0.35">
      <c r="A119">
        <v>43979</v>
      </c>
      <c r="B119">
        <v>11.97245569</v>
      </c>
    </row>
    <row r="120" spans="1:2" x14ac:dyDescent="0.35">
      <c r="A120">
        <v>43980</v>
      </c>
      <c r="B120">
        <v>12.018531490000001</v>
      </c>
    </row>
    <row r="121" spans="1:2" x14ac:dyDescent="0.35">
      <c r="A121">
        <v>43981</v>
      </c>
      <c r="B121">
        <v>12.065447580000001</v>
      </c>
    </row>
    <row r="122" spans="1:2" x14ac:dyDescent="0.35">
      <c r="A122">
        <v>43982</v>
      </c>
      <c r="B122">
        <v>12.11254737</v>
      </c>
    </row>
    <row r="123" spans="1:2" x14ac:dyDescent="0.35">
      <c r="A123">
        <v>43983</v>
      </c>
      <c r="B123">
        <v>12.157591180000001</v>
      </c>
    </row>
    <row r="124" spans="1:2" x14ac:dyDescent="0.35">
      <c r="A124">
        <v>43984</v>
      </c>
      <c r="B124">
        <v>12.19958162</v>
      </c>
    </row>
    <row r="125" spans="1:2" x14ac:dyDescent="0.35">
      <c r="A125">
        <v>43985</v>
      </c>
      <c r="B125">
        <v>12.243440680000001</v>
      </c>
    </row>
    <row r="126" spans="1:2" x14ac:dyDescent="0.35">
      <c r="A126">
        <v>43986</v>
      </c>
      <c r="B126">
        <v>12.287279290000001</v>
      </c>
    </row>
    <row r="127" spans="1:2" x14ac:dyDescent="0.35">
      <c r="A127">
        <v>43987</v>
      </c>
      <c r="B127">
        <v>12.33169157</v>
      </c>
    </row>
    <row r="128" spans="1:2" x14ac:dyDescent="0.35">
      <c r="A128">
        <v>43988</v>
      </c>
      <c r="B128">
        <v>12.37436711</v>
      </c>
    </row>
    <row r="129" spans="1:2" x14ac:dyDescent="0.35">
      <c r="A129">
        <v>43989</v>
      </c>
      <c r="B129">
        <v>12.415636409999999</v>
      </c>
    </row>
    <row r="130" spans="1:2" x14ac:dyDescent="0.35">
      <c r="A130">
        <v>43990</v>
      </c>
      <c r="B130">
        <v>12.4553166</v>
      </c>
    </row>
    <row r="131" spans="1:2" x14ac:dyDescent="0.35">
      <c r="A131">
        <v>43991</v>
      </c>
      <c r="B131">
        <v>12.49349718</v>
      </c>
    </row>
    <row r="132" spans="1:2" x14ac:dyDescent="0.35">
      <c r="A132">
        <v>43992</v>
      </c>
      <c r="B132">
        <v>12.53026624</v>
      </c>
    </row>
    <row r="133" spans="1:2" x14ac:dyDescent="0.35">
      <c r="A133">
        <v>43993</v>
      </c>
      <c r="B133">
        <v>12.56576952</v>
      </c>
    </row>
    <row r="134" spans="1:2" x14ac:dyDescent="0.35">
      <c r="A134">
        <v>43994</v>
      </c>
      <c r="B134">
        <v>12.603287140000001</v>
      </c>
    </row>
    <row r="135" spans="1:2" x14ac:dyDescent="0.35">
      <c r="A135">
        <v>43995</v>
      </c>
      <c r="B135">
        <v>12.6410739</v>
      </c>
    </row>
    <row r="136" spans="1:2" x14ac:dyDescent="0.35">
      <c r="A136">
        <v>43996</v>
      </c>
      <c r="B136">
        <v>12.678953379999999</v>
      </c>
    </row>
    <row r="137" spans="1:2" x14ac:dyDescent="0.35">
      <c r="A137">
        <v>43997</v>
      </c>
      <c r="B137">
        <v>12.714166540000001</v>
      </c>
    </row>
    <row r="138" spans="1:2" x14ac:dyDescent="0.35">
      <c r="A138">
        <v>43998</v>
      </c>
      <c r="B138">
        <v>12.745751</v>
      </c>
    </row>
    <row r="139" spans="1:2" x14ac:dyDescent="0.35">
      <c r="A139">
        <v>43999</v>
      </c>
      <c r="B139">
        <v>12.777235790000001</v>
      </c>
    </row>
    <row r="140" spans="1:2" x14ac:dyDescent="0.35">
      <c r="A140">
        <v>44000</v>
      </c>
      <c r="B140">
        <v>12.81296998</v>
      </c>
    </row>
    <row r="141" spans="1:2" x14ac:dyDescent="0.35">
      <c r="A141">
        <v>44001</v>
      </c>
      <c r="B141">
        <v>12.84932555</v>
      </c>
    </row>
    <row r="142" spans="1:2" x14ac:dyDescent="0.35">
      <c r="A142">
        <v>44002</v>
      </c>
      <c r="B142">
        <v>12.886762559999999</v>
      </c>
    </row>
    <row r="143" spans="1:2" x14ac:dyDescent="0.35">
      <c r="A143">
        <v>44003</v>
      </c>
      <c r="B143">
        <v>12.925036199999999</v>
      </c>
    </row>
    <row r="144" spans="1:2" x14ac:dyDescent="0.35">
      <c r="A144">
        <v>44004</v>
      </c>
      <c r="B144">
        <v>12.96050776</v>
      </c>
    </row>
    <row r="145" spans="1:2" x14ac:dyDescent="0.35">
      <c r="A145">
        <v>44005</v>
      </c>
      <c r="B145">
        <v>12.99501852</v>
      </c>
    </row>
    <row r="146" spans="1:2" x14ac:dyDescent="0.35">
      <c r="A146">
        <v>44006</v>
      </c>
      <c r="B146">
        <v>13.03064932</v>
      </c>
    </row>
    <row r="147" spans="1:2" x14ac:dyDescent="0.35">
      <c r="A147">
        <v>44007</v>
      </c>
      <c r="B147">
        <v>13.06707263</v>
      </c>
    </row>
    <row r="148" spans="1:2" x14ac:dyDescent="0.35">
      <c r="A148">
        <v>44008</v>
      </c>
      <c r="B148">
        <v>13.1029787</v>
      </c>
    </row>
    <row r="149" spans="1:2" x14ac:dyDescent="0.35">
      <c r="A149">
        <v>44009</v>
      </c>
      <c r="B149">
        <v>13.14011095</v>
      </c>
    </row>
    <row r="150" spans="1:2" x14ac:dyDescent="0.35">
      <c r="A150">
        <v>44010</v>
      </c>
      <c r="B150">
        <v>13.178477129999999</v>
      </c>
    </row>
    <row r="151" spans="1:2" x14ac:dyDescent="0.35">
      <c r="A151">
        <v>44011</v>
      </c>
      <c r="B151">
        <v>13.214610690000001</v>
      </c>
    </row>
    <row r="152" spans="1:2" x14ac:dyDescent="0.35">
      <c r="A152">
        <v>44012</v>
      </c>
      <c r="B152">
        <v>13.24783236</v>
      </c>
    </row>
    <row r="153" spans="1:2" x14ac:dyDescent="0.35">
      <c r="A153">
        <v>44013</v>
      </c>
      <c r="B153">
        <v>13.280209510000001</v>
      </c>
    </row>
    <row r="154" spans="1:2" x14ac:dyDescent="0.35">
      <c r="A154">
        <v>44014</v>
      </c>
      <c r="B154">
        <v>13.31239017</v>
      </c>
    </row>
    <row r="155" spans="1:2" x14ac:dyDescent="0.35">
      <c r="A155">
        <v>44015</v>
      </c>
      <c r="B155">
        <v>13.34637695</v>
      </c>
    </row>
    <row r="156" spans="1:2" x14ac:dyDescent="0.35">
      <c r="A156">
        <v>44016</v>
      </c>
      <c r="B156">
        <v>13.38213197</v>
      </c>
    </row>
    <row r="157" spans="1:2" x14ac:dyDescent="0.35">
      <c r="A157">
        <v>44017</v>
      </c>
      <c r="B157">
        <v>13.419745750000001</v>
      </c>
    </row>
    <row r="158" spans="1:2" x14ac:dyDescent="0.35">
      <c r="A158">
        <v>44018</v>
      </c>
      <c r="B158">
        <v>13.455133050000001</v>
      </c>
    </row>
    <row r="159" spans="1:2" x14ac:dyDescent="0.35">
      <c r="A159">
        <v>44019</v>
      </c>
      <c r="B159">
        <v>13.4865411</v>
      </c>
    </row>
    <row r="160" spans="1:2" x14ac:dyDescent="0.35">
      <c r="A160">
        <v>44020</v>
      </c>
      <c r="B160">
        <v>13.51766636</v>
      </c>
    </row>
    <row r="161" spans="1:2" x14ac:dyDescent="0.35">
      <c r="A161">
        <v>44021</v>
      </c>
      <c r="B161">
        <v>13.550627929999999</v>
      </c>
    </row>
    <row r="162" spans="1:2" x14ac:dyDescent="0.35">
      <c r="A162">
        <v>44022</v>
      </c>
      <c r="B162">
        <v>13.584589340000001</v>
      </c>
    </row>
    <row r="163" spans="1:2" x14ac:dyDescent="0.35">
      <c r="A163">
        <v>44023</v>
      </c>
      <c r="B163">
        <v>13.618176070000001</v>
      </c>
    </row>
    <row r="164" spans="1:2" x14ac:dyDescent="0.35">
      <c r="A164">
        <v>44024</v>
      </c>
      <c r="B164">
        <v>13.65246561</v>
      </c>
    </row>
    <row r="165" spans="1:2" x14ac:dyDescent="0.35">
      <c r="A165">
        <v>44025</v>
      </c>
      <c r="B165">
        <v>13.68569112</v>
      </c>
    </row>
    <row r="166" spans="1:2" x14ac:dyDescent="0.35">
      <c r="A166">
        <v>44026</v>
      </c>
      <c r="B166">
        <v>13.717624259999999</v>
      </c>
    </row>
    <row r="167" spans="1:2" x14ac:dyDescent="0.35">
      <c r="A167">
        <v>44027</v>
      </c>
      <c r="B167">
        <v>13.74956411</v>
      </c>
    </row>
    <row r="168" spans="1:2" x14ac:dyDescent="0.35">
      <c r="A168">
        <v>44028</v>
      </c>
      <c r="B168">
        <v>13.78389192</v>
      </c>
    </row>
    <row r="169" spans="1:2" x14ac:dyDescent="0.35">
      <c r="A169">
        <v>44029</v>
      </c>
      <c r="B169">
        <v>13.81933523</v>
      </c>
    </row>
    <row r="170" spans="1:2" x14ac:dyDescent="0.35">
      <c r="A170">
        <v>44030</v>
      </c>
      <c r="B170">
        <v>13.85349589</v>
      </c>
    </row>
    <row r="171" spans="1:2" x14ac:dyDescent="0.35">
      <c r="A171">
        <v>44031</v>
      </c>
      <c r="B171">
        <v>13.89026361</v>
      </c>
    </row>
    <row r="172" spans="1:2" x14ac:dyDescent="0.35">
      <c r="A172">
        <v>44032</v>
      </c>
      <c r="B172">
        <v>13.92709039</v>
      </c>
    </row>
    <row r="173" spans="1:2" x14ac:dyDescent="0.35">
      <c r="A173">
        <v>44033</v>
      </c>
      <c r="B173">
        <v>13.95977626</v>
      </c>
    </row>
    <row r="174" spans="1:2" x14ac:dyDescent="0.35">
      <c r="A174">
        <v>44034</v>
      </c>
      <c r="B174">
        <v>13.991910450000001</v>
      </c>
    </row>
    <row r="175" spans="1:2" x14ac:dyDescent="0.35">
      <c r="A175">
        <v>44035</v>
      </c>
      <c r="B175">
        <v>14.02952052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ARMA</vt:lpstr>
      <vt:lpstr>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2020-08-17T14:31:42Z</dcterms:created>
  <dcterms:modified xsi:type="dcterms:W3CDTF">2020-08-17T14:44:27Z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c5276ee7-5fb6-4400-be90-347740b32097</vt:lpwstr>
  </property>
</Properties>
</file>