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HPL12\Downloads\"/>
    </mc:Choice>
  </mc:AlternateContent>
  <xr:revisionPtr revIDLastSave="0" documentId="13_ncr:1_{F7F9BCAA-FED8-4525-A897-3D4CBBDE36F7}" xr6:coauthVersionLast="47" xr6:coauthVersionMax="47" xr10:uidLastSave="{00000000-0000-0000-0000-000000000000}"/>
  <bookViews>
    <workbookView xWindow="-28920" yWindow="-120" windowWidth="29040" windowHeight="15720" xr2:uid="{00000000-000D-0000-FFFF-FFFF00000000}"/>
  </bookViews>
  <sheets>
    <sheet name="Instructions" sheetId="1" r:id="rId1"/>
    <sheet name="Overview" sheetId="4" r:id="rId2"/>
    <sheet name="Income Statement" sheetId="7" r:id="rId3"/>
    <sheet name="Income Statement_Quarterly" sheetId="12" r:id="rId4"/>
    <sheet name="Balance Sheet" sheetId="8" r:id="rId5"/>
    <sheet name="Cashflow Statement" sheetId="9" r:id="rId6"/>
    <sheet name="Ratio Analysis" sheetId="11" r:id="rId7"/>
    <sheet name="DuPont Analysis" sheetId="10" r:id="rId8"/>
    <sheet name="Graphs" sheetId="14" r:id="rId9"/>
    <sheet name="Data Sheet" sheetId="2" r:id="rId10"/>
    <sheet name="Customization" sheetId="3" r:id="rId11"/>
  </sheets>
  <definedNames>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6" i="7" l="1"/>
  <c r="K7" i="11" s="1"/>
  <c r="J26" i="7"/>
  <c r="J7" i="11" s="1"/>
  <c r="I26" i="7"/>
  <c r="I7" i="11" s="1"/>
  <c r="H26" i="7"/>
  <c r="H7" i="11" s="1"/>
  <c r="G26" i="7"/>
  <c r="G7" i="11" s="1"/>
  <c r="F26" i="7"/>
  <c r="F7" i="11" s="1"/>
  <c r="E26" i="7"/>
  <c r="E7" i="11" s="1"/>
  <c r="D26" i="7"/>
  <c r="D7" i="11" s="1"/>
  <c r="C26" i="7"/>
  <c r="C7" i="11" s="1"/>
  <c r="B26" i="7"/>
  <c r="B7" i="11" s="1"/>
  <c r="C5" i="12"/>
  <c r="D5" i="12"/>
  <c r="E5" i="12"/>
  <c r="F5" i="12"/>
  <c r="G5" i="12"/>
  <c r="H5" i="12"/>
  <c r="I5" i="12"/>
  <c r="J5" i="12"/>
  <c r="K5" i="12"/>
  <c r="B5" i="12"/>
  <c r="C11" i="12"/>
  <c r="D11" i="12"/>
  <c r="E11" i="12"/>
  <c r="F11" i="12"/>
  <c r="G11" i="12"/>
  <c r="H11" i="12"/>
  <c r="I11" i="12"/>
  <c r="J11" i="12"/>
  <c r="K11" i="12"/>
  <c r="B11" i="12"/>
  <c r="C9" i="12"/>
  <c r="D9" i="12"/>
  <c r="E9" i="12"/>
  <c r="F9" i="12"/>
  <c r="G9" i="12"/>
  <c r="H9" i="12"/>
  <c r="I9" i="12"/>
  <c r="J9" i="12"/>
  <c r="K9" i="12"/>
  <c r="B9" i="12"/>
  <c r="C8" i="12"/>
  <c r="D8" i="12"/>
  <c r="E8" i="12"/>
  <c r="F8" i="12"/>
  <c r="G8" i="12"/>
  <c r="H8" i="12"/>
  <c r="I8" i="12"/>
  <c r="J8" i="12"/>
  <c r="K8" i="12"/>
  <c r="B8" i="12"/>
  <c r="C6" i="12"/>
  <c r="D6" i="12"/>
  <c r="E6" i="12"/>
  <c r="F6" i="12"/>
  <c r="G6" i="12"/>
  <c r="H6" i="12"/>
  <c r="I6" i="12"/>
  <c r="J6" i="12"/>
  <c r="K6" i="12"/>
  <c r="B6" i="12"/>
  <c r="C4" i="12"/>
  <c r="D4" i="12"/>
  <c r="E4" i="12"/>
  <c r="F4" i="12"/>
  <c r="G4" i="12"/>
  <c r="H4" i="12"/>
  <c r="I4" i="12"/>
  <c r="J4" i="12"/>
  <c r="J16" i="12" s="1"/>
  <c r="K4" i="12"/>
  <c r="N4" i="12" s="1"/>
  <c r="B4" i="12"/>
  <c r="C3" i="12"/>
  <c r="D3" i="12"/>
  <c r="E3" i="12"/>
  <c r="F3" i="12"/>
  <c r="G3" i="12"/>
  <c r="H3" i="12"/>
  <c r="I3" i="12"/>
  <c r="J3" i="12"/>
  <c r="K3" i="12"/>
  <c r="B3" i="12"/>
  <c r="B2" i="12"/>
  <c r="G7" i="12" l="1"/>
  <c r="G10" i="12" s="1"/>
  <c r="G19" i="12" s="1"/>
  <c r="F7" i="12"/>
  <c r="E7" i="12"/>
  <c r="D7" i="12"/>
  <c r="D10" i="12" s="1"/>
  <c r="D19" i="12" s="1"/>
  <c r="N5" i="12"/>
  <c r="E16" i="12"/>
  <c r="C16" i="12"/>
  <c r="B7" i="12"/>
  <c r="B10" i="12" s="1"/>
  <c r="B19" i="12" s="1"/>
  <c r="F10" i="12"/>
  <c r="F19" i="12" s="1"/>
  <c r="F16" i="12"/>
  <c r="D16" i="12"/>
  <c r="G16" i="12"/>
  <c r="N6" i="12"/>
  <c r="J7" i="12"/>
  <c r="J10" i="12" s="1"/>
  <c r="J12" i="12" s="1"/>
  <c r="M4" i="12"/>
  <c r="I7" i="12"/>
  <c r="I10" i="12" s="1"/>
  <c r="I19" i="12" s="1"/>
  <c r="M5" i="12"/>
  <c r="H7" i="12"/>
  <c r="H10" i="12" s="1"/>
  <c r="H18" i="12" s="1"/>
  <c r="C7" i="12"/>
  <c r="C10" i="12" s="1"/>
  <c r="C19" i="12" s="1"/>
  <c r="E10" i="12"/>
  <c r="E19" i="12" s="1"/>
  <c r="H16" i="12"/>
  <c r="M6" i="12"/>
  <c r="I16" i="12"/>
  <c r="G12" i="12"/>
  <c r="B16" i="12"/>
  <c r="K7" i="12"/>
  <c r="K16" i="12"/>
  <c r="G18" i="12"/>
  <c r="B6" i="2"/>
  <c r="E1" i="2"/>
  <c r="F12" i="12" l="1"/>
  <c r="C18" i="12"/>
  <c r="F18" i="12"/>
  <c r="B18" i="12"/>
  <c r="E12" i="12"/>
  <c r="E17" i="12" s="1"/>
  <c r="H19" i="12"/>
  <c r="H12" i="12"/>
  <c r="D18" i="12"/>
  <c r="B12" i="12"/>
  <c r="B17" i="12" s="1"/>
  <c r="D12" i="12"/>
  <c r="E18" i="12"/>
  <c r="G17" i="12"/>
  <c r="C12" i="12"/>
  <c r="C17" i="12" s="1"/>
  <c r="M7" i="12"/>
  <c r="N7" i="12"/>
  <c r="J19" i="12"/>
  <c r="J18" i="12"/>
  <c r="I18" i="12"/>
  <c r="I12" i="12"/>
  <c r="K10" i="12"/>
  <c r="F17" i="12"/>
  <c r="J17" i="12"/>
  <c r="P11" i="4"/>
  <c r="P10" i="4"/>
  <c r="P8" i="4"/>
  <c r="P7" i="4"/>
  <c r="P12" i="4" l="1"/>
  <c r="H17" i="12"/>
  <c r="D17" i="12"/>
  <c r="K18" i="12"/>
  <c r="M10" i="12"/>
  <c r="N10" i="12"/>
  <c r="K12" i="12"/>
  <c r="K17" i="12" s="1"/>
  <c r="K19" i="12"/>
  <c r="I17" i="12"/>
  <c r="K3" i="11"/>
  <c r="J3" i="11"/>
  <c r="I3" i="11"/>
  <c r="H3" i="11"/>
  <c r="G3" i="11"/>
  <c r="F3" i="11"/>
  <c r="E3" i="11"/>
  <c r="D3" i="11"/>
  <c r="C3" i="11"/>
  <c r="B3" i="11"/>
  <c r="B2" i="11"/>
  <c r="K3" i="10"/>
  <c r="J3" i="10"/>
  <c r="I3" i="10"/>
  <c r="H3" i="10"/>
  <c r="G3" i="10"/>
  <c r="F3" i="10"/>
  <c r="E3" i="10"/>
  <c r="D3" i="10"/>
  <c r="C3" i="10"/>
  <c r="B3" i="10"/>
  <c r="B2" i="10"/>
  <c r="B5" i="9"/>
  <c r="C5" i="9"/>
  <c r="D5" i="9"/>
  <c r="E5" i="9"/>
  <c r="F5" i="9"/>
  <c r="G5" i="9"/>
  <c r="H5" i="9"/>
  <c r="I5" i="9"/>
  <c r="J5" i="9"/>
  <c r="K5" i="9"/>
  <c r="B6" i="9"/>
  <c r="C6" i="9"/>
  <c r="D6" i="9"/>
  <c r="E6" i="9"/>
  <c r="F6" i="9"/>
  <c r="G6" i="9"/>
  <c r="H6" i="9"/>
  <c r="I6" i="9"/>
  <c r="J6" i="9"/>
  <c r="K6" i="9"/>
  <c r="C4" i="9"/>
  <c r="D4" i="9"/>
  <c r="D12" i="9" s="1"/>
  <c r="E4" i="9"/>
  <c r="F4" i="9"/>
  <c r="G4" i="9"/>
  <c r="H4" i="9"/>
  <c r="I4" i="9"/>
  <c r="J4" i="9"/>
  <c r="K4" i="9"/>
  <c r="B4" i="9"/>
  <c r="B12" i="9" s="1"/>
  <c r="K3" i="9"/>
  <c r="J3" i="9"/>
  <c r="I3" i="9"/>
  <c r="H3" i="9"/>
  <c r="G3" i="9"/>
  <c r="F3" i="9"/>
  <c r="E3" i="9"/>
  <c r="D3" i="9"/>
  <c r="C3" i="9"/>
  <c r="B3" i="9"/>
  <c r="B2" i="9"/>
  <c r="B17" i="8"/>
  <c r="C17" i="8"/>
  <c r="D17" i="8"/>
  <c r="E17" i="8"/>
  <c r="F17" i="8"/>
  <c r="G17" i="8"/>
  <c r="H17" i="8"/>
  <c r="I17" i="8"/>
  <c r="J17" i="8"/>
  <c r="K17" i="8"/>
  <c r="B18" i="8"/>
  <c r="C18" i="8"/>
  <c r="D18" i="8"/>
  <c r="E18" i="8"/>
  <c r="F18" i="8"/>
  <c r="G18" i="8"/>
  <c r="H18" i="8"/>
  <c r="I18" i="8"/>
  <c r="J18" i="8"/>
  <c r="K18" i="8"/>
  <c r="C16" i="8"/>
  <c r="D16" i="8"/>
  <c r="E16" i="8"/>
  <c r="F16" i="8"/>
  <c r="G16" i="8"/>
  <c r="H16" i="8"/>
  <c r="I16" i="8"/>
  <c r="J16" i="8"/>
  <c r="K16" i="8"/>
  <c r="B16" i="8"/>
  <c r="B11" i="8"/>
  <c r="C11" i="8"/>
  <c r="D11" i="8"/>
  <c r="E11" i="8"/>
  <c r="F11" i="8"/>
  <c r="G11" i="8"/>
  <c r="H11" i="8"/>
  <c r="I11" i="8"/>
  <c r="J11" i="8"/>
  <c r="K11" i="8"/>
  <c r="B12" i="8"/>
  <c r="C12" i="8"/>
  <c r="D12" i="8"/>
  <c r="E12" i="8"/>
  <c r="F12" i="8"/>
  <c r="G12" i="8"/>
  <c r="H12" i="8"/>
  <c r="I12" i="8"/>
  <c r="J12" i="8"/>
  <c r="K12" i="8"/>
  <c r="B13" i="8"/>
  <c r="C13" i="8"/>
  <c r="D13" i="8"/>
  <c r="E13" i="8"/>
  <c r="F13" i="8"/>
  <c r="G13" i="8"/>
  <c r="H13" i="8"/>
  <c r="I13" i="8"/>
  <c r="J13" i="8"/>
  <c r="K13" i="8"/>
  <c r="C10" i="8"/>
  <c r="D10" i="8"/>
  <c r="E10" i="8"/>
  <c r="F10" i="8"/>
  <c r="G10" i="8"/>
  <c r="H10" i="8"/>
  <c r="I10" i="8"/>
  <c r="J10" i="8"/>
  <c r="K10" i="8"/>
  <c r="B10" i="8"/>
  <c r="B5" i="8"/>
  <c r="C5" i="8"/>
  <c r="D5" i="8"/>
  <c r="E5" i="8"/>
  <c r="F5" i="8"/>
  <c r="G5" i="8"/>
  <c r="H5" i="8"/>
  <c r="I5" i="8"/>
  <c r="J5" i="8"/>
  <c r="K5" i="8"/>
  <c r="B6" i="8"/>
  <c r="C6" i="8"/>
  <c r="D6" i="8"/>
  <c r="E6" i="8"/>
  <c r="F6" i="8"/>
  <c r="G6" i="8"/>
  <c r="H6" i="8"/>
  <c r="I6" i="8"/>
  <c r="J6" i="8"/>
  <c r="K6" i="8"/>
  <c r="B7" i="8"/>
  <c r="C7" i="8"/>
  <c r="D7" i="8"/>
  <c r="E7" i="8"/>
  <c r="F7" i="8"/>
  <c r="G7" i="8"/>
  <c r="H7" i="8"/>
  <c r="I7" i="8"/>
  <c r="J7" i="8"/>
  <c r="K7" i="8"/>
  <c r="C4" i="8"/>
  <c r="D4" i="8"/>
  <c r="E4" i="8"/>
  <c r="F4" i="8"/>
  <c r="G4" i="8"/>
  <c r="H4" i="8"/>
  <c r="I4" i="8"/>
  <c r="J4" i="8"/>
  <c r="K4" i="8"/>
  <c r="B4" i="8"/>
  <c r="K3" i="8"/>
  <c r="K32" i="8" s="1"/>
  <c r="J3" i="8"/>
  <c r="J32" i="8" s="1"/>
  <c r="I3" i="8"/>
  <c r="I32" i="8" s="1"/>
  <c r="H3" i="8"/>
  <c r="H32" i="8" s="1"/>
  <c r="G3" i="8"/>
  <c r="G32" i="8" s="1"/>
  <c r="F3" i="8"/>
  <c r="F32" i="8" s="1"/>
  <c r="E3" i="8"/>
  <c r="E32" i="8" s="1"/>
  <c r="D3" i="8"/>
  <c r="D32" i="8" s="1"/>
  <c r="C3" i="8"/>
  <c r="C32" i="8" s="1"/>
  <c r="B3" i="8"/>
  <c r="B32" i="8" s="1"/>
  <c r="B2" i="8"/>
  <c r="L12" i="7"/>
  <c r="L5" i="7"/>
  <c r="L10" i="7"/>
  <c r="L4" i="7"/>
  <c r="C20" i="7"/>
  <c r="D20" i="7"/>
  <c r="E20" i="7"/>
  <c r="F20" i="7"/>
  <c r="G20" i="7"/>
  <c r="H20" i="7"/>
  <c r="I20" i="7"/>
  <c r="J20" i="7"/>
  <c r="K20" i="7"/>
  <c r="B20" i="7"/>
  <c r="C14" i="7"/>
  <c r="D14" i="7"/>
  <c r="E14" i="7"/>
  <c r="F14" i="7"/>
  <c r="G14" i="7"/>
  <c r="H14" i="7"/>
  <c r="I14" i="7"/>
  <c r="J14" i="7"/>
  <c r="K14" i="7"/>
  <c r="B14" i="7"/>
  <c r="C11" i="7"/>
  <c r="C8" i="10" s="1"/>
  <c r="D11" i="7"/>
  <c r="E11" i="7"/>
  <c r="F11" i="7"/>
  <c r="G11" i="7"/>
  <c r="H11" i="7"/>
  <c r="I11" i="7"/>
  <c r="I8" i="10" s="1"/>
  <c r="J11" i="7"/>
  <c r="K11" i="7"/>
  <c r="K8" i="10" s="1"/>
  <c r="B11" i="7"/>
  <c r="B8" i="10" s="1"/>
  <c r="C9" i="7"/>
  <c r="D9" i="7"/>
  <c r="E9" i="7"/>
  <c r="F9" i="7"/>
  <c r="G9" i="7"/>
  <c r="H9" i="7"/>
  <c r="I9" i="7"/>
  <c r="J9" i="7"/>
  <c r="K9" i="7"/>
  <c r="B9" i="7"/>
  <c r="C8" i="7"/>
  <c r="C7" i="10" s="1"/>
  <c r="D8" i="7"/>
  <c r="D7" i="10" s="1"/>
  <c r="E8" i="7"/>
  <c r="E7" i="10" s="1"/>
  <c r="F8" i="7"/>
  <c r="F7" i="10" s="1"/>
  <c r="G8" i="7"/>
  <c r="G7" i="10" s="1"/>
  <c r="H8" i="7"/>
  <c r="H7" i="10" s="1"/>
  <c r="I8" i="7"/>
  <c r="I7" i="10" s="1"/>
  <c r="J8" i="7"/>
  <c r="J7" i="10" s="1"/>
  <c r="K8" i="7"/>
  <c r="K7" i="10" s="1"/>
  <c r="B8" i="7"/>
  <c r="B7" i="10" s="1"/>
  <c r="C6" i="7"/>
  <c r="D6" i="7"/>
  <c r="E6" i="7"/>
  <c r="F6" i="7"/>
  <c r="G6" i="7"/>
  <c r="H6" i="7"/>
  <c r="I6" i="7"/>
  <c r="J6" i="7"/>
  <c r="K6" i="7"/>
  <c r="B6" i="7"/>
  <c r="E8" i="10" l="1"/>
  <c r="D8" i="10"/>
  <c r="C34" i="8"/>
  <c r="E42" i="8"/>
  <c r="F35" i="8"/>
  <c r="J9" i="9"/>
  <c r="K9" i="9"/>
  <c r="K34" i="8"/>
  <c r="B42" i="8"/>
  <c r="I9" i="9"/>
  <c r="D33" i="8"/>
  <c r="K36" i="8"/>
  <c r="H9" i="9"/>
  <c r="G9" i="9"/>
  <c r="F9" i="9"/>
  <c r="I34" i="8"/>
  <c r="E9" i="9"/>
  <c r="D9" i="9"/>
  <c r="C9" i="9"/>
  <c r="B9" i="9"/>
  <c r="K35" i="8"/>
  <c r="N12" i="12"/>
  <c r="M12" i="12"/>
  <c r="K21" i="8"/>
  <c r="K11" i="10" s="1"/>
  <c r="E21" i="8"/>
  <c r="E11" i="10" s="1"/>
  <c r="D21" i="8"/>
  <c r="D11" i="10" s="1"/>
  <c r="C21" i="8"/>
  <c r="C26" i="8" s="1"/>
  <c r="J7" i="9"/>
  <c r="H19" i="8"/>
  <c r="K16" i="9"/>
  <c r="K19" i="9" s="1"/>
  <c r="F8" i="10"/>
  <c r="M6" i="7"/>
  <c r="N6" i="7"/>
  <c r="O6" i="7"/>
  <c r="G20" i="8"/>
  <c r="G16" i="9"/>
  <c r="G19" i="9" s="1"/>
  <c r="I7" i="9"/>
  <c r="F20" i="8"/>
  <c r="F16" i="9"/>
  <c r="F19" i="9" s="1"/>
  <c r="K20" i="8"/>
  <c r="M20" i="7"/>
  <c r="O20" i="7"/>
  <c r="N20" i="7"/>
  <c r="E16" i="9"/>
  <c r="E19" i="9" s="1"/>
  <c r="G7" i="9"/>
  <c r="B20" i="8"/>
  <c r="D16" i="9"/>
  <c r="D19" i="9" s="1"/>
  <c r="E20" i="8"/>
  <c r="C16" i="9"/>
  <c r="C19" i="9" s="1"/>
  <c r="D19" i="8"/>
  <c r="C20" i="8"/>
  <c r="J20" i="8"/>
  <c r="J14" i="8"/>
  <c r="J40" i="8" s="1"/>
  <c r="J16" i="9"/>
  <c r="J19" i="9" s="1"/>
  <c r="E7" i="9"/>
  <c r="E12" i="9"/>
  <c r="L23" i="7"/>
  <c r="L4" i="11" s="1"/>
  <c r="P13" i="4" s="1"/>
  <c r="I16" i="9"/>
  <c r="I19" i="9" s="1"/>
  <c r="J8" i="10"/>
  <c r="L24" i="7"/>
  <c r="L5" i="11" s="1"/>
  <c r="H20" i="8"/>
  <c r="H16" i="9"/>
  <c r="H19" i="9" s="1"/>
  <c r="K7" i="9"/>
  <c r="K12" i="9"/>
  <c r="C7" i="9"/>
  <c r="C12" i="9"/>
  <c r="G8" i="10"/>
  <c r="H8" i="10"/>
  <c r="D20" i="8"/>
  <c r="I21" i="8"/>
  <c r="I11" i="10" s="1"/>
  <c r="J19" i="8"/>
  <c r="B19" i="8"/>
  <c r="I20" i="8"/>
  <c r="D7" i="9"/>
  <c r="H7" i="9"/>
  <c r="J12" i="9"/>
  <c r="B7" i="9"/>
  <c r="F7" i="9"/>
  <c r="I12" i="9"/>
  <c r="H12" i="9"/>
  <c r="G12" i="9"/>
  <c r="F12" i="9"/>
  <c r="K19" i="8"/>
  <c r="H21" i="8"/>
  <c r="H26" i="8" s="1"/>
  <c r="I19" i="8"/>
  <c r="G21" i="8"/>
  <c r="G26" i="8" s="1"/>
  <c r="G14" i="8"/>
  <c r="G39" i="8" s="1"/>
  <c r="F21" i="8"/>
  <c r="F11" i="10" s="1"/>
  <c r="F14" i="8"/>
  <c r="F39" i="8" s="1"/>
  <c r="G19" i="8"/>
  <c r="J21" i="8"/>
  <c r="J26" i="8" s="1"/>
  <c r="J15" i="11" s="1"/>
  <c r="E14" i="8"/>
  <c r="E41" i="8" s="1"/>
  <c r="F19" i="8"/>
  <c r="C19" i="8"/>
  <c r="B21" i="8"/>
  <c r="B26" i="8" s="1"/>
  <c r="E19" i="8"/>
  <c r="K14" i="8"/>
  <c r="K39" i="8" s="1"/>
  <c r="C14" i="8"/>
  <c r="C39" i="8" s="1"/>
  <c r="B14" i="8"/>
  <c r="B39" i="8" s="1"/>
  <c r="D14" i="8"/>
  <c r="D48" i="8" s="1"/>
  <c r="I14" i="8"/>
  <c r="I39" i="8" s="1"/>
  <c r="H14" i="8"/>
  <c r="H39" i="8" s="1"/>
  <c r="J8" i="8"/>
  <c r="J37" i="8" s="1"/>
  <c r="B8" i="8"/>
  <c r="B37" i="8" s="1"/>
  <c r="D8" i="8"/>
  <c r="D37" i="8" s="1"/>
  <c r="C8" i="8"/>
  <c r="C37" i="8" s="1"/>
  <c r="K8" i="8"/>
  <c r="K37" i="8" s="1"/>
  <c r="G8" i="8"/>
  <c r="G37" i="8" s="1"/>
  <c r="I8" i="8"/>
  <c r="I37" i="8" s="1"/>
  <c r="F8" i="8"/>
  <c r="F37" i="8" s="1"/>
  <c r="H8" i="8"/>
  <c r="H37" i="8" s="1"/>
  <c r="E8" i="8"/>
  <c r="E37" i="8" s="1"/>
  <c r="H46" i="8" l="1"/>
  <c r="C36" i="8"/>
  <c r="G36" i="8"/>
  <c r="I36" i="8"/>
  <c r="J39" i="8"/>
  <c r="B46" i="8"/>
  <c r="C41" i="8"/>
  <c r="C35" i="8"/>
  <c r="F40" i="8"/>
  <c r="G35" i="8"/>
  <c r="D42" i="8"/>
  <c r="I42" i="8"/>
  <c r="F41" i="8"/>
  <c r="D35" i="8"/>
  <c r="E46" i="8"/>
  <c r="H35" i="8"/>
  <c r="H33" i="8"/>
  <c r="E34" i="8"/>
  <c r="D36" i="8"/>
  <c r="K40" i="8"/>
  <c r="E40" i="8"/>
  <c r="F46" i="8"/>
  <c r="F33" i="8"/>
  <c r="E36" i="8"/>
  <c r="E39" i="8"/>
  <c r="C33" i="8"/>
  <c r="J46" i="8"/>
  <c r="F48" i="8"/>
  <c r="F42" i="8"/>
  <c r="K42" i="8"/>
  <c r="F36" i="8"/>
  <c r="I47" i="8"/>
  <c r="F47" i="8"/>
  <c r="D34" i="8"/>
  <c r="G34" i="8"/>
  <c r="C40" i="8"/>
  <c r="G48" i="8"/>
  <c r="J36" i="8"/>
  <c r="J41" i="8"/>
  <c r="G40" i="8"/>
  <c r="B33" i="8"/>
  <c r="H48" i="8"/>
  <c r="J47" i="8"/>
  <c r="H40" i="8"/>
  <c r="K41" i="8"/>
  <c r="D41" i="8"/>
  <c r="B34" i="8"/>
  <c r="J10" i="10"/>
  <c r="J43" i="8"/>
  <c r="B10" i="10"/>
  <c r="B43" i="8"/>
  <c r="C11" i="10"/>
  <c r="G47" i="8"/>
  <c r="F34" i="8"/>
  <c r="G41" i="8"/>
  <c r="I10" i="10"/>
  <c r="I24" i="10" s="1"/>
  <c r="I26" i="11" s="1"/>
  <c r="I43" i="8"/>
  <c r="J33" i="8"/>
  <c r="C10" i="10"/>
  <c r="C43" i="8"/>
  <c r="B48" i="8"/>
  <c r="K26" i="8"/>
  <c r="K15" i="11" s="1"/>
  <c r="E35" i="8"/>
  <c r="D10" i="10"/>
  <c r="D24" i="10" s="1"/>
  <c r="D26" i="11" s="1"/>
  <c r="D43" i="8"/>
  <c r="I46" i="8"/>
  <c r="J42" i="8"/>
  <c r="B47" i="8"/>
  <c r="H10" i="10"/>
  <c r="H43" i="8"/>
  <c r="C47" i="8"/>
  <c r="K10" i="10"/>
  <c r="K16" i="10" s="1"/>
  <c r="K43" i="8"/>
  <c r="K46" i="8"/>
  <c r="G46" i="8"/>
  <c r="H41" i="8"/>
  <c r="G10" i="10"/>
  <c r="G43" i="8"/>
  <c r="J34" i="8"/>
  <c r="B35" i="8"/>
  <c r="K48" i="8"/>
  <c r="B41" i="8"/>
  <c r="H42" i="8"/>
  <c r="H34" i="8"/>
  <c r="I35" i="8"/>
  <c r="E10" i="10"/>
  <c r="E43" i="8"/>
  <c r="B36" i="8"/>
  <c r="E47" i="8"/>
  <c r="I48" i="8"/>
  <c r="D39" i="8"/>
  <c r="E33" i="8"/>
  <c r="D26" i="8"/>
  <c r="D15" i="11" s="1"/>
  <c r="J35" i="8"/>
  <c r="I33" i="8"/>
  <c r="K33" i="8"/>
  <c r="C46" i="8"/>
  <c r="B40" i="8"/>
  <c r="H36" i="8"/>
  <c r="E26" i="8"/>
  <c r="E15" i="11" s="1"/>
  <c r="G33" i="8"/>
  <c r="C48" i="8"/>
  <c r="E48" i="8"/>
  <c r="D46" i="8"/>
  <c r="D47" i="8"/>
  <c r="I41" i="8"/>
  <c r="J48" i="8"/>
  <c r="I40" i="8"/>
  <c r="F10" i="10"/>
  <c r="F16" i="10" s="1"/>
  <c r="F43" i="8"/>
  <c r="K47" i="8"/>
  <c r="H47" i="8"/>
  <c r="C42" i="8"/>
  <c r="D40" i="8"/>
  <c r="G42" i="8"/>
  <c r="I16" i="10"/>
  <c r="E24" i="10"/>
  <c r="E26" i="11" s="1"/>
  <c r="E16" i="10"/>
  <c r="M12" i="9"/>
  <c r="O12" i="9"/>
  <c r="N12" i="9"/>
  <c r="I26" i="8"/>
  <c r="F26" i="8"/>
  <c r="F15" i="11" s="1"/>
  <c r="H11" i="10"/>
  <c r="H16" i="10" s="1"/>
  <c r="I17" i="9"/>
  <c r="C15" i="11"/>
  <c r="J11" i="10"/>
  <c r="J17" i="9"/>
  <c r="K17" i="9"/>
  <c r="B11" i="10"/>
  <c r="G11" i="10"/>
  <c r="H17" i="9"/>
  <c r="C17" i="9"/>
  <c r="O26" i="8"/>
  <c r="I15" i="11"/>
  <c r="D17" i="9"/>
  <c r="E17" i="9"/>
  <c r="F17" i="9"/>
  <c r="B15" i="11"/>
  <c r="G17" i="9"/>
  <c r="L12" i="9"/>
  <c r="H15" i="11"/>
  <c r="K24" i="10" l="1"/>
  <c r="K26" i="11" s="1"/>
  <c r="F24" i="10"/>
  <c r="F26" i="11" s="1"/>
  <c r="C24" i="10"/>
  <c r="C26" i="11" s="1"/>
  <c r="C16" i="10"/>
  <c r="D16" i="10"/>
  <c r="B24" i="10"/>
  <c r="B26" i="11" s="1"/>
  <c r="J16" i="10"/>
  <c r="B16" i="10"/>
  <c r="J24" i="10"/>
  <c r="J26" i="11" s="1"/>
  <c r="H24" i="10"/>
  <c r="H26" i="11" s="1"/>
  <c r="G24" i="10"/>
  <c r="G26" i="11" s="1"/>
  <c r="G16" i="10"/>
  <c r="M26" i="8"/>
  <c r="N26" i="8"/>
  <c r="G15" i="11"/>
  <c r="L20" i="9"/>
  <c r="C5" i="7"/>
  <c r="C6" i="10" s="1"/>
  <c r="D5" i="7"/>
  <c r="D6" i="10" s="1"/>
  <c r="E5" i="7"/>
  <c r="E6" i="10" s="1"/>
  <c r="F5" i="7"/>
  <c r="F6" i="10" s="1"/>
  <c r="G5" i="7"/>
  <c r="G6" i="10" s="1"/>
  <c r="H5" i="7"/>
  <c r="H6" i="10" s="1"/>
  <c r="I5" i="7"/>
  <c r="I6" i="10" s="1"/>
  <c r="J5" i="7"/>
  <c r="J6" i="10" s="1"/>
  <c r="K5" i="7"/>
  <c r="K6" i="10" s="1"/>
  <c r="B5" i="7"/>
  <c r="B6" i="10" s="1"/>
  <c r="C4" i="7"/>
  <c r="D4" i="7"/>
  <c r="E4" i="7"/>
  <c r="F4" i="7"/>
  <c r="G4" i="7"/>
  <c r="H4" i="7"/>
  <c r="I4" i="7"/>
  <c r="J4" i="7"/>
  <c r="K4" i="7"/>
  <c r="K36" i="7" s="1"/>
  <c r="B4" i="7"/>
  <c r="C3" i="7"/>
  <c r="C33" i="7" s="1"/>
  <c r="D3" i="7"/>
  <c r="D33" i="7" s="1"/>
  <c r="E3" i="7"/>
  <c r="E33" i="7" s="1"/>
  <c r="F3" i="7"/>
  <c r="F33" i="7" s="1"/>
  <c r="G3" i="7"/>
  <c r="G33" i="7" s="1"/>
  <c r="H3" i="7"/>
  <c r="H33" i="7" s="1"/>
  <c r="I3" i="7"/>
  <c r="I33" i="7" s="1"/>
  <c r="J3" i="7"/>
  <c r="J33" i="7" s="1"/>
  <c r="K3" i="7"/>
  <c r="K33" i="7" s="1"/>
  <c r="B3" i="7"/>
  <c r="B33" i="7" s="1"/>
  <c r="B2" i="7"/>
  <c r="G36" i="7" l="1"/>
  <c r="H16" i="7"/>
  <c r="H36" i="7"/>
  <c r="I16" i="7"/>
  <c r="F36" i="7"/>
  <c r="G16" i="7"/>
  <c r="E36" i="7"/>
  <c r="F16" i="7"/>
  <c r="D36" i="7"/>
  <c r="E16" i="7"/>
  <c r="C36" i="7"/>
  <c r="D16" i="7"/>
  <c r="J36" i="7"/>
  <c r="K16" i="7"/>
  <c r="I36" i="7"/>
  <c r="J16" i="7"/>
  <c r="B36" i="7"/>
  <c r="C16" i="7"/>
  <c r="K40" i="7"/>
  <c r="K41" i="7"/>
  <c r="K37" i="7"/>
  <c r="K38" i="7"/>
  <c r="K34" i="7"/>
  <c r="K35" i="7"/>
  <c r="K39" i="7"/>
  <c r="F40" i="7"/>
  <c r="F35" i="7"/>
  <c r="F37" i="7"/>
  <c r="F39" i="7"/>
  <c r="F41" i="7"/>
  <c r="F34" i="7"/>
  <c r="F38" i="7"/>
  <c r="E41" i="7"/>
  <c r="E35" i="7"/>
  <c r="E39" i="7"/>
  <c r="E34" i="7"/>
  <c r="E37" i="7"/>
  <c r="E40" i="7"/>
  <c r="E38" i="7"/>
  <c r="I39" i="7"/>
  <c r="I40" i="7"/>
  <c r="I34" i="7"/>
  <c r="I35" i="7"/>
  <c r="I37" i="7"/>
  <c r="I38" i="7"/>
  <c r="I41" i="7"/>
  <c r="H41" i="7"/>
  <c r="H39" i="7"/>
  <c r="H37" i="7"/>
  <c r="H40" i="7"/>
  <c r="H34" i="7"/>
  <c r="H38" i="7"/>
  <c r="H35" i="7"/>
  <c r="G35" i="7"/>
  <c r="G40" i="7"/>
  <c r="G39" i="7"/>
  <c r="G37" i="7"/>
  <c r="G41" i="7"/>
  <c r="G34" i="7"/>
  <c r="G38" i="7"/>
  <c r="D35" i="7"/>
  <c r="D39" i="7"/>
  <c r="D41" i="7"/>
  <c r="D38" i="7"/>
  <c r="D37" i="7"/>
  <c r="D34" i="7"/>
  <c r="D40" i="7"/>
  <c r="B4" i="10"/>
  <c r="B15" i="10" s="1"/>
  <c r="B39" i="7"/>
  <c r="B38" i="7"/>
  <c r="B35" i="7"/>
  <c r="B41" i="7"/>
  <c r="B37" i="7"/>
  <c r="B40" i="7"/>
  <c r="B34" i="7"/>
  <c r="C38" i="7"/>
  <c r="C35" i="7"/>
  <c r="C40" i="7"/>
  <c r="C41" i="7"/>
  <c r="C37" i="7"/>
  <c r="C39" i="7"/>
  <c r="C34" i="7"/>
  <c r="J41" i="7"/>
  <c r="J39" i="7"/>
  <c r="J35" i="7"/>
  <c r="J37" i="7"/>
  <c r="J40" i="7"/>
  <c r="J38" i="7"/>
  <c r="J34" i="7"/>
  <c r="G25" i="8"/>
  <c r="G23" i="8"/>
  <c r="G24" i="8"/>
  <c r="D25" i="8"/>
  <c r="D14" i="11" s="1"/>
  <c r="D23" i="8"/>
  <c r="D12" i="11" s="1"/>
  <c r="D24" i="8"/>
  <c r="D13" i="11" s="1"/>
  <c r="F25" i="8"/>
  <c r="F14" i="11" s="1"/>
  <c r="F23" i="8"/>
  <c r="F12" i="11" s="1"/>
  <c r="F24" i="8"/>
  <c r="F13" i="11" s="1"/>
  <c r="K23" i="8"/>
  <c r="K12" i="11" s="1"/>
  <c r="N4" i="7"/>
  <c r="M4" i="7"/>
  <c r="O4" i="7"/>
  <c r="K25" i="8"/>
  <c r="K14" i="11" s="1"/>
  <c r="K24" i="8"/>
  <c r="K13" i="11" s="1"/>
  <c r="C23" i="8"/>
  <c r="C25" i="8"/>
  <c r="C24" i="8"/>
  <c r="J24" i="8"/>
  <c r="J13" i="11" s="1"/>
  <c r="J23" i="8"/>
  <c r="J12" i="11" s="1"/>
  <c r="J25" i="8"/>
  <c r="J14" i="11" s="1"/>
  <c r="I25" i="8"/>
  <c r="I23" i="8"/>
  <c r="I24" i="8"/>
  <c r="O5" i="7"/>
  <c r="N5" i="7"/>
  <c r="M5" i="7"/>
  <c r="E24" i="8"/>
  <c r="E13" i="11" s="1"/>
  <c r="E25" i="8"/>
  <c r="E14" i="11" s="1"/>
  <c r="E23" i="8"/>
  <c r="E12" i="11" s="1"/>
  <c r="H25" i="8"/>
  <c r="H14" i="11" s="1"/>
  <c r="H23" i="8"/>
  <c r="H12" i="11" s="1"/>
  <c r="H24" i="8"/>
  <c r="H13" i="11" s="1"/>
  <c r="H23" i="7"/>
  <c r="H4" i="11" s="1"/>
  <c r="H7" i="7"/>
  <c r="E4" i="10"/>
  <c r="D4" i="10"/>
  <c r="F23" i="7"/>
  <c r="F4" i="11" s="1"/>
  <c r="F7" i="7"/>
  <c r="K4" i="10"/>
  <c r="C4" i="10"/>
  <c r="E23" i="7"/>
  <c r="E4" i="11" s="1"/>
  <c r="E7" i="7"/>
  <c r="J4" i="10"/>
  <c r="J22" i="10" s="1"/>
  <c r="B7" i="7"/>
  <c r="D7" i="7"/>
  <c r="D23" i="7"/>
  <c r="D4" i="11" s="1"/>
  <c r="G23" i="7"/>
  <c r="G4" i="11" s="1"/>
  <c r="G7" i="7"/>
  <c r="I4" i="10"/>
  <c r="K7" i="7"/>
  <c r="K23" i="7"/>
  <c r="K4" i="11" s="1"/>
  <c r="C7" i="7"/>
  <c r="F4" i="10"/>
  <c r="F22" i="10" s="1"/>
  <c r="H4" i="10"/>
  <c r="J23" i="7"/>
  <c r="J4" i="11" s="1"/>
  <c r="J7" i="7"/>
  <c r="B23" i="7"/>
  <c r="B4" i="11" s="1"/>
  <c r="G4" i="10"/>
  <c r="I23" i="7"/>
  <c r="I4" i="11" s="1"/>
  <c r="I7" i="7"/>
  <c r="C23" i="7"/>
  <c r="C4" i="11" s="1"/>
  <c r="P9" i="4"/>
  <c r="F10" i="7" l="1"/>
  <c r="G17" i="7"/>
  <c r="C42" i="7"/>
  <c r="B23" i="10"/>
  <c r="B25" i="11" s="1"/>
  <c r="I10" i="7"/>
  <c r="J17" i="7"/>
  <c r="G10" i="7"/>
  <c r="G5" i="10" s="1"/>
  <c r="G21" i="10" s="1"/>
  <c r="H17" i="7"/>
  <c r="D42" i="7"/>
  <c r="J10" i="7"/>
  <c r="J28" i="8" s="1"/>
  <c r="J17" i="11" s="1"/>
  <c r="K17" i="7"/>
  <c r="B10" i="7"/>
  <c r="B12" i="7" s="1"/>
  <c r="C17" i="7"/>
  <c r="J42" i="7"/>
  <c r="H10" i="7"/>
  <c r="I17" i="7"/>
  <c r="D10" i="7"/>
  <c r="D12" i="7" s="1"/>
  <c r="E17" i="7"/>
  <c r="E10" i="7"/>
  <c r="E12" i="7" s="1"/>
  <c r="F17" i="7"/>
  <c r="B42" i="7"/>
  <c r="C10" i="7"/>
  <c r="C12" i="7" s="1"/>
  <c r="D18" i="7" s="1"/>
  <c r="D17" i="7"/>
  <c r="F42" i="7"/>
  <c r="G42" i="7"/>
  <c r="I42" i="7"/>
  <c r="K42" i="7"/>
  <c r="E42" i="7"/>
  <c r="H42" i="7"/>
  <c r="B27" i="7"/>
  <c r="B8" i="11" s="1"/>
  <c r="B25" i="7"/>
  <c r="B6" i="11" s="1"/>
  <c r="E23" i="10"/>
  <c r="E25" i="11" s="1"/>
  <c r="E15" i="10"/>
  <c r="I23" i="10"/>
  <c r="I15" i="10"/>
  <c r="H28" i="8"/>
  <c r="H17" i="11" s="1"/>
  <c r="H27" i="7"/>
  <c r="H8" i="11" s="1"/>
  <c r="F23" i="10"/>
  <c r="F25" i="11" s="1"/>
  <c r="F15" i="10"/>
  <c r="H22" i="10"/>
  <c r="H24" i="11" s="1"/>
  <c r="J27" i="7"/>
  <c r="J8" i="11" s="1"/>
  <c r="G28" i="8"/>
  <c r="G27" i="7"/>
  <c r="G8" i="11" s="1"/>
  <c r="I28" i="8"/>
  <c r="I27" i="7"/>
  <c r="I8" i="11" s="1"/>
  <c r="C22" i="10"/>
  <c r="C24" i="11" s="1"/>
  <c r="G22" i="10"/>
  <c r="G24" i="11" s="1"/>
  <c r="D23" i="10"/>
  <c r="D15" i="10"/>
  <c r="O7" i="7"/>
  <c r="M7" i="7"/>
  <c r="N7" i="7"/>
  <c r="C15" i="10"/>
  <c r="C23" i="10"/>
  <c r="C25" i="11" s="1"/>
  <c r="C28" i="8"/>
  <c r="C27" i="7"/>
  <c r="C8" i="11" s="1"/>
  <c r="C25" i="7"/>
  <c r="C6" i="11" s="1"/>
  <c r="K15" i="10"/>
  <c r="K23" i="10"/>
  <c r="K25" i="11" s="1"/>
  <c r="K22" i="10"/>
  <c r="K24" i="11" s="1"/>
  <c r="D22" i="10"/>
  <c r="D24" i="11" s="1"/>
  <c r="F28" i="8"/>
  <c r="F17" i="11" s="1"/>
  <c r="F27" i="7"/>
  <c r="F8" i="11" s="1"/>
  <c r="F25" i="7"/>
  <c r="F6" i="11" s="1"/>
  <c r="B22" i="10"/>
  <c r="B24" i="11" s="1"/>
  <c r="I22" i="10"/>
  <c r="I24" i="11" s="1"/>
  <c r="J15" i="10"/>
  <c r="J23" i="10"/>
  <c r="J25" i="11" s="1"/>
  <c r="G23" i="10"/>
  <c r="G25" i="11" s="1"/>
  <c r="G15" i="10"/>
  <c r="H15" i="10"/>
  <c r="H23" i="10"/>
  <c r="H25" i="11" s="1"/>
  <c r="D27" i="7"/>
  <c r="D8" i="11" s="1"/>
  <c r="E22" i="10"/>
  <c r="E24" i="11" s="1"/>
  <c r="J24" i="11"/>
  <c r="F5" i="10"/>
  <c r="F12" i="7"/>
  <c r="E25" i="7"/>
  <c r="E6" i="11" s="1"/>
  <c r="E5" i="10"/>
  <c r="E21" i="10" s="1"/>
  <c r="F24" i="11"/>
  <c r="G13" i="11"/>
  <c r="N24" i="8"/>
  <c r="I13" i="11"/>
  <c r="O24" i="8"/>
  <c r="D5" i="10"/>
  <c r="D25" i="7"/>
  <c r="D6" i="11" s="1"/>
  <c r="K10" i="7"/>
  <c r="G14" i="11"/>
  <c r="N25" i="8"/>
  <c r="I14" i="11"/>
  <c r="O25" i="8"/>
  <c r="I25" i="11"/>
  <c r="M25" i="8"/>
  <c r="C14" i="11"/>
  <c r="H5" i="10"/>
  <c r="H21" i="10" s="1"/>
  <c r="H12" i="7"/>
  <c r="H25" i="7"/>
  <c r="H6" i="11" s="1"/>
  <c r="G12" i="11"/>
  <c r="N23" i="8"/>
  <c r="G12" i="7"/>
  <c r="H18" i="7" s="1"/>
  <c r="C12" i="11"/>
  <c r="M23" i="8"/>
  <c r="D25" i="11"/>
  <c r="I12" i="11"/>
  <c r="O23" i="8"/>
  <c r="I5" i="10"/>
  <c r="I12" i="7"/>
  <c r="J18" i="7" s="1"/>
  <c r="I25" i="7"/>
  <c r="I6" i="11" s="1"/>
  <c r="J5" i="10"/>
  <c r="J21" i="10" s="1"/>
  <c r="J12" i="7"/>
  <c r="J25" i="7"/>
  <c r="J6" i="11" s="1"/>
  <c r="M24" i="8"/>
  <c r="C13" i="11"/>
  <c r="B28" i="7" l="1"/>
  <c r="B29" i="7" s="1"/>
  <c r="C18" i="7"/>
  <c r="I18" i="7"/>
  <c r="G18" i="7"/>
  <c r="F18" i="7"/>
  <c r="E18" i="7"/>
  <c r="B5" i="10"/>
  <c r="B21" i="10" s="1"/>
  <c r="B23" i="11" s="1"/>
  <c r="C5" i="10"/>
  <c r="C21" i="10" s="1"/>
  <c r="C23" i="11" s="1"/>
  <c r="D28" i="8"/>
  <c r="D17" i="11" s="1"/>
  <c r="E27" i="7"/>
  <c r="E8" i="11" s="1"/>
  <c r="G25" i="7"/>
  <c r="G6" i="11" s="1"/>
  <c r="E28" i="8"/>
  <c r="E17" i="11" s="1"/>
  <c r="E28" i="7"/>
  <c r="E29" i="7" s="1"/>
  <c r="E27" i="8"/>
  <c r="I28" i="7"/>
  <c r="I29" i="7" s="1"/>
  <c r="I27" i="8"/>
  <c r="H27" i="8"/>
  <c r="H28" i="7"/>
  <c r="H29" i="7" s="1"/>
  <c r="N10" i="7"/>
  <c r="K28" i="8"/>
  <c r="M10" i="7"/>
  <c r="O10" i="7"/>
  <c r="K27" i="7"/>
  <c r="K8" i="11" s="1"/>
  <c r="F21" i="10"/>
  <c r="F23" i="11" s="1"/>
  <c r="D27" i="8"/>
  <c r="D16" i="11" s="1"/>
  <c r="D28" i="7"/>
  <c r="D29" i="7" s="1"/>
  <c r="F27" i="8"/>
  <c r="F16" i="11" s="1"/>
  <c r="F28" i="7"/>
  <c r="F29" i="7" s="1"/>
  <c r="D21" i="10"/>
  <c r="D23" i="11" s="1"/>
  <c r="I21" i="10"/>
  <c r="I23" i="11" s="1"/>
  <c r="J27" i="8"/>
  <c r="J16" i="11" s="1"/>
  <c r="J28" i="7"/>
  <c r="J29" i="7" s="1"/>
  <c r="G27" i="8"/>
  <c r="G28" i="7"/>
  <c r="G29" i="7" s="1"/>
  <c r="C27" i="8"/>
  <c r="C28" i="7"/>
  <c r="C29" i="7" s="1"/>
  <c r="I17" i="11"/>
  <c r="J23" i="11"/>
  <c r="H24" i="7"/>
  <c r="H5" i="11" s="1"/>
  <c r="H11" i="9"/>
  <c r="H9" i="10"/>
  <c r="H16" i="11"/>
  <c r="K12" i="7"/>
  <c r="K18" i="7" s="1"/>
  <c r="K5" i="10"/>
  <c r="K21" i="10" s="1"/>
  <c r="K25" i="7"/>
  <c r="K6" i="11" s="1"/>
  <c r="F9" i="10"/>
  <c r="F24" i="7"/>
  <c r="F5" i="11" s="1"/>
  <c r="F11" i="9"/>
  <c r="I11" i="9"/>
  <c r="I24" i="7"/>
  <c r="I5" i="11" s="1"/>
  <c r="I9" i="10"/>
  <c r="G17" i="11"/>
  <c r="C11" i="9"/>
  <c r="C24" i="7"/>
  <c r="C5" i="11" s="1"/>
  <c r="C9" i="10"/>
  <c r="G11" i="9"/>
  <c r="G24" i="7"/>
  <c r="G5" i="11" s="1"/>
  <c r="G9" i="10"/>
  <c r="G23" i="11"/>
  <c r="D9" i="10"/>
  <c r="D24" i="7"/>
  <c r="D5" i="11" s="1"/>
  <c r="D11" i="9"/>
  <c r="C17" i="11"/>
  <c r="J11" i="9"/>
  <c r="J24" i="7"/>
  <c r="J5" i="11" s="1"/>
  <c r="J9" i="10"/>
  <c r="B9" i="10"/>
  <c r="B11" i="9"/>
  <c r="B14" i="9" s="1"/>
  <c r="B24" i="7"/>
  <c r="B5" i="11" s="1"/>
  <c r="E23" i="11"/>
  <c r="E9" i="10"/>
  <c r="E11" i="9"/>
  <c r="E24" i="7"/>
  <c r="E5" i="11" s="1"/>
  <c r="E16" i="11"/>
  <c r="M28" i="8" l="1"/>
  <c r="N28" i="8"/>
  <c r="G20" i="10"/>
  <c r="G25" i="10" s="1"/>
  <c r="G14" i="10"/>
  <c r="G17" i="10" s="1"/>
  <c r="G14" i="9"/>
  <c r="G19" i="11" s="1"/>
  <c r="I14" i="9"/>
  <c r="I19" i="11" s="1"/>
  <c r="K17" i="11"/>
  <c r="P15" i="4" s="1"/>
  <c r="I14" i="10"/>
  <c r="I17" i="10" s="1"/>
  <c r="I20" i="10"/>
  <c r="I25" i="10" s="1"/>
  <c r="C20" i="10"/>
  <c r="C25" i="10" s="1"/>
  <c r="C14" i="10"/>
  <c r="C17" i="10" s="1"/>
  <c r="E14" i="9"/>
  <c r="E19" i="11" s="1"/>
  <c r="E20" i="10"/>
  <c r="E25" i="10" s="1"/>
  <c r="E14" i="10"/>
  <c r="E17" i="10" s="1"/>
  <c r="K27" i="8"/>
  <c r="K16" i="11" s="1"/>
  <c r="P14" i="4" s="1"/>
  <c r="K28" i="7"/>
  <c r="O12" i="7"/>
  <c r="M12" i="7"/>
  <c r="N12" i="7"/>
  <c r="D14" i="9"/>
  <c r="D19" i="11" s="1"/>
  <c r="J14" i="9"/>
  <c r="J19" i="11" s="1"/>
  <c r="B20" i="10"/>
  <c r="B25" i="10" s="1"/>
  <c r="B14" i="10"/>
  <c r="B17" i="10" s="1"/>
  <c r="F14" i="9"/>
  <c r="F19" i="11" s="1"/>
  <c r="C14" i="9"/>
  <c r="C19" i="11" s="1"/>
  <c r="H20" i="10"/>
  <c r="H25" i="10" s="1"/>
  <c r="H14" i="10"/>
  <c r="H17" i="10" s="1"/>
  <c r="J20" i="10"/>
  <c r="J25" i="10" s="1"/>
  <c r="J14" i="10"/>
  <c r="J17" i="10" s="1"/>
  <c r="D20" i="10"/>
  <c r="D25" i="10" s="1"/>
  <c r="D14" i="10"/>
  <c r="D17" i="10" s="1"/>
  <c r="F20" i="10"/>
  <c r="F25" i="10" s="1"/>
  <c r="F14" i="10"/>
  <c r="F17" i="10" s="1"/>
  <c r="H14" i="9"/>
  <c r="H19" i="11" s="1"/>
  <c r="K23" i="11"/>
  <c r="F9" i="11"/>
  <c r="F10" i="11"/>
  <c r="G9" i="11"/>
  <c r="G10" i="11"/>
  <c r="D10" i="11"/>
  <c r="D9" i="11"/>
  <c r="J9" i="11"/>
  <c r="J10" i="11"/>
  <c r="I16" i="11"/>
  <c r="H9" i="11"/>
  <c r="H10" i="11"/>
  <c r="K11" i="9"/>
  <c r="L11" i="9" s="1"/>
  <c r="L14" i="9" s="1"/>
  <c r="K24" i="7"/>
  <c r="K5" i="11" s="1"/>
  <c r="K9" i="10"/>
  <c r="C16" i="11"/>
  <c r="B10" i="11"/>
  <c r="B9" i="11"/>
  <c r="H23" i="11"/>
  <c r="B19" i="11"/>
  <c r="C10" i="11"/>
  <c r="C9" i="11"/>
  <c r="I9" i="11"/>
  <c r="I10" i="11"/>
  <c r="O28" i="8"/>
  <c r="E9" i="11"/>
  <c r="E10" i="11"/>
  <c r="G16" i="11"/>
  <c r="M27" i="8" l="1"/>
  <c r="K14" i="10"/>
  <c r="K17" i="10" s="1"/>
  <c r="K20" i="10"/>
  <c r="K25" i="10" s="1"/>
  <c r="H22" i="11"/>
  <c r="M11" i="9"/>
  <c r="O11" i="9"/>
  <c r="N11" i="9"/>
  <c r="K14" i="9"/>
  <c r="K19" i="11" s="1"/>
  <c r="O27" i="8"/>
  <c r="N27" i="8"/>
  <c r="O28" i="7"/>
  <c r="N28" i="7"/>
  <c r="M28" i="7"/>
  <c r="K29" i="7"/>
  <c r="K10" i="11" s="1"/>
  <c r="F22" i="11"/>
  <c r="I22" i="11"/>
  <c r="B22" i="11"/>
  <c r="E22" i="11"/>
  <c r="J22" i="11"/>
  <c r="K9" i="11"/>
  <c r="G22" i="11"/>
  <c r="G27" i="11"/>
  <c r="D22" i="11"/>
  <c r="C22" i="11"/>
  <c r="E27" i="11" l="1"/>
  <c r="E27" i="10"/>
  <c r="K22" i="11"/>
  <c r="F27" i="11"/>
  <c r="F27" i="10"/>
  <c r="I27" i="10"/>
  <c r="I27" i="11"/>
  <c r="D27" i="11"/>
  <c r="D27" i="10"/>
  <c r="J27" i="11"/>
  <c r="J27" i="10"/>
  <c r="G27" i="10"/>
  <c r="C27" i="10"/>
  <c r="C27" i="11"/>
  <c r="B27" i="10"/>
  <c r="B27" i="11"/>
  <c r="H27" i="11"/>
  <c r="H27" i="10"/>
  <c r="K27" i="10" l="1"/>
  <c r="K27" i="11"/>
</calcChain>
</file>

<file path=xl/sharedStrings.xml><?xml version="1.0" encoding="utf-8"?>
<sst xmlns="http://schemas.openxmlformats.org/spreadsheetml/2006/main" count="269" uniqueCount="173">
  <si>
    <t>COMPANY NAME</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</si>
  <si>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</si>
  <si>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</si>
  <si>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</si>
  <si>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</si>
  <si>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</si>
  <si>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</si>
  <si>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</si>
  <si>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</si>
  <si>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</si>
  <si>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</si>
  <si>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</si>
  <si>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</si>
  <si>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</si>
  <si>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</si>
  <si>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</si>
  <si>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</si>
  <si>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</si>
  <si>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</si>
  <si>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</si>
  <si>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</si>
  <si>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</si>
  <si>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</si>
  <si>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</si>
  <si>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</si>
  <si>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</si>
  <si>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</si>
  <si>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</si>
  <si>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</si>
  <si>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</si>
  <si>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</si>
  <si>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</si>
  <si>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</si>
  <si>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</si>
  <si>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</si>
  <si>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</si>
  <si>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</si>
  <si>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</si>
  <si>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</si>
  <si>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</si>
  <si>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</si>
  <si>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</si>
  <si>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</si>
  <si>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</si>
  <si>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</si>
  <si>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</si>
  <si>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</si>
  <si>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</si>
  <si>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</si>
  <si>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</si>
  <si>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</si>
  <si>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</si>
  <si>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</si>
  <si>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</si>
  <si>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</si>
  <si>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</si>
  <si>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</si>
  <si>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</si>
  <si>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</si>
  <si>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</si>
  <si>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</si>
  <si>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</si>
  <si>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</si>
  <si>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</si>
  <si>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t>
  </si>
  <si>
    <t xml:space="preserve"> screener.feedback@dalal-street.in</t>
  </si>
  <si>
    <t>STEPS TO USE THIS ANALYSIS EXCEL</t>
  </si>
  <si>
    <t>Visit my website &gt;&gt; https://vivekmashrani.com/ to get lot of other insights on Investing. Cheers…!!</t>
  </si>
  <si>
    <t>Data Sheet underlying data is from Screener.in</t>
  </si>
  <si>
    <t>2. If you see data is not flowing when you download excel from Screener.in, just click on "Enable Editing" on the top of your excel workbook</t>
  </si>
  <si>
    <t>READ THESE INSTRUCTIONS BEFORE YOU START</t>
  </si>
  <si>
    <r>
      <rPr>
        <b/>
        <sz val="12"/>
        <color theme="1"/>
        <rFont val="Calibri"/>
        <family val="2"/>
        <scheme val="minor"/>
      </rPr>
      <t xml:space="preserve">2&gt;&gt; </t>
    </r>
    <r>
      <rPr>
        <sz val="12"/>
        <color theme="1"/>
        <rFont val="Calibri"/>
        <family val="2"/>
        <scheme val="minor"/>
      </rPr>
      <t xml:space="preserve">Once you sign-up on Screener.in webite, go to this URL &gt;&gt; </t>
    </r>
    <r>
      <rPr>
        <b/>
        <sz val="12"/>
        <color theme="1"/>
        <rFont val="Calibri"/>
        <family val="2"/>
        <scheme val="minor"/>
      </rPr>
      <t>https://www.screener.in/excel/</t>
    </r>
  </si>
  <si>
    <r>
      <rPr>
        <b/>
        <sz val="12"/>
        <color theme="1"/>
        <rFont val="Calibri"/>
        <family val="2"/>
        <scheme val="minor"/>
      </rPr>
      <t xml:space="preserve">3&gt;&gt; </t>
    </r>
    <r>
      <rPr>
        <sz val="12"/>
        <color theme="1"/>
        <rFont val="Calibri"/>
        <family val="2"/>
        <scheme val="minor"/>
      </rPr>
      <t xml:space="preserve">Upload this excel template there and it's DONE…!! Now in future all the time you will be able to use this template on Screener.in when you visit any company on the website. </t>
    </r>
  </si>
  <si>
    <r>
      <rPr>
        <b/>
        <sz val="12"/>
        <color theme="1"/>
        <rFont val="Calibri"/>
        <family val="2"/>
        <scheme val="minor"/>
      </rPr>
      <t xml:space="preserve">4&gt;&gt; </t>
    </r>
    <r>
      <rPr>
        <sz val="12"/>
        <color theme="1"/>
        <rFont val="Calibri"/>
        <family val="2"/>
        <scheme val="minor"/>
      </rPr>
      <t>When you are on company tab on Screener.in website, simply click on "Export To Excel" option and you will be able to download output in exact same template which you have uploaded. It works like MAGIC :)</t>
    </r>
  </si>
  <si>
    <r>
      <rPr>
        <b/>
        <sz val="12"/>
        <color theme="1"/>
        <rFont val="Calibri"/>
        <family val="2"/>
        <scheme val="minor"/>
      </rPr>
      <t>1.</t>
    </r>
    <r>
      <rPr>
        <sz val="12"/>
        <color theme="1"/>
        <rFont val="Calibri"/>
        <family val="2"/>
        <scheme val="minor"/>
      </rPr>
      <t xml:space="preserve"> </t>
    </r>
    <r>
      <rPr>
        <b/>
        <sz val="12"/>
        <color rgb="FFFF0000"/>
        <rFont val="Calibri"/>
        <family val="2"/>
        <scheme val="minor"/>
      </rPr>
      <t>DON’T change anything on "Data Sheet" tab</t>
    </r>
    <r>
      <rPr>
        <b/>
        <sz val="12"/>
        <rFont val="Calibri"/>
        <family val="2"/>
        <scheme val="minor"/>
      </rPr>
      <t xml:space="preserve"> - this is dynamic template based on which company data we need is being pulled through Screener.in upload </t>
    </r>
  </si>
  <si>
    <t>VINATI ORGANICS LTD</t>
  </si>
  <si>
    <r>
      <rPr>
        <b/>
        <sz val="12"/>
        <color theme="1"/>
        <rFont val="Calibri"/>
        <family val="2"/>
        <scheme val="minor"/>
      </rPr>
      <t xml:space="preserve">1 &gt;&gt; </t>
    </r>
    <r>
      <rPr>
        <sz val="12"/>
        <color theme="1"/>
        <rFont val="Calibri"/>
        <family val="2"/>
        <scheme val="minor"/>
      </rPr>
      <t>This excel is customised to be used only on Screener.in website. You might need to create free account on the website to be able to use it.</t>
    </r>
  </si>
  <si>
    <t>COMPANY NAME &gt;&gt;</t>
  </si>
  <si>
    <t>INR (in crores)</t>
  </si>
  <si>
    <t>TTM</t>
  </si>
  <si>
    <t>Income Statement Analysis</t>
  </si>
  <si>
    <t>GROWTH TREND ANALYSIS</t>
  </si>
  <si>
    <t>Operating Profit Margin (OPM) %</t>
  </si>
  <si>
    <t>EBITDA</t>
  </si>
  <si>
    <t>Profit before tax (PBT)</t>
  </si>
  <si>
    <t>Net Profit Margin (NPM) %</t>
  </si>
  <si>
    <t>Profit after tax (PAT) / Net Profit</t>
  </si>
  <si>
    <t>NAVIGATION MENU</t>
  </si>
  <si>
    <t>Tax Payout %</t>
  </si>
  <si>
    <t>Interest Coverage Ratio (x)</t>
  </si>
  <si>
    <t>Adjusted Equity Shares (in crores)</t>
  </si>
  <si>
    <t>Earnings Per Share (EPS)</t>
  </si>
  <si>
    <t>Price</t>
  </si>
  <si>
    <t>PE Ratio (x)</t>
  </si>
  <si>
    <t>Balance Sheet Analysis</t>
  </si>
  <si>
    <t>Working Capital</t>
  </si>
  <si>
    <t>Fixed Assets (Net Block)</t>
  </si>
  <si>
    <t>Capital Work in Progress (CWIP)</t>
  </si>
  <si>
    <t>Total Liabilities</t>
  </si>
  <si>
    <t>Total Assets</t>
  </si>
  <si>
    <t>Total Equity</t>
  </si>
  <si>
    <t>Net Fixed Asset Turnover</t>
  </si>
  <si>
    <t>Inventory Turnover</t>
  </si>
  <si>
    <t>Debt To Equity</t>
  </si>
  <si>
    <t>Receivables Days</t>
  </si>
  <si>
    <t>Return on average Equity (RoAE)</t>
  </si>
  <si>
    <t>Return on average Capital Employed</t>
  </si>
  <si>
    <t>Capital Employed</t>
  </si>
  <si>
    <t>AVERAGE TREND</t>
  </si>
  <si>
    <t>Cashflow Analysis</t>
  </si>
  <si>
    <t>Cash from Operating Activity (CFO)</t>
  </si>
  <si>
    <t>Cash from Investing Activity (CFI)</t>
  </si>
  <si>
    <t>Cash from Financing Activity (CFF)</t>
  </si>
  <si>
    <t>Net Cash Flow (CFO + CFI + CFF)</t>
  </si>
  <si>
    <t>Cash &amp; Equivalent at the end of year</t>
  </si>
  <si>
    <t>Profit After Tax (PAT)</t>
  </si>
  <si>
    <t>CFO/PAT (atleast 80%)</t>
  </si>
  <si>
    <t>TOTAL</t>
  </si>
  <si>
    <t>CAPEX</t>
  </si>
  <si>
    <t>Re-investment (Capex/CFO)</t>
  </si>
  <si>
    <t>Free Cash Flows (FCF)</t>
  </si>
  <si>
    <t>FCF/CFO</t>
  </si>
  <si>
    <t>DuPont Analysis</t>
  </si>
  <si>
    <t>Interest Expense</t>
  </si>
  <si>
    <t>Income Tax</t>
  </si>
  <si>
    <t>Net Income</t>
  </si>
  <si>
    <t>Shareholders Equity</t>
  </si>
  <si>
    <t>THREE STAGE MODEL</t>
  </si>
  <si>
    <t>Net Profit Margin (Net Income ÷ Sales)</t>
  </si>
  <si>
    <t>Asset Turnover (Sales ÷ Total Assets)</t>
  </si>
  <si>
    <t>Equity Multiplier (Total Assets ÷ Shareholders Equity)</t>
  </si>
  <si>
    <t>Return on Equity</t>
  </si>
  <si>
    <t>FIVE STAGE MODEL</t>
  </si>
  <si>
    <t>Tax Burden (Net Income ÷ PBT)</t>
  </si>
  <si>
    <t>Interest Burden (PBT ÷ EBIT)</t>
  </si>
  <si>
    <t>CHECK</t>
  </si>
  <si>
    <t>EBIT Margin (EBIT ÷ Sales)</t>
  </si>
  <si>
    <t>DISCLAIMER</t>
  </si>
  <si>
    <t>2. Please consult your financial advisor for buy/sell decisions; Author will bear no liability whatsoever based on decision taken based on direct or indirect use of this template.</t>
  </si>
  <si>
    <t>Ratio Analysis</t>
  </si>
  <si>
    <t>FIVE STAGE MODEL - DUPONT ANALYSIS</t>
  </si>
  <si>
    <t>Company Name</t>
  </si>
  <si>
    <t>Current Price (INR)</t>
  </si>
  <si>
    <t>No. of Shares (crores)</t>
  </si>
  <si>
    <t>Market Cap (crores)</t>
  </si>
  <si>
    <t>Details</t>
  </si>
  <si>
    <t>TTM Net Profit (crores)</t>
  </si>
  <si>
    <t>TTM P/E ratio</t>
  </si>
  <si>
    <t>TTM Operating Profit Margin</t>
  </si>
  <si>
    <t>Latest FY ROACE</t>
  </si>
  <si>
    <t>Latest FY ROAE</t>
  </si>
  <si>
    <t>Key Items</t>
  </si>
  <si>
    <r>
      <t xml:space="preserve">1. This excel template is prepared only for educational purpose. Author is not liable for accuracy of underlying data or calculations. Please use this only as reference. For any suggestions or feedback, email to &gt;&gt; </t>
    </r>
    <r>
      <rPr>
        <b/>
        <sz val="12"/>
        <color theme="1"/>
        <rFont val="Calibri"/>
        <family val="2"/>
        <scheme val="minor"/>
      </rPr>
      <t>connect@vivekmashrani.com</t>
    </r>
  </si>
  <si>
    <r>
      <t xml:space="preserve">Read full disclaimer and privacy policy here &gt;&gt; </t>
    </r>
    <r>
      <rPr>
        <b/>
        <sz val="12"/>
        <color theme="1"/>
        <rFont val="Calibri"/>
        <family val="2"/>
        <scheme val="minor"/>
      </rPr>
      <t>https://vivekmashrani.com/disclaimer-and-privacy-policy/</t>
    </r>
  </si>
  <si>
    <t>EBIT (Operating Profit + Other Income - Depreciation)</t>
  </si>
  <si>
    <t>Income Statement Analysis - Quarterly</t>
  </si>
  <si>
    <t>QoQ (Yearly)</t>
  </si>
  <si>
    <t>Dividend Payout %</t>
  </si>
  <si>
    <t>QoQ (Sequential)</t>
  </si>
  <si>
    <t>Common Size Balance Sheet</t>
  </si>
  <si>
    <t>Year &gt;&gt;</t>
  </si>
  <si>
    <t>Other items as % of Total Assets</t>
  </si>
  <si>
    <t>Raw material Expenses</t>
  </si>
  <si>
    <t>Common Sizing Expenses</t>
  </si>
  <si>
    <t xml:space="preserve">Other Mfr. Exp </t>
  </si>
  <si>
    <t xml:space="preserve">Employee Cost </t>
  </si>
  <si>
    <t xml:space="preserve">Other Expenses </t>
  </si>
  <si>
    <t>Power and Fuel Cost</t>
  </si>
  <si>
    <t>Selling and Admin Expenses</t>
  </si>
  <si>
    <t>TechnoFunda Investing Excel Analysis - Version 3.0</t>
  </si>
  <si>
    <t>PAT Growth YoY (%)</t>
  </si>
  <si>
    <t>EBIDTA Growth YoY (%)</t>
  </si>
  <si>
    <t>Sales Growth YoY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</si>
</sst>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409]mmm\-yy;@"/>
    <numFmt numFmtId="166" formatCode="0.0%"/>
    <numFmt numFmtId="167" formatCode="#,##0;\ \(#,##0\)"/>
    <numFmt numFmtId="168" formatCode="0.0%;\ \(0.0%\)"/>
    <numFmt numFmtId="169" formatCode="#,##0.0;\ \(#,##0.0\)"/>
    <numFmt numFmtId="170" formatCode="#,##0.0\x;\ \(#,##0.0\x\)"/>
    <numFmt numFmtId="171" formatCode="#,##0.00;\ \(#,##0.00\)"/>
    <numFmt numFmtId="172" formatCode="0%;\ \(0%\)"/>
    <numFmt numFmtId="173" formatCode="0&quot; YEARS&quot;"/>
    <numFmt numFmtId="174" formatCode="_ * #,##0.0_ ;_ * \-#,##0.0_ ;_ * &quot;-&quot;??_ ;_ @_ "/>
    <numFmt numFmtId="175" formatCode="_ * #,##0_ ;_ * \-#,##0_ ;_ * &quot;-&quot;??_ ;_ @_ "/>
  </numFmts>
  <fonts count="23" x14ac:knownFonts="1">
    <font>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b/>
      <sz val="16"/>
      <color theme="1"/>
      <name val="Calibri"/>
      <family val="2"/>
      <scheme val="minor"/>
    </font>
    <font>
      <b/>
      <u/>
      <sz val="11"/>
      <color theme="10"/>
      <name val="Calibri"/>
      <family val="2"/>
    </font>
    <font>
      <sz val="12"/>
      <color theme="1"/>
      <name val="Arial"/>
      <family val="2"/>
    </font>
    <font>
      <b/>
      <sz val="26"/>
      <color theme="0"/>
      <name val="Calibri"/>
      <family val="2"/>
      <scheme val="minor"/>
    </font>
    <font>
      <b/>
      <u/>
      <sz val="12"/>
      <color rgb="FF0000FF"/>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2"/>
      <color rgb="FFFF0000"/>
      <name val="Calibri"/>
      <family val="2"/>
      <scheme val="minor"/>
    </font>
    <font>
      <b/>
      <sz val="12"/>
      <name val="Calibri"/>
      <family val="2"/>
      <scheme val="minor"/>
    </font>
    <font>
      <b/>
      <i/>
      <sz val="12"/>
      <color theme="1"/>
      <name val="Calibri"/>
      <family val="2"/>
      <scheme val="minor"/>
    </font>
    <font>
      <sz val="11"/>
      <name val="Calibri"/>
      <family val="2"/>
      <scheme val="minor"/>
    </font>
    <font>
      <u/>
      <sz val="11"/>
      <color theme="10"/>
      <name val="Calibri"/>
      <family val="2"/>
      <scheme val="minor"/>
    </font>
    <font>
      <b/>
      <sz val="20"/>
      <color theme="0"/>
      <name val="Calibri"/>
      <family val="2"/>
      <scheme val="minor"/>
    </font>
    <font>
      <b/>
      <sz val="22"/>
      <color theme="0"/>
      <name val="Calibri"/>
      <family val="2"/>
      <scheme val="minor"/>
    </font>
    <font>
      <sz val="10"/>
      <color theme="1"/>
      <name val="Calibri"/>
      <family val="2"/>
      <scheme val="minor"/>
    </font>
  </fonts>
  <fills count="11">
    <fill>
      <patternFill patternType="none"/>
    </fill>
    <fill>
      <patternFill patternType="gray125"/>
    </fill>
    <fill>
      <patternFill patternType="solid">
        <fgColor theme="9"/>
      </patternFill>
    </fill>
    <fill>
      <patternFill patternType="solid">
        <fgColor rgb="FF0666E5"/>
        <bgColor indexed="64"/>
      </patternFill>
    </fill>
    <fill>
      <patternFill patternType="solid">
        <fgColor rgb="FFFF0000"/>
        <bgColor indexed="64"/>
      </patternFill>
    </fill>
    <fill>
      <patternFill patternType="solid">
        <fgColor theme="0"/>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1"/>
        <bgColor indexed="64"/>
      </patternFill>
    </fill>
    <fill>
      <patternFill patternType="solid">
        <fgColor theme="6" tint="0.79998168889431442"/>
        <bgColor indexed="64"/>
      </patternFill>
    </fill>
  </fills>
  <borders count="21">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2" fillId="0" borderId="0" applyFont="0" applyFill="0" applyBorder="0" applyAlignment="0" applyProtection="0"/>
    <xf numFmtId="0" fontId="5" fillId="2" borderId="0" applyNumberFormat="0" applyBorder="0" applyAlignment="0" applyProtection="0"/>
    <xf numFmtId="0" fontId="6" fillId="0" borderId="0" applyNumberFormat="0" applyFill="0" applyBorder="0" applyAlignment="0" applyProtection="0">
      <alignment vertical="top"/>
      <protection locked="0"/>
    </xf>
    <xf numFmtId="9" fontId="2" fillId="0" borderId="0" applyFont="0" applyFill="0" applyBorder="0" applyAlignment="0" applyProtection="0"/>
  </cellStyleXfs>
  <cellXfs count="132">
    <xf numFmtId="0" fontId="0" fillId="0" borderId="0" xfId="0"/>
    <xf numFmtId="0" fontId="7" fillId="0" borderId="0" xfId="0" applyFont="1"/>
    <xf numFmtId="0" fontId="0" fillId="0" borderId="0" xfId="0" applyAlignment="1">
      <alignment horizontal="left"/>
    </xf>
    <xf numFmtId="0" fontId="4" fillId="0" borderId="0" xfId="0" applyFont="1"/>
    <xf numFmtId="0" fontId="8" fillId="0" borderId="0" xfId="3" applyFont="1" applyBorder="1" applyAlignment="1" applyProtection="1">
      <alignment horizontal="left"/>
    </xf>
    <xf numFmtId="0" fontId="8" fillId="0" borderId="0" xfId="3" applyFont="1" applyBorder="1" applyAlignment="1" applyProtection="1"/>
    <xf numFmtId="0" fontId="9" fillId="5" borderId="0" xfId="0" applyFont="1" applyFill="1" applyAlignment="1">
      <alignment wrapText="1"/>
    </xf>
    <xf numFmtId="0" fontId="11" fillId="5" borderId="0" xfId="3" applyFont="1" applyFill="1" applyBorder="1" applyAlignment="1" applyProtection="1">
      <alignment horizontal="center" vertical="center" wrapText="1"/>
    </xf>
    <xf numFmtId="0" fontId="12" fillId="3" borderId="1" xfId="0" applyFont="1" applyFill="1" applyBorder="1" applyAlignment="1">
      <alignment horizontal="center" vertical="center" wrapText="1"/>
    </xf>
    <xf numFmtId="0" fontId="13" fillId="5" borderId="2" xfId="0" applyFont="1" applyFill="1" applyBorder="1" applyAlignment="1">
      <alignment vertical="center" wrapText="1"/>
    </xf>
    <xf numFmtId="0" fontId="12" fillId="3" borderId="3" xfId="0" applyFont="1" applyFill="1" applyBorder="1" applyAlignment="1">
      <alignment vertical="center" wrapText="1"/>
    </xf>
    <xf numFmtId="0" fontId="13" fillId="5" borderId="0" xfId="0" applyFont="1" applyFill="1" applyAlignment="1">
      <alignment vertical="center" wrapText="1"/>
    </xf>
    <xf numFmtId="0" fontId="14" fillId="5" borderId="3" xfId="0" applyFont="1" applyFill="1" applyBorder="1" applyAlignment="1">
      <alignment vertical="center" wrapText="1"/>
    </xf>
    <xf numFmtId="0" fontId="17" fillId="5" borderId="0" xfId="0" applyFont="1" applyFill="1" applyAlignment="1">
      <alignment vertical="center" wrapText="1"/>
    </xf>
    <xf numFmtId="164" fontId="4" fillId="0" borderId="0" xfId="1" applyFont="1" applyBorder="1"/>
    <xf numFmtId="165" fontId="18" fillId="0" borderId="0" xfId="1" applyNumberFormat="1" applyFont="1" applyFill="1" applyBorder="1"/>
    <xf numFmtId="164" fontId="2" fillId="0" borderId="0" xfId="1" applyFont="1" applyBorder="1"/>
    <xf numFmtId="165" fontId="3" fillId="3" borderId="0" xfId="1" applyNumberFormat="1" applyFont="1" applyFill="1" applyBorder="1"/>
    <xf numFmtId="0" fontId="10" fillId="3" borderId="4" xfId="0" applyFont="1" applyFill="1" applyBorder="1" applyAlignment="1">
      <alignment horizontal="center" vertical="center" wrapText="1"/>
    </xf>
    <xf numFmtId="0" fontId="2" fillId="0" borderId="0" xfId="0" applyFont="1"/>
    <xf numFmtId="43" fontId="2" fillId="0" borderId="0" xfId="1" applyNumberFormat="1" applyFont="1" applyBorder="1"/>
    <xf numFmtId="0" fontId="12" fillId="3" borderId="14" xfId="0" applyFont="1" applyFill="1" applyBorder="1" applyAlignment="1">
      <alignment vertical="center"/>
    </xf>
    <xf numFmtId="164" fontId="12" fillId="3" borderId="4" xfId="0" applyNumberFormat="1" applyFont="1" applyFill="1" applyBorder="1" applyAlignment="1">
      <alignment vertical="center"/>
    </xf>
    <xf numFmtId="165" fontId="12" fillId="3" borderId="9" xfId="0" applyNumberFormat="1" applyFont="1" applyFill="1" applyBorder="1" applyAlignment="1">
      <alignment horizontal="right" vertical="center" indent="1"/>
    </xf>
    <xf numFmtId="166" fontId="12" fillId="3" borderId="10" xfId="0" applyNumberFormat="1" applyFont="1" applyFill="1" applyBorder="1" applyAlignment="1">
      <alignment horizontal="right" vertical="center" indent="1"/>
    </xf>
    <xf numFmtId="167" fontId="0" fillId="0" borderId="0" xfId="1" applyNumberFormat="1" applyFont="1" applyAlignment="1">
      <alignment horizontal="right" indent="1"/>
    </xf>
    <xf numFmtId="9" fontId="0" fillId="0" borderId="0" xfId="0" applyNumberFormat="1" applyAlignment="1">
      <alignment horizontal="left" indent="5"/>
    </xf>
    <xf numFmtId="167" fontId="4" fillId="0" borderId="0" xfId="1" applyNumberFormat="1" applyFont="1" applyAlignment="1">
      <alignment horizontal="right" indent="1"/>
    </xf>
    <xf numFmtId="167" fontId="2" fillId="0" borderId="0" xfId="1" applyNumberFormat="1" applyFont="1" applyAlignment="1">
      <alignment horizontal="right" indent="1"/>
    </xf>
    <xf numFmtId="9" fontId="4" fillId="0" borderId="0" xfId="0" applyNumberFormat="1" applyFont="1" applyAlignment="1">
      <alignment horizontal="left" indent="5"/>
    </xf>
    <xf numFmtId="173" fontId="12" fillId="7" borderId="8" xfId="0" applyNumberFormat="1" applyFont="1" applyFill="1" applyBorder="1" applyAlignment="1">
      <alignment horizontal="center" vertical="center"/>
    </xf>
    <xf numFmtId="173" fontId="12" fillId="7" borderId="9" xfId="0" applyNumberFormat="1" applyFont="1" applyFill="1" applyBorder="1" applyAlignment="1">
      <alignment horizontal="center" vertical="center"/>
    </xf>
    <xf numFmtId="173" fontId="12" fillId="7" borderId="10" xfId="0" applyNumberFormat="1" applyFont="1" applyFill="1" applyBorder="1" applyAlignment="1">
      <alignment horizontal="center" vertical="center"/>
    </xf>
    <xf numFmtId="0" fontId="4" fillId="0" borderId="16" xfId="0" applyFont="1" applyBorder="1"/>
    <xf numFmtId="168" fontId="4" fillId="0" borderId="16" xfId="0" applyNumberFormat="1" applyFont="1" applyBorder="1" applyAlignment="1">
      <alignment horizontal="left" indent="5"/>
    </xf>
    <xf numFmtId="0" fontId="0" fillId="0" borderId="16" xfId="0" applyBorder="1"/>
    <xf numFmtId="168" fontId="4" fillId="0" borderId="0" xfId="0" applyNumberFormat="1" applyFont="1" applyAlignment="1">
      <alignment horizontal="left" indent="5"/>
    </xf>
    <xf numFmtId="170" fontId="4" fillId="0" borderId="0" xfId="1" applyNumberFormat="1" applyFont="1" applyBorder="1" applyAlignment="1">
      <alignment horizontal="right" indent="1"/>
    </xf>
    <xf numFmtId="171" fontId="4" fillId="0" borderId="0" xfId="1" applyNumberFormat="1" applyFont="1" applyBorder="1" applyAlignment="1">
      <alignment horizontal="right" indent="1"/>
    </xf>
    <xf numFmtId="0" fontId="4" fillId="0" borderId="17" xfId="0" applyFont="1" applyBorder="1"/>
    <xf numFmtId="170" fontId="4" fillId="0" borderId="17" xfId="1" applyNumberFormat="1" applyFont="1" applyBorder="1" applyAlignment="1">
      <alignment horizontal="right" indent="1"/>
    </xf>
    <xf numFmtId="0" fontId="0" fillId="0" borderId="17" xfId="0" applyBorder="1"/>
    <xf numFmtId="166" fontId="12" fillId="0" borderId="10" xfId="0" applyNumberFormat="1" applyFont="1" applyBorder="1" applyAlignment="1">
      <alignment horizontal="right" vertical="center" indent="1"/>
    </xf>
    <xf numFmtId="167" fontId="2" fillId="0" borderId="16" xfId="1" applyNumberFormat="1" applyFont="1" applyBorder="1" applyAlignment="1">
      <alignment horizontal="right" indent="1"/>
    </xf>
    <xf numFmtId="167" fontId="2" fillId="0" borderId="0" xfId="1" applyNumberFormat="1" applyFont="1" applyBorder="1" applyAlignment="1">
      <alignment horizontal="right" indent="1"/>
    </xf>
    <xf numFmtId="167" fontId="4" fillId="0" borderId="17" xfId="1" applyNumberFormat="1" applyFont="1" applyBorder="1" applyAlignment="1">
      <alignment horizontal="right" indent="1"/>
    </xf>
    <xf numFmtId="167" fontId="0" fillId="0" borderId="16" xfId="1" applyNumberFormat="1" applyFont="1" applyBorder="1" applyAlignment="1">
      <alignment horizontal="right" indent="1"/>
    </xf>
    <xf numFmtId="167" fontId="0" fillId="0" borderId="0" xfId="1" applyNumberFormat="1" applyFont="1" applyBorder="1" applyAlignment="1">
      <alignment horizontal="right" indent="1"/>
    </xf>
    <xf numFmtId="167" fontId="2" fillId="0" borderId="17" xfId="1" applyNumberFormat="1" applyFont="1" applyBorder="1" applyAlignment="1">
      <alignment horizontal="right" indent="1"/>
    </xf>
    <xf numFmtId="167" fontId="4" fillId="0" borderId="0" xfId="1" applyNumberFormat="1" applyFont="1" applyBorder="1" applyAlignment="1">
      <alignment horizontal="right" indent="1"/>
    </xf>
    <xf numFmtId="170" fontId="4" fillId="0" borderId="16" xfId="1" applyNumberFormat="1" applyFont="1" applyBorder="1" applyAlignment="1">
      <alignment horizontal="right" indent="1"/>
    </xf>
    <xf numFmtId="169" fontId="2" fillId="0" borderId="16" xfId="1" applyNumberFormat="1" applyFont="1" applyBorder="1" applyAlignment="1">
      <alignment horizontal="right" indent="1"/>
    </xf>
    <xf numFmtId="0" fontId="0" fillId="0" borderId="18" xfId="0" applyBorder="1"/>
    <xf numFmtId="167" fontId="2" fillId="0" borderId="18" xfId="1" applyNumberFormat="1" applyFont="1" applyBorder="1" applyAlignment="1">
      <alignment horizontal="right" indent="1"/>
    </xf>
    <xf numFmtId="0" fontId="4" fillId="0" borderId="15" xfId="0" applyFont="1" applyBorder="1"/>
    <xf numFmtId="167" fontId="4" fillId="0" borderId="15" xfId="1" applyNumberFormat="1" applyFont="1" applyBorder="1" applyAlignment="1">
      <alignment horizontal="right" indent="1"/>
    </xf>
    <xf numFmtId="167" fontId="4" fillId="0" borderId="16" xfId="1" applyNumberFormat="1" applyFont="1" applyBorder="1" applyAlignment="1">
      <alignment horizontal="right" indent="1"/>
    </xf>
    <xf numFmtId="167" fontId="0" fillId="0" borderId="17" xfId="1" applyNumberFormat="1" applyFont="1" applyBorder="1" applyAlignment="1">
      <alignment horizontal="right" indent="1"/>
    </xf>
    <xf numFmtId="170" fontId="2" fillId="0" borderId="0" xfId="1" applyNumberFormat="1" applyFont="1" applyBorder="1" applyAlignment="1">
      <alignment horizontal="right" indent="1"/>
    </xf>
    <xf numFmtId="0" fontId="0" fillId="3" borderId="15" xfId="0" applyFill="1" applyBorder="1"/>
    <xf numFmtId="0" fontId="3" fillId="3" borderId="15" xfId="0" applyFont="1" applyFill="1" applyBorder="1"/>
    <xf numFmtId="0" fontId="13" fillId="5" borderId="3" xfId="0" applyFont="1" applyFill="1" applyBorder="1" applyAlignment="1">
      <alignment vertical="center" wrapText="1"/>
    </xf>
    <xf numFmtId="0" fontId="13" fillId="5" borderId="0" xfId="0" applyFont="1" applyFill="1" applyAlignment="1">
      <alignment wrapText="1"/>
    </xf>
    <xf numFmtId="168" fontId="4" fillId="0" borderId="16" xfId="0" applyNumberFormat="1" applyFont="1" applyBorder="1" applyAlignment="1">
      <alignment horizontal="right" indent="1"/>
    </xf>
    <xf numFmtId="168" fontId="4" fillId="0" borderId="0" xfId="0" applyNumberFormat="1" applyFont="1" applyAlignment="1">
      <alignment horizontal="right" indent="1"/>
    </xf>
    <xf numFmtId="169" fontId="4" fillId="0" borderId="0" xfId="1" applyNumberFormat="1" applyFont="1" applyBorder="1" applyAlignment="1">
      <alignment horizontal="right" indent="1"/>
    </xf>
    <xf numFmtId="168" fontId="4" fillId="0" borderId="17" xfId="0" applyNumberFormat="1" applyFont="1" applyBorder="1" applyAlignment="1">
      <alignment horizontal="right" indent="1"/>
    </xf>
    <xf numFmtId="168" fontId="0" fillId="0" borderId="0" xfId="0" applyNumberFormat="1" applyAlignment="1">
      <alignment horizontal="right" indent="1"/>
    </xf>
    <xf numFmtId="168" fontId="4" fillId="0" borderId="15" xfId="0" applyNumberFormat="1" applyFont="1" applyBorder="1" applyAlignment="1">
      <alignment horizontal="right" indent="1"/>
    </xf>
    <xf numFmtId="171" fontId="0" fillId="0" borderId="0" xfId="0" applyNumberFormat="1" applyAlignment="1">
      <alignment horizontal="right" indent="1"/>
    </xf>
    <xf numFmtId="0" fontId="0" fillId="0" borderId="0" xfId="0" applyAlignment="1">
      <alignment horizontal="right" indent="1"/>
    </xf>
    <xf numFmtId="0" fontId="0" fillId="0" borderId="16" xfId="0" applyBorder="1" applyAlignment="1">
      <alignment horizontal="right" indent="1"/>
    </xf>
    <xf numFmtId="0" fontId="0" fillId="0" borderId="17" xfId="0" applyBorder="1" applyAlignment="1">
      <alignment horizontal="right" indent="1"/>
    </xf>
    <xf numFmtId="172" fontId="4" fillId="0" borderId="15" xfId="0" applyNumberFormat="1" applyFont="1" applyBorder="1" applyAlignment="1">
      <alignment horizontal="right" indent="1"/>
    </xf>
    <xf numFmtId="0" fontId="0" fillId="0" borderId="15" xfId="0" applyBorder="1" applyAlignment="1">
      <alignment horizontal="right" indent="1"/>
    </xf>
    <xf numFmtId="0" fontId="0" fillId="3" borderId="15" xfId="0" applyFill="1" applyBorder="1" applyAlignment="1">
      <alignment horizontal="right" indent="1"/>
    </xf>
    <xf numFmtId="172" fontId="4" fillId="0" borderId="0" xfId="0" applyNumberFormat="1" applyFont="1" applyAlignment="1">
      <alignment horizontal="right" indent="1"/>
    </xf>
    <xf numFmtId="172" fontId="0" fillId="0" borderId="0" xfId="0" applyNumberFormat="1" applyAlignment="1">
      <alignment horizontal="right" indent="3"/>
    </xf>
    <xf numFmtId="172" fontId="4" fillId="0" borderId="0" xfId="0" applyNumberFormat="1" applyFont="1" applyAlignment="1">
      <alignment horizontal="right" indent="3"/>
    </xf>
    <xf numFmtId="172" fontId="0" fillId="0" borderId="16" xfId="0" applyNumberFormat="1" applyBorder="1" applyAlignment="1">
      <alignment horizontal="right" indent="3"/>
    </xf>
    <xf numFmtId="172" fontId="4" fillId="0" borderId="18" xfId="0" applyNumberFormat="1" applyFont="1" applyBorder="1" applyAlignment="1">
      <alignment horizontal="right" indent="3"/>
    </xf>
    <xf numFmtId="0" fontId="0" fillId="0" borderId="17" xfId="0" applyBorder="1" applyAlignment="1">
      <alignment horizontal="right" indent="3"/>
    </xf>
    <xf numFmtId="167" fontId="4" fillId="0" borderId="16" xfId="0" applyNumberFormat="1" applyFont="1" applyBorder="1" applyAlignment="1">
      <alignment horizontal="right" indent="1"/>
    </xf>
    <xf numFmtId="167" fontId="4" fillId="0" borderId="0" xfId="0" applyNumberFormat="1" applyFont="1" applyAlignment="1">
      <alignment horizontal="right" indent="1"/>
    </xf>
    <xf numFmtId="172" fontId="4" fillId="0" borderId="17" xfId="0" applyNumberFormat="1" applyFont="1" applyBorder="1" applyAlignment="1">
      <alignment horizontal="right" indent="1"/>
    </xf>
    <xf numFmtId="164" fontId="0" fillId="0" borderId="0" xfId="0" applyNumberFormat="1" applyAlignment="1">
      <alignment horizontal="right"/>
    </xf>
    <xf numFmtId="0" fontId="22" fillId="0" borderId="19" xfId="0" applyFont="1" applyBorder="1"/>
    <xf numFmtId="164" fontId="22" fillId="0" borderId="19" xfId="0" applyNumberFormat="1" applyFont="1" applyBorder="1" applyAlignment="1">
      <alignment horizontal="right"/>
    </xf>
    <xf numFmtId="0" fontId="22" fillId="0" borderId="0" xfId="0" applyFont="1"/>
    <xf numFmtId="175" fontId="22" fillId="0" borderId="0" xfId="1" applyNumberFormat="1" applyFont="1" applyBorder="1"/>
    <xf numFmtId="174" fontId="22" fillId="0" borderId="0" xfId="0" applyNumberFormat="1" applyFont="1"/>
    <xf numFmtId="175" fontId="22" fillId="0" borderId="0" xfId="1" applyNumberFormat="1" applyFont="1"/>
    <xf numFmtId="170" fontId="22" fillId="0" borderId="0" xfId="1" applyNumberFormat="1" applyFont="1"/>
    <xf numFmtId="166" fontId="22" fillId="0" borderId="0" xfId="0" applyNumberFormat="1" applyFont="1"/>
    <xf numFmtId="165" fontId="3" fillId="3" borderId="0" xfId="0" applyNumberFormat="1" applyFont="1" applyFill="1" applyAlignment="1">
      <alignment horizontal="center"/>
    </xf>
    <xf numFmtId="165" fontId="3" fillId="0" borderId="0" xfId="0" applyNumberFormat="1" applyFont="1" applyAlignment="1">
      <alignment horizontal="center"/>
    </xf>
    <xf numFmtId="166" fontId="2" fillId="0" borderId="0" xfId="4" applyNumberFormat="1" applyFont="1" applyBorder="1"/>
    <xf numFmtId="0" fontId="12" fillId="3" borderId="20" xfId="0" applyFont="1" applyFill="1" applyBorder="1" applyAlignment="1">
      <alignment vertical="center"/>
    </xf>
    <xf numFmtId="165" fontId="12" fillId="3" borderId="20" xfId="0" applyNumberFormat="1" applyFont="1" applyFill="1" applyBorder="1" applyAlignment="1">
      <alignment horizontal="right" vertical="center" indent="1"/>
    </xf>
    <xf numFmtId="9" fontId="0" fillId="0" borderId="16" xfId="4" applyFont="1" applyBorder="1" applyAlignment="1">
      <alignment horizontal="right" indent="1"/>
    </xf>
    <xf numFmtId="9" fontId="0" fillId="0" borderId="0" xfId="4" applyFont="1" applyBorder="1" applyAlignment="1">
      <alignment horizontal="right" indent="1"/>
    </xf>
    <xf numFmtId="9" fontId="4" fillId="0" borderId="17" xfId="4" applyFont="1" applyBorder="1" applyAlignment="1">
      <alignment horizontal="right" indent="1"/>
    </xf>
    <xf numFmtId="9" fontId="2" fillId="0" borderId="16" xfId="4" applyFont="1" applyBorder="1" applyAlignment="1">
      <alignment horizontal="right" indent="1"/>
    </xf>
    <xf numFmtId="9" fontId="2" fillId="0" borderId="0" xfId="4" applyFont="1" applyBorder="1" applyAlignment="1">
      <alignment horizontal="right" indent="1"/>
    </xf>
    <xf numFmtId="9" fontId="4" fillId="0" borderId="0" xfId="4" applyFont="1" applyBorder="1" applyAlignment="1">
      <alignment horizontal="right" indent="1"/>
    </xf>
    <xf numFmtId="9" fontId="0" fillId="0" borderId="17" xfId="4" applyFont="1" applyBorder="1" applyAlignment="1">
      <alignment horizontal="right" indent="1"/>
    </xf>
    <xf numFmtId="0" fontId="0" fillId="0" borderId="0" xfId="0" applyAlignment="1">
      <alignment horizontal="right"/>
    </xf>
    <xf numFmtId="9" fontId="4" fillId="0" borderId="0" xfId="4" applyFont="1" applyAlignment="1">
      <alignment horizontal="right" indent="1"/>
    </xf>
    <xf numFmtId="9" fontId="0" fillId="0" borderId="0" xfId="4" applyFont="1" applyAlignment="1">
      <alignment horizontal="right" indent="1"/>
    </xf>
    <xf numFmtId="172" fontId="0" fillId="0" borderId="0" xfId="4" applyNumberFormat="1" applyFont="1" applyAlignment="1">
      <alignment horizontal="right" indent="1"/>
    </xf>
    <xf numFmtId="166" fontId="4" fillId="0" borderId="15" xfId="0" applyNumberFormat="1" applyFont="1" applyBorder="1" applyAlignment="1">
      <alignment horizontal="right" indent="1"/>
    </xf>
    <xf numFmtId="0" fontId="9" fillId="10" borderId="0" xfId="0" applyFont="1" applyFill="1" applyAlignment="1">
      <alignment wrapText="1"/>
    </xf>
    <xf numFmtId="0" fontId="0" fillId="0" borderId="0" xfId="0" applyBorder="1"/>
    <xf numFmtId="169" fontId="2" fillId="0" borderId="0" xfId="1" applyNumberFormat="1" applyFont="1" applyBorder="1" applyAlignment="1">
      <alignment horizontal="right" indent="1"/>
    </xf>
    <xf numFmtId="172" fontId="0" fillId="0" borderId="0" xfId="0" applyNumberFormat="1" applyBorder="1" applyAlignment="1">
      <alignment horizontal="right" indent="3"/>
    </xf>
    <xf numFmtId="0" fontId="4" fillId="0" borderId="0" xfId="0" applyFont="1" applyFill="1" applyBorder="1"/>
    <xf numFmtId="9" fontId="4" fillId="0" borderId="0" xfId="1" applyNumberFormat="1" applyFont="1" applyBorder="1" applyAlignment="1">
      <alignment horizontal="right" indent="1"/>
    </xf>
    <xf numFmtId="0" fontId="21" fillId="9" borderId="0" xfId="0" applyFont="1" applyFill="1" applyAlignment="1">
      <alignment horizontal="center" vertical="center"/>
    </xf>
    <xf numFmtId="0" fontId="20" fillId="3" borderId="11" xfId="0" applyFont="1" applyFill="1" applyBorder="1" applyAlignment="1">
      <alignment horizontal="center"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164" fontId="12" fillId="8" borderId="11" xfId="0" applyNumberFormat="1"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164" fontId="12" fillId="6" borderId="11" xfId="0" applyNumberFormat="1" applyFont="1" applyFill="1" applyBorder="1" applyAlignment="1">
      <alignment horizontal="center" vertical="center"/>
    </xf>
    <xf numFmtId="164" fontId="12" fillId="6" borderId="12" xfId="0" applyNumberFormat="1" applyFont="1" applyFill="1" applyBorder="1" applyAlignment="1">
      <alignment horizontal="center" vertical="center"/>
    </xf>
    <xf numFmtId="164" fontId="12" fillId="6" borderId="13" xfId="0" applyNumberFormat="1" applyFont="1" applyFill="1" applyBorder="1" applyAlignment="1">
      <alignment horizontal="center" vertical="center"/>
    </xf>
    <xf numFmtId="164" fontId="19" fillId="0" borderId="0" xfId="3" applyNumberFormat="1" applyFont="1" applyBorder="1" applyAlignment="1" applyProtection="1">
      <alignment horizontal="center"/>
    </xf>
    <xf numFmtId="164" fontId="3" fillId="4" borderId="0" xfId="2" applyNumberFormat="1" applyFont="1" applyFill="1" applyBorder="1" applyAlignment="1">
      <alignment horizontal="center"/>
    </xf>
  </cellXfs>
  <cellStyles count="5">
    <cellStyle name="Accent6" xfId="2" builtinId="49"/>
    <cellStyle name="Comma" xfId="1" builtinId="3"/>
    <cellStyle name="Hyperlink" xfId="3" builtinId="8"/>
    <cellStyle name="Normal" xfId="0" builtinId="0"/>
    <cellStyle name="Percent" xfId="4" builtinId="5"/>
  </cellStyles>
  <dxfs count="70">
    <dxf>
      <font>
        <b/>
        <i val="0"/>
        <color theme="0"/>
      </font>
      <fill>
        <patternFill>
          <bgColor theme="5"/>
        </patternFill>
      </fill>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border outline="0">
        <left style="medium">
          <color indexed="64"/>
        </left>
        <right style="medium">
          <color indexed="64"/>
        </right>
        <top style="medium">
          <color indexed="64"/>
        </top>
        <bottom style="medium">
          <color indexed="64"/>
        </bottom>
      </border>
    </dxf>
    <dxf>
      <font>
        <strike val="0"/>
        <outline val="0"/>
        <shadow val="0"/>
        <u val="none"/>
        <vertAlign val="baseline"/>
        <sz val="10"/>
        <color theme="1"/>
        <name val="Calibri"/>
        <scheme val="minor"/>
      </font>
    </dxf>
  </dxfs>
  <tableStyles count="0" defaultTableStyle="TableStyleMedium2" defaultPivotStyle="PivotStyleLight16"/>
  <colors>
    <mruColors>
      <color rgb="FF0666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Analysis'!$A$16</c:f>
              <c:strCache>
                <c:ptCount val="1"/>
                <c:pt idx="0">
                  <c:v>Return on average Equity (RoAE)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Analysis'!$C$16:$K$16</c:f>
              <c:numCache>
                <c:formatCode>0.0%;\ \(0.0%\)</c:formatCode>
                <c:ptCount val="9"/>
                <c:pt idx="0">
                  <c:v>0.31256461881699943</c:v>
                </c:pt>
                <c:pt idx="1">
                  <c:v>0.31124012256087752</c:v>
                </c:pt>
                <c:pt idx="2">
                  <c:v>0.26993424494527246</c:v>
                </c:pt>
                <c:pt idx="3">
                  <c:v>0.2298020134503066</c:v>
                </c:pt>
                <c:pt idx="4">
                  <c:v>0.19486957228377161</c:v>
                </c:pt>
                <c:pt idx="5">
                  <c:v>0.30573338023214924</c:v>
                </c:pt>
                <c:pt idx="6">
                  <c:v>0.28647310453127595</c:v>
                </c:pt>
                <c:pt idx="7">
                  <c:v>0.19083685521267665</c:v>
                </c:pt>
                <c:pt idx="8">
                  <c:v>0.20564367829728669</c:v>
                </c:pt>
              </c:numCache>
            </c:numRef>
          </c:val>
          <c:smooth val="0"/>
          <c:extLst>
            <c:ext xmlns:c16="http://schemas.microsoft.com/office/drawing/2014/chart" uri="{C3380CC4-5D6E-409C-BE32-E72D297353CC}">
              <c16:uniqueId val="{00000001-0A0A-2946-B9B0-0E28CD9C2EEB}"/>
            </c:ext>
          </c:extLst>
        </c:ser>
        <c:ser>
          <c:idx val="1"/>
          <c:order val="1"/>
          <c:tx>
            <c:strRef>
              <c:f>'Ratio Analysis'!$A$17</c:f>
              <c:strCache>
                <c:ptCount val="1"/>
                <c:pt idx="0">
                  <c:v>Return on average Capital Employed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Analysis'!$C$17:$K$17</c:f>
              <c:numCache>
                <c:formatCode>0.0%;\ \(0.0%\)</c:formatCode>
                <c:ptCount val="9"/>
                <c:pt idx="0">
                  <c:v>0.3088775456506867</c:v>
                </c:pt>
                <c:pt idx="1">
                  <c:v>0.37746652935118452</c:v>
                </c:pt>
                <c:pt idx="2">
                  <c:v>0.35930511920162628</c:v>
                </c:pt>
                <c:pt idx="3">
                  <c:v>0.32992933811789604</c:v>
                </c:pt>
                <c:pt idx="4">
                  <c:v>0.27513050461785554</c:v>
                </c:pt>
                <c:pt idx="5">
                  <c:v>0.45790993288087301</c:v>
                </c:pt>
                <c:pt idx="6">
                  <c:v>0.36554276315789458</c:v>
                </c:pt>
                <c:pt idx="7">
                  <c:v>0.23800792864222001</c:v>
                </c:pt>
                <c:pt idx="8">
                  <c:v>0.26589189794751145</c:v>
                </c:pt>
              </c:numCache>
            </c:numRef>
          </c:val>
          <c:smooth val="0"/>
          <c:extLst>
            <c:ext xmlns:c16="http://schemas.microsoft.com/office/drawing/2014/chart" uri="{C3380CC4-5D6E-409C-BE32-E72D297353CC}">
              <c16:uniqueId val="{00000002-0A0A-2946-B9B0-0E28CD9C2EEB}"/>
            </c:ext>
          </c:extLst>
        </c:ser>
        <c:dLbls>
          <c:showLegendKey val="0"/>
          <c:showVal val="0"/>
          <c:showCatName val="0"/>
          <c:showSerName val="0"/>
          <c:showPercent val="0"/>
          <c:showBubbleSize val="0"/>
        </c:dLbls>
        <c:smooth val="0"/>
        <c:axId val="205398320"/>
        <c:axId val="205039168"/>
      </c:lineChart>
      <c:dateAx>
        <c:axId val="205398320"/>
        <c:scaling>
          <c:orientation val="minMax"/>
        </c:scaling>
        <c:delete val="0"/>
        <c:axPos val="b"/>
        <c:numFmt formatCode="yyyy"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039168"/>
        <c:crosses val="autoZero"/>
        <c:auto val="0"/>
        <c:lblOffset val="100"/>
        <c:baseTimeUnit val="years"/>
      </c:dateAx>
      <c:valAx>
        <c:axId val="205039168"/>
        <c:scaling>
          <c:orientation val="minMax"/>
        </c:scaling>
        <c:delete val="0"/>
        <c:axPos val="l"/>
        <c:numFmt formatCode="0.0%;\ \(0.0%\)"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398320"/>
        <c:crossesAt val="4127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Analysis'!$A$4</c:f>
              <c:strCache>
                <c:ptCount val="1"/>
                <c:pt idx="0">
                  <c:v>Operating Profit Margin (OPM)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Analysis'!$C$4:$K$4</c:f>
              <c:numCache>
                <c:formatCode>0.0%;\ \(0.0%\)</c:formatCode>
                <c:ptCount val="9"/>
                <c:pt idx="0">
                  <c:v>0.21962851766193095</c:v>
                </c:pt>
                <c:pt idx="1">
                  <c:v>0.24892125484301514</c:v>
                </c:pt>
                <c:pt idx="2">
                  <c:v>0.3278389729772565</c:v>
                </c:pt>
                <c:pt idx="3">
                  <c:v>0.33995536759312717</c:v>
                </c:pt>
                <c:pt idx="4">
                  <c:v>0.27174925994956689</c:v>
                </c:pt>
                <c:pt idx="5">
                  <c:v>0.37680863891056104</c:v>
                </c:pt>
                <c:pt idx="6">
                  <c:v>0.40324822377948616</c:v>
                </c:pt>
                <c:pt idx="7">
                  <c:v>0.37019260998050846</c:v>
                </c:pt>
                <c:pt idx="8">
                  <c:v>0.26956193400226552</c:v>
                </c:pt>
              </c:numCache>
            </c:numRef>
          </c:val>
          <c:smooth val="0"/>
          <c:extLst>
            <c:ext xmlns:c16="http://schemas.microsoft.com/office/drawing/2014/chart" uri="{C3380CC4-5D6E-409C-BE32-E72D297353CC}">
              <c16:uniqueId val="{00000000-0ACA-5D43-8A9F-D2C5BDEE2102}"/>
            </c:ext>
          </c:extLst>
        </c:ser>
        <c:ser>
          <c:idx val="1"/>
          <c:order val="1"/>
          <c:tx>
            <c:strRef>
              <c:f>'Ratio Analysis'!$A$5</c:f>
              <c:strCache>
                <c:ptCount val="1"/>
                <c:pt idx="0">
                  <c:v>Net Profit Margin (NPM)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Analysis'!$C$5:$K$5</c:f>
              <c:numCache>
                <c:formatCode>0.0%;\ \(0.0%\)</c:formatCode>
                <c:ptCount val="9"/>
                <c:pt idx="0">
                  <c:v>0.12376998549121568</c:v>
                </c:pt>
                <c:pt idx="1">
                  <c:v>0.1500524794941237</c:v>
                </c:pt>
                <c:pt idx="2">
                  <c:v>0.20852682462952687</c:v>
                </c:pt>
                <c:pt idx="3">
                  <c:v>0.2189016682532498</c:v>
                </c:pt>
                <c:pt idx="4">
                  <c:v>0.1971823264992873</c:v>
                </c:pt>
                <c:pt idx="5">
                  <c:v>0.25045215972764029</c:v>
                </c:pt>
                <c:pt idx="6">
                  <c:v>0.32447247951636243</c:v>
                </c:pt>
                <c:pt idx="7">
                  <c:v>0.28226059983652257</c:v>
                </c:pt>
                <c:pt idx="8">
                  <c:v>0.21458858193387845</c:v>
                </c:pt>
              </c:numCache>
            </c:numRef>
          </c:val>
          <c:smooth val="0"/>
          <c:extLst>
            <c:ext xmlns:c16="http://schemas.microsoft.com/office/drawing/2014/chart" uri="{C3380CC4-5D6E-409C-BE32-E72D297353CC}">
              <c16:uniqueId val="{00000001-0ACA-5D43-8A9F-D2C5BDEE2102}"/>
            </c:ext>
          </c:extLst>
        </c:ser>
        <c:dLbls>
          <c:dLblPos val="ctr"/>
          <c:showLegendKey val="0"/>
          <c:showVal val="1"/>
          <c:showCatName val="0"/>
          <c:showSerName val="0"/>
          <c:showPercent val="0"/>
          <c:showBubbleSize val="0"/>
        </c:dLbls>
        <c:smooth val="0"/>
        <c:axId val="205398320"/>
        <c:axId val="205039168"/>
      </c:lineChart>
      <c:dateAx>
        <c:axId val="205398320"/>
        <c:scaling>
          <c:orientation val="minMax"/>
        </c:scaling>
        <c:delete val="0"/>
        <c:axPos val="b"/>
        <c:numFmt formatCode="yyyy"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039168"/>
        <c:crosses val="autoZero"/>
        <c:auto val="0"/>
        <c:lblOffset val="100"/>
        <c:baseTimeUnit val="years"/>
      </c:dateAx>
      <c:valAx>
        <c:axId val="205039168"/>
        <c:scaling>
          <c:orientation val="minMax"/>
        </c:scaling>
        <c:delete val="0"/>
        <c:axPos val="l"/>
        <c:numFmt formatCode="0.0%;\ \(0.0%\)"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398320"/>
        <c:crossesAt val="4127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Analysis'!$A$12</c:f>
              <c:strCache>
                <c:ptCount val="1"/>
                <c:pt idx="0">
                  <c:v>Net Fixed Asset Turnover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Analysis'!$C$12:$K$12</c:f>
              <c:numCache>
                <c:formatCode>#,##0.0\x;\ \(#,##0.0\x\)</c:formatCode>
                <c:ptCount val="9"/>
                <c:pt idx="0">
                  <c:v>2.3426100417283622</c:v>
                </c:pt>
                <c:pt idx="1">
                  <c:v>2.4443494235398453</c:v>
                </c:pt>
                <c:pt idx="2">
                  <c:v>1.7794793693769919</c:v>
                </c:pt>
                <c:pt idx="3">
                  <c:v>1.5086463642891617</c:v>
                </c:pt>
                <c:pt idx="4">
                  <c:v>1.5786422050106008</c:v>
                </c:pt>
                <c:pt idx="5">
                  <c:v>2.4221184302356797</c:v>
                </c:pt>
                <c:pt idx="6">
                  <c:v>1.6794175977539643</c:v>
                </c:pt>
                <c:pt idx="7">
                  <c:v>1.2659410051804534</c:v>
                </c:pt>
                <c:pt idx="8">
                  <c:v>1.9822208588957055</c:v>
                </c:pt>
              </c:numCache>
            </c:numRef>
          </c:val>
          <c:smooth val="0"/>
          <c:extLst>
            <c:ext xmlns:c16="http://schemas.microsoft.com/office/drawing/2014/chart" uri="{C3380CC4-5D6E-409C-BE32-E72D297353CC}">
              <c16:uniqueId val="{00000000-73C4-2046-8D06-9E4A2C75A4F0}"/>
            </c:ext>
          </c:extLst>
        </c:ser>
        <c:ser>
          <c:idx val="2"/>
          <c:order val="1"/>
          <c:tx>
            <c:strRef>
              <c:f>'Ratio Analysis'!$A$14</c:f>
              <c:strCache>
                <c:ptCount val="1"/>
                <c:pt idx="0">
                  <c:v>Inventory Turnover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Analysis'!$C$14:$K$14</c:f>
              <c:numCache>
                <c:formatCode>#,##0.0\x;\ \(#,##0.0\x\)</c:formatCode>
                <c:ptCount val="9"/>
                <c:pt idx="0">
                  <c:v>13.748000394983706</c:v>
                </c:pt>
                <c:pt idx="1">
                  <c:v>15.263647151898734</c:v>
                </c:pt>
                <c:pt idx="2">
                  <c:v>12.722048593608228</c:v>
                </c:pt>
                <c:pt idx="3">
                  <c:v>11.675138926847044</c:v>
                </c:pt>
                <c:pt idx="4">
                  <c:v>9.9073998642226737</c:v>
                </c:pt>
                <c:pt idx="5">
                  <c:v>12.918566029091743</c:v>
                </c:pt>
                <c:pt idx="6">
                  <c:v>11.089351153265788</c:v>
                </c:pt>
                <c:pt idx="7">
                  <c:v>8.8722978941006918</c:v>
                </c:pt>
                <c:pt idx="8">
                  <c:v>10.838711841663871</c:v>
                </c:pt>
              </c:numCache>
            </c:numRef>
          </c:val>
          <c:smooth val="0"/>
          <c:extLst>
            <c:ext xmlns:c16="http://schemas.microsoft.com/office/drawing/2014/chart" uri="{C3380CC4-5D6E-409C-BE32-E72D297353CC}">
              <c16:uniqueId val="{00000002-73C4-2046-8D06-9E4A2C75A4F0}"/>
            </c:ext>
          </c:extLst>
        </c:ser>
        <c:dLbls>
          <c:dLblPos val="ctr"/>
          <c:showLegendKey val="0"/>
          <c:showVal val="1"/>
          <c:showCatName val="0"/>
          <c:showSerName val="0"/>
          <c:showPercent val="0"/>
          <c:showBubbleSize val="0"/>
        </c:dLbls>
        <c:smooth val="0"/>
        <c:axId val="205398320"/>
        <c:axId val="205039168"/>
      </c:lineChart>
      <c:dateAx>
        <c:axId val="205398320"/>
        <c:scaling>
          <c:orientation val="minMax"/>
        </c:scaling>
        <c:delete val="0"/>
        <c:axPos val="b"/>
        <c:numFmt formatCode="yyyy"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039168"/>
        <c:crosses val="autoZero"/>
        <c:auto val="1"/>
        <c:lblOffset val="100"/>
        <c:baseTimeUnit val="years"/>
      </c:dateAx>
      <c:valAx>
        <c:axId val="205039168"/>
        <c:scaling>
          <c:orientation val="minMax"/>
        </c:scaling>
        <c:delete val="0"/>
        <c:axPos val="l"/>
        <c:numFmt formatCode="#,##0.0\x;\ \(#,##0.0\x\)"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398320"/>
        <c:crossesAt val="4127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technofunda.co/connect" TargetMode="External"/><Relationship Id="rId3" Type="http://schemas.openxmlformats.org/officeDocument/2006/relationships/hyperlink" Target="https://technofunda.co/subscribe" TargetMode="External"/><Relationship Id="rId7" Type="http://schemas.openxmlformats.org/officeDocument/2006/relationships/hyperlink" Target="https://technofunda.co/android" TargetMode="External"/><Relationship Id="rId2" Type="http://schemas.openxmlformats.org/officeDocument/2006/relationships/hyperlink" Target="https://technofunda.co/email-course" TargetMode="External"/><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image" Target="../media/image2.PNG"/><Relationship Id="rId5" Type="http://schemas.openxmlformats.org/officeDocument/2006/relationships/hyperlink" Target="https://technofunda.co/exceldemo" TargetMode="External"/><Relationship Id="rId10" Type="http://schemas.openxmlformats.org/officeDocument/2006/relationships/hyperlink" Target="http://technofunda.co/book" TargetMode="External"/><Relationship Id="rId4" Type="http://schemas.openxmlformats.org/officeDocument/2006/relationships/hyperlink" Target="https://vivekmashrani.com/" TargetMode="External"/><Relationship Id="rId9" Type="http://schemas.openxmlformats.org/officeDocument/2006/relationships/hyperlink" Target="https://technofunda.co/book"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technofunda.co/webinar" TargetMode="External"/><Relationship Id="rId3" Type="http://schemas.openxmlformats.org/officeDocument/2006/relationships/hyperlink" Target="#'Balance Sheet'!A1"/><Relationship Id="rId7" Type="http://schemas.openxmlformats.org/officeDocument/2006/relationships/hyperlink" Target="https://technofunda.co/youtube-subscribe" TargetMode="External"/><Relationship Id="rId2" Type="http://schemas.openxmlformats.org/officeDocument/2006/relationships/hyperlink" Target="#'Income Statement'!A1"/><Relationship Id="rId1" Type="http://schemas.openxmlformats.org/officeDocument/2006/relationships/hyperlink" Target="#Instructions!A1"/><Relationship Id="rId6" Type="http://schemas.openxmlformats.org/officeDocument/2006/relationships/hyperlink" Target="#'DuPont Analysis'!A1"/><Relationship Id="rId5" Type="http://schemas.openxmlformats.org/officeDocument/2006/relationships/hyperlink" Target="#'Ratio Analysis'!A1"/><Relationship Id="rId10" Type="http://schemas.openxmlformats.org/officeDocument/2006/relationships/hyperlink" Target="#Graphs!A1"/><Relationship Id="rId4" Type="http://schemas.openxmlformats.org/officeDocument/2006/relationships/hyperlink" Target="#'Cashflow Statement'!A1"/><Relationship Id="rId9" Type="http://schemas.openxmlformats.org/officeDocument/2006/relationships/hyperlink" Target="#'Income Statement_Quarterly'!A1"/></Relationships>
</file>

<file path=xl/drawings/_rels/drawing3.xml.rels><?xml version="1.0" encoding="UTF-8" standalone="yes"?>
<Relationships xmlns="http://schemas.openxmlformats.org/package/2006/relationships"><Relationship Id="rId1" Type="http://schemas.openxmlformats.org/officeDocument/2006/relationships/hyperlink" Target="#Overview!A1"/></Relationships>
</file>

<file path=xl/drawings/_rels/drawing4.xml.rels><?xml version="1.0" encoding="UTF-8" standalone="yes"?>
<Relationships xmlns="http://schemas.openxmlformats.org/package/2006/relationships"><Relationship Id="rId1" Type="http://schemas.openxmlformats.org/officeDocument/2006/relationships/hyperlink" Target="#Overview!A1"/></Relationships>
</file>

<file path=xl/drawings/_rels/drawing5.xml.rels><?xml version="1.0" encoding="UTF-8" standalone="yes"?>
<Relationships xmlns="http://schemas.openxmlformats.org/package/2006/relationships"><Relationship Id="rId1" Type="http://schemas.openxmlformats.org/officeDocument/2006/relationships/hyperlink" Target="#Overview!A1"/></Relationships>
</file>

<file path=xl/drawings/_rels/drawing6.xml.rels><?xml version="1.0" encoding="UTF-8" standalone="yes"?>
<Relationships xmlns="http://schemas.openxmlformats.org/package/2006/relationships"><Relationship Id="rId1" Type="http://schemas.openxmlformats.org/officeDocument/2006/relationships/hyperlink" Target="#Overview!A1"/></Relationships>
</file>

<file path=xl/drawings/_rels/drawing7.xml.rels><?xml version="1.0" encoding="UTF-8" standalone="yes"?>
<Relationships xmlns="http://schemas.openxmlformats.org/package/2006/relationships"><Relationship Id="rId1" Type="http://schemas.openxmlformats.org/officeDocument/2006/relationships/hyperlink" Target="#Overview!A1"/></Relationships>
</file>

<file path=xl/drawings/_rels/drawing8.xml.rels><?xml version="1.0" encoding="UTF-8" standalone="yes"?>
<Relationships xmlns="http://schemas.openxmlformats.org/package/2006/relationships"><Relationship Id="rId1" Type="http://schemas.openxmlformats.org/officeDocument/2006/relationships/hyperlink" Target="#Overview!A1"/></Relationships>
</file>

<file path=xl/drawings/_rels/drawing9.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Overview!A1"/><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40520</xdr:colOff>
      <xdr:row>0</xdr:row>
      <xdr:rowOff>155062</xdr:rowOff>
    </xdr:from>
    <xdr:to>
      <xdr:col>6</xdr:col>
      <xdr:colOff>0</xdr:colOff>
      <xdr:row>4</xdr:row>
      <xdr:rowOff>60235</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8487834" y="155062"/>
          <a:ext cx="4197652" cy="688944"/>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GO</a:t>
          </a:r>
          <a:r>
            <a:rPr lang="en-IN" sz="2000" b="1" baseline="0"/>
            <a:t> TO OVERVIEW TAB</a:t>
          </a:r>
          <a:endParaRPr lang="en-IN" sz="2000" b="1"/>
        </a:p>
      </xdr:txBody>
    </xdr:sp>
    <xdr:clientData/>
  </xdr:twoCellAnchor>
  <xdr:twoCellAnchor>
    <xdr:from>
      <xdr:col>2</xdr:col>
      <xdr:colOff>38100</xdr:colOff>
      <xdr:row>7</xdr:row>
      <xdr:rowOff>75233</xdr:rowOff>
    </xdr:from>
    <xdr:to>
      <xdr:col>6</xdr:col>
      <xdr:colOff>0</xdr:colOff>
      <xdr:row>9</xdr:row>
      <xdr:rowOff>144538</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0000000-0008-0000-0000-000006000000}"/>
            </a:ext>
          </a:extLst>
        </xdr:cNvPr>
        <xdr:cNvSpPr/>
      </xdr:nvSpPr>
      <xdr:spPr>
        <a:xfrm>
          <a:off x="8485414" y="1446833"/>
          <a:ext cx="4194266" cy="689791"/>
        </a:xfrm>
        <a:prstGeom prst="rect">
          <a:avLst/>
        </a:prstGeom>
        <a:solidFill>
          <a:schemeClr val="accent2"/>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GET</a:t>
          </a:r>
          <a:r>
            <a:rPr lang="en-IN" sz="2000" b="1" baseline="0"/>
            <a:t> </a:t>
          </a:r>
          <a:r>
            <a:rPr lang="en-IN" sz="2000" b="1"/>
            <a:t>10-DAY</a:t>
          </a:r>
          <a:r>
            <a:rPr lang="en-IN" sz="2000" b="1" baseline="0"/>
            <a:t> FREE EMAIL COURSE</a:t>
          </a:r>
          <a:endParaRPr lang="en-IN" sz="2000" b="1"/>
        </a:p>
      </xdr:txBody>
    </xdr:sp>
    <xdr:clientData/>
  </xdr:twoCellAnchor>
  <xdr:twoCellAnchor>
    <xdr:from>
      <xdr:col>2</xdr:col>
      <xdr:colOff>37253</xdr:colOff>
      <xdr:row>12</xdr:row>
      <xdr:rowOff>102810</xdr:rowOff>
    </xdr:from>
    <xdr:to>
      <xdr:col>6</xdr:col>
      <xdr:colOff>0</xdr:colOff>
      <xdr:row>14</xdr:row>
      <xdr:rowOff>193887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a:xfrm>
          <a:off x="8484567" y="2889553"/>
          <a:ext cx="4194266" cy="678905"/>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INVESTING</a:t>
          </a:r>
          <a:r>
            <a:rPr lang="en-IN" sz="2000" b="1" baseline="0"/>
            <a:t> LEARNING UPDATES</a:t>
          </a:r>
          <a:endParaRPr lang="en-IN" sz="2000" b="1"/>
        </a:p>
      </xdr:txBody>
    </xdr:sp>
    <xdr:clientData/>
  </xdr:twoCellAnchor>
  <xdr:twoCellAnchor>
    <xdr:from>
      <xdr:col>2</xdr:col>
      <xdr:colOff>40639</xdr:colOff>
      <xdr:row>17</xdr:row>
      <xdr:rowOff>134256</xdr:rowOff>
    </xdr:from>
    <xdr:to>
      <xdr:col>6</xdr:col>
      <xdr:colOff>0</xdr:colOff>
      <xdr:row>20</xdr:row>
      <xdr:rowOff>40276</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a:xfrm>
          <a:off x="8487953" y="4303485"/>
          <a:ext cx="4194266" cy="689791"/>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VISIT</a:t>
          </a:r>
          <a:r>
            <a:rPr lang="en-IN" sz="2000" b="1" baseline="0"/>
            <a:t> MY WEBSITE</a:t>
          </a:r>
          <a:endParaRPr lang="en-IN" sz="2000" b="1"/>
        </a:p>
      </xdr:txBody>
    </xdr:sp>
    <xdr:clientData/>
  </xdr:twoCellAnchor>
  <xdr:twoCellAnchor>
    <xdr:from>
      <xdr:col>0</xdr:col>
      <xdr:colOff>1463523</xdr:colOff>
      <xdr:row>23</xdr:row>
      <xdr:rowOff>174172</xdr:rowOff>
    </xdr:from>
    <xdr:to>
      <xdr:col>0</xdr:col>
      <xdr:colOff>5718023</xdr:colOff>
      <xdr:row>27</xdr:row>
      <xdr:rowOff>78981</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00000000-0008-0000-0000-000009000000}"/>
            </a:ext>
          </a:extLst>
        </xdr:cNvPr>
        <xdr:cNvSpPr/>
      </xdr:nvSpPr>
      <xdr:spPr>
        <a:xfrm>
          <a:off x="1463523" y="5921829"/>
          <a:ext cx="4254500" cy="688581"/>
        </a:xfrm>
        <a:prstGeom prst="rect">
          <a:avLst/>
        </a:prstGeom>
        <a:solidFill>
          <a:srgbClr val="00B050"/>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WATCH SCREENER TUTORIAL</a:t>
          </a:r>
        </a:p>
      </xdr:txBody>
    </xdr:sp>
    <xdr:clientData/>
  </xdr:twoCellAnchor>
  <xdr:twoCellAnchor editAs="oneCell">
    <xdr:from>
      <xdr:col>0</xdr:col>
      <xdr:colOff>1862667</xdr:colOff>
      <xdr:row>0</xdr:row>
      <xdr:rowOff>30480</xdr:rowOff>
    </xdr:from>
    <xdr:to>
      <xdr:col>0</xdr:col>
      <xdr:colOff>5349240</xdr:colOff>
      <xdr:row>7</xdr:row>
      <xdr:rowOff>106757</xdr:rowOff>
    </xdr:to>
    <xdr:pic>
      <xdr:nvPicPr>
        <xdr:cNvPr id="10" name="Picture 9">
          <a:hlinkClick xmlns:r="http://schemas.openxmlformats.org/officeDocument/2006/relationships" r:id="rId4"/>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597" t="8017" r="7780" b="6802"/>
        <a:stretch/>
      </xdr:blipFill>
      <xdr:spPr>
        <a:xfrm>
          <a:off x="1862667" y="30480"/>
          <a:ext cx="3486573" cy="1409777"/>
        </a:xfrm>
        <a:prstGeom prst="rect">
          <a:avLst/>
        </a:prstGeom>
      </xdr:spPr>
    </xdr:pic>
    <xdr:clientData/>
  </xdr:twoCellAnchor>
  <xdr:twoCellAnchor>
    <xdr:from>
      <xdr:col>2</xdr:col>
      <xdr:colOff>30018</xdr:colOff>
      <xdr:row>23</xdr:row>
      <xdr:rowOff>199736</xdr:rowOff>
    </xdr:from>
    <xdr:to>
      <xdr:col>6</xdr:col>
      <xdr:colOff>0</xdr:colOff>
      <xdr:row>27</xdr:row>
      <xdr:rowOff>156557</xdr:rowOff>
    </xdr:to>
    <xdr:sp macro="" textlink="">
      <xdr:nvSpPr>
        <xdr:cNvPr id="11" name="Rectangle 10">
          <a:hlinkClick xmlns:r="http://schemas.openxmlformats.org/officeDocument/2006/relationships" r:id="rId7"/>
          <a:extLst>
            <a:ext uri="{FF2B5EF4-FFF2-40B4-BE49-F238E27FC236}">
              <a16:creationId xmlns:a16="http://schemas.microsoft.com/office/drawing/2014/main" id="{75354992-D716-934A-A128-0966831EB220}"/>
            </a:ext>
          </a:extLst>
        </xdr:cNvPr>
        <xdr:cNvSpPr/>
      </xdr:nvSpPr>
      <xdr:spPr>
        <a:xfrm>
          <a:off x="10190018" y="6238009"/>
          <a:ext cx="4690721" cy="78809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Download</a:t>
          </a:r>
          <a:r>
            <a:rPr lang="en-IN" sz="2000" b="1" baseline="0"/>
            <a:t> Android App</a:t>
          </a:r>
          <a:endParaRPr lang="en-IN" sz="2000" b="1"/>
        </a:p>
      </xdr:txBody>
    </xdr:sp>
    <xdr:clientData/>
  </xdr:twoCellAnchor>
  <xdr:twoCellAnchor>
    <xdr:from>
      <xdr:col>2</xdr:col>
      <xdr:colOff>23090</xdr:colOff>
      <xdr:row>31</xdr:row>
      <xdr:rowOff>288635</xdr:rowOff>
    </xdr:from>
    <xdr:to>
      <xdr:col>6</xdr:col>
      <xdr:colOff>0</xdr:colOff>
      <xdr:row>33</xdr:row>
      <xdr:rowOff>176182</xdr:rowOff>
    </xdr:to>
    <xdr:sp macro="" textlink="">
      <xdr:nvSpPr>
        <xdr:cNvPr id="2" name="Rectangle 1">
          <a:hlinkClick xmlns:r="http://schemas.openxmlformats.org/officeDocument/2006/relationships" r:id="rId8"/>
          <a:extLst>
            <a:ext uri="{FF2B5EF4-FFF2-40B4-BE49-F238E27FC236}">
              <a16:creationId xmlns:a16="http://schemas.microsoft.com/office/drawing/2014/main" id="{248FF84E-AA40-504B-AAF9-48F2CA85B37B}"/>
            </a:ext>
          </a:extLst>
        </xdr:cNvPr>
        <xdr:cNvSpPr/>
      </xdr:nvSpPr>
      <xdr:spPr>
        <a:xfrm>
          <a:off x="10183090" y="8012544"/>
          <a:ext cx="4690721" cy="788093"/>
        </a:xfrm>
        <a:prstGeom prst="rect">
          <a:avLst/>
        </a:prstGeom>
        <a:solidFill>
          <a:schemeClr val="accent2"/>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Connect With Me</a:t>
          </a:r>
        </a:p>
      </xdr:txBody>
    </xdr:sp>
    <xdr:clientData/>
  </xdr:twoCellAnchor>
  <xdr:twoCellAnchor>
    <xdr:from>
      <xdr:col>7</xdr:col>
      <xdr:colOff>0</xdr:colOff>
      <xdr:row>12</xdr:row>
      <xdr:rowOff>11547</xdr:rowOff>
    </xdr:from>
    <xdr:to>
      <xdr:col>9</xdr:col>
      <xdr:colOff>277091</xdr:colOff>
      <xdr:row>14</xdr:row>
      <xdr:rowOff>219363</xdr:rowOff>
    </xdr:to>
    <xdr:sp macro="" textlink="">
      <xdr:nvSpPr>
        <xdr:cNvPr id="3" name="Rectangle 2">
          <a:hlinkClick xmlns:r="http://schemas.openxmlformats.org/officeDocument/2006/relationships" r:id="rId9"/>
          <a:extLst>
            <a:ext uri="{FF2B5EF4-FFF2-40B4-BE49-F238E27FC236}">
              <a16:creationId xmlns:a16="http://schemas.microsoft.com/office/drawing/2014/main" id="{DCB4272D-04E1-3B48-B7F2-79A6E031E369}"/>
            </a:ext>
          </a:extLst>
        </xdr:cNvPr>
        <xdr:cNvSpPr/>
      </xdr:nvSpPr>
      <xdr:spPr>
        <a:xfrm>
          <a:off x="15678727" y="3013365"/>
          <a:ext cx="2701637" cy="854362"/>
        </a:xfrm>
        <a:prstGeom prst="rect">
          <a:avLst/>
        </a:prstGeom>
        <a:solidFill>
          <a:schemeClr val="accent6"/>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READ MY BOOK</a:t>
          </a:r>
        </a:p>
      </xdr:txBody>
    </xdr:sp>
    <xdr:clientData/>
  </xdr:twoCellAnchor>
  <xdr:twoCellAnchor editAs="oneCell">
    <xdr:from>
      <xdr:col>7</xdr:col>
      <xdr:colOff>0</xdr:colOff>
      <xdr:row>0</xdr:row>
      <xdr:rowOff>0</xdr:rowOff>
    </xdr:from>
    <xdr:to>
      <xdr:col>9</xdr:col>
      <xdr:colOff>78083</xdr:colOff>
      <xdr:row>12</xdr:row>
      <xdr:rowOff>80819</xdr:rowOff>
    </xdr:to>
    <xdr:pic>
      <xdr:nvPicPr>
        <xdr:cNvPr id="13" name="Picture 12">
          <a:hlinkClick xmlns:r="http://schemas.openxmlformats.org/officeDocument/2006/relationships" r:id="rId10"/>
          <a:extLst>
            <a:ext uri="{FF2B5EF4-FFF2-40B4-BE49-F238E27FC236}">
              <a16:creationId xmlns:a16="http://schemas.microsoft.com/office/drawing/2014/main" id="{47789C4F-FCA6-2791-AB5A-CD4A2DE1F18D}"/>
            </a:ext>
          </a:extLst>
        </xdr:cNvPr>
        <xdr:cNvPicPr>
          <a:picLocks noChangeAspect="1"/>
        </xdr:cNvPicPr>
      </xdr:nvPicPr>
      <xdr:blipFill>
        <a:blip xmlns:r="http://schemas.openxmlformats.org/officeDocument/2006/relationships" r:embed="rId11"/>
        <a:stretch>
          <a:fillRect/>
        </a:stretch>
      </xdr:blipFill>
      <xdr:spPr>
        <a:xfrm>
          <a:off x="15724103" y="0"/>
          <a:ext cx="2502629" cy="30826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4</xdr:row>
      <xdr:rowOff>129540</xdr:rowOff>
    </xdr:from>
    <xdr:to>
      <xdr:col>3</xdr:col>
      <xdr:colOff>380032</xdr:colOff>
      <xdr:row>8</xdr:row>
      <xdr:rowOff>65193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5240" y="861060"/>
          <a:ext cx="4205272" cy="667173"/>
        </a:xfrm>
        <a:prstGeom prst="rect">
          <a:avLst/>
        </a:prstGeom>
        <a:solidFill>
          <a:schemeClr val="accent2"/>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GO</a:t>
          </a:r>
          <a:r>
            <a:rPr lang="en-IN" sz="2000" b="1" baseline="0"/>
            <a:t> TO INSTRUCTIONS TAB</a:t>
          </a:r>
          <a:endParaRPr lang="en-IN" sz="2000" b="1"/>
        </a:p>
      </xdr:txBody>
    </xdr:sp>
    <xdr:clientData/>
  </xdr:twoCellAnchor>
  <xdr:twoCellAnchor>
    <xdr:from>
      <xdr:col>0</xdr:col>
      <xdr:colOff>15240</xdr:colOff>
      <xdr:row>9</xdr:row>
      <xdr:rowOff>99060</xdr:rowOff>
    </xdr:from>
    <xdr:to>
      <xdr:col>3</xdr:col>
      <xdr:colOff>380032</xdr:colOff>
      <xdr:row>13</xdr:row>
      <xdr:rowOff>34713</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15240" y="1744980"/>
          <a:ext cx="4205272" cy="66717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INCOME</a:t>
          </a:r>
          <a:r>
            <a:rPr lang="en-IN" sz="2000" b="1" baseline="0"/>
            <a:t> STATEMENT</a:t>
          </a:r>
          <a:endParaRPr lang="en-IN" sz="2000" b="1"/>
        </a:p>
      </xdr:txBody>
    </xdr:sp>
    <xdr:clientData/>
  </xdr:twoCellAnchor>
  <xdr:twoCellAnchor>
    <xdr:from>
      <xdr:col>0</xdr:col>
      <xdr:colOff>7620</xdr:colOff>
      <xdr:row>19</xdr:row>
      <xdr:rowOff>92892</xdr:rowOff>
    </xdr:from>
    <xdr:to>
      <xdr:col>3</xdr:col>
      <xdr:colOff>372412</xdr:colOff>
      <xdr:row>23</xdr:row>
      <xdr:rowOff>28545</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7620" y="3703321"/>
          <a:ext cx="4619292" cy="69765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BALANCE SHEET</a:t>
          </a:r>
        </a:p>
      </xdr:txBody>
    </xdr:sp>
    <xdr:clientData/>
  </xdr:twoCellAnchor>
  <xdr:twoCellAnchor>
    <xdr:from>
      <xdr:col>0</xdr:col>
      <xdr:colOff>24311</xdr:colOff>
      <xdr:row>24</xdr:row>
      <xdr:rowOff>158931</xdr:rowOff>
    </xdr:from>
    <xdr:to>
      <xdr:col>3</xdr:col>
      <xdr:colOff>389103</xdr:colOff>
      <xdr:row>28</xdr:row>
      <xdr:rowOff>86964</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100-000006000000}"/>
            </a:ext>
          </a:extLst>
        </xdr:cNvPr>
        <xdr:cNvSpPr/>
      </xdr:nvSpPr>
      <xdr:spPr>
        <a:xfrm>
          <a:off x="24311" y="4721860"/>
          <a:ext cx="4619292" cy="69003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CASH</a:t>
          </a:r>
          <a:r>
            <a:rPr lang="en-IN" sz="2000" b="1" baseline="0"/>
            <a:t> FLOW STATEMENT</a:t>
          </a:r>
          <a:endParaRPr lang="en-IN" sz="2000" b="1"/>
        </a:p>
      </xdr:txBody>
    </xdr:sp>
    <xdr:clientData/>
  </xdr:twoCellAnchor>
  <xdr:twoCellAnchor>
    <xdr:from>
      <xdr:col>5</xdr:col>
      <xdr:colOff>144780</xdr:colOff>
      <xdr:row>4</xdr:row>
      <xdr:rowOff>121920</xdr:rowOff>
    </xdr:from>
    <xdr:to>
      <xdr:col>12</xdr:col>
      <xdr:colOff>82852</xdr:colOff>
      <xdr:row>8</xdr:row>
      <xdr:rowOff>57573</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100-000007000000}"/>
            </a:ext>
          </a:extLst>
        </xdr:cNvPr>
        <xdr:cNvSpPr/>
      </xdr:nvSpPr>
      <xdr:spPr>
        <a:xfrm>
          <a:off x="5204460" y="853440"/>
          <a:ext cx="4205272" cy="67479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RATIO ANALYSIS</a:t>
          </a:r>
        </a:p>
      </xdr:txBody>
    </xdr:sp>
    <xdr:clientData/>
  </xdr:twoCellAnchor>
  <xdr:twoCellAnchor>
    <xdr:from>
      <xdr:col>5</xdr:col>
      <xdr:colOff>144780</xdr:colOff>
      <xdr:row>9</xdr:row>
      <xdr:rowOff>83820</xdr:rowOff>
    </xdr:from>
    <xdr:to>
      <xdr:col>12</xdr:col>
      <xdr:colOff>82852</xdr:colOff>
      <xdr:row>13</xdr:row>
      <xdr:rowOff>19473</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100-000008000000}"/>
            </a:ext>
          </a:extLst>
        </xdr:cNvPr>
        <xdr:cNvSpPr/>
      </xdr:nvSpPr>
      <xdr:spPr>
        <a:xfrm>
          <a:off x="5204460" y="1737360"/>
          <a:ext cx="4205272" cy="66717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DUPONT ANALYSIS</a:t>
          </a:r>
        </a:p>
      </xdr:txBody>
    </xdr:sp>
    <xdr:clientData/>
  </xdr:twoCellAnchor>
  <xdr:twoCellAnchor>
    <xdr:from>
      <xdr:col>5</xdr:col>
      <xdr:colOff>137160</xdr:colOff>
      <xdr:row>14</xdr:row>
      <xdr:rowOff>45720</xdr:rowOff>
    </xdr:from>
    <xdr:to>
      <xdr:col>12</xdr:col>
      <xdr:colOff>71846</xdr:colOff>
      <xdr:row>18</xdr:row>
      <xdr:rowOff>20320</xdr:rowOff>
    </xdr:to>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100-000009000000}"/>
            </a:ext>
          </a:extLst>
        </xdr:cNvPr>
        <xdr:cNvSpPr/>
      </xdr:nvSpPr>
      <xdr:spPr>
        <a:xfrm>
          <a:off x="5196840" y="2606040"/>
          <a:ext cx="4201886" cy="706120"/>
        </a:xfrm>
        <a:prstGeom prst="rect">
          <a:avLst/>
        </a:prstGeom>
        <a:solidFill>
          <a:schemeClr val="accent6"/>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INVESTING RESOURCE</a:t>
          </a:r>
          <a:r>
            <a:rPr lang="en-IN" sz="2000" b="1" baseline="0"/>
            <a:t>S</a:t>
          </a:r>
          <a:endParaRPr lang="en-IN" sz="2000" b="1"/>
        </a:p>
      </xdr:txBody>
    </xdr:sp>
    <xdr:clientData/>
  </xdr:twoCellAnchor>
  <xdr:twoCellAnchor>
    <xdr:from>
      <xdr:col>5</xdr:col>
      <xdr:colOff>127000</xdr:colOff>
      <xdr:row>19</xdr:row>
      <xdr:rowOff>25400</xdr:rowOff>
    </xdr:from>
    <xdr:to>
      <xdr:col>12</xdr:col>
      <xdr:colOff>61686</xdr:colOff>
      <xdr:row>23</xdr:row>
      <xdr:rowOff>0</xdr:rowOff>
    </xdr:to>
    <xdr:sp macro="" textlink="">
      <xdr:nvSpPr>
        <xdr:cNvPr id="10" name="Rectangle 9">
          <a:hlinkClick xmlns:r="http://schemas.openxmlformats.org/officeDocument/2006/relationships" r:id="rId8"/>
          <a:extLst>
            <a:ext uri="{FF2B5EF4-FFF2-40B4-BE49-F238E27FC236}">
              <a16:creationId xmlns:a16="http://schemas.microsoft.com/office/drawing/2014/main" id="{0644CC46-9C78-2448-B21C-7E001A6D7FB8}"/>
            </a:ext>
          </a:extLst>
        </xdr:cNvPr>
        <xdr:cNvSpPr/>
      </xdr:nvSpPr>
      <xdr:spPr>
        <a:xfrm>
          <a:off x="5727700" y="3632200"/>
          <a:ext cx="4646386" cy="736600"/>
        </a:xfrm>
        <a:prstGeom prst="rect">
          <a:avLst/>
        </a:prstGeom>
        <a:solidFill>
          <a:schemeClr val="accent6"/>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INVESTING MASTERCLASS</a:t>
          </a:r>
        </a:p>
      </xdr:txBody>
    </xdr:sp>
    <xdr:clientData/>
  </xdr:twoCellAnchor>
  <xdr:twoCellAnchor>
    <xdr:from>
      <xdr:col>0</xdr:col>
      <xdr:colOff>0</xdr:colOff>
      <xdr:row>14</xdr:row>
      <xdr:rowOff>100149</xdr:rowOff>
    </xdr:from>
    <xdr:to>
      <xdr:col>3</xdr:col>
      <xdr:colOff>364792</xdr:colOff>
      <xdr:row>18</xdr:row>
      <xdr:rowOff>35802</xdr:rowOff>
    </xdr:to>
    <xdr:sp macro="" textlink="">
      <xdr:nvSpPr>
        <xdr:cNvPr id="11" name="Rectangle 10">
          <a:hlinkClick xmlns:r="http://schemas.openxmlformats.org/officeDocument/2006/relationships" r:id="rId9"/>
          <a:extLst>
            <a:ext uri="{FF2B5EF4-FFF2-40B4-BE49-F238E27FC236}">
              <a16:creationId xmlns:a16="http://schemas.microsoft.com/office/drawing/2014/main" id="{833353DC-F972-4A40-937D-DC685B792C68}"/>
            </a:ext>
          </a:extLst>
        </xdr:cNvPr>
        <xdr:cNvSpPr/>
      </xdr:nvSpPr>
      <xdr:spPr>
        <a:xfrm>
          <a:off x="0" y="2758078"/>
          <a:ext cx="4619292" cy="69765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INCOME STATEMENT - QUARTERLY</a:t>
          </a:r>
        </a:p>
      </xdr:txBody>
    </xdr:sp>
    <xdr:clientData/>
  </xdr:twoCellAnchor>
  <xdr:twoCellAnchor>
    <xdr:from>
      <xdr:col>5</xdr:col>
      <xdr:colOff>136072</xdr:colOff>
      <xdr:row>24</xdr:row>
      <xdr:rowOff>117929</xdr:rowOff>
    </xdr:from>
    <xdr:to>
      <xdr:col>12</xdr:col>
      <xdr:colOff>56364</xdr:colOff>
      <xdr:row>28</xdr:row>
      <xdr:rowOff>45962</xdr:rowOff>
    </xdr:to>
    <xdr:sp macro="" textlink="">
      <xdr:nvSpPr>
        <xdr:cNvPr id="12" name="Rectangle 11">
          <a:hlinkClick xmlns:r="http://schemas.openxmlformats.org/officeDocument/2006/relationships" r:id="rId10"/>
          <a:extLst>
            <a:ext uri="{FF2B5EF4-FFF2-40B4-BE49-F238E27FC236}">
              <a16:creationId xmlns:a16="http://schemas.microsoft.com/office/drawing/2014/main" id="{72C12545-3786-2E43-B908-B6067862A437}"/>
            </a:ext>
          </a:extLst>
        </xdr:cNvPr>
        <xdr:cNvSpPr/>
      </xdr:nvSpPr>
      <xdr:spPr>
        <a:xfrm>
          <a:off x="5733143" y="4680858"/>
          <a:ext cx="4619292" cy="69003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GRAPHS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491529</xdr:colOff>
      <xdr:row>37</xdr:row>
      <xdr:rowOff>60834</xdr:rowOff>
    </xdr:from>
    <xdr:to>
      <xdr:col>15</xdr:col>
      <xdr:colOff>960510</xdr:colOff>
      <xdr:row>40</xdr:row>
      <xdr:rowOff>160825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3552911" y="6286932"/>
          <a:ext cx="4681664" cy="657552"/>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26894</xdr:colOff>
      <xdr:row>21</xdr:row>
      <xdr:rowOff>143435</xdr:rowOff>
    </xdr:from>
    <xdr:to>
      <xdr:col>3</xdr:col>
      <xdr:colOff>72542</xdr:colOff>
      <xdr:row>25</xdr:row>
      <xdr:rowOff>57573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75FEB70-24ED-2D42-B121-27AB8A3F796F}"/>
            </a:ext>
          </a:extLst>
        </xdr:cNvPr>
        <xdr:cNvSpPr/>
      </xdr:nvSpPr>
      <xdr:spPr>
        <a:xfrm>
          <a:off x="26894" y="5172635"/>
          <a:ext cx="4681148" cy="676138"/>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508001</xdr:colOff>
      <xdr:row>35</xdr:row>
      <xdr:rowOff>148166</xdr:rowOff>
    </xdr:from>
    <xdr:to>
      <xdr:col>16</xdr:col>
      <xdr:colOff>289065</xdr:colOff>
      <xdr:row>39</xdr:row>
      <xdr:rowOff>60063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3620751" y="7080249"/>
          <a:ext cx="4691731" cy="673897"/>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22</xdr:row>
      <xdr:rowOff>0</xdr:rowOff>
    </xdr:from>
    <xdr:to>
      <xdr:col>3</xdr:col>
      <xdr:colOff>45648</xdr:colOff>
      <xdr:row>25</xdr:row>
      <xdr:rowOff>102397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0" y="5981700"/>
          <a:ext cx="4213788" cy="673897"/>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26894</xdr:colOff>
      <xdr:row>28</xdr:row>
      <xdr:rowOff>143435</xdr:rowOff>
    </xdr:from>
    <xdr:to>
      <xdr:col>3</xdr:col>
      <xdr:colOff>72542</xdr:colOff>
      <xdr:row>32</xdr:row>
      <xdr:rowOff>57573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6894" y="5172635"/>
          <a:ext cx="4213788" cy="676138"/>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28</xdr:row>
      <xdr:rowOff>8965</xdr:rowOff>
    </xdr:from>
    <xdr:to>
      <xdr:col>1</xdr:col>
      <xdr:colOff>449060</xdr:colOff>
      <xdr:row>31</xdr:row>
      <xdr:rowOff>111361</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600-000003000000}"/>
            </a:ext>
          </a:extLst>
        </xdr:cNvPr>
        <xdr:cNvSpPr/>
      </xdr:nvSpPr>
      <xdr:spPr>
        <a:xfrm>
          <a:off x="0" y="5549153"/>
          <a:ext cx="4205272" cy="667173"/>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279400</xdr:colOff>
      <xdr:row>24</xdr:row>
      <xdr:rowOff>114300</xdr:rowOff>
    </xdr:to>
    <xdr:graphicFrame macro="">
      <xdr:nvGraphicFramePr>
        <xdr:cNvPr id="3" name="Chart 2">
          <a:extLst>
            <a:ext uri="{FF2B5EF4-FFF2-40B4-BE49-F238E27FC236}">
              <a16:creationId xmlns:a16="http://schemas.microsoft.com/office/drawing/2014/main" id="{53E8C08C-9A6F-C044-8B63-5392E0537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215900</xdr:colOff>
      <xdr:row>1</xdr:row>
      <xdr:rowOff>25400</xdr:rowOff>
    </xdr:from>
    <xdr:to>
      <xdr:col>17</xdr:col>
      <xdr:colOff>719389</xdr:colOff>
      <xdr:row>4</xdr:row>
      <xdr:rowOff>127796</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C43445E2-F5E2-D14E-8922-BE1008401CC8}"/>
            </a:ext>
          </a:extLst>
        </xdr:cNvPr>
        <xdr:cNvSpPr/>
      </xdr:nvSpPr>
      <xdr:spPr>
        <a:xfrm>
          <a:off x="10121900" y="215900"/>
          <a:ext cx="4630989" cy="673896"/>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twoCellAnchor>
    <xdr:from>
      <xdr:col>0</xdr:col>
      <xdr:colOff>0</xdr:colOff>
      <xdr:row>26</xdr:row>
      <xdr:rowOff>63500</xdr:rowOff>
    </xdr:from>
    <xdr:to>
      <xdr:col>11</xdr:col>
      <xdr:colOff>279400</xdr:colOff>
      <xdr:row>50</xdr:row>
      <xdr:rowOff>177800</xdr:rowOff>
    </xdr:to>
    <xdr:graphicFrame macro="">
      <xdr:nvGraphicFramePr>
        <xdr:cNvPr id="6" name="Chart 5">
          <a:extLst>
            <a:ext uri="{FF2B5EF4-FFF2-40B4-BE49-F238E27FC236}">
              <a16:creationId xmlns:a16="http://schemas.microsoft.com/office/drawing/2014/main" id="{5FBD3D09-BA4F-6B40-A422-F9F1FC0C7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101600</xdr:colOff>
      <xdr:row>26</xdr:row>
      <xdr:rowOff>63500</xdr:rowOff>
    </xdr:from>
    <xdr:to>
      <xdr:col>23</xdr:col>
      <xdr:colOff>381000</xdr:colOff>
      <xdr:row>50</xdr:row>
      <xdr:rowOff>177800</xdr:rowOff>
    </xdr:to>
    <xdr:graphicFrame macro="">
      <xdr:nvGraphicFramePr>
        <xdr:cNvPr id="7" name="Chart 6">
          <a:extLst>
            <a:ext uri="{FF2B5EF4-FFF2-40B4-BE49-F238E27FC236}">
              <a16:creationId xmlns:a16="http://schemas.microsoft.com/office/drawing/2014/main" id="{CD4AA524-6AE9-2044-9428-6A0600ED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O6:P15" totalsRowShown="0" dataDxfId="69" tableBorderDxfId="68">
  <tableColumns count="2">
    <tableColumn id="1" xr3:uid="{00000000-0010-0000-0000-000001000000}" name="Key Items" dataDxfId="67"/>
    <tableColumn id="2" xr3:uid="{00000000-0010-0000-0000-000002000000}" name="Details" dataDxfId="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creener.in/exce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zoomScale="110" zoomScaleNormal="110" zoomScaleSheetLayoutView="110" workbookViewId="0">
      <selection activeCell="A2" sqref="A2"/>
    </sheetView>
  </sheetViews>
  <sheetFormatPr defaultColWidth="15.81640625" defaultRowHeight="15.5" x14ac:dyDescent="0.35"/>
  <cols>
    <col min="1" max="1" width="119.453125" style="6" customWidth="1"/>
    <col min="2" max="2" width="13.81640625" style="6" customWidth="1"/>
    <col min="3" max="3" width="14.81640625" style="6" customWidth="1"/>
    <col min="4" max="5" width="15.81640625" style="6"/>
    <col min="6" max="6" width="14.81640625" style="6" customWidth="1"/>
    <col min="7" max="7" width="10.81640625" style="6" customWidth="1"/>
    <col min="8" max="9" width="15.81640625" style="6"/>
    <col min="10" max="10" width="4.1796875" style="6" customWidth="1"/>
    <col min="11" max="16384" width="15.81640625" style="6"/>
  </cols>
  <sheetData>
    <row r="1" spans="1:10" x14ac:dyDescent="0.35">
      <c r="H1" s="111"/>
      <c r="I1" s="111"/>
      <c r="J1" s="111"/>
    </row>
    <row r="2" spans="1:10" x14ac:dyDescent="0.35">
      <c r="H2" s="111"/>
      <c r="I2" s="111"/>
      <c r="J2" s="111"/>
    </row>
    <row r="3" spans="1:10" x14ac:dyDescent="0.35">
      <c r="H3" s="111"/>
      <c r="I3" s="111"/>
      <c r="J3" s="111"/>
    </row>
    <row r="4" spans="1:10" x14ac:dyDescent="0.35">
      <c r="H4" s="111"/>
      <c r="I4" s="111"/>
      <c r="J4" s="111"/>
    </row>
    <row r="5" spans="1:10" x14ac:dyDescent="0.35">
      <c r="H5" s="111"/>
      <c r="I5" s="111"/>
      <c r="J5" s="111"/>
    </row>
    <row r="6" spans="1:10" x14ac:dyDescent="0.35">
      <c r="H6" s="111"/>
      <c r="I6" s="111"/>
      <c r="J6" s="111"/>
    </row>
    <row r="7" spans="1:10" x14ac:dyDescent="0.35">
      <c r="H7" s="111"/>
      <c r="I7" s="111"/>
      <c r="J7" s="111"/>
    </row>
    <row r="8" spans="1:10" ht="16" thickBot="1" x14ac:dyDescent="0.4">
      <c r="H8" s="111"/>
      <c r="I8" s="111"/>
      <c r="J8" s="111"/>
    </row>
    <row r="9" spans="1:10" ht="34" thickBot="1" x14ac:dyDescent="0.4">
      <c r="A9" s="18" t="s">
        <v>169</v>
      </c>
      <c r="H9" s="111"/>
      <c r="I9" s="111"/>
      <c r="J9" s="111"/>
    </row>
    <row r="10" spans="1:10" ht="16" thickBot="1" x14ac:dyDescent="0.4">
      <c r="A10" s="7"/>
      <c r="H10" s="111"/>
      <c r="I10" s="111"/>
      <c r="J10" s="111"/>
    </row>
    <row r="11" spans="1:10" x14ac:dyDescent="0.35">
      <c r="A11" s="8" t="s">
        <v>66</v>
      </c>
      <c r="H11" s="111"/>
      <c r="I11" s="111"/>
      <c r="J11" s="111"/>
    </row>
    <row r="12" spans="1:10" ht="31" x14ac:dyDescent="0.35">
      <c r="A12" s="9" t="s">
        <v>76</v>
      </c>
      <c r="H12" s="111"/>
      <c r="I12" s="111"/>
      <c r="J12" s="111"/>
    </row>
    <row r="13" spans="1:10" x14ac:dyDescent="0.35">
      <c r="A13" s="9" t="s">
        <v>71</v>
      </c>
    </row>
    <row r="14" spans="1:10" ht="31" x14ac:dyDescent="0.35">
      <c r="A14" s="9" t="s">
        <v>72</v>
      </c>
    </row>
    <row r="15" spans="1:10" ht="31" x14ac:dyDescent="0.35">
      <c r="A15" s="9" t="s">
        <v>73</v>
      </c>
    </row>
    <row r="16" spans="1:10" ht="16" thickBot="1" x14ac:dyDescent="0.4">
      <c r="A16" s="10" t="s">
        <v>67</v>
      </c>
    </row>
    <row r="17" spans="1:1" x14ac:dyDescent="0.35">
      <c r="A17" s="11"/>
    </row>
    <row r="18" spans="1:1" ht="16" thickBot="1" x14ac:dyDescent="0.4">
      <c r="A18" s="11"/>
    </row>
    <row r="19" spans="1:1" x14ac:dyDescent="0.35">
      <c r="A19" s="8" t="s">
        <v>70</v>
      </c>
    </row>
    <row r="20" spans="1:1" ht="31" x14ac:dyDescent="0.35">
      <c r="A20" s="9" t="s">
        <v>74</v>
      </c>
    </row>
    <row r="21" spans="1:1" ht="31.5" thickBot="1" x14ac:dyDescent="0.4">
      <c r="A21" s="12" t="s">
        <v>69</v>
      </c>
    </row>
    <row r="22" spans="1:1" x14ac:dyDescent="0.35">
      <c r="A22" s="11"/>
    </row>
    <row r="23" spans="1:1" x14ac:dyDescent="0.35">
      <c r="A23" s="13" t="s">
        <v>68</v>
      </c>
    </row>
    <row r="30" spans="1:1" ht="16" thickBot="1" x14ac:dyDescent="0.4"/>
    <row r="31" spans="1:1" x14ac:dyDescent="0.35">
      <c r="A31" s="8" t="s">
        <v>137</v>
      </c>
    </row>
    <row r="32" spans="1:1" ht="31.5" thickBot="1" x14ac:dyDescent="0.4">
      <c r="A32" s="61" t="s">
        <v>152</v>
      </c>
    </row>
    <row r="33" spans="1:1" ht="31.5" thickBot="1" x14ac:dyDescent="0.4">
      <c r="A33" s="61" t="s">
        <v>138</v>
      </c>
    </row>
    <row r="35" spans="1:1" x14ac:dyDescent="0.35">
      <c r="A35" s="62" t="s">
        <v>153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15"/>
  <sheetViews>
    <sheetView showGridLines="0" zoomScale="140" zoomScaleNormal="140" workbookViewId="0">
      <selection activeCell="N23" sqref="N23"/>
    </sheetView>
  </sheetViews>
  <sheetFormatPr defaultColWidth="8.81640625" defaultRowHeight="14.5" x14ac:dyDescent="0.35"/>
  <cols>
    <col min="1" max="1" width="38.1796875" customWidth="1"/>
    <col min="15" max="15" width="24.6328125" customWidth="1"/>
    <col min="16" max="16" width="22.1796875" customWidth="1"/>
  </cols>
  <sheetData>
    <row r="2" spans="1:16" ht="14.5" customHeight="1" x14ac:dyDescent="0.35">
      <c r="A2" s="117" t="s">
        <v>87</v>
      </c>
      <c r="B2" s="117"/>
      <c r="C2" s="117"/>
      <c r="D2" s="117"/>
      <c r="E2" s="117"/>
      <c r="F2" s="117"/>
      <c r="G2" s="117"/>
      <c r="H2" s="117"/>
      <c r="I2" s="117"/>
      <c r="J2" s="117"/>
      <c r="K2" s="117"/>
      <c r="L2" s="117"/>
      <c r="M2" s="117"/>
    </row>
    <row r="3" spans="1:16" ht="14.5" customHeight="1" x14ac:dyDescent="0.35">
      <c r="A3" s="117"/>
      <c r="B3" s="117"/>
      <c r="C3" s="117"/>
      <c r="D3" s="117"/>
      <c r="E3" s="117"/>
      <c r="F3" s="117"/>
      <c r="G3" s="117"/>
      <c r="H3" s="117"/>
      <c r="I3" s="117"/>
      <c r="J3" s="117"/>
      <c r="K3" s="117"/>
      <c r="L3" s="117"/>
      <c r="M3" s="117"/>
    </row>
    <row r="6" spans="1:16" ht="15" thickBot="1" x14ac:dyDescent="0.4">
      <c r="O6" t="s">
        <v>151</v>
      </c>
      <c r="P6" s="85" t="s">
        <v>145</v>
      </c>
    </row>
    <row r="7" spans="1:16" x14ac:dyDescent="0.35">
      <c r="O7" s="86" t="s">
        <v>141</v>
      </c>
      <c r="P7" s="87" t="str">
        <f>'Data Sheet'!B1</f>
        <v>VINATI ORGANICS LTD</v>
      </c>
    </row>
    <row r="8" spans="1:16" x14ac:dyDescent="0.35">
      <c r="O8" s="88" t="s">
        <v>142</v>
      </c>
      <c r="P8" s="89">
        <f>'Data Sheet'!B8</f>
        <v>1988.05</v>
      </c>
    </row>
    <row r="9" spans="1:16" x14ac:dyDescent="0.35">
      <c r="O9" s="88" t="s">
        <v>143</v>
      </c>
      <c r="P9" s="90">
        <f>'Data Sheet'!B6</f>
        <v>10.278207288549082</v>
      </c>
    </row>
    <row r="10" spans="1:16" x14ac:dyDescent="0.35">
      <c r="O10" s="88" t="s">
        <v>144</v>
      </c>
      <c r="P10" s="89">
        <f>'Data Sheet'!B9</f>
        <v>20433.59</v>
      </c>
    </row>
    <row r="11" spans="1:16" x14ac:dyDescent="0.35">
      <c r="O11" s="88" t="s">
        <v>146</v>
      </c>
      <c r="P11" s="91">
        <f>SUM('Data Sheet'!H49:K49)</f>
        <v>401.57</v>
      </c>
    </row>
    <row r="12" spans="1:16" x14ac:dyDescent="0.35">
      <c r="O12" s="88" t="s">
        <v>147</v>
      </c>
      <c r="P12" s="92">
        <f>P10/P11</f>
        <v>50.884254301865184</v>
      </c>
    </row>
    <row r="13" spans="1:16" x14ac:dyDescent="0.35">
      <c r="O13" s="88" t="s">
        <v>148</v>
      </c>
      <c r="P13" s="93">
        <f>'Ratio Analysis'!L4</f>
        <v>0.26503774025367677</v>
      </c>
    </row>
    <row r="14" spans="1:16" x14ac:dyDescent="0.35">
      <c r="O14" s="88" t="s">
        <v>150</v>
      </c>
      <c r="P14" s="93">
        <f>'Ratio Analysis'!K16</f>
        <v>0.20564367829728669</v>
      </c>
    </row>
    <row r="15" spans="1:16" x14ac:dyDescent="0.35">
      <c r="O15" s="88" t="s">
        <v>149</v>
      </c>
      <c r="P15" s="93">
        <f>'Ratio Analysis'!K17</f>
        <v>0.26589189794751145</v>
      </c>
    </row>
  </sheetData>
  <mergeCells count="1">
    <mergeCell ref="A2:M3"/>
  </mergeCells>
  <pageMargins left="0.7" right="0.7" top="0.75" bottom="0.75" header="0.3" footer="0.3"/>
  <pageSetup paperSize="9" orientation="portrait" r:id="rId1"/>
  <ignoredErrors>
    <ignoredError sqref="P11" formulaRange="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4"/>
  <sheetViews>
    <sheetView showGridLines="0" zoomScale="110" zoomScaleNormal="110" workbookViewId="0">
      <selection activeCell="F45" sqref="F45"/>
    </sheetView>
  </sheetViews>
  <sheetFormatPr defaultColWidth="8.81640625" defaultRowHeight="15" customHeight="1" x14ac:dyDescent="0.35"/>
  <cols>
    <col min="1" max="1" width="33.1796875" customWidth="1"/>
    <col min="2" max="15" width="13.81640625" customWidth="1"/>
    <col min="16" max="16" width="16.6328125" customWidth="1"/>
  </cols>
  <sheetData>
    <row r="1" spans="1:15" ht="26.5" thickBot="1" x14ac:dyDescent="0.4">
      <c r="A1" s="118" t="s">
        <v>80</v>
      </c>
      <c r="B1" s="119"/>
      <c r="C1" s="119"/>
      <c r="D1" s="119"/>
      <c r="E1" s="119"/>
      <c r="F1" s="119"/>
      <c r="G1" s="119"/>
      <c r="H1" s="119"/>
      <c r="I1" s="119"/>
      <c r="J1" s="119"/>
      <c r="K1" s="119"/>
      <c r="L1" s="119"/>
      <c r="M1" s="119"/>
      <c r="N1" s="119"/>
      <c r="O1" s="120"/>
    </row>
    <row r="2" spans="1:15" ht="18.5" customHeight="1" thickBot="1" x14ac:dyDescent="0.4">
      <c r="A2" s="22" t="s">
        <v>77</v>
      </c>
      <c r="B2" s="124" t="str">
        <f>+'Data Sheet'!B1</f>
        <v>VINATI ORGANICS LTD</v>
      </c>
      <c r="C2" s="125"/>
      <c r="D2" s="125"/>
      <c r="E2" s="125"/>
      <c r="F2" s="125"/>
      <c r="G2" s="125"/>
      <c r="H2" s="125"/>
      <c r="I2" s="125"/>
      <c r="J2" s="125"/>
      <c r="K2" s="125"/>
      <c r="L2" s="126"/>
      <c r="M2" s="121" t="s">
        <v>81</v>
      </c>
      <c r="N2" s="122"/>
      <c r="O2" s="123"/>
    </row>
    <row r="3" spans="1:15" ht="21" customHeight="1" x14ac:dyDescent="0.35">
      <c r="A3" s="21" t="s">
        <v>78</v>
      </c>
      <c r="B3" s="23">
        <f>+'Data Sheet'!B16</f>
        <v>41364</v>
      </c>
      <c r="C3" s="23">
        <f>+'Data Sheet'!C16</f>
        <v>41729</v>
      </c>
      <c r="D3" s="23">
        <f>+'Data Sheet'!D16</f>
        <v>42094</v>
      </c>
      <c r="E3" s="23">
        <f>+'Data Sheet'!E16</f>
        <v>42460</v>
      </c>
      <c r="F3" s="23">
        <f>+'Data Sheet'!F16</f>
        <v>42825</v>
      </c>
      <c r="G3" s="23">
        <f>+'Data Sheet'!G16</f>
        <v>43190</v>
      </c>
      <c r="H3" s="23">
        <f>+'Data Sheet'!H16</f>
        <v>43555</v>
      </c>
      <c r="I3" s="23">
        <f>+'Data Sheet'!I16</f>
        <v>43921</v>
      </c>
      <c r="J3" s="23">
        <f>+'Data Sheet'!J16</f>
        <v>44286</v>
      </c>
      <c r="K3" s="23">
        <f>+'Data Sheet'!K16</f>
        <v>44651</v>
      </c>
      <c r="L3" s="24" t="s">
        <v>79</v>
      </c>
      <c r="M3" s="30">
        <v>9</v>
      </c>
      <c r="N3" s="31">
        <v>5</v>
      </c>
      <c r="O3" s="32">
        <v>3</v>
      </c>
    </row>
    <row r="4" spans="1:15" ht="15" customHeight="1" x14ac:dyDescent="0.35">
      <c r="A4" t="s">
        <v>11</v>
      </c>
      <c r="B4" s="25">
        <f>+'Data Sheet'!B17</f>
        <v>554.27</v>
      </c>
      <c r="C4" s="25">
        <f>+'Data Sheet'!C17</f>
        <v>696.13</v>
      </c>
      <c r="D4" s="25">
        <f>+'Data Sheet'!D17</f>
        <v>771.73</v>
      </c>
      <c r="E4" s="25">
        <f>+'Data Sheet'!E17</f>
        <v>630.95000000000005</v>
      </c>
      <c r="F4" s="25">
        <f>+'Data Sheet'!F17</f>
        <v>640.79</v>
      </c>
      <c r="G4" s="25">
        <f>+'Data Sheet'!G17</f>
        <v>729.68</v>
      </c>
      <c r="H4" s="25">
        <f>+'Data Sheet'!H17</f>
        <v>1127.92</v>
      </c>
      <c r="I4" s="25">
        <f>+'Data Sheet'!I17</f>
        <v>1028.8699999999999</v>
      </c>
      <c r="J4" s="25">
        <f>+'Data Sheet'!J17</f>
        <v>954.26</v>
      </c>
      <c r="K4" s="25">
        <f>+'Data Sheet'!K17</f>
        <v>1615.51</v>
      </c>
      <c r="L4" s="25">
        <f>SUM('Data Sheet'!H42:K42)</f>
        <v>1927.6499999999999</v>
      </c>
      <c r="M4" s="77">
        <f>IFERROR((K4/B4)^(1/$M$3)-1,"n/m")</f>
        <v>0.12621399475986661</v>
      </c>
      <c r="N4" s="77">
        <f>IFERROR((K4/F4)^(1/$N$3)-1,"n/m")</f>
        <v>0.20314725625460373</v>
      </c>
      <c r="O4" s="77">
        <f>IFERROR((K4/H4)^(1/$O$3)-1,"n/m")</f>
        <v>0.12722458183808971</v>
      </c>
    </row>
    <row r="5" spans="1:15" ht="15" customHeight="1" x14ac:dyDescent="0.35">
      <c r="A5" t="s">
        <v>28</v>
      </c>
      <c r="B5" s="28">
        <f>SUM('Data Sheet'!B17-'Data Sheet'!B18+'Data Sheet'!B19)-SUM('Data Sheet'!B20:B24)</f>
        <v>120.33999999999995</v>
      </c>
      <c r="C5" s="28">
        <f>SUM('Data Sheet'!C17-'Data Sheet'!C18+'Data Sheet'!C19)-SUM('Data Sheet'!C20:C24)</f>
        <v>152.88999999999999</v>
      </c>
      <c r="D5" s="28">
        <f>SUM('Data Sheet'!D17-'Data Sheet'!D18+'Data Sheet'!D19)-SUM('Data Sheet'!D20:D24)</f>
        <v>192.10000000000008</v>
      </c>
      <c r="E5" s="28">
        <f>SUM('Data Sheet'!E17-'Data Sheet'!E18+'Data Sheet'!E19)-SUM('Data Sheet'!E20:E24)</f>
        <v>206.85000000000002</v>
      </c>
      <c r="F5" s="28">
        <f>SUM('Data Sheet'!F17-'Data Sheet'!F18+'Data Sheet'!F19)-SUM('Data Sheet'!F20:F24)</f>
        <v>217.83999999999995</v>
      </c>
      <c r="G5" s="28">
        <f>SUM('Data Sheet'!G17-'Data Sheet'!G18+'Data Sheet'!G19)-SUM('Data Sheet'!G20:G24)</f>
        <v>198.28999999999994</v>
      </c>
      <c r="H5" s="28">
        <f>SUM('Data Sheet'!H17-'Data Sheet'!H18+'Data Sheet'!H19)-SUM('Data Sheet'!H20:H24)</f>
        <v>425.01000000000005</v>
      </c>
      <c r="I5" s="28">
        <f>SUM('Data Sheet'!I17-'Data Sheet'!I18+'Data Sheet'!I19)-SUM('Data Sheet'!I20:I24)</f>
        <v>414.88999999999987</v>
      </c>
      <c r="J5" s="28">
        <f>SUM('Data Sheet'!J17-'Data Sheet'!J18+'Data Sheet'!J19)-SUM('Data Sheet'!J20:J24)</f>
        <v>353.26</v>
      </c>
      <c r="K5" s="28">
        <f>SUM('Data Sheet'!K17-'Data Sheet'!K18+'Data Sheet'!K19)-SUM('Data Sheet'!K20:K24)</f>
        <v>435.47999999999996</v>
      </c>
      <c r="L5" s="25">
        <f>SUM('Data Sheet'!H50:K50)</f>
        <v>510.9</v>
      </c>
      <c r="M5" s="77">
        <f t="shared" ref="M5:M12" si="0">IFERROR((K5/B5)^(1/$M$3)-1,"n/m")</f>
        <v>0.15361799800309117</v>
      </c>
      <c r="N5" s="77">
        <f t="shared" ref="N5:N28" si="1">IFERROR((K5/F5)^(1/$N$3)-1,"n/m")</f>
        <v>0.14859287305264846</v>
      </c>
      <c r="O5" s="77">
        <f t="shared" ref="O5:O28" si="2">IFERROR((K5/H5)^(1/$O$3)-1,"n/m")</f>
        <v>8.1450495412367374E-3</v>
      </c>
    </row>
    <row r="6" spans="1:15" ht="15" customHeight="1" x14ac:dyDescent="0.35">
      <c r="A6" t="s">
        <v>19</v>
      </c>
      <c r="B6" s="28">
        <f>+'Data Sheet'!B25</f>
        <v>3.76</v>
      </c>
      <c r="C6" s="28">
        <f>+'Data Sheet'!C25</f>
        <v>9.17</v>
      </c>
      <c r="D6" s="28">
        <f>+'Data Sheet'!D25</f>
        <v>8.82</v>
      </c>
      <c r="E6" s="28">
        <f>+'Data Sheet'!E25</f>
        <v>6.09</v>
      </c>
      <c r="F6" s="28">
        <f>+'Data Sheet'!F25</f>
        <v>12.48</v>
      </c>
      <c r="G6" s="28">
        <f>+'Data Sheet'!G25</f>
        <v>30.62</v>
      </c>
      <c r="H6" s="28">
        <f>+'Data Sheet'!H25</f>
        <v>29.8</v>
      </c>
      <c r="I6" s="28">
        <f>+'Data Sheet'!I25</f>
        <v>44.99</v>
      </c>
      <c r="J6" s="28">
        <f>+'Data Sheet'!J25</f>
        <v>25.86</v>
      </c>
      <c r="K6" s="28">
        <f>+'Data Sheet'!K25</f>
        <v>60.96</v>
      </c>
      <c r="M6" s="77">
        <f t="shared" si="0"/>
        <v>0.36278883912776894</v>
      </c>
      <c r="N6" s="77">
        <f t="shared" si="1"/>
        <v>0.3733020697477516</v>
      </c>
      <c r="O6" s="77">
        <f t="shared" si="2"/>
        <v>0.26943235919404751</v>
      </c>
    </row>
    <row r="7" spans="1:15" ht="15" customHeight="1" x14ac:dyDescent="0.35">
      <c r="A7" s="3" t="s">
        <v>83</v>
      </c>
      <c r="B7" s="27">
        <f>+B6+B5</f>
        <v>124.09999999999995</v>
      </c>
      <c r="C7" s="27">
        <f t="shared" ref="C7:K7" si="3">+C6+C5</f>
        <v>162.05999999999997</v>
      </c>
      <c r="D7" s="27">
        <f t="shared" si="3"/>
        <v>200.92000000000007</v>
      </c>
      <c r="E7" s="27">
        <f t="shared" si="3"/>
        <v>212.94000000000003</v>
      </c>
      <c r="F7" s="27">
        <f t="shared" si="3"/>
        <v>230.31999999999994</v>
      </c>
      <c r="G7" s="27">
        <f t="shared" si="3"/>
        <v>228.90999999999994</v>
      </c>
      <c r="H7" s="27">
        <f t="shared" si="3"/>
        <v>454.81000000000006</v>
      </c>
      <c r="I7" s="27">
        <f t="shared" si="3"/>
        <v>459.87999999999988</v>
      </c>
      <c r="J7" s="27">
        <f t="shared" si="3"/>
        <v>379.12</v>
      </c>
      <c r="K7" s="27">
        <f t="shared" si="3"/>
        <v>496.43999999999994</v>
      </c>
      <c r="M7" s="78">
        <f t="shared" si="0"/>
        <v>0.16653948354839976</v>
      </c>
      <c r="N7" s="78">
        <f t="shared" si="1"/>
        <v>0.16602274755635604</v>
      </c>
      <c r="O7" s="78">
        <f t="shared" si="2"/>
        <v>2.9624624565139257E-2</v>
      </c>
    </row>
    <row r="8" spans="1:15" ht="15" customHeight="1" x14ac:dyDescent="0.35">
      <c r="A8" t="s">
        <v>21</v>
      </c>
      <c r="B8" s="28">
        <f>-'Data Sheet'!B27</f>
        <v>-11.54</v>
      </c>
      <c r="C8" s="28">
        <f>-'Data Sheet'!C27</f>
        <v>-18.149999999999999</v>
      </c>
      <c r="D8" s="28">
        <f>-'Data Sheet'!D27</f>
        <v>-9.76</v>
      </c>
      <c r="E8" s="28">
        <f>-'Data Sheet'!E27</f>
        <v>-7.86</v>
      </c>
      <c r="F8" s="28">
        <f>-'Data Sheet'!F27</f>
        <v>-2.75</v>
      </c>
      <c r="G8" s="28">
        <f>-'Data Sheet'!G27</f>
        <v>-2.17</v>
      </c>
      <c r="H8" s="28">
        <f>-'Data Sheet'!H27</f>
        <v>-2.1800000000000002</v>
      </c>
      <c r="I8" s="28">
        <f>-'Data Sheet'!I27</f>
        <v>-2.04</v>
      </c>
      <c r="J8" s="28">
        <f>-'Data Sheet'!J27</f>
        <v>-0.95</v>
      </c>
      <c r="K8" s="28">
        <f>-'Data Sheet'!K27</f>
        <v>-1.65</v>
      </c>
      <c r="M8" s="77"/>
      <c r="N8" s="77"/>
      <c r="O8" s="77"/>
    </row>
    <row r="9" spans="1:15" ht="15" customHeight="1" x14ac:dyDescent="0.35">
      <c r="A9" t="s">
        <v>20</v>
      </c>
      <c r="B9" s="28">
        <f>-'Data Sheet'!B26</f>
        <v>-9.9499999999999993</v>
      </c>
      <c r="C9" s="28">
        <f>-'Data Sheet'!C26</f>
        <v>-15.32</v>
      </c>
      <c r="D9" s="28">
        <f>-'Data Sheet'!D26</f>
        <v>-17.66</v>
      </c>
      <c r="E9" s="28">
        <f>-'Data Sheet'!E26</f>
        <v>-18.52</v>
      </c>
      <c r="F9" s="28">
        <f>-'Data Sheet'!F26</f>
        <v>-21.61</v>
      </c>
      <c r="G9" s="28">
        <f>-'Data Sheet'!G26</f>
        <v>-23.36</v>
      </c>
      <c r="H9" s="28">
        <f>-'Data Sheet'!H26</f>
        <v>-27.39</v>
      </c>
      <c r="I9" s="28">
        <f>-'Data Sheet'!I26</f>
        <v>-33.159999999999997</v>
      </c>
      <c r="J9" s="28">
        <f>-'Data Sheet'!J26</f>
        <v>-42.91</v>
      </c>
      <c r="K9" s="28">
        <f>-'Data Sheet'!K26</f>
        <v>-45.49</v>
      </c>
      <c r="M9" s="77"/>
      <c r="N9" s="77"/>
      <c r="O9" s="77"/>
    </row>
    <row r="10" spans="1:15" ht="15" customHeight="1" x14ac:dyDescent="0.35">
      <c r="A10" s="3" t="s">
        <v>84</v>
      </c>
      <c r="B10" s="27">
        <f>+B7+B8+B9</f>
        <v>102.60999999999994</v>
      </c>
      <c r="C10" s="27">
        <f t="shared" ref="C10:K10" si="4">+C7+C8+C9</f>
        <v>128.58999999999997</v>
      </c>
      <c r="D10" s="27">
        <f t="shared" si="4"/>
        <v>173.50000000000009</v>
      </c>
      <c r="E10" s="27">
        <f t="shared" si="4"/>
        <v>186.56</v>
      </c>
      <c r="F10" s="27">
        <f t="shared" si="4"/>
        <v>205.95999999999992</v>
      </c>
      <c r="G10" s="27">
        <f t="shared" si="4"/>
        <v>203.37999999999994</v>
      </c>
      <c r="H10" s="27">
        <f t="shared" si="4"/>
        <v>425.24000000000007</v>
      </c>
      <c r="I10" s="27">
        <f t="shared" si="4"/>
        <v>424.67999999999984</v>
      </c>
      <c r="J10" s="27">
        <f t="shared" si="4"/>
        <v>335.26</v>
      </c>
      <c r="K10" s="27">
        <f t="shared" si="4"/>
        <v>449.29999999999995</v>
      </c>
      <c r="L10" s="27">
        <f>SUM('Data Sheet'!H47:K47)</f>
        <v>529.53</v>
      </c>
      <c r="M10" s="78">
        <f t="shared" si="0"/>
        <v>0.17831321360459707</v>
      </c>
      <c r="N10" s="78">
        <f t="shared" si="1"/>
        <v>0.16882826978638521</v>
      </c>
      <c r="O10" s="78">
        <f t="shared" si="2"/>
        <v>1.8515016399919704E-2</v>
      </c>
    </row>
    <row r="11" spans="1:15" ht="15" customHeight="1" x14ac:dyDescent="0.35">
      <c r="A11" t="s">
        <v>23</v>
      </c>
      <c r="B11" s="28">
        <f>-'Data Sheet'!B29</f>
        <v>-33.94</v>
      </c>
      <c r="C11" s="28">
        <f>-'Data Sheet'!C29</f>
        <v>-42.43</v>
      </c>
      <c r="D11" s="28">
        <f>-'Data Sheet'!D29</f>
        <v>-57.7</v>
      </c>
      <c r="E11" s="28">
        <f>-'Data Sheet'!E29</f>
        <v>-54.99</v>
      </c>
      <c r="F11" s="28">
        <f>-'Data Sheet'!F29</f>
        <v>-65.69</v>
      </c>
      <c r="G11" s="28">
        <f>-'Data Sheet'!G29</f>
        <v>-59.5</v>
      </c>
      <c r="H11" s="28">
        <f>-'Data Sheet'!H29</f>
        <v>-142.75</v>
      </c>
      <c r="I11" s="28">
        <f>-'Data Sheet'!I29</f>
        <v>-90.84</v>
      </c>
      <c r="J11" s="28">
        <f>-'Data Sheet'!J29</f>
        <v>-65.91</v>
      </c>
      <c r="K11" s="28">
        <f>-'Data Sheet'!K29</f>
        <v>-102.63</v>
      </c>
      <c r="M11" s="77"/>
      <c r="N11" s="77"/>
      <c r="O11" s="77"/>
    </row>
    <row r="12" spans="1:15" ht="15" customHeight="1" x14ac:dyDescent="0.35">
      <c r="A12" s="3" t="s">
        <v>86</v>
      </c>
      <c r="B12" s="27">
        <f>+B11+B10</f>
        <v>68.669999999999945</v>
      </c>
      <c r="C12" s="27">
        <f t="shared" ref="C12:K12" si="5">+C11+C10</f>
        <v>86.159999999999968</v>
      </c>
      <c r="D12" s="27">
        <f t="shared" si="5"/>
        <v>115.80000000000008</v>
      </c>
      <c r="E12" s="27">
        <f t="shared" si="5"/>
        <v>131.57</v>
      </c>
      <c r="F12" s="27">
        <f t="shared" si="5"/>
        <v>140.26999999999992</v>
      </c>
      <c r="G12" s="27">
        <f t="shared" si="5"/>
        <v>143.87999999999994</v>
      </c>
      <c r="H12" s="27">
        <f t="shared" si="5"/>
        <v>282.49000000000007</v>
      </c>
      <c r="I12" s="27">
        <f t="shared" si="5"/>
        <v>333.8399999999998</v>
      </c>
      <c r="J12" s="27">
        <f t="shared" si="5"/>
        <v>269.35000000000002</v>
      </c>
      <c r="K12" s="27">
        <f t="shared" si="5"/>
        <v>346.66999999999996</v>
      </c>
      <c r="L12" s="27">
        <f>SUM('Data Sheet'!H49:K49)</f>
        <v>401.57</v>
      </c>
      <c r="M12" s="78">
        <f t="shared" si="0"/>
        <v>0.19709244614944343</v>
      </c>
      <c r="N12" s="78">
        <f t="shared" si="1"/>
        <v>0.19836824597729286</v>
      </c>
      <c r="O12" s="78">
        <f t="shared" si="2"/>
        <v>7.0625855353730671E-2</v>
      </c>
    </row>
    <row r="13" spans="1:15" ht="15" customHeight="1" x14ac:dyDescent="0.35">
      <c r="M13" s="77"/>
      <c r="N13" s="77"/>
      <c r="O13" s="77"/>
    </row>
    <row r="14" spans="1:15" ht="15" customHeight="1" x14ac:dyDescent="0.35">
      <c r="A14" s="35" t="s">
        <v>90</v>
      </c>
      <c r="B14" s="51">
        <f>+'Data Sheet'!B93</f>
        <v>9.85</v>
      </c>
      <c r="C14" s="51">
        <f>+'Data Sheet'!C93</f>
        <v>9.85</v>
      </c>
      <c r="D14" s="51">
        <f>+'Data Sheet'!D93</f>
        <v>10.32</v>
      </c>
      <c r="E14" s="51">
        <f>+'Data Sheet'!E93</f>
        <v>10.32</v>
      </c>
      <c r="F14" s="51">
        <f>+'Data Sheet'!F93</f>
        <v>10.32</v>
      </c>
      <c r="G14" s="51">
        <f>+'Data Sheet'!G93</f>
        <v>10.28</v>
      </c>
      <c r="H14" s="51">
        <f>+'Data Sheet'!H93</f>
        <v>10.28</v>
      </c>
      <c r="I14" s="51">
        <f>+'Data Sheet'!I93</f>
        <v>10.28</v>
      </c>
      <c r="J14" s="51">
        <f>+'Data Sheet'!J93</f>
        <v>10.28</v>
      </c>
      <c r="K14" s="51">
        <f>+'Data Sheet'!K93</f>
        <v>10.28</v>
      </c>
      <c r="L14" s="35"/>
      <c r="M14" s="79"/>
      <c r="N14" s="79"/>
      <c r="O14" s="79"/>
    </row>
    <row r="15" spans="1:15" ht="15" customHeight="1" x14ac:dyDescent="0.35">
      <c r="A15" s="112"/>
      <c r="B15" s="113"/>
      <c r="C15" s="113"/>
      <c r="D15" s="113"/>
      <c r="E15" s="113"/>
      <c r="F15" s="113"/>
      <c r="G15" s="113"/>
      <c r="H15" s="113"/>
      <c r="I15" s="113"/>
      <c r="J15" s="113"/>
      <c r="K15" s="113"/>
      <c r="L15" s="112"/>
      <c r="M15" s="114"/>
      <c r="N15" s="114"/>
      <c r="O15" s="114"/>
    </row>
    <row r="16" spans="1:15" ht="15" customHeight="1" x14ac:dyDescent="0.35">
      <c r="A16" s="115" t="s">
        <v>172</v>
      </c>
      <c r="B16" s="113"/>
      <c r="C16" s="64">
        <f>IF(B4&gt;0,C4/B4-1,"n/m")</f>
        <v>0.25594024572861596</v>
      </c>
      <c r="D16" s="64">
        <f t="shared" ref="D16:K16" si="6">IF(C4&gt;0,D4/C4-1,"n/m")</f>
        <v>0.10860040509674929</v>
      </c>
      <c r="E16" s="64">
        <f t="shared" si="6"/>
        <v>-0.18242131315356402</v>
      </c>
      <c r="F16" s="64">
        <f t="shared" si="6"/>
        <v>1.5595530549171732E-2</v>
      </c>
      <c r="G16" s="64">
        <f t="shared" si="6"/>
        <v>0.13871939324895832</v>
      </c>
      <c r="H16" s="64">
        <f t="shared" si="6"/>
        <v>0.54577348974893125</v>
      </c>
      <c r="I16" s="64">
        <f t="shared" si="6"/>
        <v>-8.7816511809348352E-2</v>
      </c>
      <c r="J16" s="64">
        <f t="shared" si="6"/>
        <v>-7.2516450086016593E-2</v>
      </c>
      <c r="K16" s="64">
        <f t="shared" si="6"/>
        <v>0.69294531888583832</v>
      </c>
      <c r="L16" s="112"/>
      <c r="M16" s="114"/>
      <c r="N16" s="114"/>
      <c r="O16" s="114"/>
    </row>
    <row r="17" spans="1:15" ht="15" customHeight="1" x14ac:dyDescent="0.35">
      <c r="A17" s="115" t="s">
        <v>171</v>
      </c>
      <c r="B17" s="113"/>
      <c r="C17" s="64">
        <f>IF(B7&gt;0,C7/B7-1,"n/m")</f>
        <v>0.30588235294117672</v>
      </c>
      <c r="D17" s="64">
        <f t="shared" ref="D17:K17" si="7">IF(C7&gt;0,D7/C7-1,"n/m")</f>
        <v>0.2397877329384186</v>
      </c>
      <c r="E17" s="64">
        <f t="shared" si="7"/>
        <v>5.9824805892892519E-2</v>
      </c>
      <c r="F17" s="64">
        <f t="shared" si="7"/>
        <v>8.1619235465388851E-2</v>
      </c>
      <c r="G17" s="64">
        <f t="shared" si="7"/>
        <v>-6.1219173324070786E-3</v>
      </c>
      <c r="H17" s="64">
        <f t="shared" si="7"/>
        <v>0.9868507273600986</v>
      </c>
      <c r="I17" s="64">
        <f t="shared" si="7"/>
        <v>1.1147512147929417E-2</v>
      </c>
      <c r="J17" s="64">
        <f t="shared" si="7"/>
        <v>-0.17561102896407732</v>
      </c>
      <c r="K17" s="64">
        <f t="shared" si="7"/>
        <v>0.30945347119645472</v>
      </c>
      <c r="L17" s="112"/>
      <c r="M17" s="114"/>
      <c r="N17" s="114"/>
      <c r="O17" s="114"/>
    </row>
    <row r="18" spans="1:15" ht="15" customHeight="1" x14ac:dyDescent="0.35">
      <c r="A18" s="115" t="s">
        <v>170</v>
      </c>
      <c r="B18" s="113"/>
      <c r="C18" s="64">
        <f>IF(B12&gt;0,C12/B12-1,"n/m")</f>
        <v>0.2546963739624295</v>
      </c>
      <c r="D18" s="64">
        <f t="shared" ref="D18:K18" si="8">IF(C12&gt;0,D12/C12-1,"n/m")</f>
        <v>0.3440111420612828</v>
      </c>
      <c r="E18" s="64">
        <f t="shared" si="8"/>
        <v>0.13618307426597487</v>
      </c>
      <c r="F18" s="64">
        <f t="shared" si="8"/>
        <v>6.6124496465759242E-2</v>
      </c>
      <c r="G18" s="64">
        <f t="shared" si="8"/>
        <v>2.5736080416340013E-2</v>
      </c>
      <c r="H18" s="64">
        <f t="shared" si="8"/>
        <v>0.96337225465665965</v>
      </c>
      <c r="I18" s="64">
        <f t="shared" si="8"/>
        <v>0.18177634606534654</v>
      </c>
      <c r="J18" s="64">
        <f t="shared" si="8"/>
        <v>-0.19317637191468917</v>
      </c>
      <c r="K18" s="64">
        <f t="shared" si="8"/>
        <v>0.28706144421756052</v>
      </c>
      <c r="L18" s="112"/>
      <c r="M18" s="114"/>
      <c r="N18" s="114"/>
      <c r="O18" s="114"/>
    </row>
    <row r="19" spans="1:15" ht="15" customHeight="1" x14ac:dyDescent="0.35">
      <c r="M19" s="77"/>
      <c r="N19" s="77"/>
      <c r="O19" s="77"/>
    </row>
    <row r="20" spans="1:15" ht="15" customHeight="1" thickBot="1" x14ac:dyDescent="0.4">
      <c r="A20" s="52" t="s">
        <v>92</v>
      </c>
      <c r="B20" s="53">
        <f>'Data Sheet'!B90</f>
        <v>51.88</v>
      </c>
      <c r="C20" s="53">
        <f>'Data Sheet'!C90</f>
        <v>140.53</v>
      </c>
      <c r="D20" s="53">
        <f>'Data Sheet'!D90</f>
        <v>261.95</v>
      </c>
      <c r="E20" s="53">
        <f>'Data Sheet'!E90</f>
        <v>194.53</v>
      </c>
      <c r="F20" s="53">
        <f>'Data Sheet'!F90</f>
        <v>379</v>
      </c>
      <c r="G20" s="53">
        <f>'Data Sheet'!G90</f>
        <v>451.28</v>
      </c>
      <c r="H20" s="53">
        <f>'Data Sheet'!H90</f>
        <v>822.18</v>
      </c>
      <c r="I20" s="53">
        <f>'Data Sheet'!I90</f>
        <v>774.55</v>
      </c>
      <c r="J20" s="53">
        <f>'Data Sheet'!J90</f>
        <v>1399.95</v>
      </c>
      <c r="K20" s="53">
        <f>'Data Sheet'!K90</f>
        <v>1953.2</v>
      </c>
      <c r="L20" s="52"/>
      <c r="M20" s="80">
        <f t="shared" ref="M20" si="9">IFERROR((K20/B20)^(1/$M$3)-1,"n/m")</f>
        <v>0.49652153943642774</v>
      </c>
      <c r="N20" s="80">
        <f t="shared" si="1"/>
        <v>0.38810238728709501</v>
      </c>
      <c r="O20" s="80">
        <f t="shared" si="2"/>
        <v>0.33431981614895179</v>
      </c>
    </row>
    <row r="21" spans="1:15" ht="15" customHeight="1" x14ac:dyDescent="0.35">
      <c r="M21" s="77"/>
      <c r="N21" s="77"/>
      <c r="O21" s="77"/>
    </row>
    <row r="22" spans="1:15" ht="15" customHeight="1" x14ac:dyDescent="0.35">
      <c r="M22" s="77"/>
      <c r="N22" s="77"/>
      <c r="O22" s="77"/>
    </row>
    <row r="23" spans="1:15" ht="15" customHeight="1" x14ac:dyDescent="0.35">
      <c r="A23" s="33" t="s">
        <v>82</v>
      </c>
      <c r="B23" s="63">
        <f>IF(B5&gt;0,B5/B4,"n/m")</f>
        <v>0.2171144027279123</v>
      </c>
      <c r="C23" s="63">
        <f t="shared" ref="C23:K23" si="10">IF(C5&gt;0,C5/C4,"n/m")</f>
        <v>0.21962851766193095</v>
      </c>
      <c r="D23" s="63">
        <f t="shared" si="10"/>
        <v>0.24892125484301514</v>
      </c>
      <c r="E23" s="63">
        <f t="shared" si="10"/>
        <v>0.3278389729772565</v>
      </c>
      <c r="F23" s="63">
        <f t="shared" si="10"/>
        <v>0.33995536759312717</v>
      </c>
      <c r="G23" s="63">
        <f t="shared" si="10"/>
        <v>0.27174925994956689</v>
      </c>
      <c r="H23" s="63">
        <f t="shared" si="10"/>
        <v>0.37680863891056104</v>
      </c>
      <c r="I23" s="63">
        <f t="shared" si="10"/>
        <v>0.40324822377948616</v>
      </c>
      <c r="J23" s="63">
        <f t="shared" si="10"/>
        <v>0.37019260998050846</v>
      </c>
      <c r="K23" s="63">
        <f t="shared" si="10"/>
        <v>0.26956193400226552</v>
      </c>
      <c r="L23" s="34">
        <f t="shared" ref="L23" si="11">IF(L5&gt;0,L5/L4,"n/m")</f>
        <v>0.26503774025367677</v>
      </c>
      <c r="M23" s="79"/>
      <c r="N23" s="79"/>
      <c r="O23" s="79"/>
    </row>
    <row r="24" spans="1:15" ht="15" customHeight="1" x14ac:dyDescent="0.35">
      <c r="A24" s="3" t="s">
        <v>85</v>
      </c>
      <c r="B24" s="64">
        <f>IF(B12&gt;0,B12/B4,"n/m")</f>
        <v>0.12389268767928978</v>
      </c>
      <c r="C24" s="64">
        <f t="shared" ref="C24:K24" si="12">IF(C12&gt;0,C12/C4,"n/m")</f>
        <v>0.12376998549121568</v>
      </c>
      <c r="D24" s="64">
        <f t="shared" si="12"/>
        <v>0.1500524794941237</v>
      </c>
      <c r="E24" s="64">
        <f t="shared" si="12"/>
        <v>0.20852682462952687</v>
      </c>
      <c r="F24" s="64">
        <f t="shared" si="12"/>
        <v>0.2189016682532498</v>
      </c>
      <c r="G24" s="64">
        <f t="shared" si="12"/>
        <v>0.1971823264992873</v>
      </c>
      <c r="H24" s="64">
        <f t="shared" si="12"/>
        <v>0.25045215972764029</v>
      </c>
      <c r="I24" s="64">
        <f t="shared" si="12"/>
        <v>0.32447247951636243</v>
      </c>
      <c r="J24" s="64">
        <f t="shared" si="12"/>
        <v>0.28226059983652257</v>
      </c>
      <c r="K24" s="64">
        <f t="shared" si="12"/>
        <v>0.21458858193387845</v>
      </c>
      <c r="L24" s="36">
        <f t="shared" ref="L24" si="13">IF(L12&gt;0,L12/L4,"n/m")</f>
        <v>0.20832101263196121</v>
      </c>
      <c r="M24" s="77"/>
      <c r="N24" s="77"/>
      <c r="O24" s="77"/>
    </row>
    <row r="25" spans="1:15" ht="15" customHeight="1" x14ac:dyDescent="0.35">
      <c r="A25" s="3" t="s">
        <v>88</v>
      </c>
      <c r="B25" s="64">
        <f t="shared" ref="B25:K25" si="14">IF(B11&lt;0,-B11/B10,"n/m")</f>
        <v>0.33076698177565556</v>
      </c>
      <c r="C25" s="64">
        <f t="shared" si="14"/>
        <v>0.32996344972392883</v>
      </c>
      <c r="D25" s="64">
        <f t="shared" si="14"/>
        <v>0.33256484149855892</v>
      </c>
      <c r="E25" s="64">
        <f t="shared" si="14"/>
        <v>0.29475771869639794</v>
      </c>
      <c r="F25" s="64">
        <f t="shared" si="14"/>
        <v>0.31894542629636835</v>
      </c>
      <c r="G25" s="64">
        <f t="shared" si="14"/>
        <v>0.29255580686399851</v>
      </c>
      <c r="H25" s="64">
        <f t="shared" si="14"/>
        <v>0.33569278525068191</v>
      </c>
      <c r="I25" s="64">
        <f t="shared" si="14"/>
        <v>0.21390223226900262</v>
      </c>
      <c r="J25" s="64">
        <f t="shared" si="14"/>
        <v>0.19659368848058223</v>
      </c>
      <c r="K25" s="64">
        <f t="shared" si="14"/>
        <v>0.2284219897618518</v>
      </c>
      <c r="M25" s="77"/>
      <c r="N25" s="77"/>
      <c r="O25" s="77"/>
    </row>
    <row r="26" spans="1:15" ht="15" customHeight="1" x14ac:dyDescent="0.35">
      <c r="A26" s="3" t="s">
        <v>157</v>
      </c>
      <c r="B26" s="64">
        <f>IF('Data Sheet'!B31&gt;0,'Data Sheet'!B31/'Data Sheet'!B30,"n/m")</f>
        <v>0.17972618700844742</v>
      </c>
      <c r="C26" s="64">
        <f>IF('Data Sheet'!C31&gt;0,'Data Sheet'!C31/'Data Sheet'!C30,"n/m")</f>
        <v>0.1717933836331979</v>
      </c>
      <c r="D26" s="64">
        <f>IF('Data Sheet'!D31&gt;0,'Data Sheet'!D31/'Data Sheet'!D30,"n/m")</f>
        <v>0.15597201830900767</v>
      </c>
      <c r="E26" s="64">
        <f>IF('Data Sheet'!E31&gt;0,'Data Sheet'!E31/'Data Sheet'!E30,"n/m")</f>
        <v>0.15687466747738849</v>
      </c>
      <c r="F26" s="64">
        <f>IF('Data Sheet'!F31&gt;0,'Data Sheet'!F31/'Data Sheet'!F30,"n/m")</f>
        <v>1.8391787852865698E-2</v>
      </c>
      <c r="G26" s="64">
        <f>IF('Data Sheet'!G31&gt;0,'Data Sheet'!G31/'Data Sheet'!G30,"n/m")</f>
        <v>0.16075896580483737</v>
      </c>
      <c r="H26" s="64">
        <f>IF('Data Sheet'!H31&gt;0,'Data Sheet'!H31/'Data Sheet'!H30,"n/m")</f>
        <v>0.1273673404368296</v>
      </c>
      <c r="I26" s="64">
        <f>IF('Data Sheet'!I31&gt;0,'Data Sheet'!I31/'Data Sheet'!I30,"n/m")</f>
        <v>0.16936764221310249</v>
      </c>
      <c r="J26" s="64">
        <f>IF('Data Sheet'!J31&gt;0,'Data Sheet'!J31/'Data Sheet'!J30,"n/m")</f>
        <v>0.2290042325685008</v>
      </c>
      <c r="K26" s="64">
        <f>IF('Data Sheet'!K31&gt;0,'Data Sheet'!K31/'Data Sheet'!K30,"n/m")</f>
        <v>0.19274258682358369</v>
      </c>
      <c r="M26" s="77"/>
      <c r="N26" s="77"/>
      <c r="O26" s="77"/>
    </row>
    <row r="27" spans="1:15" ht="15" customHeight="1" x14ac:dyDescent="0.35">
      <c r="A27" s="3" t="s">
        <v>89</v>
      </c>
      <c r="B27" s="37">
        <f t="shared" ref="B27:K27" si="15">IFERROR((B10-B8)/(-B8),"n/m")</f>
        <v>9.8916811091854377</v>
      </c>
      <c r="C27" s="37">
        <f t="shared" si="15"/>
        <v>8.0848484848484841</v>
      </c>
      <c r="D27" s="37">
        <f t="shared" si="15"/>
        <v>18.776639344262303</v>
      </c>
      <c r="E27" s="37">
        <f t="shared" si="15"/>
        <v>24.735368956743002</v>
      </c>
      <c r="F27" s="37">
        <f t="shared" si="15"/>
        <v>75.894545454545423</v>
      </c>
      <c r="G27" s="37">
        <f t="shared" si="15"/>
        <v>94.723502304147431</v>
      </c>
      <c r="H27" s="37">
        <f t="shared" si="15"/>
        <v>196.06422018348627</v>
      </c>
      <c r="I27" s="37">
        <f t="shared" si="15"/>
        <v>209.17647058823522</v>
      </c>
      <c r="J27" s="37">
        <f t="shared" si="15"/>
        <v>353.90526315789475</v>
      </c>
      <c r="K27" s="37">
        <f t="shared" si="15"/>
        <v>273.30303030303025</v>
      </c>
      <c r="M27" s="77"/>
      <c r="N27" s="77"/>
      <c r="O27" s="77"/>
    </row>
    <row r="28" spans="1:15" ht="15" customHeight="1" x14ac:dyDescent="0.35">
      <c r="A28" s="3" t="s">
        <v>91</v>
      </c>
      <c r="B28" s="65">
        <f t="shared" ref="B28:K28" si="16">IFERROR(B12/B14,"n/m")</f>
        <v>6.9715736040609082</v>
      </c>
      <c r="C28" s="65">
        <f t="shared" si="16"/>
        <v>8.7472081218274074</v>
      </c>
      <c r="D28" s="65">
        <f t="shared" si="16"/>
        <v>11.220930232558148</v>
      </c>
      <c r="E28" s="65">
        <f t="shared" si="16"/>
        <v>12.749031007751936</v>
      </c>
      <c r="F28" s="65">
        <f t="shared" si="16"/>
        <v>13.592054263565883</v>
      </c>
      <c r="G28" s="65">
        <f t="shared" si="16"/>
        <v>13.996108949416337</v>
      </c>
      <c r="H28" s="65">
        <f t="shared" si="16"/>
        <v>27.479571984435808</v>
      </c>
      <c r="I28" s="65">
        <f t="shared" si="16"/>
        <v>32.47470817120621</v>
      </c>
      <c r="J28" s="65">
        <f t="shared" si="16"/>
        <v>26.201361867704286</v>
      </c>
      <c r="K28" s="65">
        <f t="shared" si="16"/>
        <v>33.722762645914393</v>
      </c>
      <c r="M28" s="78">
        <f t="shared" ref="M28" si="17">IFERROR((K28/B28)^(1/$M$3)-1,"n/m")</f>
        <v>0.19142254618989218</v>
      </c>
      <c r="N28" s="78">
        <f t="shared" si="1"/>
        <v>0.1992993801594225</v>
      </c>
      <c r="O28" s="78">
        <f t="shared" si="2"/>
        <v>7.0625855353730449E-2</v>
      </c>
    </row>
    <row r="29" spans="1:15" ht="15" customHeight="1" x14ac:dyDescent="0.35">
      <c r="A29" s="39" t="s">
        <v>93</v>
      </c>
      <c r="B29" s="40">
        <f t="shared" ref="B29:K29" si="18">IFERROR(B20/B28,"n/m")</f>
        <v>7.4416484636668185</v>
      </c>
      <c r="C29" s="40">
        <f t="shared" si="18"/>
        <v>16.065697539461475</v>
      </c>
      <c r="D29" s="40">
        <f t="shared" si="18"/>
        <v>23.34476683937822</v>
      </c>
      <c r="E29" s="40">
        <f t="shared" si="18"/>
        <v>15.258414532188191</v>
      </c>
      <c r="F29" s="40">
        <f t="shared" si="18"/>
        <v>27.883938119341288</v>
      </c>
      <c r="G29" s="40">
        <f t="shared" si="18"/>
        <v>32.243247150403121</v>
      </c>
      <c r="H29" s="40">
        <f t="shared" si="18"/>
        <v>29.919679988672154</v>
      </c>
      <c r="I29" s="40">
        <f t="shared" si="18"/>
        <v>23.850868679607007</v>
      </c>
      <c r="J29" s="40">
        <f t="shared" si="18"/>
        <v>53.430428810098377</v>
      </c>
      <c r="K29" s="40">
        <f t="shared" si="18"/>
        <v>57.919335391005866</v>
      </c>
      <c r="L29" s="41"/>
      <c r="M29" s="81"/>
      <c r="N29" s="81"/>
      <c r="O29" s="81"/>
    </row>
    <row r="31" spans="1:15" ht="15" customHeight="1" thickBot="1" x14ac:dyDescent="0.4"/>
    <row r="32" spans="1:15" ht="15" customHeight="1" thickBot="1" x14ac:dyDescent="0.4">
      <c r="A32" s="127" t="s">
        <v>163</v>
      </c>
      <c r="B32" s="128"/>
      <c r="C32" s="128"/>
      <c r="D32" s="128"/>
      <c r="E32" s="128"/>
      <c r="F32" s="128"/>
      <c r="G32" s="128"/>
      <c r="H32" s="128"/>
      <c r="I32" s="128"/>
      <c r="J32" s="128"/>
      <c r="K32" s="129"/>
    </row>
    <row r="33" spans="1:11" ht="15" customHeight="1" x14ac:dyDescent="0.35">
      <c r="A33" s="97" t="s">
        <v>160</v>
      </c>
      <c r="B33" s="98">
        <f>+B3</f>
        <v>41364</v>
      </c>
      <c r="C33" s="98">
        <f t="shared" ref="C33:K33" si="19">+C3</f>
        <v>41729</v>
      </c>
      <c r="D33" s="98">
        <f t="shared" si="19"/>
        <v>42094</v>
      </c>
      <c r="E33" s="98">
        <f t="shared" si="19"/>
        <v>42460</v>
      </c>
      <c r="F33" s="98">
        <f t="shared" si="19"/>
        <v>42825</v>
      </c>
      <c r="G33" s="98">
        <f t="shared" si="19"/>
        <v>43190</v>
      </c>
      <c r="H33" s="98">
        <f t="shared" si="19"/>
        <v>43555</v>
      </c>
      <c r="I33" s="98">
        <f t="shared" si="19"/>
        <v>43921</v>
      </c>
      <c r="J33" s="98">
        <f t="shared" si="19"/>
        <v>44286</v>
      </c>
      <c r="K33" s="98">
        <f t="shared" si="19"/>
        <v>44651</v>
      </c>
    </row>
    <row r="34" spans="1:11" ht="15" customHeight="1" x14ac:dyDescent="0.35">
      <c r="A34" s="3" t="s">
        <v>11</v>
      </c>
      <c r="B34" s="107">
        <f>'Data Sheet'!B17/'Income Statement'!B$4</f>
        <v>1</v>
      </c>
      <c r="C34" s="107">
        <f>'Data Sheet'!C17/'Income Statement'!C$4</f>
        <v>1</v>
      </c>
      <c r="D34" s="107">
        <f>'Data Sheet'!D17/'Income Statement'!D$4</f>
        <v>1</v>
      </c>
      <c r="E34" s="107">
        <f>'Data Sheet'!E17/'Income Statement'!E$4</f>
        <v>1</v>
      </c>
      <c r="F34" s="107">
        <f>'Data Sheet'!F17/'Income Statement'!F$4</f>
        <v>1</v>
      </c>
      <c r="G34" s="107">
        <f>'Data Sheet'!G17/'Income Statement'!G$4</f>
        <v>1</v>
      </c>
      <c r="H34" s="107">
        <f>'Data Sheet'!H17/'Income Statement'!H$4</f>
        <v>1</v>
      </c>
      <c r="I34" s="107">
        <f>'Data Sheet'!I17/'Income Statement'!I$4</f>
        <v>1</v>
      </c>
      <c r="J34" s="107">
        <f>'Data Sheet'!J17/'Income Statement'!J$4</f>
        <v>1</v>
      </c>
      <c r="K34" s="107">
        <f>'Data Sheet'!K17/'Income Statement'!K$4</f>
        <v>1</v>
      </c>
    </row>
    <row r="35" spans="1:11" ht="15" customHeight="1" x14ac:dyDescent="0.35">
      <c r="A35" t="s">
        <v>162</v>
      </c>
      <c r="B35" s="108">
        <f>'Data Sheet'!B18/'Income Statement'!B$4</f>
        <v>0.61314882638425328</v>
      </c>
      <c r="C35" s="108">
        <f>'Data Sheet'!C18/'Income Statement'!C$4</f>
        <v>0.60040509674917042</v>
      </c>
      <c r="D35" s="108">
        <f>'Data Sheet'!D18/'Income Statement'!D$4</f>
        <v>0.59073769323468051</v>
      </c>
      <c r="E35" s="108">
        <f>'Data Sheet'!E18/'Income Statement'!E$4</f>
        <v>0.46843648466597987</v>
      </c>
      <c r="F35" s="108">
        <f>'Data Sheet'!F18/'Income Statement'!F$4</f>
        <v>0.4777384166419576</v>
      </c>
      <c r="G35" s="108">
        <f>'Data Sheet'!G18/'Income Statement'!G$4</f>
        <v>0.50777052954719881</v>
      </c>
      <c r="H35" s="108">
        <f>'Data Sheet'!H18/'Income Statement'!H$4</f>
        <v>0.46864139300659619</v>
      </c>
      <c r="I35" s="108">
        <f>'Data Sheet'!I18/'Income Statement'!I$4</f>
        <v>0.41939214866795615</v>
      </c>
      <c r="J35" s="108">
        <f>'Data Sheet'!J18/'Income Statement'!J$4</f>
        <v>0.43579318005575002</v>
      </c>
      <c r="K35" s="108">
        <f>'Data Sheet'!K18/'Income Statement'!K$4</f>
        <v>0.53303910220301953</v>
      </c>
    </row>
    <row r="36" spans="1:11" ht="15" customHeight="1" x14ac:dyDescent="0.35">
      <c r="A36" t="s">
        <v>13</v>
      </c>
      <c r="B36" s="109">
        <f>-'Data Sheet'!B19/'Income Statement'!B$4</f>
        <v>-8.5337470907680384E-3</v>
      </c>
      <c r="C36" s="109">
        <f>-'Data Sheet'!C19/'Income Statement'!C$4</f>
        <v>1.2210363006909628E-3</v>
      </c>
      <c r="D36" s="109">
        <f>-'Data Sheet'!D19/'Income Statement'!D$4</f>
        <v>8.4226348593419978E-4</v>
      </c>
      <c r="E36" s="109">
        <f>-'Data Sheet'!E19/'Income Statement'!E$4</f>
        <v>1.1886837308820032E-3</v>
      </c>
      <c r="F36" s="109">
        <f>-'Data Sheet'!F19/'Income Statement'!F$4</f>
        <v>-8.7080010611900946E-3</v>
      </c>
      <c r="G36" s="109">
        <f>-'Data Sheet'!G19/'Income Statement'!G$4</f>
        <v>9.661769542813288E-3</v>
      </c>
      <c r="H36" s="109">
        <f>-'Data Sheet'!H19/'Income Statement'!H$4</f>
        <v>-3.0941910773813744E-3</v>
      </c>
      <c r="I36" s="109">
        <f>-'Data Sheet'!I19/'Income Statement'!I$4</f>
        <v>-2.7117128500199249E-3</v>
      </c>
      <c r="J36" s="109">
        <f>-'Data Sheet'!J19/'Income Statement'!J$4</f>
        <v>-2.9551694506738203E-2</v>
      </c>
      <c r="K36" s="109">
        <f>-'Data Sheet'!K19/'Income Statement'!K$4</f>
        <v>-2.5378982488502084E-4</v>
      </c>
    </row>
    <row r="37" spans="1:11" ht="15" customHeight="1" x14ac:dyDescent="0.35">
      <c r="A37" t="s">
        <v>167</v>
      </c>
      <c r="B37" s="108">
        <f>'Data Sheet'!B20/'Income Statement'!B$4</f>
        <v>5.5712919696176956E-2</v>
      </c>
      <c r="C37" s="108">
        <f>'Data Sheet'!C20/'Income Statement'!C$4</f>
        <v>5.1829399681094047E-2</v>
      </c>
      <c r="D37" s="108">
        <f>'Data Sheet'!D20/'Income Statement'!D$4</f>
        <v>4.0597100022028425E-2</v>
      </c>
      <c r="E37" s="108">
        <f>'Data Sheet'!E20/'Income Statement'!E$4</f>
        <v>4.9639432601632456E-2</v>
      </c>
      <c r="F37" s="108">
        <f>'Data Sheet'!F20/'Income Statement'!F$4</f>
        <v>5.7663196991213979E-2</v>
      </c>
      <c r="G37" s="108">
        <f>'Data Sheet'!G20/'Income Statement'!G$4</f>
        <v>6.5658918978182212E-2</v>
      </c>
      <c r="H37" s="108">
        <f>'Data Sheet'!H20/'Income Statement'!H$4</f>
        <v>4.99680828427548E-2</v>
      </c>
      <c r="I37" s="108">
        <f>'Data Sheet'!I20/'Income Statement'!I$4</f>
        <v>5.1114329312741173E-2</v>
      </c>
      <c r="J37" s="108">
        <f>'Data Sheet'!J20/'Income Statement'!J$4</f>
        <v>6.6417957370108777E-2</v>
      </c>
      <c r="K37" s="108">
        <f>'Data Sheet'!K20/'Income Statement'!K$4</f>
        <v>7.444088863578685E-2</v>
      </c>
    </row>
    <row r="38" spans="1:11" ht="15" customHeight="1" x14ac:dyDescent="0.35">
      <c r="A38" s="2" t="s">
        <v>164</v>
      </c>
      <c r="B38" s="108">
        <f>'Data Sheet'!B21/'Income Statement'!B$4</f>
        <v>2.9137423999133993E-2</v>
      </c>
      <c r="C38" s="108">
        <f>'Data Sheet'!C21/'Income Statement'!C$4</f>
        <v>3.2249723471190726E-2</v>
      </c>
      <c r="D38" s="108">
        <f>'Data Sheet'!D21/'Income Statement'!D$4</f>
        <v>3.5128866313347933E-2</v>
      </c>
      <c r="E38" s="108">
        <f>'Data Sheet'!E21/'Income Statement'!E$4</f>
        <v>5.2682462952690384E-2</v>
      </c>
      <c r="F38" s="108">
        <f>'Data Sheet'!F21/'Income Statement'!F$4</f>
        <v>4.8174909096583909E-2</v>
      </c>
      <c r="G38" s="108">
        <f>'Data Sheet'!G21/'Income Statement'!G$4</f>
        <v>5.9080692906479555E-2</v>
      </c>
      <c r="H38" s="108">
        <f>'Data Sheet'!H21/'Income Statement'!H$4</f>
        <v>4.4497836726008932E-2</v>
      </c>
      <c r="I38" s="108">
        <f>'Data Sheet'!I21/'Income Statement'!I$4</f>
        <v>4.900521931828123E-2</v>
      </c>
      <c r="J38" s="108">
        <f>'Data Sheet'!J21/'Income Statement'!J$4</f>
        <v>5.5184121727830986E-2</v>
      </c>
      <c r="K38" s="108">
        <f>'Data Sheet'!K21/'Income Statement'!K$4</f>
        <v>5.2905893494933486E-2</v>
      </c>
    </row>
    <row r="39" spans="1:11" ht="15" customHeight="1" x14ac:dyDescent="0.35">
      <c r="A39" s="2" t="s">
        <v>165</v>
      </c>
      <c r="B39" s="108">
        <f>'Data Sheet'!B22/'Income Statement'!B$4</f>
        <v>4.081043534739387E-2</v>
      </c>
      <c r="C39" s="108">
        <f>'Data Sheet'!C22/'Income Statement'!C$4</f>
        <v>3.9461020211742061E-2</v>
      </c>
      <c r="D39" s="108">
        <f>'Data Sheet'!D22/'Income Statement'!D$4</f>
        <v>4.1387531908828219E-2</v>
      </c>
      <c r="E39" s="108">
        <f>'Data Sheet'!E22/'Income Statement'!E$4</f>
        <v>5.70409699659244E-2</v>
      </c>
      <c r="F39" s="108">
        <f>'Data Sheet'!F22/'Income Statement'!F$4</f>
        <v>6.5497276798951301E-2</v>
      </c>
      <c r="G39" s="108">
        <f>'Data Sheet'!G22/'Income Statement'!G$4</f>
        <v>6.7262361583159749E-2</v>
      </c>
      <c r="H39" s="108">
        <f>'Data Sheet'!H22/'Income Statement'!H$4</f>
        <v>4.815057805518122E-2</v>
      </c>
      <c r="I39" s="108">
        <f>'Data Sheet'!I22/'Income Statement'!I$4</f>
        <v>6.2583222370173108E-2</v>
      </c>
      <c r="J39" s="108">
        <f>'Data Sheet'!J22/'Income Statement'!J$4</f>
        <v>7.626852220568818E-2</v>
      </c>
      <c r="K39" s="108">
        <f>'Data Sheet'!K22/'Income Statement'!K$4</f>
        <v>5.2088814058718305E-2</v>
      </c>
    </row>
    <row r="40" spans="1:11" ht="15" customHeight="1" x14ac:dyDescent="0.35">
      <c r="A40" s="2" t="s">
        <v>168</v>
      </c>
      <c r="B40" s="108">
        <f>'Data Sheet'!B23/'Income Statement'!B$4</f>
        <v>4.1279520811157017E-2</v>
      </c>
      <c r="C40" s="108">
        <f>'Data Sheet'!C23/'Income Statement'!C$4</f>
        <v>3.7564822662433738E-2</v>
      </c>
      <c r="D40" s="108">
        <f>'Data Sheet'!D23/'Income Statement'!D$4</f>
        <v>3.0334443393414796E-2</v>
      </c>
      <c r="E40" s="108">
        <f>'Data Sheet'!E23/'Income Statement'!E$4</f>
        <v>2.638877882558047E-2</v>
      </c>
      <c r="F40" s="108">
        <f>'Data Sheet'!F23/'Income Statement'!F$4</f>
        <v>1.0580689461446028E-2</v>
      </c>
      <c r="G40" s="108">
        <f>'Data Sheet'!G23/'Income Statement'!G$4</f>
        <v>1.1251507510141433E-2</v>
      </c>
      <c r="H40" s="108">
        <f>'Data Sheet'!H23/'Income Statement'!H$4</f>
        <v>8.4757784240017016E-3</v>
      </c>
      <c r="I40" s="108">
        <f>'Data Sheet'!I23/'Income Statement'!I$4</f>
        <v>1.0224809742727459E-2</v>
      </c>
      <c r="J40" s="108">
        <f>'Data Sheet'!J23/'Income Statement'!J$4</f>
        <v>1.3654559553999957E-2</v>
      </c>
      <c r="K40" s="108">
        <f>'Data Sheet'!K23/'Income Statement'!K$4</f>
        <v>8.3564942340189786E-3</v>
      </c>
    </row>
    <row r="41" spans="1:11" ht="15" customHeight="1" x14ac:dyDescent="0.35">
      <c r="A41" s="2" t="s">
        <v>166</v>
      </c>
      <c r="B41" s="108">
        <f>'Data Sheet'!B24/'Income Statement'!B$4</f>
        <v>1.1330218124740651E-2</v>
      </c>
      <c r="C41" s="108">
        <f>'Data Sheet'!C24/'Income Statement'!C$4</f>
        <v>1.7640383261747088E-2</v>
      </c>
      <c r="D41" s="108">
        <f>'Data Sheet'!D24/'Income Statement'!D$4</f>
        <v>1.2050846798750859E-2</v>
      </c>
      <c r="E41" s="108">
        <f>'Data Sheet'!E24/'Income Statement'!E$4</f>
        <v>1.6784214280053885E-2</v>
      </c>
      <c r="F41" s="108">
        <f>'Data Sheet'!F24/'Income Statement'!F$4</f>
        <v>9.0981444779100803E-3</v>
      </c>
      <c r="G41" s="108">
        <f>'Data Sheet'!G24/'Income Statement'!G$4</f>
        <v>7.5649599824580641E-3</v>
      </c>
      <c r="H41" s="108">
        <f>'Data Sheet'!H24/'Income Statement'!H$4</f>
        <v>6.5518831122774656E-3</v>
      </c>
      <c r="I41" s="108">
        <f>'Data Sheet'!I24/'Income Statement'!I$4</f>
        <v>7.1437596586546408E-3</v>
      </c>
      <c r="J41" s="108">
        <f>'Data Sheet'!J24/'Income Statement'!J$4</f>
        <v>1.2040743612851844E-2</v>
      </c>
      <c r="K41" s="108">
        <f>'Data Sheet'!K24/'Income Statement'!K$4</f>
        <v>9.8606631961423944E-3</v>
      </c>
    </row>
    <row r="42" spans="1:11" ht="15" customHeight="1" x14ac:dyDescent="0.35">
      <c r="A42" s="54" t="s">
        <v>82</v>
      </c>
      <c r="B42" s="110">
        <f>B34-SUM(B35:B41)</f>
        <v>0.21711440272791216</v>
      </c>
      <c r="C42" s="68">
        <f t="shared" ref="C42:K42" si="20">C34-SUM(C35:C41)</f>
        <v>0.21962851766193103</v>
      </c>
      <c r="D42" s="68">
        <f t="shared" si="20"/>
        <v>0.24892125484301497</v>
      </c>
      <c r="E42" s="68">
        <f t="shared" si="20"/>
        <v>0.3278389729772565</v>
      </c>
      <c r="F42" s="68">
        <f t="shared" si="20"/>
        <v>0.33995536759312694</v>
      </c>
      <c r="G42" s="68">
        <f t="shared" si="20"/>
        <v>0.27174925994956678</v>
      </c>
      <c r="H42" s="68">
        <f t="shared" si="20"/>
        <v>0.37680863891056104</v>
      </c>
      <c r="I42" s="68">
        <f t="shared" si="20"/>
        <v>0.4032482237794861</v>
      </c>
      <c r="J42" s="68">
        <f t="shared" si="20"/>
        <v>0.37019260998050862</v>
      </c>
      <c r="K42" s="68">
        <f t="shared" si="20"/>
        <v>0.26956193400226547</v>
      </c>
    </row>
    <row r="44" spans="1:11" ht="15" customHeight="1" x14ac:dyDescent="0.35">
      <c r="A44" s="2"/>
      <c r="B44" s="106"/>
      <c r="C44" s="106"/>
      <c r="D44" s="106"/>
      <c r="E44" s="106"/>
      <c r="F44" s="106"/>
      <c r="G44" s="106"/>
      <c r="H44" s="106"/>
      <c r="I44" s="106"/>
      <c r="J44" s="106"/>
      <c r="K44" s="106"/>
    </row>
  </sheetData>
  <mergeCells count="4">
    <mergeCell ref="A1:O1"/>
    <mergeCell ref="M2:O2"/>
    <mergeCell ref="B2:L2"/>
    <mergeCell ref="A32:K32"/>
  </mergeCells>
  <conditionalFormatting sqref="C16:K18">
    <cfRule type="cellIs" dxfId="65" priority="3" operator="greaterThan">
      <formula>B16</formula>
    </cfRule>
    <cfRule type="cellIs" dxfId="64" priority="4" operator="lessThan">
      <formula>B16</formula>
    </cfRule>
  </conditionalFormatting>
  <conditionalFormatting sqref="C25:K26">
    <cfRule type="cellIs" dxfId="63" priority="7" operator="greaterThan">
      <formula>B25</formula>
    </cfRule>
  </conditionalFormatting>
  <conditionalFormatting sqref="C25:K29">
    <cfRule type="cellIs" dxfId="62" priority="8" operator="lessThan">
      <formula>B25</formula>
    </cfRule>
  </conditionalFormatting>
  <conditionalFormatting sqref="C27:K29">
    <cfRule type="cellIs" dxfId="61" priority="12" operator="greaterThan">
      <formula>B27</formula>
    </cfRule>
  </conditionalFormatting>
  <conditionalFormatting sqref="C42:K42">
    <cfRule type="cellIs" dxfId="60" priority="5" operator="greaterThan">
      <formula>B42</formula>
    </cfRule>
    <cfRule type="cellIs" dxfId="59" priority="6" operator="lessThan">
      <formula>B42</formula>
    </cfRule>
  </conditionalFormatting>
  <conditionalFormatting sqref="C23:L24">
    <cfRule type="cellIs" dxfId="58" priority="19" operator="greaterThan">
      <formula>B23</formula>
    </cfRule>
    <cfRule type="cellIs" dxfId="57" priority="20" operator="lessThan">
      <formula>B23</formula>
    </cfRule>
  </conditionalFormatting>
  <pageMargins left="0.7" right="0.7" top="0.75" bottom="0.75" header="0.3" footer="0.3"/>
  <pageSetup paperSize="9" orientation="portrait" r:id="rId1"/>
  <ignoredErrors>
    <ignoredError sqref="L4:L5 L10 L12"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A49F5-1AB8-D64B-8423-A5708DACFD1C}">
  <dimension ref="A1:N38"/>
  <sheetViews>
    <sheetView showGridLines="0" zoomScale="124" zoomScaleNormal="124" workbookViewId="0">
      <selection activeCell="F32" sqref="F32"/>
    </sheetView>
  </sheetViews>
  <sheetFormatPr defaultColWidth="8.81640625" defaultRowHeight="15" customHeight="1" x14ac:dyDescent="0.35"/>
  <cols>
    <col min="1" max="1" width="33.1796875" customWidth="1"/>
    <col min="2" max="12" width="13.81640625" customWidth="1"/>
    <col min="13" max="13" width="18.81640625" customWidth="1"/>
    <col min="14" max="14" width="20.81640625" customWidth="1"/>
  </cols>
  <sheetData>
    <row r="1" spans="1:14" ht="26.5" thickBot="1" x14ac:dyDescent="0.4">
      <c r="A1" s="118" t="s">
        <v>155</v>
      </c>
      <c r="B1" s="119"/>
      <c r="C1" s="119"/>
      <c r="D1" s="119"/>
      <c r="E1" s="119"/>
      <c r="F1" s="119"/>
      <c r="G1" s="119"/>
      <c r="H1" s="119"/>
      <c r="I1" s="119"/>
      <c r="J1" s="119"/>
      <c r="K1" s="119"/>
      <c r="L1" s="119"/>
      <c r="M1" s="119"/>
      <c r="N1" s="120"/>
    </row>
    <row r="2" spans="1:14" ht="18.5" customHeight="1" thickBot="1" x14ac:dyDescent="0.4">
      <c r="A2" s="22" t="s">
        <v>77</v>
      </c>
      <c r="B2" s="124" t="str">
        <f>+'Data Sheet'!B1</f>
        <v>VINATI ORGANICS LTD</v>
      </c>
      <c r="C2" s="125"/>
      <c r="D2" s="125"/>
      <c r="E2" s="125"/>
      <c r="F2" s="125"/>
      <c r="G2" s="125"/>
      <c r="H2" s="125"/>
      <c r="I2" s="125"/>
      <c r="J2" s="125"/>
      <c r="K2" s="125"/>
      <c r="L2" s="121" t="s">
        <v>81</v>
      </c>
      <c r="M2" s="122"/>
      <c r="N2" s="123"/>
    </row>
    <row r="3" spans="1:14" ht="21" customHeight="1" x14ac:dyDescent="0.35">
      <c r="A3" s="21" t="s">
        <v>78</v>
      </c>
      <c r="B3" s="23">
        <f>+'Data Sheet'!B41</f>
        <v>44012</v>
      </c>
      <c r="C3" s="23">
        <f>+'Data Sheet'!C41</f>
        <v>44104</v>
      </c>
      <c r="D3" s="23">
        <f>+'Data Sheet'!D41</f>
        <v>44196</v>
      </c>
      <c r="E3" s="23">
        <f>+'Data Sheet'!E41</f>
        <v>44286</v>
      </c>
      <c r="F3" s="23">
        <f>+'Data Sheet'!F41</f>
        <v>44377</v>
      </c>
      <c r="G3" s="23">
        <f>+'Data Sheet'!G41</f>
        <v>44469</v>
      </c>
      <c r="H3" s="23">
        <f>+'Data Sheet'!H41</f>
        <v>44561</v>
      </c>
      <c r="I3" s="23">
        <f>+'Data Sheet'!I41</f>
        <v>44651</v>
      </c>
      <c r="J3" s="23">
        <f>+'Data Sheet'!J41</f>
        <v>44742</v>
      </c>
      <c r="K3" s="23">
        <f>+'Data Sheet'!K41</f>
        <v>44834</v>
      </c>
      <c r="L3" s="30"/>
      <c r="M3" s="31" t="s">
        <v>158</v>
      </c>
      <c r="N3" s="32" t="s">
        <v>156</v>
      </c>
    </row>
    <row r="4" spans="1:14" ht="15" customHeight="1" x14ac:dyDescent="0.35">
      <c r="A4" t="s">
        <v>11</v>
      </c>
      <c r="B4" s="25">
        <f>+'Data Sheet'!B42</f>
        <v>231.57</v>
      </c>
      <c r="C4" s="25">
        <f>+'Data Sheet'!C42</f>
        <v>219.44</v>
      </c>
      <c r="D4" s="25">
        <f>+'Data Sheet'!D42</f>
        <v>223.47</v>
      </c>
      <c r="E4" s="25">
        <f>+'Data Sheet'!E42</f>
        <v>279.77</v>
      </c>
      <c r="F4" s="25">
        <f>+'Data Sheet'!F42</f>
        <v>386.37</v>
      </c>
      <c r="G4" s="25">
        <f>+'Data Sheet'!G42</f>
        <v>374.1</v>
      </c>
      <c r="H4" s="25">
        <f>+'Data Sheet'!H42</f>
        <v>368.95</v>
      </c>
      <c r="I4" s="25">
        <f>+'Data Sheet'!I42</f>
        <v>486.09</v>
      </c>
      <c r="J4" s="25">
        <f>+'Data Sheet'!J42</f>
        <v>506.32</v>
      </c>
      <c r="K4" s="25">
        <f>+'Data Sheet'!K42</f>
        <v>566.29</v>
      </c>
      <c r="L4" s="77"/>
      <c r="M4" s="77">
        <f>IFERROR((K4/J4)-1,"n/m")</f>
        <v>0.11844288197187547</v>
      </c>
      <c r="N4" s="77">
        <f>IFERROR((K4/G4)-1,"n/m")</f>
        <v>0.51373964180700327</v>
      </c>
    </row>
    <row r="5" spans="1:14" ht="15" customHeight="1" x14ac:dyDescent="0.35">
      <c r="A5" t="s">
        <v>28</v>
      </c>
      <c r="B5" s="25">
        <f>+'Data Sheet'!B50</f>
        <v>97.18</v>
      </c>
      <c r="C5" s="25">
        <f>+'Data Sheet'!C50</f>
        <v>84.13</v>
      </c>
      <c r="D5" s="25">
        <f>+'Data Sheet'!D50</f>
        <v>72.09</v>
      </c>
      <c r="E5" s="25">
        <f>+'Data Sheet'!E50</f>
        <v>99.12</v>
      </c>
      <c r="F5" s="25">
        <f>+'Data Sheet'!F50</f>
        <v>101.51</v>
      </c>
      <c r="G5" s="25">
        <f>+'Data Sheet'!G50</f>
        <v>101.01</v>
      </c>
      <c r="H5" s="25">
        <f>+'Data Sheet'!H50</f>
        <v>92.77</v>
      </c>
      <c r="I5" s="25">
        <f>+'Data Sheet'!I50</f>
        <v>138.78</v>
      </c>
      <c r="J5" s="25">
        <f>+'Data Sheet'!J50</f>
        <v>130.88</v>
      </c>
      <c r="K5" s="25">
        <f>+'Data Sheet'!K50</f>
        <v>148.47</v>
      </c>
      <c r="L5" s="77"/>
      <c r="M5" s="77">
        <f>IFERROR((K5/J5)-1,"n/m")</f>
        <v>0.13439792176039123</v>
      </c>
      <c r="N5" s="77">
        <f>IFERROR((K5/G5)-1,"n/m")</f>
        <v>0.46985446985446977</v>
      </c>
    </row>
    <row r="6" spans="1:14" ht="15" customHeight="1" x14ac:dyDescent="0.35">
      <c r="A6" t="s">
        <v>19</v>
      </c>
      <c r="B6" s="28">
        <f>+'Data Sheet'!B44</f>
        <v>8.6</v>
      </c>
      <c r="C6" s="28">
        <f>+'Data Sheet'!C44</f>
        <v>1.4</v>
      </c>
      <c r="D6" s="28">
        <f>+'Data Sheet'!D44</f>
        <v>9.2899999999999991</v>
      </c>
      <c r="E6" s="28">
        <f>+'Data Sheet'!E44</f>
        <v>6.57</v>
      </c>
      <c r="F6" s="28">
        <f>+'Data Sheet'!F44</f>
        <v>17.61</v>
      </c>
      <c r="G6" s="28">
        <f>+'Data Sheet'!G44</f>
        <v>13.58</v>
      </c>
      <c r="H6" s="28">
        <f>+'Data Sheet'!H44</f>
        <v>14.65</v>
      </c>
      <c r="I6" s="28">
        <f>+'Data Sheet'!I44</f>
        <v>15.13</v>
      </c>
      <c r="J6" s="28">
        <f>+'Data Sheet'!J44</f>
        <v>18.690000000000001</v>
      </c>
      <c r="K6" s="28">
        <f>+'Data Sheet'!K44</f>
        <v>19.97</v>
      </c>
      <c r="L6" s="77"/>
      <c r="M6" s="77">
        <f>IFERROR((K6/J6)-1,"n/m")</f>
        <v>6.8485821294809845E-2</v>
      </c>
      <c r="N6" s="77">
        <f>IFERROR((K6/G6)-1,"n/m")</f>
        <v>0.47054491899852713</v>
      </c>
    </row>
    <row r="7" spans="1:14" ht="15" customHeight="1" x14ac:dyDescent="0.35">
      <c r="A7" s="3" t="s">
        <v>83</v>
      </c>
      <c r="B7" s="27">
        <f>+B6+B5</f>
        <v>105.78</v>
      </c>
      <c r="C7" s="27">
        <f t="shared" ref="C7:K7" si="0">+C6+C5</f>
        <v>85.53</v>
      </c>
      <c r="D7" s="27">
        <f t="shared" si="0"/>
        <v>81.38</v>
      </c>
      <c r="E7" s="27">
        <f t="shared" si="0"/>
        <v>105.69</v>
      </c>
      <c r="F7" s="27">
        <f t="shared" si="0"/>
        <v>119.12</v>
      </c>
      <c r="G7" s="27">
        <f t="shared" si="0"/>
        <v>114.59</v>
      </c>
      <c r="H7" s="27">
        <f t="shared" si="0"/>
        <v>107.42</v>
      </c>
      <c r="I7" s="27">
        <f t="shared" si="0"/>
        <v>153.91</v>
      </c>
      <c r="J7" s="27">
        <f t="shared" si="0"/>
        <v>149.57</v>
      </c>
      <c r="K7" s="27">
        <f t="shared" si="0"/>
        <v>168.44</v>
      </c>
      <c r="L7" s="78"/>
      <c r="M7" s="78">
        <f>IFERROR((K7/J7)-1,"n/m")</f>
        <v>0.12616166343518098</v>
      </c>
      <c r="N7" s="78">
        <f>IFERROR((K7/G7)-1,"n/m")</f>
        <v>0.46993629461558584</v>
      </c>
    </row>
    <row r="8" spans="1:14" ht="15" customHeight="1" x14ac:dyDescent="0.35">
      <c r="A8" t="s">
        <v>21</v>
      </c>
      <c r="B8" s="28">
        <f>-'Data Sheet'!B46</f>
        <v>-0.04</v>
      </c>
      <c r="C8" s="28">
        <f>-'Data Sheet'!C46</f>
        <v>-0.05</v>
      </c>
      <c r="D8" s="28">
        <f>-'Data Sheet'!D46</f>
        <v>-0.01</v>
      </c>
      <c r="E8" s="28">
        <f>-'Data Sheet'!E46</f>
        <v>-0.11</v>
      </c>
      <c r="F8" s="28">
        <f>-'Data Sheet'!F46</f>
        <v>-0.01</v>
      </c>
      <c r="G8" s="28">
        <f>-'Data Sheet'!G46</f>
        <v>0</v>
      </c>
      <c r="H8" s="28">
        <f>-'Data Sheet'!H46</f>
        <v>-0.01</v>
      </c>
      <c r="I8" s="28">
        <f>-'Data Sheet'!I46</f>
        <v>-0.23</v>
      </c>
      <c r="J8" s="28">
        <f>-'Data Sheet'!J46</f>
        <v>-0.47</v>
      </c>
      <c r="K8" s="28">
        <f>-'Data Sheet'!K46</f>
        <v>-0.01</v>
      </c>
      <c r="L8" s="77"/>
      <c r="M8" s="77"/>
      <c r="N8" s="77"/>
    </row>
    <row r="9" spans="1:14" ht="15" customHeight="1" x14ac:dyDescent="0.35">
      <c r="A9" t="s">
        <v>20</v>
      </c>
      <c r="B9" s="28">
        <f>-'Data Sheet'!B45</f>
        <v>-10.65</v>
      </c>
      <c r="C9" s="28">
        <f>-'Data Sheet'!C45</f>
        <v>-10.76</v>
      </c>
      <c r="D9" s="28">
        <f>-'Data Sheet'!D45</f>
        <v>-10.77</v>
      </c>
      <c r="E9" s="28">
        <f>-'Data Sheet'!E45</f>
        <v>-10.73</v>
      </c>
      <c r="F9" s="28">
        <f>-'Data Sheet'!F45</f>
        <v>-11.01</v>
      </c>
      <c r="G9" s="28">
        <f>-'Data Sheet'!G45</f>
        <v>-11.28</v>
      </c>
      <c r="H9" s="28">
        <f>-'Data Sheet'!H45</f>
        <v>-11.52</v>
      </c>
      <c r="I9" s="28">
        <f>-'Data Sheet'!I45</f>
        <v>-11.69</v>
      </c>
      <c r="J9" s="28">
        <f>-'Data Sheet'!J45</f>
        <v>-12.83</v>
      </c>
      <c r="K9" s="28">
        <f>-'Data Sheet'!K45</f>
        <v>-13.05</v>
      </c>
      <c r="L9" s="77"/>
      <c r="M9" s="77"/>
      <c r="N9" s="77"/>
    </row>
    <row r="10" spans="1:14" ht="15" customHeight="1" x14ac:dyDescent="0.35">
      <c r="A10" s="3" t="s">
        <v>84</v>
      </c>
      <c r="B10" s="27">
        <f>+B7+B8+B9</f>
        <v>95.089999999999989</v>
      </c>
      <c r="C10" s="27">
        <f t="shared" ref="C10:K10" si="1">+C7+C8+C9</f>
        <v>74.72</v>
      </c>
      <c r="D10" s="27">
        <f t="shared" si="1"/>
        <v>70.599999999999994</v>
      </c>
      <c r="E10" s="27">
        <f t="shared" si="1"/>
        <v>94.85</v>
      </c>
      <c r="F10" s="27">
        <f t="shared" si="1"/>
        <v>108.1</v>
      </c>
      <c r="G10" s="27">
        <f t="shared" si="1"/>
        <v>103.31</v>
      </c>
      <c r="H10" s="27">
        <f t="shared" si="1"/>
        <v>95.89</v>
      </c>
      <c r="I10" s="27">
        <f t="shared" si="1"/>
        <v>141.99</v>
      </c>
      <c r="J10" s="27">
        <f t="shared" si="1"/>
        <v>136.26999999999998</v>
      </c>
      <c r="K10" s="27">
        <f t="shared" si="1"/>
        <v>155.38</v>
      </c>
      <c r="L10" s="78"/>
      <c r="M10" s="78">
        <f>IFERROR((K10/J10)-1,"n/m")</f>
        <v>0.14023629558963835</v>
      </c>
      <c r="N10" s="78">
        <f>IFERROR((K10/G10)-1,"n/m")</f>
        <v>0.50401703610492676</v>
      </c>
    </row>
    <row r="11" spans="1:14" ht="15" customHeight="1" x14ac:dyDescent="0.35">
      <c r="A11" t="s">
        <v>23</v>
      </c>
      <c r="B11" s="28">
        <f>-'Data Sheet'!B48</f>
        <v>-22.79</v>
      </c>
      <c r="C11" s="28">
        <f>-'Data Sheet'!C48</f>
        <v>-12.68</v>
      </c>
      <c r="D11" s="28">
        <f>-'Data Sheet'!D48</f>
        <v>-6.47</v>
      </c>
      <c r="E11" s="28">
        <f>-'Data Sheet'!E48</f>
        <v>-23.99</v>
      </c>
      <c r="F11" s="28">
        <f>-'Data Sheet'!F48</f>
        <v>-27.16</v>
      </c>
      <c r="G11" s="28">
        <f>-'Data Sheet'!G48</f>
        <v>-21.95</v>
      </c>
      <c r="H11" s="28">
        <f>-'Data Sheet'!H48</f>
        <v>-12.63</v>
      </c>
      <c r="I11" s="28">
        <f>-'Data Sheet'!I48</f>
        <v>-40.89</v>
      </c>
      <c r="J11" s="28">
        <f>-'Data Sheet'!J48</f>
        <v>-35.090000000000003</v>
      </c>
      <c r="K11" s="28">
        <f>-'Data Sheet'!K48</f>
        <v>-39.380000000000003</v>
      </c>
      <c r="L11" s="77"/>
      <c r="M11" s="77"/>
      <c r="N11" s="77"/>
    </row>
    <row r="12" spans="1:14" ht="15" customHeight="1" x14ac:dyDescent="0.35">
      <c r="A12" s="3" t="s">
        <v>86</v>
      </c>
      <c r="B12" s="27">
        <f>+B11+B10</f>
        <v>72.299999999999983</v>
      </c>
      <c r="C12" s="27">
        <f t="shared" ref="C12:K12" si="2">+C11+C10</f>
        <v>62.04</v>
      </c>
      <c r="D12" s="27">
        <f t="shared" si="2"/>
        <v>64.13</v>
      </c>
      <c r="E12" s="27">
        <f t="shared" si="2"/>
        <v>70.86</v>
      </c>
      <c r="F12" s="27">
        <f t="shared" si="2"/>
        <v>80.94</v>
      </c>
      <c r="G12" s="27">
        <f t="shared" si="2"/>
        <v>81.36</v>
      </c>
      <c r="H12" s="27">
        <f t="shared" si="2"/>
        <v>83.26</v>
      </c>
      <c r="I12" s="27">
        <f t="shared" si="2"/>
        <v>101.10000000000001</v>
      </c>
      <c r="J12" s="27">
        <f t="shared" si="2"/>
        <v>101.17999999999998</v>
      </c>
      <c r="K12" s="27">
        <f t="shared" si="2"/>
        <v>116</v>
      </c>
      <c r="L12" s="78"/>
      <c r="M12" s="78">
        <f>IFERROR((K12/J12)-1,"n/m")</f>
        <v>0.14647163471041735</v>
      </c>
      <c r="N12" s="78">
        <f>IFERROR((K12/G12)-1,"n/m")</f>
        <v>0.42576204523107175</v>
      </c>
    </row>
    <row r="13" spans="1:14" ht="15" customHeight="1" thickBot="1" x14ac:dyDescent="0.4">
      <c r="A13" s="52"/>
      <c r="B13" s="53"/>
      <c r="C13" s="53"/>
      <c r="D13" s="53"/>
      <c r="E13" s="53"/>
      <c r="F13" s="53"/>
      <c r="G13" s="53"/>
      <c r="H13" s="53"/>
      <c r="I13" s="53"/>
      <c r="J13" s="53"/>
      <c r="K13" s="53"/>
      <c r="L13" s="80"/>
      <c r="M13" s="80"/>
      <c r="N13" s="80"/>
    </row>
    <row r="14" spans="1:14" ht="15" customHeight="1" x14ac:dyDescent="0.35">
      <c r="L14" s="77"/>
      <c r="M14" s="77"/>
      <c r="N14" s="77"/>
    </row>
    <row r="15" spans="1:14" ht="15" customHeight="1" x14ac:dyDescent="0.35">
      <c r="L15" s="77"/>
      <c r="M15" s="77"/>
      <c r="N15" s="77"/>
    </row>
    <row r="16" spans="1:14" ht="15" customHeight="1" x14ac:dyDescent="0.35">
      <c r="A16" s="33" t="s">
        <v>82</v>
      </c>
      <c r="B16" s="63">
        <f t="shared" ref="B16:K16" si="3">IF(B5&gt;0,B5/B4,"n/m")</f>
        <v>0.41965712311612041</v>
      </c>
      <c r="C16" s="63">
        <f t="shared" si="3"/>
        <v>0.38338497994896098</v>
      </c>
      <c r="D16" s="63">
        <f t="shared" si="3"/>
        <v>0.32259363672976238</v>
      </c>
      <c r="E16" s="63">
        <f t="shared" si="3"/>
        <v>0.35429102477034713</v>
      </c>
      <c r="F16" s="63">
        <f t="shared" si="3"/>
        <v>0.26272743743044236</v>
      </c>
      <c r="G16" s="63">
        <f t="shared" si="3"/>
        <v>0.27000801924619083</v>
      </c>
      <c r="H16" s="63">
        <f t="shared" si="3"/>
        <v>0.2514432849979672</v>
      </c>
      <c r="I16" s="63">
        <f t="shared" si="3"/>
        <v>0.28550268468802076</v>
      </c>
      <c r="J16" s="63">
        <f t="shared" si="3"/>
        <v>0.25849265286775164</v>
      </c>
      <c r="K16" s="63">
        <f t="shared" si="3"/>
        <v>0.26218015504423531</v>
      </c>
      <c r="L16" s="79"/>
      <c r="M16" s="79"/>
      <c r="N16" s="79"/>
    </row>
    <row r="17" spans="1:14" ht="15" customHeight="1" x14ac:dyDescent="0.35">
      <c r="A17" s="3" t="s">
        <v>85</v>
      </c>
      <c r="B17" s="64">
        <f t="shared" ref="B17:K17" si="4">IF(B12&gt;0,B12/B4,"n/m")</f>
        <v>0.31221660836895965</v>
      </c>
      <c r="C17" s="64">
        <f t="shared" si="4"/>
        <v>0.28271965001822824</v>
      </c>
      <c r="D17" s="64">
        <f t="shared" si="4"/>
        <v>0.28697364299458539</v>
      </c>
      <c r="E17" s="64">
        <f t="shared" si="4"/>
        <v>0.25327947957250602</v>
      </c>
      <c r="F17" s="64">
        <f t="shared" si="4"/>
        <v>0.20948831431011725</v>
      </c>
      <c r="G17" s="64">
        <f t="shared" si="4"/>
        <v>0.21748195669607057</v>
      </c>
      <c r="H17" s="64">
        <f t="shared" si="4"/>
        <v>0.22566743461173602</v>
      </c>
      <c r="I17" s="64">
        <f t="shared" si="4"/>
        <v>0.20798617539961739</v>
      </c>
      <c r="J17" s="64">
        <f t="shared" si="4"/>
        <v>0.19983409701374621</v>
      </c>
      <c r="K17" s="64">
        <f t="shared" si="4"/>
        <v>0.20484204206325382</v>
      </c>
      <c r="L17" s="77"/>
      <c r="M17" s="77"/>
      <c r="N17" s="77"/>
    </row>
    <row r="18" spans="1:14" ht="15" customHeight="1" x14ac:dyDescent="0.35">
      <c r="A18" s="3" t="s">
        <v>88</v>
      </c>
      <c r="B18" s="64">
        <f t="shared" ref="B18:K18" si="5">IF(B11&lt;0,-B11/B10,"n/m")</f>
        <v>0.2396676832474498</v>
      </c>
      <c r="C18" s="64">
        <f t="shared" si="5"/>
        <v>0.16970021413276232</v>
      </c>
      <c r="D18" s="64">
        <f t="shared" si="5"/>
        <v>9.1643059490084985E-2</v>
      </c>
      <c r="E18" s="64">
        <f t="shared" si="5"/>
        <v>0.25292567211386402</v>
      </c>
      <c r="F18" s="64">
        <f t="shared" si="5"/>
        <v>0.25124884366327477</v>
      </c>
      <c r="G18" s="64">
        <f t="shared" si="5"/>
        <v>0.21246733133288162</v>
      </c>
      <c r="H18" s="64">
        <f t="shared" si="5"/>
        <v>0.13171342162894983</v>
      </c>
      <c r="I18" s="64">
        <f t="shared" si="5"/>
        <v>0.28797802662159305</v>
      </c>
      <c r="J18" s="64">
        <f t="shared" si="5"/>
        <v>0.25750348572686582</v>
      </c>
      <c r="K18" s="64">
        <f t="shared" si="5"/>
        <v>0.25344317157935387</v>
      </c>
      <c r="L18" s="77"/>
      <c r="M18" s="77"/>
      <c r="N18" s="77"/>
    </row>
    <row r="19" spans="1:14" ht="15" customHeight="1" x14ac:dyDescent="0.35">
      <c r="A19" s="3" t="s">
        <v>89</v>
      </c>
      <c r="B19" s="37">
        <f t="shared" ref="B19:K19" si="6">IFERROR((B10-B8)/(-B8),"n/m")</f>
        <v>2378.25</v>
      </c>
      <c r="C19" s="37">
        <f t="shared" si="6"/>
        <v>1495.3999999999999</v>
      </c>
      <c r="D19" s="37">
        <f t="shared" si="6"/>
        <v>7061</v>
      </c>
      <c r="E19" s="37">
        <f t="shared" si="6"/>
        <v>863.27272727272725</v>
      </c>
      <c r="F19" s="37">
        <f t="shared" si="6"/>
        <v>10811</v>
      </c>
      <c r="G19" s="37" t="str">
        <f t="shared" si="6"/>
        <v>n/m</v>
      </c>
      <c r="H19" s="37">
        <f t="shared" si="6"/>
        <v>9590</v>
      </c>
      <c r="I19" s="37">
        <f t="shared" si="6"/>
        <v>618.3478260869565</v>
      </c>
      <c r="J19" s="37">
        <f t="shared" si="6"/>
        <v>290.93617021276594</v>
      </c>
      <c r="K19" s="37">
        <f t="shared" si="6"/>
        <v>15538.999999999998</v>
      </c>
      <c r="L19" s="77"/>
      <c r="M19" s="77"/>
      <c r="N19" s="77"/>
    </row>
    <row r="20" spans="1:14" ht="15" customHeight="1" x14ac:dyDescent="0.35">
      <c r="A20" s="39"/>
      <c r="B20" s="40"/>
      <c r="C20" s="40"/>
      <c r="D20" s="40"/>
      <c r="E20" s="40"/>
      <c r="F20" s="40"/>
      <c r="G20" s="40"/>
      <c r="H20" s="40"/>
      <c r="I20" s="40"/>
      <c r="J20" s="40"/>
      <c r="K20" s="40"/>
      <c r="L20" s="81"/>
      <c r="M20" s="81"/>
      <c r="N20" s="81"/>
    </row>
    <row r="30" spans="1:14" ht="15" customHeight="1" x14ac:dyDescent="0.35">
      <c r="A30" s="16"/>
    </row>
    <row r="31" spans="1:14" ht="15" customHeight="1" x14ac:dyDescent="0.35">
      <c r="A31" s="16"/>
    </row>
    <row r="32" spans="1:14" ht="15" customHeight="1" x14ac:dyDescent="0.35">
      <c r="A32" s="16"/>
    </row>
    <row r="33" spans="1:1" ht="15" customHeight="1" x14ac:dyDescent="0.35">
      <c r="A33" s="16"/>
    </row>
    <row r="34" spans="1:1" ht="15" customHeight="1" x14ac:dyDescent="0.35">
      <c r="A34" s="16"/>
    </row>
    <row r="35" spans="1:1" ht="15" customHeight="1" x14ac:dyDescent="0.35">
      <c r="A35" s="16"/>
    </row>
    <row r="36" spans="1:1" ht="15" customHeight="1" x14ac:dyDescent="0.35">
      <c r="A36" s="16"/>
    </row>
    <row r="37" spans="1:1" ht="15" customHeight="1" x14ac:dyDescent="0.35">
      <c r="A37" s="16"/>
    </row>
    <row r="38" spans="1:1" ht="15" customHeight="1" x14ac:dyDescent="0.35">
      <c r="A38" s="16"/>
    </row>
  </sheetData>
  <mergeCells count="3">
    <mergeCell ref="A1:N1"/>
    <mergeCell ref="B2:K2"/>
    <mergeCell ref="L2:N2"/>
  </mergeCells>
  <conditionalFormatting sqref="C16:K18">
    <cfRule type="cellIs" dxfId="56" priority="8" operator="lessThan">
      <formula>B16</formula>
    </cfRule>
  </conditionalFormatting>
  <conditionalFormatting sqref="C16:K20">
    <cfRule type="cellIs" dxfId="55" priority="2" operator="greaterThan">
      <formula>B16</formula>
    </cfRule>
  </conditionalFormatting>
  <conditionalFormatting sqref="C19:K20">
    <cfRule type="cellIs" dxfId="54" priority="1" operator="lessThan">
      <formula>B19</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8"/>
  <sheetViews>
    <sheetView showGridLines="0" zoomScaleNormal="100" workbookViewId="0">
      <selection activeCell="N45" sqref="N45"/>
    </sheetView>
  </sheetViews>
  <sheetFormatPr defaultColWidth="8.81640625" defaultRowHeight="15" customHeight="1" x14ac:dyDescent="0.35"/>
  <cols>
    <col min="1" max="1" width="33.1796875" customWidth="1"/>
    <col min="2" max="15" width="13.81640625" customWidth="1"/>
  </cols>
  <sheetData>
    <row r="1" spans="1:15" ht="26.5" thickBot="1" x14ac:dyDescent="0.4">
      <c r="A1" s="118" t="s">
        <v>94</v>
      </c>
      <c r="B1" s="119"/>
      <c r="C1" s="119"/>
      <c r="D1" s="119"/>
      <c r="E1" s="119"/>
      <c r="F1" s="119"/>
      <c r="G1" s="119"/>
      <c r="H1" s="119"/>
      <c r="I1" s="119"/>
      <c r="J1" s="119"/>
      <c r="K1" s="119"/>
      <c r="L1" s="119"/>
      <c r="M1" s="119"/>
      <c r="N1" s="119"/>
      <c r="O1" s="120"/>
    </row>
    <row r="2" spans="1:15" ht="18.5" customHeight="1" thickBot="1" x14ac:dyDescent="0.4">
      <c r="A2" s="22" t="s">
        <v>77</v>
      </c>
      <c r="B2" s="124" t="str">
        <f>+'Data Sheet'!B1</f>
        <v>VINATI ORGANICS LTD</v>
      </c>
      <c r="C2" s="125"/>
      <c r="D2" s="125"/>
      <c r="E2" s="125"/>
      <c r="F2" s="125"/>
      <c r="G2" s="125"/>
      <c r="H2" s="125"/>
      <c r="I2" s="125"/>
      <c r="J2" s="125"/>
      <c r="K2" s="125"/>
      <c r="L2" s="126"/>
      <c r="M2" s="121" t="s">
        <v>108</v>
      </c>
      <c r="N2" s="122"/>
      <c r="O2" s="123"/>
    </row>
    <row r="3" spans="1:15" ht="21" customHeight="1" x14ac:dyDescent="0.35">
      <c r="A3" s="21" t="s">
        <v>78</v>
      </c>
      <c r="B3" s="23">
        <f>+'Data Sheet'!B16</f>
        <v>41364</v>
      </c>
      <c r="C3" s="23">
        <f>+'Data Sheet'!C16</f>
        <v>41729</v>
      </c>
      <c r="D3" s="23">
        <f>+'Data Sheet'!D16</f>
        <v>42094</v>
      </c>
      <c r="E3" s="23">
        <f>+'Data Sheet'!E16</f>
        <v>42460</v>
      </c>
      <c r="F3" s="23">
        <f>+'Data Sheet'!F16</f>
        <v>42825</v>
      </c>
      <c r="G3" s="23">
        <f>+'Data Sheet'!G16</f>
        <v>43190</v>
      </c>
      <c r="H3" s="23">
        <f>+'Data Sheet'!H16</f>
        <v>43555</v>
      </c>
      <c r="I3" s="23">
        <f>+'Data Sheet'!I16</f>
        <v>43921</v>
      </c>
      <c r="J3" s="23">
        <f>+'Data Sheet'!J16</f>
        <v>44286</v>
      </c>
      <c r="K3" s="23">
        <f>+'Data Sheet'!K16</f>
        <v>44651</v>
      </c>
      <c r="L3" s="42"/>
      <c r="M3" s="30">
        <v>9</v>
      </c>
      <c r="N3" s="31">
        <v>5</v>
      </c>
      <c r="O3" s="32">
        <v>3</v>
      </c>
    </row>
    <row r="4" spans="1:15" ht="15" customHeight="1" x14ac:dyDescent="0.35">
      <c r="A4" s="35" t="s">
        <v>30</v>
      </c>
      <c r="B4" s="46">
        <f>+'Data Sheet'!B57</f>
        <v>9.8699999999999992</v>
      </c>
      <c r="C4" s="46">
        <f>+'Data Sheet'!C57</f>
        <v>9.8699999999999992</v>
      </c>
      <c r="D4" s="46">
        <f>+'Data Sheet'!D57</f>
        <v>10.32</v>
      </c>
      <c r="E4" s="46">
        <f>+'Data Sheet'!E57</f>
        <v>10.32</v>
      </c>
      <c r="F4" s="46">
        <f>+'Data Sheet'!F57</f>
        <v>10.32</v>
      </c>
      <c r="G4" s="46">
        <f>+'Data Sheet'!G57</f>
        <v>10.28</v>
      </c>
      <c r="H4" s="46">
        <f>+'Data Sheet'!H57</f>
        <v>10.28</v>
      </c>
      <c r="I4" s="46">
        <f>+'Data Sheet'!I57</f>
        <v>10.28</v>
      </c>
      <c r="J4" s="46">
        <f>+'Data Sheet'!J57</f>
        <v>10.28</v>
      </c>
      <c r="K4" s="46">
        <f>+'Data Sheet'!K57</f>
        <v>10.28</v>
      </c>
      <c r="L4" s="25"/>
      <c r="M4" s="26"/>
      <c r="N4" s="26"/>
      <c r="O4" s="26"/>
    </row>
    <row r="5" spans="1:15" ht="15" customHeight="1" x14ac:dyDescent="0.35">
      <c r="A5" t="s">
        <v>31</v>
      </c>
      <c r="B5" s="47">
        <f>+'Data Sheet'!B58</f>
        <v>231.37</v>
      </c>
      <c r="C5" s="47">
        <f>+'Data Sheet'!C58</f>
        <v>300.2</v>
      </c>
      <c r="D5" s="47">
        <f>+'Data Sheet'!D58</f>
        <v>423.73</v>
      </c>
      <c r="E5" s="47">
        <f>+'Data Sheet'!E58</f>
        <v>530.46</v>
      </c>
      <c r="F5" s="47">
        <f>+'Data Sheet'!F58</f>
        <v>669.69</v>
      </c>
      <c r="G5" s="47">
        <f>+'Data Sheet'!G58</f>
        <v>786.39</v>
      </c>
      <c r="H5" s="47">
        <f>+'Data Sheet'!H58</f>
        <v>1041</v>
      </c>
      <c r="I5" s="47">
        <f>+'Data Sheet'!I58</f>
        <v>1269.1300000000001</v>
      </c>
      <c r="J5" s="47">
        <f>+'Data Sheet'!J58</f>
        <v>1533.14</v>
      </c>
      <c r="K5" s="47">
        <f>+'Data Sheet'!K58</f>
        <v>1817.86</v>
      </c>
      <c r="L5" s="25"/>
      <c r="M5" s="26"/>
      <c r="N5" s="26"/>
      <c r="O5" s="26"/>
    </row>
    <row r="6" spans="1:15" ht="15" customHeight="1" x14ac:dyDescent="0.35">
      <c r="A6" t="s">
        <v>32</v>
      </c>
      <c r="B6" s="47">
        <f>+'Data Sheet'!B59</f>
        <v>237.26</v>
      </c>
      <c r="C6" s="47">
        <f>+'Data Sheet'!C59</f>
        <v>161.58000000000001</v>
      </c>
      <c r="D6" s="47">
        <f>+'Data Sheet'!D59</f>
        <v>65.3</v>
      </c>
      <c r="E6" s="47">
        <f>+'Data Sheet'!E59</f>
        <v>42.07</v>
      </c>
      <c r="F6" s="47">
        <f>+'Data Sheet'!F59</f>
        <v>2.3199999999999998</v>
      </c>
      <c r="G6" s="47">
        <f>+'Data Sheet'!G59</f>
        <v>15.2</v>
      </c>
      <c r="H6" s="47">
        <f>+'Data Sheet'!H59</f>
        <v>3.68</v>
      </c>
      <c r="I6" s="47">
        <f>+'Data Sheet'!I59</f>
        <v>0.35</v>
      </c>
      <c r="J6" s="47">
        <f>+'Data Sheet'!J59</f>
        <v>2.02</v>
      </c>
      <c r="K6" s="47">
        <f>+'Data Sheet'!K59</f>
        <v>18.399999999999999</v>
      </c>
      <c r="M6" s="26"/>
      <c r="N6" s="26"/>
      <c r="O6" s="26"/>
    </row>
    <row r="7" spans="1:15" ht="15" customHeight="1" x14ac:dyDescent="0.35">
      <c r="A7" t="s">
        <v>33</v>
      </c>
      <c r="B7" s="47">
        <f>+'Data Sheet'!B60</f>
        <v>67.13</v>
      </c>
      <c r="C7" s="47">
        <f>+'Data Sheet'!C60</f>
        <v>80.459999999999994</v>
      </c>
      <c r="D7" s="47">
        <f>+'Data Sheet'!D60</f>
        <v>99.84</v>
      </c>
      <c r="E7" s="47">
        <f>+'Data Sheet'!E60</f>
        <v>104.11</v>
      </c>
      <c r="F7" s="47">
        <f>+'Data Sheet'!F60</f>
        <v>138.80000000000001</v>
      </c>
      <c r="G7" s="47">
        <f>+'Data Sheet'!G60</f>
        <v>168.08</v>
      </c>
      <c r="H7" s="47">
        <f>+'Data Sheet'!H60</f>
        <v>172.62</v>
      </c>
      <c r="I7" s="47">
        <f>+'Data Sheet'!I60</f>
        <v>163.22</v>
      </c>
      <c r="J7" s="47">
        <f>+'Data Sheet'!J60</f>
        <v>188.06</v>
      </c>
      <c r="K7" s="47">
        <f>+'Data Sheet'!K60</f>
        <v>243.23</v>
      </c>
      <c r="M7" s="29"/>
      <c r="N7" s="29"/>
      <c r="O7" s="29"/>
    </row>
    <row r="8" spans="1:15" ht="15" customHeight="1" x14ac:dyDescent="0.35">
      <c r="A8" s="39" t="s">
        <v>98</v>
      </c>
      <c r="B8" s="45">
        <f>SUM(B4:B7)</f>
        <v>545.63</v>
      </c>
      <c r="C8" s="45">
        <f t="shared" ref="C8:K8" si="0">SUM(C4:C7)</f>
        <v>552.11</v>
      </c>
      <c r="D8" s="45">
        <f t="shared" si="0"/>
        <v>599.19000000000005</v>
      </c>
      <c r="E8" s="45">
        <f t="shared" si="0"/>
        <v>686.96000000000015</v>
      </c>
      <c r="F8" s="45">
        <f t="shared" si="0"/>
        <v>821.13000000000011</v>
      </c>
      <c r="G8" s="45">
        <f t="shared" si="0"/>
        <v>979.95</v>
      </c>
      <c r="H8" s="45">
        <f t="shared" si="0"/>
        <v>1227.58</v>
      </c>
      <c r="I8" s="45">
        <f t="shared" si="0"/>
        <v>1442.98</v>
      </c>
      <c r="J8" s="45">
        <f t="shared" si="0"/>
        <v>1733.5</v>
      </c>
      <c r="K8" s="45">
        <f t="shared" si="0"/>
        <v>2089.77</v>
      </c>
    </row>
    <row r="9" spans="1:15" ht="15" customHeight="1" x14ac:dyDescent="0.35">
      <c r="B9" s="28"/>
      <c r="C9" s="28"/>
      <c r="D9" s="28"/>
      <c r="E9" s="28"/>
      <c r="F9" s="28"/>
      <c r="G9" s="28"/>
      <c r="H9" s="28"/>
      <c r="I9" s="28"/>
      <c r="J9" s="28"/>
      <c r="K9" s="28"/>
    </row>
    <row r="10" spans="1:15" ht="15" customHeight="1" x14ac:dyDescent="0.35">
      <c r="A10" s="35" t="s">
        <v>96</v>
      </c>
      <c r="B10" s="43">
        <f>+'Data Sheet'!B62</f>
        <v>290.13</v>
      </c>
      <c r="C10" s="43">
        <f>+'Data Sheet'!C62</f>
        <v>304.19</v>
      </c>
      <c r="D10" s="43">
        <f>+'Data Sheet'!D62</f>
        <v>327.25</v>
      </c>
      <c r="E10" s="43">
        <f>+'Data Sheet'!E62</f>
        <v>381.89</v>
      </c>
      <c r="F10" s="43">
        <f>+'Data Sheet'!F62</f>
        <v>467.6</v>
      </c>
      <c r="G10" s="43">
        <f>+'Data Sheet'!G62</f>
        <v>456.84</v>
      </c>
      <c r="H10" s="43">
        <f>+'Data Sheet'!H62</f>
        <v>474.51</v>
      </c>
      <c r="I10" s="43">
        <f>+'Data Sheet'!I62</f>
        <v>750.76</v>
      </c>
      <c r="J10" s="43">
        <f>+'Data Sheet'!J62</f>
        <v>756.83</v>
      </c>
      <c r="K10" s="43">
        <f>+'Data Sheet'!K62</f>
        <v>873.17</v>
      </c>
      <c r="L10" s="27"/>
      <c r="M10" s="29"/>
      <c r="N10" s="29"/>
      <c r="O10" s="29"/>
    </row>
    <row r="11" spans="1:15" ht="15" customHeight="1" x14ac:dyDescent="0.35">
      <c r="A11" t="s">
        <v>97</v>
      </c>
      <c r="B11" s="44">
        <f>+'Data Sheet'!B63</f>
        <v>14.05</v>
      </c>
      <c r="C11" s="44">
        <f>+'Data Sheet'!C63</f>
        <v>10.09</v>
      </c>
      <c r="D11" s="44">
        <f>+'Data Sheet'!D63</f>
        <v>20.02</v>
      </c>
      <c r="E11" s="44">
        <f>+'Data Sheet'!E63</f>
        <v>24.83</v>
      </c>
      <c r="F11" s="44">
        <f>+'Data Sheet'!F63</f>
        <v>7.38</v>
      </c>
      <c r="G11" s="44">
        <f>+'Data Sheet'!G63</f>
        <v>34.880000000000003</v>
      </c>
      <c r="H11" s="44">
        <f>+'Data Sheet'!H63</f>
        <v>191.18</v>
      </c>
      <c r="I11" s="44">
        <f>+'Data Sheet'!I63</f>
        <v>30.97</v>
      </c>
      <c r="J11" s="44">
        <f>+'Data Sheet'!J63</f>
        <v>54.69</v>
      </c>
      <c r="K11" s="44">
        <f>+'Data Sheet'!K63</f>
        <v>47.29</v>
      </c>
    </row>
    <row r="12" spans="1:15" ht="15" customHeight="1" x14ac:dyDescent="0.35">
      <c r="A12" t="s">
        <v>37</v>
      </c>
      <c r="B12" s="44">
        <f>+'Data Sheet'!B64</f>
        <v>12.77</v>
      </c>
      <c r="C12" s="44">
        <f>+'Data Sheet'!C64</f>
        <v>2.74</v>
      </c>
      <c r="D12" s="44">
        <f>+'Data Sheet'!D64</f>
        <v>2.74</v>
      </c>
      <c r="E12" s="44">
        <f>+'Data Sheet'!E64</f>
        <v>2.74</v>
      </c>
      <c r="F12" s="44">
        <f>+'Data Sheet'!F64</f>
        <v>61.83</v>
      </c>
      <c r="G12" s="44">
        <f>+'Data Sheet'!G64</f>
        <v>131.74</v>
      </c>
      <c r="H12" s="44">
        <f>+'Data Sheet'!H64</f>
        <v>96.47</v>
      </c>
      <c r="I12" s="44">
        <f>+'Data Sheet'!I64</f>
        <v>227.39</v>
      </c>
      <c r="J12" s="44">
        <f>+'Data Sheet'!J64</f>
        <v>288.67</v>
      </c>
      <c r="K12" s="44">
        <f>+'Data Sheet'!K64</f>
        <v>97.88</v>
      </c>
      <c r="L12" s="27"/>
      <c r="M12" s="29"/>
      <c r="N12" s="29"/>
      <c r="O12" s="29"/>
    </row>
    <row r="13" spans="1:15" ht="15" customHeight="1" x14ac:dyDescent="0.35">
      <c r="A13" t="s">
        <v>38</v>
      </c>
      <c r="B13" s="44">
        <f>+'Data Sheet'!B65</f>
        <v>228.68</v>
      </c>
      <c r="C13" s="44">
        <f>+'Data Sheet'!C65</f>
        <v>235.09</v>
      </c>
      <c r="D13" s="44">
        <f>+'Data Sheet'!D65</f>
        <v>249.18</v>
      </c>
      <c r="E13" s="44">
        <f>+'Data Sheet'!E65</f>
        <v>277.5</v>
      </c>
      <c r="F13" s="44">
        <f>+'Data Sheet'!F65</f>
        <v>284.32</v>
      </c>
      <c r="G13" s="44">
        <f>+'Data Sheet'!G65</f>
        <v>356.49</v>
      </c>
      <c r="H13" s="44">
        <f>+'Data Sheet'!H65</f>
        <v>465.42</v>
      </c>
      <c r="I13" s="44">
        <f>+'Data Sheet'!I65</f>
        <v>433.86</v>
      </c>
      <c r="J13" s="44">
        <f>+'Data Sheet'!J65</f>
        <v>633.30999999999995</v>
      </c>
      <c r="K13" s="44">
        <f>+'Data Sheet'!K65</f>
        <v>1071.43</v>
      </c>
    </row>
    <row r="14" spans="1:15" ht="15" customHeight="1" x14ac:dyDescent="0.35">
      <c r="A14" s="39" t="s">
        <v>99</v>
      </c>
      <c r="B14" s="45">
        <f>SUM(B10:B13)</f>
        <v>545.63</v>
      </c>
      <c r="C14" s="45">
        <f t="shared" ref="C14:K14" si="1">SUM(C10:C13)</f>
        <v>552.11</v>
      </c>
      <c r="D14" s="45">
        <f t="shared" si="1"/>
        <v>599.19000000000005</v>
      </c>
      <c r="E14" s="45">
        <f t="shared" si="1"/>
        <v>686.96</v>
      </c>
      <c r="F14" s="45">
        <f t="shared" si="1"/>
        <v>821.13000000000011</v>
      </c>
      <c r="G14" s="45">
        <f t="shared" si="1"/>
        <v>979.95</v>
      </c>
      <c r="H14" s="45">
        <f t="shared" si="1"/>
        <v>1227.5800000000002</v>
      </c>
      <c r="I14" s="45">
        <f t="shared" si="1"/>
        <v>1442.98</v>
      </c>
      <c r="J14" s="45">
        <f t="shared" si="1"/>
        <v>1733.5</v>
      </c>
      <c r="K14" s="45">
        <f t="shared" si="1"/>
        <v>2089.77</v>
      </c>
    </row>
    <row r="16" spans="1:15" ht="15" customHeight="1" x14ac:dyDescent="0.35">
      <c r="A16" s="35" t="s">
        <v>39</v>
      </c>
      <c r="B16" s="43">
        <f>+'Data Sheet'!B67</f>
        <v>113.19</v>
      </c>
      <c r="C16" s="43">
        <f>+'Data Sheet'!C67</f>
        <v>115.05</v>
      </c>
      <c r="D16" s="43">
        <f>+'Data Sheet'!D67</f>
        <v>129.1</v>
      </c>
      <c r="E16" s="43">
        <f>+'Data Sheet'!E67</f>
        <v>114.82</v>
      </c>
      <c r="F16" s="43">
        <f>+'Data Sheet'!F67</f>
        <v>140.54</v>
      </c>
      <c r="G16" s="43">
        <f>+'Data Sheet'!G67</f>
        <v>177.11</v>
      </c>
      <c r="H16" s="43">
        <f>+'Data Sheet'!H67</f>
        <v>243.98</v>
      </c>
      <c r="I16" s="43">
        <f>+'Data Sheet'!I67</f>
        <v>201.78</v>
      </c>
      <c r="J16" s="43">
        <f>+'Data Sheet'!J67</f>
        <v>277.16000000000003</v>
      </c>
      <c r="K16" s="43">
        <f>+'Data Sheet'!K67</f>
        <v>458.38</v>
      </c>
      <c r="M16" s="29"/>
      <c r="N16" s="29"/>
      <c r="O16" s="29"/>
    </row>
    <row r="17" spans="1:15" ht="15" customHeight="1" x14ac:dyDescent="0.35">
      <c r="A17" t="s">
        <v>40</v>
      </c>
      <c r="B17" s="44">
        <f>+'Data Sheet'!B68</f>
        <v>54.64</v>
      </c>
      <c r="C17" s="44">
        <f>+'Data Sheet'!C68</f>
        <v>46.63</v>
      </c>
      <c r="D17" s="44">
        <f>+'Data Sheet'!D68</f>
        <v>54.49</v>
      </c>
      <c r="E17" s="44">
        <f>+'Data Sheet'!E68</f>
        <v>44.7</v>
      </c>
      <c r="F17" s="44">
        <f>+'Data Sheet'!F68</f>
        <v>65.069999999999993</v>
      </c>
      <c r="G17" s="44">
        <f>+'Data Sheet'!G68</f>
        <v>82.23</v>
      </c>
      <c r="H17" s="44">
        <f>+'Data Sheet'!H68</f>
        <v>92.39</v>
      </c>
      <c r="I17" s="44">
        <f>+'Data Sheet'!I68</f>
        <v>93.17</v>
      </c>
      <c r="J17" s="44">
        <f>+'Data Sheet'!J68</f>
        <v>121.94</v>
      </c>
      <c r="K17" s="44">
        <f>+'Data Sheet'!K68</f>
        <v>176.16</v>
      </c>
    </row>
    <row r="18" spans="1:15" ht="15" customHeight="1" x14ac:dyDescent="0.35">
      <c r="A18" t="s">
        <v>41</v>
      </c>
      <c r="B18" s="44">
        <f>+'Data Sheet'!B69</f>
        <v>33.770000000000003</v>
      </c>
      <c r="C18" s="44">
        <f>+'Data Sheet'!C69</f>
        <v>42.7</v>
      </c>
      <c r="D18" s="44">
        <f>+'Data Sheet'!D69</f>
        <v>27.14</v>
      </c>
      <c r="E18" s="44">
        <f>+'Data Sheet'!E69</f>
        <v>72.23</v>
      </c>
      <c r="F18" s="44">
        <f>+'Data Sheet'!F69</f>
        <v>4.75</v>
      </c>
      <c r="G18" s="44">
        <f>+'Data Sheet'!G69</f>
        <v>5.24</v>
      </c>
      <c r="H18" s="44">
        <f>+'Data Sheet'!H69</f>
        <v>3.8</v>
      </c>
      <c r="I18" s="44">
        <f>+'Data Sheet'!I69</f>
        <v>53.7</v>
      </c>
      <c r="J18" s="44">
        <f>+'Data Sheet'!J69</f>
        <v>6.85</v>
      </c>
      <c r="K18" s="44">
        <f>+'Data Sheet'!K69</f>
        <v>4.28</v>
      </c>
    </row>
    <row r="19" spans="1:15" ht="15" customHeight="1" x14ac:dyDescent="0.35">
      <c r="A19" t="s">
        <v>95</v>
      </c>
      <c r="B19" s="44">
        <f>B13-B7</f>
        <v>161.55000000000001</v>
      </c>
      <c r="C19" s="44">
        <f t="shared" ref="C19:K19" si="2">C13-C7</f>
        <v>154.63</v>
      </c>
      <c r="D19" s="44">
        <f t="shared" si="2"/>
        <v>149.34</v>
      </c>
      <c r="E19" s="44">
        <f t="shared" si="2"/>
        <v>173.39</v>
      </c>
      <c r="F19" s="44">
        <f t="shared" si="2"/>
        <v>145.51999999999998</v>
      </c>
      <c r="G19" s="44">
        <f t="shared" si="2"/>
        <v>188.41</v>
      </c>
      <c r="H19" s="44">
        <f t="shared" si="2"/>
        <v>292.8</v>
      </c>
      <c r="I19" s="44">
        <f t="shared" si="2"/>
        <v>270.64</v>
      </c>
      <c r="J19" s="44">
        <f t="shared" si="2"/>
        <v>445.24999999999994</v>
      </c>
      <c r="K19" s="44">
        <f t="shared" si="2"/>
        <v>828.2</v>
      </c>
    </row>
    <row r="20" spans="1:15" ht="15" customHeight="1" x14ac:dyDescent="0.35">
      <c r="A20" t="s">
        <v>107</v>
      </c>
      <c r="B20" s="44">
        <f>B4+B5+B6</f>
        <v>478.5</v>
      </c>
      <c r="C20" s="44">
        <f t="shared" ref="C20:K20" si="3">C4+C5+C6</f>
        <v>471.65</v>
      </c>
      <c r="D20" s="44">
        <f t="shared" si="3"/>
        <v>499.35</v>
      </c>
      <c r="E20" s="44">
        <f t="shared" si="3"/>
        <v>582.85000000000014</v>
      </c>
      <c r="F20" s="44">
        <f t="shared" si="3"/>
        <v>682.33000000000015</v>
      </c>
      <c r="G20" s="44">
        <f t="shared" si="3"/>
        <v>811.87</v>
      </c>
      <c r="H20" s="44">
        <f t="shared" si="3"/>
        <v>1054.96</v>
      </c>
      <c r="I20" s="44">
        <f t="shared" si="3"/>
        <v>1279.76</v>
      </c>
      <c r="J20" s="44">
        <f t="shared" si="3"/>
        <v>1545.44</v>
      </c>
      <c r="K20" s="44">
        <f t="shared" si="3"/>
        <v>1846.54</v>
      </c>
    </row>
    <row r="21" spans="1:15" ht="15" customHeight="1" x14ac:dyDescent="0.35">
      <c r="A21" s="41" t="s">
        <v>100</v>
      </c>
      <c r="B21" s="48">
        <f>B4+B5</f>
        <v>241.24</v>
      </c>
      <c r="C21" s="48">
        <f t="shared" ref="C21:K21" si="4">C4+C5</f>
        <v>310.07</v>
      </c>
      <c r="D21" s="48">
        <f t="shared" si="4"/>
        <v>434.05</v>
      </c>
      <c r="E21" s="48">
        <f t="shared" si="4"/>
        <v>540.78000000000009</v>
      </c>
      <c r="F21" s="48">
        <f t="shared" si="4"/>
        <v>680.0100000000001</v>
      </c>
      <c r="G21" s="48">
        <f t="shared" si="4"/>
        <v>796.67</v>
      </c>
      <c r="H21" s="48">
        <f t="shared" si="4"/>
        <v>1051.28</v>
      </c>
      <c r="I21" s="48">
        <f t="shared" si="4"/>
        <v>1279.4100000000001</v>
      </c>
      <c r="J21" s="48">
        <f t="shared" si="4"/>
        <v>1543.42</v>
      </c>
      <c r="K21" s="48">
        <f t="shared" si="4"/>
        <v>1828.1399999999999</v>
      </c>
    </row>
    <row r="23" spans="1:15" ht="15" customHeight="1" x14ac:dyDescent="0.35">
      <c r="A23" s="33" t="s">
        <v>101</v>
      </c>
      <c r="B23" s="35"/>
      <c r="C23" s="50">
        <f>IFERROR('Income Statement'!C4/AVERAGE('Balance Sheet'!B10:C10),"n/m")</f>
        <v>2.3426100417283622</v>
      </c>
      <c r="D23" s="50">
        <f>IFERROR('Income Statement'!D4/AVERAGE('Balance Sheet'!C10:D10),"n/m")</f>
        <v>2.4443494235398453</v>
      </c>
      <c r="E23" s="50">
        <f>IFERROR('Income Statement'!E4/AVERAGE('Balance Sheet'!D10:E10),"n/m")</f>
        <v>1.7794793693769919</v>
      </c>
      <c r="F23" s="50">
        <f>IFERROR('Income Statement'!F4/AVERAGE('Balance Sheet'!E10:F10),"n/m")</f>
        <v>1.5086463642891617</v>
      </c>
      <c r="G23" s="50">
        <f>IFERROR('Income Statement'!G4/AVERAGE('Balance Sheet'!F10:G10),"n/m")</f>
        <v>1.5786422050106008</v>
      </c>
      <c r="H23" s="50">
        <f>IFERROR('Income Statement'!H4/AVERAGE('Balance Sheet'!G10:H10),"n/m")</f>
        <v>2.4221184302356797</v>
      </c>
      <c r="I23" s="50">
        <f>IFERROR('Income Statement'!I4/AVERAGE('Balance Sheet'!H10:I10),"n/m")</f>
        <v>1.6794175977539643</v>
      </c>
      <c r="J23" s="50">
        <f>IFERROR('Income Statement'!J4/AVERAGE('Balance Sheet'!I10:J10),"n/m")</f>
        <v>1.2659410051804534</v>
      </c>
      <c r="K23" s="50">
        <f>IFERROR('Income Statement'!K4/AVERAGE('Balance Sheet'!J10:K10),"n/m")</f>
        <v>1.9822208588957055</v>
      </c>
      <c r="M23" s="50">
        <f>SUM(C23:K23)/M$3</f>
        <v>1.8892694773345293</v>
      </c>
      <c r="N23" s="50">
        <f>SUM(G23:K23)/N$3</f>
        <v>1.7856680194152807</v>
      </c>
      <c r="O23" s="50">
        <f>SUM(I23:K23)/O$3</f>
        <v>1.6425264872767078</v>
      </c>
    </row>
    <row r="24" spans="1:15" ht="15" customHeight="1" x14ac:dyDescent="0.35">
      <c r="A24" s="3" t="s">
        <v>104</v>
      </c>
      <c r="C24" s="49">
        <f>IFERROR(365/('Income Statement'!C4/AVERAGE('Balance Sheet'!B16:C16)),"n/m")</f>
        <v>59.836237484377918</v>
      </c>
      <c r="D24" s="49">
        <f>IFERROR(365/('Income Statement'!D4/AVERAGE('Balance Sheet'!C16:D16)),"n/m")</f>
        <v>57.73699998704209</v>
      </c>
      <c r="E24" s="49">
        <f>IFERROR(365/('Income Statement'!E4/AVERAGE('Balance Sheet'!D16:E16)),"n/m")</f>
        <v>70.552975671606305</v>
      </c>
      <c r="F24" s="49">
        <f>IFERROR(365/('Income Statement'!F4/AVERAGE('Balance Sheet'!E16:F16)),"n/m")</f>
        <v>72.727726712339447</v>
      </c>
      <c r="G24" s="49">
        <f>IFERROR(365/('Income Statement'!G4/AVERAGE('Balance Sheet'!F16:G16)),"n/m")</f>
        <v>79.447326225194601</v>
      </c>
      <c r="H24" s="49">
        <f>IFERROR(365/('Income Statement'!H4/AVERAGE('Balance Sheet'!G16:H16)),"n/m")</f>
        <v>68.133311759699268</v>
      </c>
      <c r="I24" s="49">
        <f>IFERROR(365/('Income Statement'!I4/AVERAGE('Balance Sheet'!H16:I16)),"n/m")</f>
        <v>79.06849261811503</v>
      </c>
      <c r="J24" s="49">
        <f>IFERROR(365/('Income Statement'!J4/AVERAGE('Balance Sheet'!I16:J16)),"n/m")</f>
        <v>91.596158279714146</v>
      </c>
      <c r="K24" s="49">
        <f>IFERROR(365/('Income Statement'!K4/AVERAGE('Balance Sheet'!J16:K16)),"n/m")</f>
        <v>83.092057616480233</v>
      </c>
      <c r="M24" s="49">
        <f t="shared" ref="M24:M28" si="5">SUM(C24:K24)/M$3</f>
        <v>73.576809594952124</v>
      </c>
      <c r="N24" s="49">
        <f t="shared" ref="N24:N28" si="6">SUM(G24:K24)/N$3</f>
        <v>80.267469299840656</v>
      </c>
      <c r="O24" s="49">
        <f t="shared" ref="O24:O28" si="7">SUM(I24:K24)/O$3</f>
        <v>84.585569504769808</v>
      </c>
    </row>
    <row r="25" spans="1:15" ht="15" customHeight="1" x14ac:dyDescent="0.35">
      <c r="A25" s="3" t="s">
        <v>102</v>
      </c>
      <c r="C25" s="37">
        <f>IFERROR(('Income Statement'!C4/AVERAGE('Balance Sheet'!B17:C17)),"n/m")</f>
        <v>13.748000394983706</v>
      </c>
      <c r="D25" s="37">
        <f>IFERROR(('Income Statement'!D4/AVERAGE('Balance Sheet'!C17:D17)),"n/m")</f>
        <v>15.263647151898734</v>
      </c>
      <c r="E25" s="37">
        <f>IFERROR(('Income Statement'!E4/AVERAGE('Balance Sheet'!D17:E17)),"n/m")</f>
        <v>12.722048593608228</v>
      </c>
      <c r="F25" s="37">
        <f>IFERROR(('Income Statement'!F4/AVERAGE('Balance Sheet'!E17:F17)),"n/m")</f>
        <v>11.675138926847044</v>
      </c>
      <c r="G25" s="37">
        <f>IFERROR(('Income Statement'!G4/AVERAGE('Balance Sheet'!F17:G17)),"n/m")</f>
        <v>9.9073998642226737</v>
      </c>
      <c r="H25" s="37">
        <f>IFERROR(('Income Statement'!H4/AVERAGE('Balance Sheet'!G17:H17)),"n/m")</f>
        <v>12.918566029091743</v>
      </c>
      <c r="I25" s="37">
        <f>IFERROR(('Income Statement'!I4/AVERAGE('Balance Sheet'!H17:I17)),"n/m")</f>
        <v>11.089351153265788</v>
      </c>
      <c r="J25" s="37">
        <f>IFERROR(('Income Statement'!J4/AVERAGE('Balance Sheet'!I17:J17)),"n/m")</f>
        <v>8.8722978941006918</v>
      </c>
      <c r="K25" s="37">
        <f>IFERROR(('Income Statement'!K4/AVERAGE('Balance Sheet'!J17:K17)),"n/m")</f>
        <v>10.838711841663871</v>
      </c>
      <c r="M25" s="37">
        <f t="shared" si="5"/>
        <v>11.892795761075829</v>
      </c>
      <c r="N25" s="37">
        <f t="shared" si="6"/>
        <v>10.725265356468954</v>
      </c>
      <c r="O25" s="37">
        <f t="shared" si="7"/>
        <v>10.266786963010118</v>
      </c>
    </row>
    <row r="26" spans="1:15" ht="15" customHeight="1" x14ac:dyDescent="0.35">
      <c r="A26" s="3" t="s">
        <v>103</v>
      </c>
      <c r="B26" s="37">
        <f>+IFERROR(B6/B21,"n/m")</f>
        <v>0.98350190681479022</v>
      </c>
      <c r="C26" s="37">
        <f t="shared" ref="C26:K26" si="8">+IFERROR(C6/C21,"n/m")</f>
        <v>0.52110813687231916</v>
      </c>
      <c r="D26" s="37">
        <f t="shared" si="8"/>
        <v>0.1504434972929386</v>
      </c>
      <c r="E26" s="37">
        <f t="shared" si="8"/>
        <v>7.7795036798698161E-2</v>
      </c>
      <c r="F26" s="37">
        <f t="shared" si="8"/>
        <v>3.4117145336097993E-3</v>
      </c>
      <c r="G26" s="37">
        <f t="shared" si="8"/>
        <v>1.9079418077748628E-2</v>
      </c>
      <c r="H26" s="37">
        <f t="shared" si="8"/>
        <v>3.5004946351114832E-3</v>
      </c>
      <c r="I26" s="37">
        <f t="shared" si="8"/>
        <v>2.7356359571990212E-4</v>
      </c>
      <c r="J26" s="37">
        <f t="shared" si="8"/>
        <v>1.3087817962706197E-3</v>
      </c>
      <c r="K26" s="37">
        <f t="shared" si="8"/>
        <v>1.0064874681370135E-2</v>
      </c>
      <c r="M26" s="37">
        <f t="shared" si="5"/>
        <v>8.7442835364865162E-2</v>
      </c>
      <c r="N26" s="37">
        <f t="shared" si="6"/>
        <v>6.8454265572441535E-3</v>
      </c>
      <c r="O26" s="37">
        <f t="shared" si="7"/>
        <v>3.8824066911202194E-3</v>
      </c>
    </row>
    <row r="27" spans="1:15" ht="15" customHeight="1" x14ac:dyDescent="0.35">
      <c r="A27" s="3" t="s">
        <v>105</v>
      </c>
      <c r="B27" s="37"/>
      <c r="C27" s="64">
        <f>IFERROR('Income Statement'!C12/AVERAGE('Balance Sheet'!B21:C21),"n/m")</f>
        <v>0.31256461881699943</v>
      </c>
      <c r="D27" s="64">
        <f>IFERROR('Income Statement'!D12/AVERAGE('Balance Sheet'!C21:D21),"n/m")</f>
        <v>0.31124012256087752</v>
      </c>
      <c r="E27" s="64">
        <f>IFERROR('Income Statement'!E12/AVERAGE('Balance Sheet'!D21:E21),"n/m")</f>
        <v>0.26993424494527246</v>
      </c>
      <c r="F27" s="64">
        <f>IFERROR('Income Statement'!F12/AVERAGE('Balance Sheet'!E21:F21),"n/m")</f>
        <v>0.2298020134503066</v>
      </c>
      <c r="G27" s="64">
        <f>IFERROR('Income Statement'!G12/AVERAGE('Balance Sheet'!F21:G21),"n/m")</f>
        <v>0.19486957228377161</v>
      </c>
      <c r="H27" s="64">
        <f>IFERROR('Income Statement'!H12/AVERAGE('Balance Sheet'!G21:H21),"n/m")</f>
        <v>0.30573338023214924</v>
      </c>
      <c r="I27" s="64">
        <f>IFERROR('Income Statement'!I12/AVERAGE('Balance Sheet'!H21:I21),"n/m")</f>
        <v>0.28647310453127595</v>
      </c>
      <c r="J27" s="64">
        <f>IFERROR('Income Statement'!J12/AVERAGE('Balance Sheet'!I21:J21),"n/m")</f>
        <v>0.19083685521267665</v>
      </c>
      <c r="K27" s="64">
        <f>IFERROR('Income Statement'!K12/AVERAGE('Balance Sheet'!J21:K21),"n/m")</f>
        <v>0.20564367829728669</v>
      </c>
      <c r="M27" s="64">
        <f t="shared" si="5"/>
        <v>0.25634417670340182</v>
      </c>
      <c r="N27" s="64">
        <f t="shared" si="6"/>
        <v>0.23671131811143203</v>
      </c>
      <c r="O27" s="64">
        <f t="shared" si="7"/>
        <v>0.22765121268041311</v>
      </c>
    </row>
    <row r="28" spans="1:15" ht="15" customHeight="1" x14ac:dyDescent="0.35">
      <c r="A28" s="39" t="s">
        <v>106</v>
      </c>
      <c r="B28" s="41"/>
      <c r="C28" s="66">
        <f>IFERROR(('Income Statement'!C10-'Income Statement'!C8)/AVERAGE('Balance Sheet'!B20:C20),"n/m")</f>
        <v>0.3088775456506867</v>
      </c>
      <c r="D28" s="66">
        <f>IFERROR(('Income Statement'!D10-'Income Statement'!D8)/AVERAGE('Balance Sheet'!C20:D20),"n/m")</f>
        <v>0.37746652935118452</v>
      </c>
      <c r="E28" s="66">
        <f>IFERROR(('Income Statement'!E10-'Income Statement'!E8)/AVERAGE('Balance Sheet'!D20:E20),"n/m")</f>
        <v>0.35930511920162628</v>
      </c>
      <c r="F28" s="66">
        <f>IFERROR(('Income Statement'!F10-'Income Statement'!F8)/AVERAGE('Balance Sheet'!E20:F20),"n/m")</f>
        <v>0.32992933811789604</v>
      </c>
      <c r="G28" s="66">
        <f>IFERROR(('Income Statement'!G10-'Income Statement'!G8)/AVERAGE('Balance Sheet'!F20:G20),"n/m")</f>
        <v>0.27513050461785554</v>
      </c>
      <c r="H28" s="66">
        <f>IFERROR(('Income Statement'!H10-'Income Statement'!H8)/AVERAGE('Balance Sheet'!G20:H20),"n/m")</f>
        <v>0.45790993288087301</v>
      </c>
      <c r="I28" s="66">
        <f>IFERROR(('Income Statement'!I10-'Income Statement'!I8)/AVERAGE('Balance Sheet'!H20:I20),"n/m")</f>
        <v>0.36554276315789458</v>
      </c>
      <c r="J28" s="66">
        <f>IFERROR(('Income Statement'!J10-'Income Statement'!J8)/AVERAGE('Balance Sheet'!I20:J20),"n/m")</f>
        <v>0.23800792864222001</v>
      </c>
      <c r="K28" s="66">
        <f>IFERROR(('Income Statement'!K10-'Income Statement'!K8)/AVERAGE('Balance Sheet'!J20:K20),"n/m")</f>
        <v>0.26589189794751145</v>
      </c>
      <c r="M28" s="66">
        <f t="shared" si="5"/>
        <v>0.33089572884086094</v>
      </c>
      <c r="N28" s="66">
        <f t="shared" si="6"/>
        <v>0.32049660544927089</v>
      </c>
      <c r="O28" s="66">
        <f t="shared" si="7"/>
        <v>0.28981419658254198</v>
      </c>
    </row>
    <row r="30" spans="1:15" ht="15" customHeight="1" thickBot="1" x14ac:dyDescent="0.4"/>
    <row r="31" spans="1:15" ht="22" customHeight="1" thickBot="1" x14ac:dyDescent="0.4">
      <c r="A31" s="127" t="s">
        <v>159</v>
      </c>
      <c r="B31" s="128"/>
      <c r="C31" s="128"/>
      <c r="D31" s="128"/>
      <c r="E31" s="128"/>
      <c r="F31" s="128"/>
      <c r="G31" s="128"/>
      <c r="H31" s="128"/>
      <c r="I31" s="128"/>
      <c r="J31" s="128"/>
      <c r="K31" s="129"/>
    </row>
    <row r="32" spans="1:15" ht="15" customHeight="1" x14ac:dyDescent="0.35">
      <c r="A32" s="97" t="s">
        <v>160</v>
      </c>
      <c r="B32" s="98">
        <f>+B3</f>
        <v>41364</v>
      </c>
      <c r="C32" s="98">
        <f t="shared" ref="C32:K32" si="9">+C3</f>
        <v>41729</v>
      </c>
      <c r="D32" s="98">
        <f t="shared" si="9"/>
        <v>42094</v>
      </c>
      <c r="E32" s="98">
        <f t="shared" si="9"/>
        <v>42460</v>
      </c>
      <c r="F32" s="98">
        <f t="shared" si="9"/>
        <v>42825</v>
      </c>
      <c r="G32" s="98">
        <f t="shared" si="9"/>
        <v>43190</v>
      </c>
      <c r="H32" s="98">
        <f t="shared" si="9"/>
        <v>43555</v>
      </c>
      <c r="I32" s="98">
        <f t="shared" si="9"/>
        <v>43921</v>
      </c>
      <c r="J32" s="98">
        <f t="shared" si="9"/>
        <v>44286</v>
      </c>
      <c r="K32" s="98">
        <f t="shared" si="9"/>
        <v>44651</v>
      </c>
    </row>
    <row r="33" spans="1:11" ht="15" customHeight="1" x14ac:dyDescent="0.35">
      <c r="A33" s="35" t="s">
        <v>30</v>
      </c>
      <c r="B33" s="99">
        <f>B4/B$8</f>
        <v>1.8089181313344208E-2</v>
      </c>
      <c r="C33" s="99">
        <f t="shared" ref="C33:K33" si="10">C4/C$8</f>
        <v>1.7876872362391549E-2</v>
      </c>
      <c r="D33" s="99">
        <f t="shared" si="10"/>
        <v>1.7223251389375655E-2</v>
      </c>
      <c r="E33" s="99">
        <f t="shared" si="10"/>
        <v>1.5022708745778499E-2</v>
      </c>
      <c r="F33" s="99">
        <f t="shared" si="10"/>
        <v>1.2568046472543932E-2</v>
      </c>
      <c r="G33" s="99">
        <f t="shared" si="10"/>
        <v>1.0490331139343842E-2</v>
      </c>
      <c r="H33" s="99">
        <f t="shared" si="10"/>
        <v>8.3741996448296642E-3</v>
      </c>
      <c r="I33" s="99">
        <f t="shared" si="10"/>
        <v>7.1241458648075504E-3</v>
      </c>
      <c r="J33" s="99">
        <f t="shared" si="10"/>
        <v>5.9301990193250647E-3</v>
      </c>
      <c r="K33" s="99">
        <f t="shared" si="10"/>
        <v>4.9192016346296481E-3</v>
      </c>
    </row>
    <row r="34" spans="1:11" ht="15" customHeight="1" x14ac:dyDescent="0.35">
      <c r="A34" t="s">
        <v>31</v>
      </c>
      <c r="B34" s="100">
        <f t="shared" ref="B34:K34" si="11">B5/B$8</f>
        <v>0.42404193317816102</v>
      </c>
      <c r="C34" s="100">
        <f t="shared" si="11"/>
        <v>0.54373222727355053</v>
      </c>
      <c r="D34" s="100">
        <f t="shared" si="11"/>
        <v>0.70717134798644832</v>
      </c>
      <c r="E34" s="100">
        <f t="shared" si="11"/>
        <v>0.77218469779899834</v>
      </c>
      <c r="F34" s="100">
        <f t="shared" si="11"/>
        <v>0.81557122501918089</v>
      </c>
      <c r="G34" s="100">
        <f t="shared" si="11"/>
        <v>0.80247971835297716</v>
      </c>
      <c r="H34" s="100">
        <f t="shared" si="11"/>
        <v>0.84800990566806245</v>
      </c>
      <c r="I34" s="100">
        <f t="shared" si="11"/>
        <v>0.87952015966957275</v>
      </c>
      <c r="J34" s="100">
        <f t="shared" si="11"/>
        <v>0.88441880588404964</v>
      </c>
      <c r="K34" s="100">
        <f t="shared" si="11"/>
        <v>0.86988520267780656</v>
      </c>
    </row>
    <row r="35" spans="1:11" ht="15" customHeight="1" x14ac:dyDescent="0.35">
      <c r="A35" t="s">
        <v>32</v>
      </c>
      <c r="B35" s="100">
        <f t="shared" ref="B35:K35" si="12">B6/B$8</f>
        <v>0.43483679416454374</v>
      </c>
      <c r="C35" s="104">
        <f t="shared" si="12"/>
        <v>0.29265907156182647</v>
      </c>
      <c r="D35" s="104">
        <f t="shared" si="12"/>
        <v>0.1089804569502161</v>
      </c>
      <c r="E35" s="104">
        <f t="shared" si="12"/>
        <v>6.1240829160358667E-2</v>
      </c>
      <c r="F35" s="104">
        <f t="shared" si="12"/>
        <v>2.8253747884013488E-3</v>
      </c>
      <c r="G35" s="104">
        <f t="shared" si="12"/>
        <v>1.5510995458951985E-2</v>
      </c>
      <c r="H35" s="104">
        <f t="shared" si="12"/>
        <v>2.9977679662425262E-3</v>
      </c>
      <c r="I35" s="104">
        <f t="shared" si="12"/>
        <v>2.4255360434656057E-4</v>
      </c>
      <c r="J35" s="104">
        <f t="shared" si="12"/>
        <v>1.1652725699451976E-3</v>
      </c>
      <c r="K35" s="104">
        <f t="shared" si="12"/>
        <v>8.8047967001153235E-3</v>
      </c>
    </row>
    <row r="36" spans="1:11" ht="15" customHeight="1" x14ac:dyDescent="0.35">
      <c r="A36" t="s">
        <v>33</v>
      </c>
      <c r="B36" s="100">
        <f t="shared" ref="B36:K36" si="13">B7/B$8</f>
        <v>0.12303209134395102</v>
      </c>
      <c r="C36" s="100">
        <f t="shared" si="13"/>
        <v>0.14573182880223143</v>
      </c>
      <c r="D36" s="100">
        <f t="shared" si="13"/>
        <v>0.16662494367395983</v>
      </c>
      <c r="E36" s="100">
        <f t="shared" si="13"/>
        <v>0.15155176429486431</v>
      </c>
      <c r="F36" s="100">
        <f t="shared" si="13"/>
        <v>0.16903535371987383</v>
      </c>
      <c r="G36" s="100">
        <f t="shared" si="13"/>
        <v>0.17151895504872697</v>
      </c>
      <c r="H36" s="100">
        <f t="shared" si="13"/>
        <v>0.14061812672086546</v>
      </c>
      <c r="I36" s="100">
        <f t="shared" si="13"/>
        <v>0.11311314086127319</v>
      </c>
      <c r="J36" s="100">
        <f t="shared" si="13"/>
        <v>0.10848572252668012</v>
      </c>
      <c r="K36" s="100">
        <f t="shared" si="13"/>
        <v>0.11639079898744838</v>
      </c>
    </row>
    <row r="37" spans="1:11" ht="15" customHeight="1" x14ac:dyDescent="0.35">
      <c r="A37" s="39" t="s">
        <v>98</v>
      </c>
      <c r="B37" s="101">
        <f t="shared" ref="B37:K37" si="14">B8/B$8</f>
        <v>1</v>
      </c>
      <c r="C37" s="101">
        <f t="shared" si="14"/>
        <v>1</v>
      </c>
      <c r="D37" s="101">
        <f t="shared" si="14"/>
        <v>1</v>
      </c>
      <c r="E37" s="101">
        <f t="shared" si="14"/>
        <v>1</v>
      </c>
      <c r="F37" s="101">
        <f t="shared" si="14"/>
        <v>1</v>
      </c>
      <c r="G37" s="101">
        <f t="shared" si="14"/>
        <v>1</v>
      </c>
      <c r="H37" s="101">
        <f t="shared" si="14"/>
        <v>1</v>
      </c>
      <c r="I37" s="101">
        <f t="shared" si="14"/>
        <v>1</v>
      </c>
      <c r="J37" s="101">
        <f t="shared" si="14"/>
        <v>1</v>
      </c>
      <c r="K37" s="101">
        <f t="shared" si="14"/>
        <v>1</v>
      </c>
    </row>
    <row r="38" spans="1:11" ht="15" customHeight="1" x14ac:dyDescent="0.35">
      <c r="B38" s="28"/>
      <c r="C38" s="28"/>
      <c r="D38" s="28"/>
      <c r="E38" s="28"/>
      <c r="F38" s="28"/>
      <c r="G38" s="28"/>
      <c r="H38" s="28"/>
      <c r="I38" s="28"/>
      <c r="J38" s="28"/>
      <c r="K38" s="28"/>
    </row>
    <row r="39" spans="1:11" ht="15" customHeight="1" x14ac:dyDescent="0.35">
      <c r="A39" s="35" t="s">
        <v>96</v>
      </c>
      <c r="B39" s="99">
        <f>B10/B$14</f>
        <v>0.53173395890988395</v>
      </c>
      <c r="C39" s="102">
        <f t="shared" ref="C39:K39" si="15">C10/C$14</f>
        <v>0.55095904801579398</v>
      </c>
      <c r="D39" s="102">
        <f t="shared" si="15"/>
        <v>0.5461539745322852</v>
      </c>
      <c r="E39" s="102">
        <f t="shared" si="15"/>
        <v>0.55591300803540233</v>
      </c>
      <c r="F39" s="102">
        <f t="shared" si="15"/>
        <v>0.56945915993813401</v>
      </c>
      <c r="G39" s="102">
        <f t="shared" si="15"/>
        <v>0.4661870503597122</v>
      </c>
      <c r="H39" s="102">
        <f t="shared" si="15"/>
        <v>0.38654099936460345</v>
      </c>
      <c r="I39" s="102">
        <f t="shared" si="15"/>
        <v>0.52028441142635373</v>
      </c>
      <c r="J39" s="102">
        <f t="shared" si="15"/>
        <v>0.436590712431497</v>
      </c>
      <c r="K39" s="102">
        <f t="shared" si="15"/>
        <v>0.41783067036085308</v>
      </c>
    </row>
    <row r="40" spans="1:11" ht="15" customHeight="1" x14ac:dyDescent="0.35">
      <c r="A40" t="s">
        <v>97</v>
      </c>
      <c r="B40" s="103">
        <f t="shared" ref="B40:K40" si="16">B11/B$14</f>
        <v>2.575005040045452E-2</v>
      </c>
      <c r="C40" s="103">
        <f t="shared" si="16"/>
        <v>1.8275343681512742E-2</v>
      </c>
      <c r="D40" s="103">
        <f t="shared" si="16"/>
        <v>3.3411772559622153E-2</v>
      </c>
      <c r="E40" s="103">
        <f t="shared" si="16"/>
        <v>3.6144753697449628E-2</v>
      </c>
      <c r="F40" s="103">
        <f t="shared" si="16"/>
        <v>8.987614628621533E-3</v>
      </c>
      <c r="G40" s="103">
        <f t="shared" si="16"/>
        <v>3.559365273738456E-2</v>
      </c>
      <c r="H40" s="103">
        <f t="shared" si="16"/>
        <v>0.15573730428974078</v>
      </c>
      <c r="I40" s="103">
        <f t="shared" si="16"/>
        <v>2.1462528933179945E-2</v>
      </c>
      <c r="J40" s="103">
        <f t="shared" si="16"/>
        <v>3.1548889529852894E-2</v>
      </c>
      <c r="K40" s="103">
        <f t="shared" si="16"/>
        <v>2.2629284562415961E-2</v>
      </c>
    </row>
    <row r="41" spans="1:11" ht="15" customHeight="1" x14ac:dyDescent="0.35">
      <c r="A41" t="s">
        <v>37</v>
      </c>
      <c r="B41" s="103">
        <f t="shared" ref="B41:K41" si="17">B12/B$14</f>
        <v>2.3404138335502079E-2</v>
      </c>
      <c r="C41" s="103">
        <f t="shared" si="17"/>
        <v>4.9627791563275434E-3</v>
      </c>
      <c r="D41" s="103">
        <f t="shared" si="17"/>
        <v>4.5728400006675675E-3</v>
      </c>
      <c r="E41" s="103">
        <f t="shared" si="17"/>
        <v>3.9885873995574705E-3</v>
      </c>
      <c r="F41" s="103">
        <f t="shared" si="17"/>
        <v>7.529867377881698E-2</v>
      </c>
      <c r="G41" s="103">
        <f t="shared" si="17"/>
        <v>0.13443543037910097</v>
      </c>
      <c r="H41" s="103">
        <f t="shared" si="17"/>
        <v>7.8585509702015333E-2</v>
      </c>
      <c r="I41" s="103">
        <f t="shared" si="17"/>
        <v>0.15758361169246973</v>
      </c>
      <c r="J41" s="103">
        <f t="shared" si="17"/>
        <v>0.16652437265647535</v>
      </c>
      <c r="K41" s="103">
        <f t="shared" si="17"/>
        <v>4.6837690272135211E-2</v>
      </c>
    </row>
    <row r="42" spans="1:11" ht="15" customHeight="1" x14ac:dyDescent="0.35">
      <c r="A42" t="s">
        <v>38</v>
      </c>
      <c r="B42" s="103">
        <f t="shared" ref="B42:K42" si="18">B13/B$14</f>
        <v>0.41911185235415943</v>
      </c>
      <c r="C42" s="103">
        <f t="shared" si="18"/>
        <v>0.42580282914636575</v>
      </c>
      <c r="D42" s="103">
        <f t="shared" si="18"/>
        <v>0.41586141290742501</v>
      </c>
      <c r="E42" s="103">
        <f t="shared" si="18"/>
        <v>0.4039536508675905</v>
      </c>
      <c r="F42" s="103">
        <f t="shared" si="18"/>
        <v>0.34625455165442737</v>
      </c>
      <c r="G42" s="103">
        <f t="shared" si="18"/>
        <v>0.36378386652380224</v>
      </c>
      <c r="H42" s="103">
        <f t="shared" si="18"/>
        <v>0.37913618664364029</v>
      </c>
      <c r="I42" s="103">
        <f t="shared" si="18"/>
        <v>0.30066944794799649</v>
      </c>
      <c r="J42" s="103">
        <f t="shared" si="18"/>
        <v>0.36533602538217474</v>
      </c>
      <c r="K42" s="103">
        <f t="shared" si="18"/>
        <v>0.51270235480459581</v>
      </c>
    </row>
    <row r="43" spans="1:11" ht="15" customHeight="1" x14ac:dyDescent="0.35">
      <c r="A43" s="39" t="s">
        <v>99</v>
      </c>
      <c r="B43" s="101">
        <f t="shared" ref="B43:K43" si="19">B14/B$14</f>
        <v>1</v>
      </c>
      <c r="C43" s="101">
        <f t="shared" si="19"/>
        <v>1</v>
      </c>
      <c r="D43" s="101">
        <f t="shared" si="19"/>
        <v>1</v>
      </c>
      <c r="E43" s="101">
        <f t="shared" si="19"/>
        <v>1</v>
      </c>
      <c r="F43" s="101">
        <f t="shared" si="19"/>
        <v>1</v>
      </c>
      <c r="G43" s="101">
        <f t="shared" si="19"/>
        <v>1</v>
      </c>
      <c r="H43" s="101">
        <f t="shared" si="19"/>
        <v>1</v>
      </c>
      <c r="I43" s="101">
        <f t="shared" si="19"/>
        <v>1</v>
      </c>
      <c r="J43" s="101">
        <f t="shared" si="19"/>
        <v>1</v>
      </c>
      <c r="K43" s="101">
        <f t="shared" si="19"/>
        <v>1</v>
      </c>
    </row>
    <row r="45" spans="1:11" ht="15" customHeight="1" x14ac:dyDescent="0.35">
      <c r="A45" s="3" t="s">
        <v>161</v>
      </c>
      <c r="B45" s="39"/>
      <c r="C45" s="39"/>
      <c r="D45" s="39"/>
      <c r="E45" s="39"/>
      <c r="F45" s="39"/>
      <c r="G45" s="39"/>
      <c r="H45" s="39"/>
      <c r="I45" s="39"/>
      <c r="J45" s="39"/>
      <c r="K45" s="39"/>
    </row>
    <row r="46" spans="1:11" ht="15" customHeight="1" x14ac:dyDescent="0.35">
      <c r="A46" s="35" t="s">
        <v>39</v>
      </c>
      <c r="B46" s="100">
        <f>B16/B$14</f>
        <v>0.20744827080622399</v>
      </c>
      <c r="C46" s="104">
        <f t="shared" ref="C46:K46" si="20">C16/C$14</f>
        <v>0.20838238756769484</v>
      </c>
      <c r="D46" s="104">
        <f t="shared" si="20"/>
        <v>0.21545753433802298</v>
      </c>
      <c r="E46" s="104">
        <f t="shared" si="20"/>
        <v>0.16714219168510538</v>
      </c>
      <c r="F46" s="104">
        <f t="shared" si="20"/>
        <v>0.17115438481117481</v>
      </c>
      <c r="G46" s="104">
        <f t="shared" si="20"/>
        <v>0.18073371090361753</v>
      </c>
      <c r="H46" s="104">
        <f t="shared" si="20"/>
        <v>0.19874875771843786</v>
      </c>
      <c r="I46" s="104">
        <f t="shared" si="20"/>
        <v>0.13983561795728283</v>
      </c>
      <c r="J46" s="104">
        <f t="shared" si="20"/>
        <v>0.15988462647822327</v>
      </c>
      <c r="K46" s="104">
        <f t="shared" si="20"/>
        <v>0.21934471257602511</v>
      </c>
    </row>
    <row r="47" spans="1:11" ht="15" customHeight="1" x14ac:dyDescent="0.35">
      <c r="A47" t="s">
        <v>40</v>
      </c>
      <c r="B47" s="100">
        <f t="shared" ref="B47:K47" si="21">B17/B$14</f>
        <v>0.1001411212726573</v>
      </c>
      <c r="C47" s="100">
        <f t="shared" si="21"/>
        <v>8.4457807321004871E-2</v>
      </c>
      <c r="D47" s="100">
        <f t="shared" si="21"/>
        <v>9.0939434903786767E-2</v>
      </c>
      <c r="E47" s="100">
        <f t="shared" si="21"/>
        <v>6.5069290788401069E-2</v>
      </c>
      <c r="F47" s="100">
        <f t="shared" si="21"/>
        <v>7.9244455810894718E-2</v>
      </c>
      <c r="G47" s="100">
        <f t="shared" si="21"/>
        <v>8.3912444512475121E-2</v>
      </c>
      <c r="H47" s="100">
        <f t="shared" si="21"/>
        <v>7.5261897391616012E-2</v>
      </c>
      <c r="I47" s="100">
        <f t="shared" si="21"/>
        <v>6.4567769477054435E-2</v>
      </c>
      <c r="J47" s="100">
        <f t="shared" si="21"/>
        <v>7.0343236227285832E-2</v>
      </c>
      <c r="K47" s="100">
        <f t="shared" si="21"/>
        <v>8.4296357972408448E-2</v>
      </c>
    </row>
    <row r="48" spans="1:11" ht="15" customHeight="1" x14ac:dyDescent="0.35">
      <c r="A48" s="41" t="s">
        <v>41</v>
      </c>
      <c r="B48" s="105">
        <f t="shared" ref="B48:K48" si="22">B18/B$14</f>
        <v>6.189175815112806E-2</v>
      </c>
      <c r="C48" s="105">
        <f t="shared" si="22"/>
        <v>7.7339660574885449E-2</v>
      </c>
      <c r="D48" s="105">
        <f t="shared" si="22"/>
        <v>4.5294480882524739E-2</v>
      </c>
      <c r="E48" s="105">
        <f t="shared" si="22"/>
        <v>0.10514440433212996</v>
      </c>
      <c r="F48" s="105">
        <f t="shared" si="22"/>
        <v>5.7847113124596585E-3</v>
      </c>
      <c r="G48" s="105">
        <f t="shared" si="22"/>
        <v>5.3472115924281848E-3</v>
      </c>
      <c r="H48" s="105">
        <f t="shared" si="22"/>
        <v>3.0955212694895643E-3</v>
      </c>
      <c r="I48" s="105">
        <f t="shared" si="22"/>
        <v>3.7214653009743727E-2</v>
      </c>
      <c r="J48" s="105">
        <f t="shared" si="22"/>
        <v>3.9515431208537637E-3</v>
      </c>
      <c r="K48" s="105">
        <f t="shared" si="22"/>
        <v>2.0480722758963905E-3</v>
      </c>
    </row>
  </sheetData>
  <mergeCells count="4">
    <mergeCell ref="A1:O1"/>
    <mergeCell ref="B2:L2"/>
    <mergeCell ref="M2:O2"/>
    <mergeCell ref="A31:K31"/>
  </mergeCells>
  <conditionalFormatting sqref="C26:K26">
    <cfRule type="cellIs" dxfId="53" priority="11" operator="greaterThan">
      <formula>B26</formula>
    </cfRule>
    <cfRule type="cellIs" dxfId="52" priority="12" operator="lessThan">
      <formula>B26</formula>
    </cfRule>
  </conditionalFormatting>
  <conditionalFormatting sqref="C35:K35">
    <cfRule type="cellIs" dxfId="51" priority="3" operator="greaterThan">
      <formula>B35</formula>
    </cfRule>
    <cfRule type="cellIs" dxfId="50" priority="4" operator="lessThan">
      <formula>B35</formula>
    </cfRule>
  </conditionalFormatting>
  <conditionalFormatting sqref="C46:K46">
    <cfRule type="cellIs" dxfId="49" priority="1" operator="greaterThan">
      <formula>B46</formula>
    </cfRule>
    <cfRule type="cellIs" dxfId="48" priority="2" operator="lessThan">
      <formula>B46</formula>
    </cfRule>
  </conditionalFormatting>
  <conditionalFormatting sqref="D23:K23">
    <cfRule type="cellIs" dxfId="47" priority="17" operator="lessThan">
      <formula>C23</formula>
    </cfRule>
    <cfRule type="cellIs" dxfId="46" priority="18" operator="greaterThan">
      <formula>C23</formula>
    </cfRule>
  </conditionalFormatting>
  <conditionalFormatting sqref="D24:K24">
    <cfRule type="cellIs" dxfId="45" priority="15" operator="greaterThan">
      <formula>C24</formula>
    </cfRule>
    <cfRule type="cellIs" dxfId="44" priority="16" operator="lessThan">
      <formula>C24</formula>
    </cfRule>
  </conditionalFormatting>
  <conditionalFormatting sqref="D25:K25">
    <cfRule type="cellIs" dxfId="43" priority="13" operator="lessThan">
      <formula>C25</formula>
    </cfRule>
    <cfRule type="cellIs" dxfId="42" priority="14" operator="greaterThan">
      <formula>C25</formula>
    </cfRule>
  </conditionalFormatting>
  <conditionalFormatting sqref="D27:K28">
    <cfRule type="cellIs" dxfId="41" priority="7" operator="greaterThan">
      <formula>C27</formula>
    </cfRule>
    <cfRule type="cellIs" dxfId="40" priority="8" operator="lessThan">
      <formula>C27</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1"/>
  <sheetViews>
    <sheetView showGridLines="0" zoomScale="120" zoomScaleNormal="120" workbookViewId="0">
      <selection activeCell="F35" sqref="F35"/>
    </sheetView>
  </sheetViews>
  <sheetFormatPr defaultColWidth="8.81640625" defaultRowHeight="15" customHeight="1" x14ac:dyDescent="0.35"/>
  <cols>
    <col min="1" max="1" width="33.1796875" customWidth="1"/>
    <col min="2" max="15" width="13.81640625" customWidth="1"/>
  </cols>
  <sheetData>
    <row r="1" spans="1:15" ht="26.5" thickBot="1" x14ac:dyDescent="0.4">
      <c r="A1" s="118" t="s">
        <v>109</v>
      </c>
      <c r="B1" s="119"/>
      <c r="C1" s="119"/>
      <c r="D1" s="119"/>
      <c r="E1" s="119"/>
      <c r="F1" s="119"/>
      <c r="G1" s="119"/>
      <c r="H1" s="119"/>
      <c r="I1" s="119"/>
      <c r="J1" s="119"/>
      <c r="K1" s="119"/>
      <c r="L1" s="119"/>
      <c r="M1" s="119"/>
      <c r="N1" s="119"/>
      <c r="O1" s="120"/>
    </row>
    <row r="2" spans="1:15" ht="18.5" customHeight="1" thickBot="1" x14ac:dyDescent="0.4">
      <c r="A2" s="22" t="s">
        <v>77</v>
      </c>
      <c r="B2" s="124" t="str">
        <f>+'Data Sheet'!B1</f>
        <v>VINATI ORGANICS LTD</v>
      </c>
      <c r="C2" s="125"/>
      <c r="D2" s="125"/>
      <c r="E2" s="125"/>
      <c r="F2" s="125"/>
      <c r="G2" s="125"/>
      <c r="H2" s="125"/>
      <c r="I2" s="125"/>
      <c r="J2" s="125"/>
      <c r="K2" s="125"/>
      <c r="L2" s="126"/>
      <c r="M2" s="121" t="s">
        <v>81</v>
      </c>
      <c r="N2" s="122"/>
      <c r="O2" s="123"/>
    </row>
    <row r="3" spans="1:15" ht="21" customHeight="1" x14ac:dyDescent="0.35">
      <c r="A3" s="21" t="s">
        <v>78</v>
      </c>
      <c r="B3" s="23">
        <f>+'Data Sheet'!B16</f>
        <v>41364</v>
      </c>
      <c r="C3" s="23">
        <f>+'Data Sheet'!C16</f>
        <v>41729</v>
      </c>
      <c r="D3" s="23">
        <f>+'Data Sheet'!D16</f>
        <v>42094</v>
      </c>
      <c r="E3" s="23">
        <f>+'Data Sheet'!E16</f>
        <v>42460</v>
      </c>
      <c r="F3" s="23">
        <f>+'Data Sheet'!F16</f>
        <v>42825</v>
      </c>
      <c r="G3" s="23">
        <f>+'Data Sheet'!G16</f>
        <v>43190</v>
      </c>
      <c r="H3" s="23">
        <f>+'Data Sheet'!H16</f>
        <v>43555</v>
      </c>
      <c r="I3" s="23">
        <f>+'Data Sheet'!I16</f>
        <v>43921</v>
      </c>
      <c r="J3" s="23">
        <f>+'Data Sheet'!J16</f>
        <v>44286</v>
      </c>
      <c r="K3" s="23">
        <f>+'Data Sheet'!K16</f>
        <v>44651</v>
      </c>
      <c r="L3" s="23" t="s">
        <v>117</v>
      </c>
      <c r="M3" s="30">
        <v>9</v>
      </c>
      <c r="N3" s="31">
        <v>5</v>
      </c>
      <c r="O3" s="32">
        <v>3</v>
      </c>
    </row>
    <row r="4" spans="1:15" ht="15" customHeight="1" x14ac:dyDescent="0.35">
      <c r="A4" s="35" t="s">
        <v>110</v>
      </c>
      <c r="B4" s="46">
        <f>+'Data Sheet'!B82</f>
        <v>92.1</v>
      </c>
      <c r="C4" s="46">
        <f>+'Data Sheet'!C82</f>
        <v>131.46</v>
      </c>
      <c r="D4" s="46">
        <f>+'Data Sheet'!D82</f>
        <v>112.56</v>
      </c>
      <c r="E4" s="46">
        <f>+'Data Sheet'!E82</f>
        <v>167.49</v>
      </c>
      <c r="F4" s="46">
        <f>+'Data Sheet'!F82</f>
        <v>130.43</v>
      </c>
      <c r="G4" s="46">
        <f>+'Data Sheet'!G82</f>
        <v>138.33000000000001</v>
      </c>
      <c r="H4" s="46">
        <f>+'Data Sheet'!H82</f>
        <v>200.36</v>
      </c>
      <c r="I4" s="46">
        <f>+'Data Sheet'!I82</f>
        <v>415.93</v>
      </c>
      <c r="J4" s="46">
        <f>+'Data Sheet'!J82</f>
        <v>218.91</v>
      </c>
      <c r="K4" s="46">
        <f>+'Data Sheet'!K82</f>
        <v>127.1</v>
      </c>
      <c r="L4" s="25"/>
      <c r="M4" s="26"/>
      <c r="N4" s="26"/>
      <c r="O4" s="26"/>
    </row>
    <row r="5" spans="1:15" ht="15" customHeight="1" x14ac:dyDescent="0.35">
      <c r="A5" t="s">
        <v>111</v>
      </c>
      <c r="B5" s="47">
        <f>+'Data Sheet'!B83</f>
        <v>-112.58</v>
      </c>
      <c r="C5" s="47">
        <f>+'Data Sheet'!C83</f>
        <v>-9.0399999999999991</v>
      </c>
      <c r="D5" s="47">
        <f>+'Data Sheet'!D83</f>
        <v>-53.49</v>
      </c>
      <c r="E5" s="47">
        <f>+'Data Sheet'!E83</f>
        <v>-72.19</v>
      </c>
      <c r="F5" s="47">
        <f>+'Data Sheet'!F83</f>
        <v>-26.79</v>
      </c>
      <c r="G5" s="47">
        <f>+'Data Sheet'!G83</f>
        <v>-38.78</v>
      </c>
      <c r="H5" s="47">
        <f>+'Data Sheet'!H83</f>
        <v>-242.71</v>
      </c>
      <c r="I5" s="47">
        <f>+'Data Sheet'!I83</f>
        <v>-197.46</v>
      </c>
      <c r="J5" s="47">
        <f>+'Data Sheet'!J83</f>
        <v>-198.21</v>
      </c>
      <c r="K5" s="47">
        <f>+'Data Sheet'!K83</f>
        <v>-255.8</v>
      </c>
      <c r="L5" s="25"/>
      <c r="M5" s="26"/>
      <c r="N5" s="26"/>
      <c r="O5" s="26"/>
    </row>
    <row r="6" spans="1:15" ht="15" customHeight="1" x14ac:dyDescent="0.35">
      <c r="A6" t="s">
        <v>112</v>
      </c>
      <c r="B6" s="47">
        <f>+'Data Sheet'!B84</f>
        <v>22.3</v>
      </c>
      <c r="C6" s="47">
        <f>+'Data Sheet'!C84</f>
        <v>-113.49</v>
      </c>
      <c r="D6" s="47">
        <f>+'Data Sheet'!D84</f>
        <v>-74.63</v>
      </c>
      <c r="E6" s="47">
        <f>+'Data Sheet'!E84</f>
        <v>-50.22</v>
      </c>
      <c r="F6" s="47">
        <f>+'Data Sheet'!F84</f>
        <v>-45.08</v>
      </c>
      <c r="G6" s="47">
        <f>+'Data Sheet'!G84</f>
        <v>-29.86</v>
      </c>
      <c r="H6" s="47">
        <f>+'Data Sheet'!H84</f>
        <v>-40.26</v>
      </c>
      <c r="I6" s="47">
        <f>+'Data Sheet'!I84</f>
        <v>-109.05</v>
      </c>
      <c r="J6" s="47">
        <f>+'Data Sheet'!J84</f>
        <v>-3.1</v>
      </c>
      <c r="K6" s="47">
        <f>+'Data Sheet'!K84</f>
        <v>-46.43</v>
      </c>
      <c r="M6" s="26"/>
      <c r="N6" s="26"/>
      <c r="O6" s="26"/>
    </row>
    <row r="7" spans="1:15" ht="15" customHeight="1" x14ac:dyDescent="0.35">
      <c r="A7" s="54" t="s">
        <v>113</v>
      </c>
      <c r="B7" s="55">
        <f>SUM(B4:B6)</f>
        <v>1.8199999999999967</v>
      </c>
      <c r="C7" s="55">
        <f t="shared" ref="C7:K7" si="0">SUM(C4:C6)</f>
        <v>8.930000000000021</v>
      </c>
      <c r="D7" s="55">
        <f t="shared" si="0"/>
        <v>-15.559999999999995</v>
      </c>
      <c r="E7" s="55">
        <f t="shared" si="0"/>
        <v>45.080000000000013</v>
      </c>
      <c r="F7" s="55">
        <f t="shared" si="0"/>
        <v>58.560000000000016</v>
      </c>
      <c r="G7" s="55">
        <f t="shared" si="0"/>
        <v>69.690000000000012</v>
      </c>
      <c r="H7" s="55">
        <f t="shared" si="0"/>
        <v>-82.609999999999985</v>
      </c>
      <c r="I7" s="55">
        <f t="shared" si="0"/>
        <v>109.42</v>
      </c>
      <c r="J7" s="55">
        <f t="shared" si="0"/>
        <v>17.599999999999987</v>
      </c>
      <c r="K7" s="55">
        <f t="shared" si="0"/>
        <v>-175.13000000000002</v>
      </c>
      <c r="M7" s="26"/>
      <c r="N7" s="26"/>
      <c r="O7" s="26"/>
    </row>
    <row r="8" spans="1:15" ht="15" customHeight="1" x14ac:dyDescent="0.35">
      <c r="B8" s="47"/>
      <c r="C8" s="47"/>
      <c r="D8" s="47"/>
      <c r="E8" s="47"/>
      <c r="F8" s="47"/>
      <c r="G8" s="47"/>
      <c r="H8" s="47"/>
      <c r="I8" s="47"/>
      <c r="J8" s="47"/>
      <c r="K8" s="47"/>
      <c r="M8" s="26"/>
      <c r="N8" s="26"/>
      <c r="O8" s="26"/>
    </row>
    <row r="9" spans="1:15" ht="15" customHeight="1" x14ac:dyDescent="0.35">
      <c r="A9" t="s">
        <v>114</v>
      </c>
      <c r="B9" s="47">
        <f>'Balance Sheet'!B18</f>
        <v>33.770000000000003</v>
      </c>
      <c r="C9" s="47">
        <f>'Balance Sheet'!C18</f>
        <v>42.7</v>
      </c>
      <c r="D9" s="47">
        <f>'Balance Sheet'!D18</f>
        <v>27.14</v>
      </c>
      <c r="E9" s="47">
        <f>'Balance Sheet'!E18</f>
        <v>72.23</v>
      </c>
      <c r="F9" s="47">
        <f>'Balance Sheet'!F18</f>
        <v>4.75</v>
      </c>
      <c r="G9" s="47">
        <f>'Balance Sheet'!G18</f>
        <v>5.24</v>
      </c>
      <c r="H9" s="47">
        <f>'Balance Sheet'!H18</f>
        <v>3.8</v>
      </c>
      <c r="I9" s="47">
        <f>'Balance Sheet'!I18</f>
        <v>53.7</v>
      </c>
      <c r="J9" s="47">
        <f>'Balance Sheet'!J18</f>
        <v>6.85</v>
      </c>
      <c r="K9" s="47">
        <f>'Balance Sheet'!K18</f>
        <v>4.28</v>
      </c>
      <c r="M9" s="26"/>
      <c r="N9" s="26"/>
      <c r="O9" s="26"/>
    </row>
    <row r="10" spans="1:15" ht="15" customHeight="1" x14ac:dyDescent="0.35">
      <c r="B10" s="47"/>
      <c r="C10" s="47"/>
      <c r="D10" s="47"/>
      <c r="E10" s="47"/>
      <c r="F10" s="47"/>
      <c r="G10" s="47"/>
      <c r="H10" s="47"/>
      <c r="I10" s="47"/>
      <c r="J10" s="47"/>
      <c r="K10" s="47"/>
      <c r="M10" s="26"/>
      <c r="N10" s="26"/>
      <c r="O10" s="26"/>
    </row>
    <row r="11" spans="1:15" ht="15" customHeight="1" x14ac:dyDescent="0.35">
      <c r="A11" s="33" t="s">
        <v>115</v>
      </c>
      <c r="B11" s="56">
        <f>+'Income Statement'!B12</f>
        <v>68.669999999999945</v>
      </c>
      <c r="C11" s="56">
        <f>+'Income Statement'!C12</f>
        <v>86.159999999999968</v>
      </c>
      <c r="D11" s="56">
        <f>+'Income Statement'!D12</f>
        <v>115.80000000000008</v>
      </c>
      <c r="E11" s="56">
        <f>+'Income Statement'!E12</f>
        <v>131.57</v>
      </c>
      <c r="F11" s="56">
        <f>+'Income Statement'!F12</f>
        <v>140.26999999999992</v>
      </c>
      <c r="G11" s="56">
        <f>+'Income Statement'!G12</f>
        <v>143.87999999999994</v>
      </c>
      <c r="H11" s="56">
        <f>+'Income Statement'!H12</f>
        <v>282.49000000000007</v>
      </c>
      <c r="I11" s="56">
        <f>+'Income Statement'!I12</f>
        <v>333.8399999999998</v>
      </c>
      <c r="J11" s="56">
        <f>+'Income Statement'!J12</f>
        <v>269.35000000000002</v>
      </c>
      <c r="K11" s="56">
        <f>+'Income Statement'!K12</f>
        <v>346.66999999999996</v>
      </c>
      <c r="L11" s="82">
        <f>SUM(B11:K11)</f>
        <v>1918.6999999999998</v>
      </c>
      <c r="M11" s="78">
        <f>IFERROR((K11/B11)^(1/$M$3)-1,"n/m")</f>
        <v>0.19709244614944343</v>
      </c>
      <c r="N11" s="78">
        <f>IFERROR((K11/F11)^(1/$N$3)-1,"n/m")</f>
        <v>0.19836824597729286</v>
      </c>
      <c r="O11" s="78">
        <f>IFERROR((K11/H11)^(1/$O$3)-1,"n/m")</f>
        <v>7.0625855353730671E-2</v>
      </c>
    </row>
    <row r="12" spans="1:15" ht="15" customHeight="1" x14ac:dyDescent="0.35">
      <c r="A12" s="3" t="s">
        <v>110</v>
      </c>
      <c r="B12" s="49">
        <f>+B4</f>
        <v>92.1</v>
      </c>
      <c r="C12" s="49">
        <f t="shared" ref="C12:K12" si="1">+C4</f>
        <v>131.46</v>
      </c>
      <c r="D12" s="49">
        <f t="shared" si="1"/>
        <v>112.56</v>
      </c>
      <c r="E12" s="49">
        <f t="shared" si="1"/>
        <v>167.49</v>
      </c>
      <c r="F12" s="49">
        <f t="shared" si="1"/>
        <v>130.43</v>
      </c>
      <c r="G12" s="49">
        <f t="shared" si="1"/>
        <v>138.33000000000001</v>
      </c>
      <c r="H12" s="49">
        <f t="shared" si="1"/>
        <v>200.36</v>
      </c>
      <c r="I12" s="49">
        <f t="shared" si="1"/>
        <v>415.93</v>
      </c>
      <c r="J12" s="49">
        <f t="shared" si="1"/>
        <v>218.91</v>
      </c>
      <c r="K12" s="49">
        <f t="shared" si="1"/>
        <v>127.1</v>
      </c>
      <c r="L12" s="83">
        <f>SUM(B12:K12)</f>
        <v>1734.67</v>
      </c>
      <c r="M12" s="78">
        <f>IFERROR((K12/B12)^(1/$M$3)-1,"n/m")</f>
        <v>3.6436931917766868E-2</v>
      </c>
      <c r="N12" s="78">
        <f>IFERROR((K12/F12)^(1/$N$3)-1,"n/m")</f>
        <v>-5.1591468878825486E-3</v>
      </c>
      <c r="O12" s="78">
        <f>IFERROR((K12/H12)^(1/$O$3)-1,"n/m")</f>
        <v>-0.14076589040365939</v>
      </c>
    </row>
    <row r="13" spans="1:15" ht="15" customHeight="1" x14ac:dyDescent="0.35">
      <c r="A13" s="3"/>
      <c r="B13" s="47"/>
      <c r="C13" s="47"/>
      <c r="D13" s="47"/>
      <c r="E13" s="47"/>
      <c r="F13" s="47"/>
      <c r="G13" s="47"/>
      <c r="H13" s="47"/>
      <c r="I13" s="47"/>
      <c r="J13" s="47"/>
      <c r="K13" s="47"/>
      <c r="L13" s="70"/>
      <c r="M13" s="26"/>
      <c r="N13" s="26"/>
      <c r="O13" s="26"/>
    </row>
    <row r="14" spans="1:15" ht="15" customHeight="1" x14ac:dyDescent="0.35">
      <c r="A14" s="3" t="s">
        <v>116</v>
      </c>
      <c r="B14" s="76">
        <f>IFERROR(B12/B11,"n/m")</f>
        <v>1.3411970292704247</v>
      </c>
      <c r="C14" s="76">
        <f t="shared" ref="C14:K14" si="2">IFERROR(C12/C11,"n/m")</f>
        <v>1.5257660167130926</v>
      </c>
      <c r="D14" s="76">
        <f t="shared" si="2"/>
        <v>0.9720207253886004</v>
      </c>
      <c r="E14" s="76">
        <f t="shared" si="2"/>
        <v>1.2730105647184009</v>
      </c>
      <c r="F14" s="76">
        <f t="shared" si="2"/>
        <v>0.92984957581806571</v>
      </c>
      <c r="G14" s="76">
        <f t="shared" si="2"/>
        <v>0.96142618849040917</v>
      </c>
      <c r="H14" s="76">
        <f t="shared" si="2"/>
        <v>0.70926404474494664</v>
      </c>
      <c r="I14" s="76">
        <f t="shared" si="2"/>
        <v>1.2458962377186684</v>
      </c>
      <c r="J14" s="76">
        <f t="shared" si="2"/>
        <v>0.81273436049749392</v>
      </c>
      <c r="K14" s="76">
        <f t="shared" si="2"/>
        <v>0.3666310900856723</v>
      </c>
      <c r="L14" s="76">
        <f t="shared" ref="L14" si="3">L12/L11</f>
        <v>0.90408609996351708</v>
      </c>
      <c r="M14" s="26"/>
      <c r="N14" s="26"/>
      <c r="O14" s="26"/>
    </row>
    <row r="15" spans="1:15" ht="15" customHeight="1" x14ac:dyDescent="0.35">
      <c r="A15" s="3"/>
      <c r="B15" s="47"/>
      <c r="C15" s="47"/>
      <c r="D15" s="47"/>
      <c r="E15" s="47"/>
      <c r="F15" s="47"/>
      <c r="G15" s="47"/>
      <c r="H15" s="47"/>
      <c r="I15" s="47"/>
      <c r="J15" s="47"/>
      <c r="K15" s="47"/>
      <c r="L15" s="70"/>
      <c r="M15" s="26"/>
      <c r="N15" s="26"/>
      <c r="O15" s="26"/>
    </row>
    <row r="16" spans="1:15" ht="15" customHeight="1" x14ac:dyDescent="0.35">
      <c r="A16" s="3" t="s">
        <v>118</v>
      </c>
      <c r="B16" s="47"/>
      <c r="C16" s="49">
        <f>('Balance Sheet'!C10-'Balance Sheet'!B10)+('Balance Sheet'!C11-'Balance Sheet'!B11)-'Income Statement'!C9</f>
        <v>25.42</v>
      </c>
      <c r="D16" s="49">
        <f>('Balance Sheet'!D10-'Balance Sheet'!C10)+('Balance Sheet'!D11-'Balance Sheet'!C11)-'Income Statement'!D9</f>
        <v>50.650000000000006</v>
      </c>
      <c r="E16" s="49">
        <f>('Balance Sheet'!E10-'Balance Sheet'!D10)+('Balance Sheet'!E11-'Balance Sheet'!D11)-'Income Statement'!E9</f>
        <v>77.969999999999985</v>
      </c>
      <c r="F16" s="49">
        <f>('Balance Sheet'!F10-'Balance Sheet'!E10)+('Balance Sheet'!F11-'Balance Sheet'!E11)-'Income Statement'!F9</f>
        <v>89.870000000000033</v>
      </c>
      <c r="G16" s="49">
        <f>('Balance Sheet'!G10-'Balance Sheet'!F10)+('Balance Sheet'!G11-'Balance Sheet'!F11)-'Income Statement'!G9</f>
        <v>40.099999999999952</v>
      </c>
      <c r="H16" s="49">
        <f>('Balance Sheet'!H10-'Balance Sheet'!G10)+('Balance Sheet'!H11-'Balance Sheet'!G11)-'Income Statement'!H9</f>
        <v>201.36</v>
      </c>
      <c r="I16" s="49">
        <f>('Balance Sheet'!I10-'Balance Sheet'!H10)+('Balance Sheet'!I11-'Balance Sheet'!H11)-'Income Statement'!I9</f>
        <v>149.19999999999999</v>
      </c>
      <c r="J16" s="49">
        <f>('Balance Sheet'!J10-'Balance Sheet'!I10)+('Balance Sheet'!J11-'Balance Sheet'!I11)-'Income Statement'!J9</f>
        <v>72.700000000000045</v>
      </c>
      <c r="K16" s="49">
        <f>('Balance Sheet'!K10-'Balance Sheet'!J10)+('Balance Sheet'!K11-'Balance Sheet'!J11)-'Income Statement'!K9</f>
        <v>154.42999999999992</v>
      </c>
      <c r="L16" s="70"/>
      <c r="M16" s="26"/>
      <c r="N16" s="26"/>
      <c r="O16" s="26"/>
    </row>
    <row r="17" spans="1:15" ht="15" customHeight="1" x14ac:dyDescent="0.35">
      <c r="A17" s="3" t="s">
        <v>120</v>
      </c>
      <c r="B17" s="47"/>
      <c r="C17" s="49">
        <f>C12-C16</f>
        <v>106.04</v>
      </c>
      <c r="D17" s="49">
        <f t="shared" ref="D17:K17" si="4">D12-D16</f>
        <v>61.91</v>
      </c>
      <c r="E17" s="49">
        <f t="shared" si="4"/>
        <v>89.520000000000024</v>
      </c>
      <c r="F17" s="49">
        <f t="shared" si="4"/>
        <v>40.559999999999974</v>
      </c>
      <c r="G17" s="49">
        <f t="shared" si="4"/>
        <v>98.230000000000061</v>
      </c>
      <c r="H17" s="49">
        <f t="shared" si="4"/>
        <v>-1</v>
      </c>
      <c r="I17" s="49">
        <f t="shared" si="4"/>
        <v>266.73</v>
      </c>
      <c r="J17" s="49">
        <f t="shared" si="4"/>
        <v>146.20999999999995</v>
      </c>
      <c r="K17" s="49">
        <f t="shared" si="4"/>
        <v>-27.329999999999927</v>
      </c>
      <c r="L17" s="70"/>
      <c r="M17" s="26"/>
      <c r="N17" s="26"/>
      <c r="O17" s="26"/>
    </row>
    <row r="18" spans="1:15" ht="15" customHeight="1" x14ac:dyDescent="0.35">
      <c r="A18" s="3"/>
      <c r="B18" s="47"/>
      <c r="C18" s="47"/>
      <c r="D18" s="47"/>
      <c r="E18" s="47"/>
      <c r="F18" s="47"/>
      <c r="G18" s="47"/>
      <c r="H18" s="47"/>
      <c r="I18" s="47"/>
      <c r="J18" s="47"/>
      <c r="K18" s="47"/>
      <c r="L18" s="70"/>
      <c r="M18" s="26"/>
      <c r="N18" s="26"/>
      <c r="O18" s="26"/>
    </row>
    <row r="19" spans="1:15" ht="15" customHeight="1" x14ac:dyDescent="0.35">
      <c r="A19" s="3" t="s">
        <v>119</v>
      </c>
      <c r="B19" s="47"/>
      <c r="C19" s="76">
        <f>IFERROR(C16/C4,"n/m")</f>
        <v>0.19336680359044575</v>
      </c>
      <c r="D19" s="116">
        <f t="shared" ref="D19:K19" si="5">IFERROR(D16/D4,"n/m")</f>
        <v>0.44998223169864965</v>
      </c>
      <c r="E19" s="116">
        <f t="shared" si="5"/>
        <v>0.46552032957191464</v>
      </c>
      <c r="F19" s="116">
        <f t="shared" si="5"/>
        <v>0.68902859771524982</v>
      </c>
      <c r="G19" s="116">
        <f t="shared" si="5"/>
        <v>0.28988650328923549</v>
      </c>
      <c r="H19" s="116">
        <f t="shared" si="5"/>
        <v>1.0049910161708924</v>
      </c>
      <c r="I19" s="116">
        <f t="shared" si="5"/>
        <v>0.35871420671747645</v>
      </c>
      <c r="J19" s="116">
        <f t="shared" si="5"/>
        <v>0.33209994975103946</v>
      </c>
      <c r="K19" s="116">
        <f t="shared" si="5"/>
        <v>1.2150275373721473</v>
      </c>
      <c r="L19" s="70"/>
      <c r="M19" s="26"/>
      <c r="N19" s="26"/>
      <c r="O19" s="26"/>
    </row>
    <row r="20" spans="1:15" ht="15" customHeight="1" x14ac:dyDescent="0.35">
      <c r="A20" s="39" t="s">
        <v>121</v>
      </c>
      <c r="B20" s="57"/>
      <c r="C20" s="57"/>
      <c r="D20" s="57"/>
      <c r="E20" s="57"/>
      <c r="F20" s="57"/>
      <c r="G20" s="57"/>
      <c r="H20" s="57"/>
      <c r="I20" s="57"/>
      <c r="J20" s="57"/>
      <c r="K20" s="57"/>
      <c r="L20" s="84">
        <f>SUM(C17:K17)/SUM(C12:K12)</f>
        <v>0.47539526473757582</v>
      </c>
      <c r="M20" s="26"/>
      <c r="N20" s="26"/>
      <c r="O20" s="26"/>
    </row>
    <row r="21" spans="1:15" ht="15" customHeight="1" x14ac:dyDescent="0.35">
      <c r="B21" s="47"/>
      <c r="C21" s="47"/>
      <c r="D21" s="47"/>
      <c r="E21" s="47"/>
      <c r="F21" s="47"/>
      <c r="G21" s="47"/>
      <c r="H21" s="47"/>
      <c r="I21" s="47"/>
      <c r="J21" s="47"/>
      <c r="K21" s="47"/>
      <c r="M21" s="29"/>
      <c r="N21" s="29"/>
      <c r="O21" s="29"/>
    </row>
  </sheetData>
  <mergeCells count="3">
    <mergeCell ref="A1:O1"/>
    <mergeCell ref="B2:L2"/>
    <mergeCell ref="M2:O2"/>
  </mergeCells>
  <conditionalFormatting sqref="B14:L14">
    <cfRule type="cellIs" dxfId="39" priority="9" operator="lessThan">
      <formula>0.8</formula>
    </cfRule>
    <cfRule type="cellIs" dxfId="38" priority="10" operator="greaterThan">
      <formula>0.8</formula>
    </cfRule>
  </conditionalFormatting>
  <conditionalFormatting sqref="C11:K12">
    <cfRule type="cellIs" dxfId="37" priority="5" operator="lessThan">
      <formula>B11</formula>
    </cfRule>
    <cfRule type="cellIs" dxfId="36" priority="6" operator="greaterThanOrEqual">
      <formula>B11</formula>
    </cfRule>
  </conditionalFormatting>
  <conditionalFormatting sqref="D16:K16">
    <cfRule type="cellIs" dxfId="35" priority="3" operator="lessThan">
      <formula>C16</formula>
    </cfRule>
    <cfRule type="cellIs" dxfId="34" priority="4" operator="greaterThanOrEqual">
      <formula>C16</formula>
    </cfRule>
  </conditionalFormatting>
  <conditionalFormatting sqref="D19:K19">
    <cfRule type="cellIs" dxfId="33" priority="1" operator="lessThan">
      <formula>C19</formula>
    </cfRule>
    <cfRule type="cellIs" dxfId="32" priority="2" operator="greaterThanOrEqual">
      <formula>C19</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8"/>
  <sheetViews>
    <sheetView showGridLines="0" zoomScale="130" zoomScaleNormal="130" workbookViewId="0">
      <selection activeCell="G33" sqref="G33"/>
    </sheetView>
  </sheetViews>
  <sheetFormatPr defaultColWidth="8.81640625" defaultRowHeight="15" customHeight="1" x14ac:dyDescent="0.35"/>
  <cols>
    <col min="1" max="1" width="40" customWidth="1"/>
    <col min="2" max="12" width="13.81640625" customWidth="1"/>
    <col min="13" max="13" width="8.81640625" customWidth="1"/>
  </cols>
  <sheetData>
    <row r="1" spans="1:12" ht="26.5" thickBot="1" x14ac:dyDescent="0.4">
      <c r="A1" s="118" t="s">
        <v>139</v>
      </c>
      <c r="B1" s="119"/>
      <c r="C1" s="119"/>
      <c r="D1" s="119"/>
      <c r="E1" s="119"/>
      <c r="F1" s="119"/>
      <c r="G1" s="119"/>
      <c r="H1" s="119"/>
      <c r="I1" s="119"/>
      <c r="J1" s="119"/>
      <c r="K1" s="119"/>
      <c r="L1" s="120"/>
    </row>
    <row r="2" spans="1:12" ht="18.5" customHeight="1" thickBot="1" x14ac:dyDescent="0.4">
      <c r="A2" s="22" t="s">
        <v>77</v>
      </c>
      <c r="B2" s="124" t="str">
        <f>+'Data Sheet'!B1</f>
        <v>VINATI ORGANICS LTD</v>
      </c>
      <c r="C2" s="125"/>
      <c r="D2" s="125"/>
      <c r="E2" s="125"/>
      <c r="F2" s="125"/>
      <c r="G2" s="125"/>
      <c r="H2" s="125"/>
      <c r="I2" s="125"/>
      <c r="J2" s="125"/>
      <c r="K2" s="125"/>
      <c r="L2" s="126"/>
    </row>
    <row r="3" spans="1:12" ht="21" customHeight="1" x14ac:dyDescent="0.35">
      <c r="A3" s="21" t="s">
        <v>78</v>
      </c>
      <c r="B3" s="23">
        <f>+'Data Sheet'!B16</f>
        <v>41364</v>
      </c>
      <c r="C3" s="23">
        <f>+'Data Sheet'!C16</f>
        <v>41729</v>
      </c>
      <c r="D3" s="23">
        <f>+'Data Sheet'!D16</f>
        <v>42094</v>
      </c>
      <c r="E3" s="23">
        <f>+'Data Sheet'!E16</f>
        <v>42460</v>
      </c>
      <c r="F3" s="23">
        <f>+'Data Sheet'!F16</f>
        <v>42825</v>
      </c>
      <c r="G3" s="23">
        <f>+'Data Sheet'!G16</f>
        <v>43190</v>
      </c>
      <c r="H3" s="23">
        <f>+'Data Sheet'!H16</f>
        <v>43555</v>
      </c>
      <c r="I3" s="23">
        <f>+'Data Sheet'!I16</f>
        <v>43921</v>
      </c>
      <c r="J3" s="23">
        <f>+'Data Sheet'!J16</f>
        <v>44286</v>
      </c>
      <c r="K3" s="23">
        <f>+'Data Sheet'!K16</f>
        <v>44651</v>
      </c>
      <c r="L3" s="24" t="s">
        <v>79</v>
      </c>
    </row>
    <row r="4" spans="1:12" ht="15" customHeight="1" x14ac:dyDescent="0.35">
      <c r="A4" s="33" t="s">
        <v>82</v>
      </c>
      <c r="B4" s="63">
        <f>+'Income Statement'!B23</f>
        <v>0.2171144027279123</v>
      </c>
      <c r="C4" s="63">
        <f>+'Income Statement'!C23</f>
        <v>0.21962851766193095</v>
      </c>
      <c r="D4" s="63">
        <f>+'Income Statement'!D23</f>
        <v>0.24892125484301514</v>
      </c>
      <c r="E4" s="63">
        <f>+'Income Statement'!E23</f>
        <v>0.3278389729772565</v>
      </c>
      <c r="F4" s="63">
        <f>+'Income Statement'!F23</f>
        <v>0.33995536759312717</v>
      </c>
      <c r="G4" s="63">
        <f>+'Income Statement'!G23</f>
        <v>0.27174925994956689</v>
      </c>
      <c r="H4" s="63">
        <f>+'Income Statement'!H23</f>
        <v>0.37680863891056104</v>
      </c>
      <c r="I4" s="63">
        <f>+'Income Statement'!I23</f>
        <v>0.40324822377948616</v>
      </c>
      <c r="J4" s="63">
        <f>+'Income Statement'!J23</f>
        <v>0.37019260998050846</v>
      </c>
      <c r="K4" s="63">
        <f>+'Income Statement'!K23</f>
        <v>0.26956193400226552</v>
      </c>
      <c r="L4" s="63">
        <f>+'Income Statement'!L23</f>
        <v>0.26503774025367677</v>
      </c>
    </row>
    <row r="5" spans="1:12" ht="15" customHeight="1" x14ac:dyDescent="0.35">
      <c r="A5" s="3" t="s">
        <v>85</v>
      </c>
      <c r="B5" s="64">
        <f>+'Income Statement'!B24</f>
        <v>0.12389268767928978</v>
      </c>
      <c r="C5" s="64">
        <f>+'Income Statement'!C24</f>
        <v>0.12376998549121568</v>
      </c>
      <c r="D5" s="64">
        <f>+'Income Statement'!D24</f>
        <v>0.1500524794941237</v>
      </c>
      <c r="E5" s="64">
        <f>+'Income Statement'!E24</f>
        <v>0.20852682462952687</v>
      </c>
      <c r="F5" s="64">
        <f>+'Income Statement'!F24</f>
        <v>0.2189016682532498</v>
      </c>
      <c r="G5" s="64">
        <f>+'Income Statement'!G24</f>
        <v>0.1971823264992873</v>
      </c>
      <c r="H5" s="64">
        <f>+'Income Statement'!H24</f>
        <v>0.25045215972764029</v>
      </c>
      <c r="I5" s="64">
        <f>+'Income Statement'!I24</f>
        <v>0.32447247951636243</v>
      </c>
      <c r="J5" s="64">
        <f>+'Income Statement'!J24</f>
        <v>0.28226059983652257</v>
      </c>
      <c r="K5" s="64">
        <f>+'Income Statement'!K24</f>
        <v>0.21458858193387845</v>
      </c>
      <c r="L5" s="64">
        <f>+'Income Statement'!L24</f>
        <v>0.20832101263196121</v>
      </c>
    </row>
    <row r="6" spans="1:12" ht="15" customHeight="1" x14ac:dyDescent="0.35">
      <c r="A6" s="3" t="s">
        <v>88</v>
      </c>
      <c r="B6" s="64">
        <f>+'Income Statement'!B25</f>
        <v>0.33076698177565556</v>
      </c>
      <c r="C6" s="64">
        <f>+'Income Statement'!C25</f>
        <v>0.32996344972392883</v>
      </c>
      <c r="D6" s="64">
        <f>+'Income Statement'!D25</f>
        <v>0.33256484149855892</v>
      </c>
      <c r="E6" s="64">
        <f>+'Income Statement'!E25</f>
        <v>0.29475771869639794</v>
      </c>
      <c r="F6" s="64">
        <f>+'Income Statement'!F25</f>
        <v>0.31894542629636835</v>
      </c>
      <c r="G6" s="64">
        <f>+'Income Statement'!G25</f>
        <v>0.29255580686399851</v>
      </c>
      <c r="H6" s="64">
        <f>+'Income Statement'!H25</f>
        <v>0.33569278525068191</v>
      </c>
      <c r="I6" s="64">
        <f>+'Income Statement'!I25</f>
        <v>0.21390223226900262</v>
      </c>
      <c r="J6" s="64">
        <f>+'Income Statement'!J25</f>
        <v>0.19659368848058223</v>
      </c>
      <c r="K6" s="64">
        <f>+'Income Statement'!K25</f>
        <v>0.2284219897618518</v>
      </c>
      <c r="L6" s="64"/>
    </row>
    <row r="7" spans="1:12" ht="15" customHeight="1" x14ac:dyDescent="0.35">
      <c r="A7" s="3" t="s">
        <v>157</v>
      </c>
      <c r="B7" s="64">
        <f>+'Income Statement'!B26</f>
        <v>0.17972618700844742</v>
      </c>
      <c r="C7" s="64">
        <f>+'Income Statement'!C26</f>
        <v>0.1717933836331979</v>
      </c>
      <c r="D7" s="64">
        <f>+'Income Statement'!D26</f>
        <v>0.15597201830900767</v>
      </c>
      <c r="E7" s="64">
        <f>+'Income Statement'!E26</f>
        <v>0.15687466747738849</v>
      </c>
      <c r="F7" s="64">
        <f>+'Income Statement'!F26</f>
        <v>1.8391787852865698E-2</v>
      </c>
      <c r="G7" s="64">
        <f>+'Income Statement'!G26</f>
        <v>0.16075896580483737</v>
      </c>
      <c r="H7" s="64">
        <f>+'Income Statement'!H26</f>
        <v>0.1273673404368296</v>
      </c>
      <c r="I7" s="64">
        <f>+'Income Statement'!I26</f>
        <v>0.16936764221310249</v>
      </c>
      <c r="J7" s="64">
        <f>+'Income Statement'!J26</f>
        <v>0.2290042325685008</v>
      </c>
      <c r="K7" s="64">
        <f>+'Income Statement'!K26</f>
        <v>0.19274258682358369</v>
      </c>
      <c r="L7" s="64"/>
    </row>
    <row r="8" spans="1:12" ht="15" customHeight="1" x14ac:dyDescent="0.35">
      <c r="A8" s="3" t="s">
        <v>89</v>
      </c>
      <c r="B8" s="37">
        <f>+'Income Statement'!B27</f>
        <v>9.8916811091854377</v>
      </c>
      <c r="C8" s="37">
        <f>+'Income Statement'!C27</f>
        <v>8.0848484848484841</v>
      </c>
      <c r="D8" s="37">
        <f>+'Income Statement'!D27</f>
        <v>18.776639344262303</v>
      </c>
      <c r="E8" s="37">
        <f>+'Income Statement'!E27</f>
        <v>24.735368956743002</v>
      </c>
      <c r="F8" s="37">
        <f>+'Income Statement'!F27</f>
        <v>75.894545454545423</v>
      </c>
      <c r="G8" s="37">
        <f>+'Income Statement'!G27</f>
        <v>94.723502304147431</v>
      </c>
      <c r="H8" s="37">
        <f>+'Income Statement'!H27</f>
        <v>196.06422018348627</v>
      </c>
      <c r="I8" s="37">
        <f>+'Income Statement'!I27</f>
        <v>209.17647058823522</v>
      </c>
      <c r="J8" s="37">
        <f>+'Income Statement'!J27</f>
        <v>353.90526315789475</v>
      </c>
      <c r="K8" s="37">
        <f>+'Income Statement'!K27</f>
        <v>273.30303030303025</v>
      </c>
      <c r="L8" s="37"/>
    </row>
    <row r="9" spans="1:12" ht="15" customHeight="1" x14ac:dyDescent="0.35">
      <c r="A9" s="3" t="s">
        <v>91</v>
      </c>
      <c r="B9" s="38">
        <f>+'Income Statement'!B28</f>
        <v>6.9715736040609082</v>
      </c>
      <c r="C9" s="38">
        <f>+'Income Statement'!C28</f>
        <v>8.7472081218274074</v>
      </c>
      <c r="D9" s="38">
        <f>+'Income Statement'!D28</f>
        <v>11.220930232558148</v>
      </c>
      <c r="E9" s="38">
        <f>+'Income Statement'!E28</f>
        <v>12.749031007751936</v>
      </c>
      <c r="F9" s="38">
        <f>+'Income Statement'!F28</f>
        <v>13.592054263565883</v>
      </c>
      <c r="G9" s="38">
        <f>+'Income Statement'!G28</f>
        <v>13.996108949416337</v>
      </c>
      <c r="H9" s="38">
        <f>+'Income Statement'!H28</f>
        <v>27.479571984435808</v>
      </c>
      <c r="I9" s="38">
        <f>+'Income Statement'!I28</f>
        <v>32.47470817120621</v>
      </c>
      <c r="J9" s="38">
        <f>+'Income Statement'!J28</f>
        <v>26.201361867704286</v>
      </c>
      <c r="K9" s="38">
        <f>+'Income Statement'!K28</f>
        <v>33.722762645914393</v>
      </c>
      <c r="L9" s="38"/>
    </row>
    <row r="10" spans="1:12" ht="15" customHeight="1" x14ac:dyDescent="0.35">
      <c r="A10" s="39" t="s">
        <v>93</v>
      </c>
      <c r="B10" s="40">
        <f>+'Income Statement'!B29</f>
        <v>7.4416484636668185</v>
      </c>
      <c r="C10" s="40">
        <f>+'Income Statement'!C29</f>
        <v>16.065697539461475</v>
      </c>
      <c r="D10" s="40">
        <f>+'Income Statement'!D29</f>
        <v>23.34476683937822</v>
      </c>
      <c r="E10" s="40">
        <f>+'Income Statement'!E29</f>
        <v>15.258414532188191</v>
      </c>
      <c r="F10" s="40">
        <f>+'Income Statement'!F29</f>
        <v>27.883938119341288</v>
      </c>
      <c r="G10" s="40">
        <f>+'Income Statement'!G29</f>
        <v>32.243247150403121</v>
      </c>
      <c r="H10" s="40">
        <f>+'Income Statement'!H29</f>
        <v>29.919679988672154</v>
      </c>
      <c r="I10" s="40">
        <f>+'Income Statement'!I29</f>
        <v>23.850868679607007</v>
      </c>
      <c r="J10" s="40">
        <f>+'Income Statement'!J29</f>
        <v>53.430428810098377</v>
      </c>
      <c r="K10" s="40">
        <f>+'Income Statement'!K29</f>
        <v>57.919335391005866</v>
      </c>
      <c r="L10" s="40"/>
    </row>
    <row r="11" spans="1:12" ht="15" customHeight="1" x14ac:dyDescent="0.35">
      <c r="A11" s="3"/>
      <c r="B11" s="37"/>
      <c r="C11" s="37"/>
      <c r="D11" s="37"/>
      <c r="E11" s="37"/>
      <c r="F11" s="37"/>
      <c r="G11" s="37"/>
      <c r="H11" s="37"/>
      <c r="I11" s="37"/>
      <c r="J11" s="37"/>
      <c r="K11" s="37"/>
      <c r="L11" s="70"/>
    </row>
    <row r="12" spans="1:12" ht="15" customHeight="1" x14ac:dyDescent="0.35">
      <c r="A12" s="33" t="s">
        <v>101</v>
      </c>
      <c r="B12" s="71"/>
      <c r="C12" s="50">
        <f>+'Balance Sheet'!C23</f>
        <v>2.3426100417283622</v>
      </c>
      <c r="D12" s="50">
        <f>+'Balance Sheet'!D23</f>
        <v>2.4443494235398453</v>
      </c>
      <c r="E12" s="50">
        <f>+'Balance Sheet'!E23</f>
        <v>1.7794793693769919</v>
      </c>
      <c r="F12" s="50">
        <f>+'Balance Sheet'!F23</f>
        <v>1.5086463642891617</v>
      </c>
      <c r="G12" s="50">
        <f>+'Balance Sheet'!G23</f>
        <v>1.5786422050106008</v>
      </c>
      <c r="H12" s="50">
        <f>+'Balance Sheet'!H23</f>
        <v>2.4221184302356797</v>
      </c>
      <c r="I12" s="50">
        <f>+'Balance Sheet'!I23</f>
        <v>1.6794175977539643</v>
      </c>
      <c r="J12" s="50">
        <f>+'Balance Sheet'!J23</f>
        <v>1.2659410051804534</v>
      </c>
      <c r="K12" s="50">
        <f>+'Balance Sheet'!K23</f>
        <v>1.9822208588957055</v>
      </c>
      <c r="L12" s="71"/>
    </row>
    <row r="13" spans="1:12" ht="15" customHeight="1" x14ac:dyDescent="0.35">
      <c r="A13" s="3" t="s">
        <v>104</v>
      </c>
      <c r="B13" s="70"/>
      <c r="C13" s="49">
        <f>+'Balance Sheet'!C24</f>
        <v>59.836237484377918</v>
      </c>
      <c r="D13" s="49">
        <f>+'Balance Sheet'!D24</f>
        <v>57.73699998704209</v>
      </c>
      <c r="E13" s="49">
        <f>+'Balance Sheet'!E24</f>
        <v>70.552975671606305</v>
      </c>
      <c r="F13" s="49">
        <f>+'Balance Sheet'!F24</f>
        <v>72.727726712339447</v>
      </c>
      <c r="G13" s="49">
        <f>+'Balance Sheet'!G24</f>
        <v>79.447326225194601</v>
      </c>
      <c r="H13" s="49">
        <f>+'Balance Sheet'!H24</f>
        <v>68.133311759699268</v>
      </c>
      <c r="I13" s="49">
        <f>+'Balance Sheet'!I24</f>
        <v>79.06849261811503</v>
      </c>
      <c r="J13" s="49">
        <f>+'Balance Sheet'!J24</f>
        <v>91.596158279714146</v>
      </c>
      <c r="K13" s="49">
        <f>+'Balance Sheet'!K24</f>
        <v>83.092057616480233</v>
      </c>
      <c r="L13" s="70"/>
    </row>
    <row r="14" spans="1:12" ht="15" customHeight="1" x14ac:dyDescent="0.35">
      <c r="A14" s="3" t="s">
        <v>102</v>
      </c>
      <c r="B14" s="70"/>
      <c r="C14" s="37">
        <f>+'Balance Sheet'!C25</f>
        <v>13.748000394983706</v>
      </c>
      <c r="D14" s="37">
        <f>+'Balance Sheet'!D25</f>
        <v>15.263647151898734</v>
      </c>
      <c r="E14" s="37">
        <f>+'Balance Sheet'!E25</f>
        <v>12.722048593608228</v>
      </c>
      <c r="F14" s="37">
        <f>+'Balance Sheet'!F25</f>
        <v>11.675138926847044</v>
      </c>
      <c r="G14" s="37">
        <f>+'Balance Sheet'!G25</f>
        <v>9.9073998642226737</v>
      </c>
      <c r="H14" s="37">
        <f>+'Balance Sheet'!H25</f>
        <v>12.918566029091743</v>
      </c>
      <c r="I14" s="37">
        <f>+'Balance Sheet'!I25</f>
        <v>11.089351153265788</v>
      </c>
      <c r="J14" s="37">
        <f>+'Balance Sheet'!J25</f>
        <v>8.8722978941006918</v>
      </c>
      <c r="K14" s="37">
        <f>+'Balance Sheet'!K25</f>
        <v>10.838711841663871</v>
      </c>
      <c r="L14" s="70"/>
    </row>
    <row r="15" spans="1:12" ht="15" customHeight="1" x14ac:dyDescent="0.35">
      <c r="A15" s="3" t="s">
        <v>103</v>
      </c>
      <c r="B15" s="37">
        <f>+'Balance Sheet'!B26</f>
        <v>0.98350190681479022</v>
      </c>
      <c r="C15" s="37">
        <f>+'Balance Sheet'!C26</f>
        <v>0.52110813687231916</v>
      </c>
      <c r="D15" s="37">
        <f>+'Balance Sheet'!D26</f>
        <v>0.1504434972929386</v>
      </c>
      <c r="E15" s="37">
        <f>+'Balance Sheet'!E26</f>
        <v>7.7795036798698161E-2</v>
      </c>
      <c r="F15" s="37">
        <f>+'Balance Sheet'!F26</f>
        <v>3.4117145336097993E-3</v>
      </c>
      <c r="G15" s="37">
        <f>+'Balance Sheet'!G26</f>
        <v>1.9079418077748628E-2</v>
      </c>
      <c r="H15" s="37">
        <f>+'Balance Sheet'!H26</f>
        <v>3.5004946351114832E-3</v>
      </c>
      <c r="I15" s="37">
        <f>+'Balance Sheet'!I26</f>
        <v>2.7356359571990212E-4</v>
      </c>
      <c r="J15" s="37">
        <f>+'Balance Sheet'!J26</f>
        <v>1.3087817962706197E-3</v>
      </c>
      <c r="K15" s="37">
        <f>+'Balance Sheet'!K26</f>
        <v>1.0064874681370135E-2</v>
      </c>
      <c r="L15" s="70"/>
    </row>
    <row r="16" spans="1:12" ht="15" customHeight="1" x14ac:dyDescent="0.35">
      <c r="A16" s="3" t="s">
        <v>105</v>
      </c>
      <c r="B16" s="37"/>
      <c r="C16" s="64">
        <f>+'Balance Sheet'!C27</f>
        <v>0.31256461881699943</v>
      </c>
      <c r="D16" s="64">
        <f>+'Balance Sheet'!D27</f>
        <v>0.31124012256087752</v>
      </c>
      <c r="E16" s="64">
        <f>+'Balance Sheet'!E27</f>
        <v>0.26993424494527246</v>
      </c>
      <c r="F16" s="64">
        <f>+'Balance Sheet'!F27</f>
        <v>0.2298020134503066</v>
      </c>
      <c r="G16" s="64">
        <f>+'Balance Sheet'!G27</f>
        <v>0.19486957228377161</v>
      </c>
      <c r="H16" s="64">
        <f>+'Balance Sheet'!H27</f>
        <v>0.30573338023214924</v>
      </c>
      <c r="I16" s="64">
        <f>+'Balance Sheet'!I27</f>
        <v>0.28647310453127595</v>
      </c>
      <c r="J16" s="64">
        <f>+'Balance Sheet'!J27</f>
        <v>0.19083685521267665</v>
      </c>
      <c r="K16" s="64">
        <f>+'Balance Sheet'!K27</f>
        <v>0.20564367829728669</v>
      </c>
      <c r="L16" s="70"/>
    </row>
    <row r="17" spans="1:12" ht="15" customHeight="1" x14ac:dyDescent="0.35">
      <c r="A17" s="39" t="s">
        <v>106</v>
      </c>
      <c r="B17" s="72"/>
      <c r="C17" s="66">
        <f>+'Balance Sheet'!C28</f>
        <v>0.3088775456506867</v>
      </c>
      <c r="D17" s="66">
        <f>+'Balance Sheet'!D28</f>
        <v>0.37746652935118452</v>
      </c>
      <c r="E17" s="66">
        <f>+'Balance Sheet'!E28</f>
        <v>0.35930511920162628</v>
      </c>
      <c r="F17" s="66">
        <f>+'Balance Sheet'!F28</f>
        <v>0.32992933811789604</v>
      </c>
      <c r="G17" s="66">
        <f>+'Balance Sheet'!G28</f>
        <v>0.27513050461785554</v>
      </c>
      <c r="H17" s="66">
        <f>+'Balance Sheet'!H28</f>
        <v>0.45790993288087301</v>
      </c>
      <c r="I17" s="66">
        <f>+'Balance Sheet'!I28</f>
        <v>0.36554276315789458</v>
      </c>
      <c r="J17" s="66">
        <f>+'Balance Sheet'!J28</f>
        <v>0.23800792864222001</v>
      </c>
      <c r="K17" s="66">
        <f>+'Balance Sheet'!K28</f>
        <v>0.26589189794751145</v>
      </c>
      <c r="L17" s="72"/>
    </row>
    <row r="18" spans="1:12" ht="15" customHeight="1" x14ac:dyDescent="0.35">
      <c r="A18" s="3"/>
      <c r="B18" s="37"/>
      <c r="C18" s="37"/>
      <c r="D18" s="37"/>
      <c r="E18" s="37"/>
      <c r="F18" s="37"/>
      <c r="G18" s="37"/>
      <c r="H18" s="37"/>
      <c r="I18" s="37"/>
      <c r="J18" s="37"/>
      <c r="K18" s="37"/>
      <c r="L18" s="70"/>
    </row>
    <row r="19" spans="1:12" ht="15" customHeight="1" x14ac:dyDescent="0.35">
      <c r="A19" s="54" t="s">
        <v>116</v>
      </c>
      <c r="B19" s="73">
        <f>+'Cashflow Statement'!B14</f>
        <v>1.3411970292704247</v>
      </c>
      <c r="C19" s="73">
        <f>+'Cashflow Statement'!C14</f>
        <v>1.5257660167130926</v>
      </c>
      <c r="D19" s="73">
        <f>+'Cashflow Statement'!D14</f>
        <v>0.9720207253886004</v>
      </c>
      <c r="E19" s="73">
        <f>+'Cashflow Statement'!E14</f>
        <v>1.2730105647184009</v>
      </c>
      <c r="F19" s="73">
        <f>+'Cashflow Statement'!F14</f>
        <v>0.92984957581806571</v>
      </c>
      <c r="G19" s="73">
        <f>+'Cashflow Statement'!G14</f>
        <v>0.96142618849040917</v>
      </c>
      <c r="H19" s="73">
        <f>+'Cashflow Statement'!H14</f>
        <v>0.70926404474494664</v>
      </c>
      <c r="I19" s="73">
        <f>+'Cashflow Statement'!I14</f>
        <v>1.2458962377186684</v>
      </c>
      <c r="J19" s="73">
        <f>+'Cashflow Statement'!J14</f>
        <v>0.81273436049749392</v>
      </c>
      <c r="K19" s="73">
        <f>+'Cashflow Statement'!K14</f>
        <v>0.3666310900856723</v>
      </c>
      <c r="L19" s="74"/>
    </row>
    <row r="20" spans="1:12" ht="15" customHeight="1" x14ac:dyDescent="0.35">
      <c r="A20" s="3"/>
      <c r="B20" s="37"/>
      <c r="C20" s="37"/>
      <c r="D20" s="37"/>
      <c r="E20" s="37"/>
      <c r="F20" s="37"/>
      <c r="G20" s="37"/>
      <c r="H20" s="37"/>
      <c r="I20" s="37"/>
      <c r="J20" s="37"/>
      <c r="K20" s="37"/>
      <c r="L20" s="70"/>
    </row>
    <row r="21" spans="1:12" ht="15" customHeight="1" x14ac:dyDescent="0.35">
      <c r="A21" s="60" t="s">
        <v>140</v>
      </c>
      <c r="B21" s="75"/>
      <c r="C21" s="75"/>
      <c r="D21" s="75"/>
      <c r="E21" s="75"/>
      <c r="F21" s="75"/>
      <c r="G21" s="75"/>
      <c r="H21" s="75"/>
      <c r="I21" s="75"/>
      <c r="J21" s="75"/>
      <c r="K21" s="75"/>
      <c r="L21" s="70"/>
    </row>
    <row r="22" spans="1:12" ht="15" customHeight="1" x14ac:dyDescent="0.35">
      <c r="A22" t="s">
        <v>133</v>
      </c>
      <c r="B22" s="69">
        <f>+'DuPont Analysis'!B20</f>
        <v>0.66923301822434444</v>
      </c>
      <c r="C22" s="69">
        <f>+'DuPont Analysis'!C20</f>
        <v>0.67003655027607112</v>
      </c>
      <c r="D22" s="69">
        <f>+'DuPont Analysis'!D20</f>
        <v>0.66743515850144108</v>
      </c>
      <c r="E22" s="69">
        <f>+'DuPont Analysis'!E20</f>
        <v>0.705242281303602</v>
      </c>
      <c r="F22" s="69">
        <f>+'DuPont Analysis'!F20</f>
        <v>0.68105457370363165</v>
      </c>
      <c r="G22" s="69">
        <f>+'DuPont Analysis'!G20</f>
        <v>0.70744419313600149</v>
      </c>
      <c r="H22" s="69">
        <f>+'DuPont Analysis'!H20</f>
        <v>0.66430721474931809</v>
      </c>
      <c r="I22" s="69">
        <f>+'DuPont Analysis'!I20</f>
        <v>0.78609776773099727</v>
      </c>
      <c r="J22" s="69">
        <f>+'DuPont Analysis'!J20</f>
        <v>0.80340631151941788</v>
      </c>
      <c r="K22" s="69">
        <f>+'DuPont Analysis'!K20</f>
        <v>0.7715780102381482</v>
      </c>
      <c r="L22" s="70"/>
    </row>
    <row r="23" spans="1:12" ht="15" customHeight="1" x14ac:dyDescent="0.35">
      <c r="A23" t="s">
        <v>134</v>
      </c>
      <c r="B23" s="69">
        <f>+'DuPont Analysis'!B21</f>
        <v>0.89890494962768275</v>
      </c>
      <c r="C23" s="69">
        <f>+'DuPont Analysis'!C21</f>
        <v>0.87631184407796092</v>
      </c>
      <c r="D23" s="69">
        <f>+'DuPont Analysis'!D21</f>
        <v>0.94674233329695523</v>
      </c>
      <c r="E23" s="69">
        <f>+'DuPont Analysis'!E21</f>
        <v>0.95957206048760413</v>
      </c>
      <c r="F23" s="69">
        <f>+'DuPont Analysis'!F21</f>
        <v>0.9868238225288678</v>
      </c>
      <c r="G23" s="69">
        <f>+'DuPont Analysis'!G21</f>
        <v>0.98944295791778147</v>
      </c>
      <c r="H23" s="69">
        <f>+'DuPont Analysis'!H21</f>
        <v>0.99489963034018059</v>
      </c>
      <c r="I23" s="69">
        <f>+'DuPont Analysis'!I21</f>
        <v>0.99521934758155217</v>
      </c>
      <c r="J23" s="69">
        <f>+'DuPont Analysis'!J21</f>
        <v>0.99717438505695832</v>
      </c>
      <c r="K23" s="69">
        <f>+'DuPont Analysis'!K21</f>
        <v>0.99634105776693649</v>
      </c>
      <c r="L23" s="70"/>
    </row>
    <row r="24" spans="1:12" ht="15" customHeight="1" x14ac:dyDescent="0.35">
      <c r="A24" t="s">
        <v>136</v>
      </c>
      <c r="B24" s="67">
        <f>+'DuPont Analysis'!B22</f>
        <v>0.20594656034062814</v>
      </c>
      <c r="C24" s="67">
        <f>+'DuPont Analysis'!C22</f>
        <v>0.21079396089810809</v>
      </c>
      <c r="D24" s="67">
        <f>+'DuPont Analysis'!D22</f>
        <v>0.23746647143431002</v>
      </c>
      <c r="E24" s="67">
        <f>+'DuPont Analysis'!E22</f>
        <v>0.30813852127743879</v>
      </c>
      <c r="F24" s="67">
        <f>+'DuPont Analysis'!F22</f>
        <v>0.32570733001451324</v>
      </c>
      <c r="G24" s="67">
        <f>+'DuPont Analysis'!G22</f>
        <v>0.28169882688301717</v>
      </c>
      <c r="H24" s="67">
        <f>+'DuPont Analysis'!H22</f>
        <v>0.37894531527058661</v>
      </c>
      <c r="I24" s="67">
        <f>+'DuPont Analysis'!I22</f>
        <v>0.41474627503960654</v>
      </c>
      <c r="J24" s="67">
        <f>+'DuPont Analysis'!J22</f>
        <v>0.35232536206065435</v>
      </c>
      <c r="K24" s="67">
        <f>+'DuPont Analysis'!K22</f>
        <v>0.27913785739487834</v>
      </c>
      <c r="L24" s="70"/>
    </row>
    <row r="25" spans="1:12" ht="15" customHeight="1" x14ac:dyDescent="0.35">
      <c r="A25" t="s">
        <v>129</v>
      </c>
      <c r="B25" s="58">
        <f>+'DuPont Analysis'!B23</f>
        <v>1.0158349064384289</v>
      </c>
      <c r="C25" s="58">
        <f>+'DuPont Analysis'!C23</f>
        <v>1.2608538153628805</v>
      </c>
      <c r="D25" s="58">
        <f>+'DuPont Analysis'!D23</f>
        <v>1.2879554064653949</v>
      </c>
      <c r="E25" s="58">
        <f>+'DuPont Analysis'!E23</f>
        <v>0.91846686852218473</v>
      </c>
      <c r="F25" s="58">
        <f>+'DuPont Analysis'!F23</f>
        <v>0.78037582356021562</v>
      </c>
      <c r="G25" s="58">
        <f>+'DuPont Analysis'!G23</f>
        <v>0.74460941884790033</v>
      </c>
      <c r="H25" s="58">
        <f>+'DuPont Analysis'!H23</f>
        <v>0.91881588165333417</v>
      </c>
      <c r="I25" s="58">
        <f>+'DuPont Analysis'!I23</f>
        <v>0.71301750544013076</v>
      </c>
      <c r="J25" s="58">
        <f>+'DuPont Analysis'!J23</f>
        <v>0.55048168445341794</v>
      </c>
      <c r="K25" s="58">
        <f>+'DuPont Analysis'!K23</f>
        <v>0.77305636505452757</v>
      </c>
      <c r="L25" s="70"/>
    </row>
    <row r="26" spans="1:12" ht="15" customHeight="1" x14ac:dyDescent="0.35">
      <c r="A26" t="s">
        <v>130</v>
      </c>
      <c r="B26" s="58">
        <f>+'DuPont Analysis'!B24</f>
        <v>2.261772508705024</v>
      </c>
      <c r="C26" s="58">
        <f>+'DuPont Analysis'!C24</f>
        <v>1.7805979294997905</v>
      </c>
      <c r="D26" s="58">
        <f>+'DuPont Analysis'!D24</f>
        <v>1.3804630802902893</v>
      </c>
      <c r="E26" s="58">
        <f>+'DuPont Analysis'!E24</f>
        <v>1.2703132512297051</v>
      </c>
      <c r="F26" s="58">
        <f>+'DuPont Analysis'!F24</f>
        <v>1.2075263599064718</v>
      </c>
      <c r="G26" s="58">
        <f>+'DuPont Analysis'!G24</f>
        <v>1.2300576148216955</v>
      </c>
      <c r="H26" s="58">
        <f>+'DuPont Analysis'!H24</f>
        <v>1.1677003272201509</v>
      </c>
      <c r="I26" s="58">
        <f>+'DuPont Analysis'!I24</f>
        <v>1.1278479924340126</v>
      </c>
      <c r="J26" s="58">
        <f>+'DuPont Analysis'!J24</f>
        <v>1.1231550712055045</v>
      </c>
      <c r="K26" s="58">
        <f>+'DuPont Analysis'!K24</f>
        <v>1.1431126718960256</v>
      </c>
      <c r="L26" s="70"/>
    </row>
    <row r="27" spans="1:12" ht="15" customHeight="1" x14ac:dyDescent="0.35">
      <c r="A27" s="54" t="s">
        <v>131</v>
      </c>
      <c r="B27" s="68">
        <f>+'DuPont Analysis'!B25</f>
        <v>0.28465428618802829</v>
      </c>
      <c r="C27" s="68">
        <f>+'DuPont Analysis'!C25</f>
        <v>0.27787273841390642</v>
      </c>
      <c r="D27" s="68">
        <f>+'DuPont Analysis'!D25</f>
        <v>0.26678954037553293</v>
      </c>
      <c r="E27" s="68">
        <f>+'DuPont Analysis'!E25</f>
        <v>0.24329671955323789</v>
      </c>
      <c r="F27" s="68">
        <f>+'DuPont Analysis'!F25</f>
        <v>0.20627637828855441</v>
      </c>
      <c r="G27" s="68">
        <f>+'DuPont Analysis'!G25</f>
        <v>0.18060175480437313</v>
      </c>
      <c r="H27" s="68">
        <f>+'DuPont Analysis'!H25</f>
        <v>0.26871052431321824</v>
      </c>
      <c r="I27" s="68">
        <f>+'DuPont Analysis'!I25</f>
        <v>0.26093277370037743</v>
      </c>
      <c r="J27" s="68">
        <f>+'DuPont Analysis'!J25</f>
        <v>0.17451503803242152</v>
      </c>
      <c r="K27" s="68">
        <f>+'DuPont Analysis'!K25</f>
        <v>0.18962989705383612</v>
      </c>
      <c r="L27" s="70"/>
    </row>
    <row r="28" spans="1:12" ht="15" customHeight="1" x14ac:dyDescent="0.35">
      <c r="A28" s="3"/>
      <c r="B28" s="37"/>
      <c r="C28" s="37"/>
      <c r="D28" s="37"/>
      <c r="E28" s="37"/>
      <c r="F28" s="37"/>
      <c r="G28" s="37"/>
      <c r="H28" s="37"/>
      <c r="I28" s="37"/>
      <c r="J28" s="37"/>
      <c r="K28" s="37"/>
    </row>
  </sheetData>
  <mergeCells count="2">
    <mergeCell ref="A1:L1"/>
    <mergeCell ref="B2:L2"/>
  </mergeCells>
  <conditionalFormatting sqref="B19:K19">
    <cfRule type="cellIs" dxfId="31" priority="49" operator="lessThan">
      <formula>0.8</formula>
    </cfRule>
    <cfRule type="cellIs" dxfId="30" priority="50" operator="greaterThanOrEqual">
      <formula>0.8</formula>
    </cfRule>
  </conditionalFormatting>
  <conditionalFormatting sqref="C4:K7">
    <cfRule type="cellIs" dxfId="29" priority="82" operator="lessThan">
      <formula>B4</formula>
    </cfRule>
  </conditionalFormatting>
  <conditionalFormatting sqref="C4:K11">
    <cfRule type="cellIs" dxfId="28" priority="76" operator="greaterThanOrEqual">
      <formula>B4</formula>
    </cfRule>
  </conditionalFormatting>
  <conditionalFormatting sqref="C8:K11">
    <cfRule type="cellIs" dxfId="27" priority="75" operator="lessThan">
      <formula>B8</formula>
    </cfRule>
  </conditionalFormatting>
  <conditionalFormatting sqref="C15:K15">
    <cfRule type="cellIs" dxfId="26" priority="91" operator="greaterThanOrEqual">
      <formula>B15</formula>
    </cfRule>
    <cfRule type="cellIs" dxfId="25" priority="91" operator="lessThan">
      <formula>B15</formula>
    </cfRule>
  </conditionalFormatting>
  <conditionalFormatting sqref="C18:K18 C20:K20 C28:K28">
    <cfRule type="cellIs" dxfId="24" priority="56" operator="greaterThanOrEqual">
      <formula>B18</formula>
    </cfRule>
  </conditionalFormatting>
  <conditionalFormatting sqref="C18:K18 C20:K20">
    <cfRule type="cellIs" dxfId="23" priority="55" operator="lessThan">
      <formula>B18</formula>
    </cfRule>
  </conditionalFormatting>
  <conditionalFormatting sqref="C22:K24">
    <cfRule type="cellIs" dxfId="22" priority="1" operator="greaterThanOrEqual">
      <formula>B22</formula>
    </cfRule>
    <cfRule type="cellIs" dxfId="21" priority="2" operator="lessThan">
      <formula>B22</formula>
    </cfRule>
  </conditionalFormatting>
  <conditionalFormatting sqref="C25:K26">
    <cfRule type="cellIs" dxfId="20" priority="14" operator="greaterThanOrEqual">
      <formula>B25</formula>
    </cfRule>
  </conditionalFormatting>
  <conditionalFormatting sqref="C25:K28">
    <cfRule type="cellIs" dxfId="19" priority="10" operator="lessThan">
      <formula>B25</formula>
    </cfRule>
  </conditionalFormatting>
  <conditionalFormatting sqref="C27:K27">
    <cfRule type="cellIs" dxfId="18" priority="9" operator="greaterThanOrEqual">
      <formula>B27</formula>
    </cfRule>
  </conditionalFormatting>
  <conditionalFormatting sqref="D12:K12">
    <cfRule type="cellIs" dxfId="17" priority="61" operator="lessThan">
      <formula>C12</formula>
    </cfRule>
    <cfRule type="cellIs" dxfId="16" priority="62" operator="greaterThanOrEqual">
      <formula>C12</formula>
    </cfRule>
  </conditionalFormatting>
  <conditionalFormatting sqref="D13:K13">
    <cfRule type="cellIs" dxfId="15" priority="59" operator="greaterThanOrEqual">
      <formula>C13</formula>
    </cfRule>
    <cfRule type="cellIs" dxfId="14" priority="60" operator="lessThan">
      <formula>C13</formula>
    </cfRule>
  </conditionalFormatting>
  <conditionalFormatting sqref="D14:K14">
    <cfRule type="cellIs" dxfId="13" priority="42" operator="greaterThanOrEqual">
      <formula>C14</formula>
    </cfRule>
    <cfRule type="cellIs" dxfId="12" priority="41" operator="lessThan">
      <formula>C14</formula>
    </cfRule>
  </conditionalFormatting>
  <conditionalFormatting sqref="D16:K17">
    <cfRule type="cellIs" dxfId="11" priority="52" operator="lessThan">
      <formula>C16</formula>
    </cfRule>
    <cfRule type="cellIs" dxfId="10" priority="51" operator="greaterThanOrEqual">
      <formula>C16</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7"/>
  <sheetViews>
    <sheetView showGridLines="0" zoomScale="140" zoomScaleNormal="140" workbookViewId="0">
      <selection sqref="A1:K1"/>
    </sheetView>
  </sheetViews>
  <sheetFormatPr defaultColWidth="8.81640625" defaultRowHeight="15" customHeight="1" x14ac:dyDescent="0.35"/>
  <cols>
    <col min="1" max="1" width="54.81640625" customWidth="1"/>
    <col min="2" max="11" width="13.81640625" customWidth="1"/>
  </cols>
  <sheetData>
    <row r="1" spans="1:11" ht="26.5" thickBot="1" x14ac:dyDescent="0.4">
      <c r="A1" s="118" t="s">
        <v>122</v>
      </c>
      <c r="B1" s="119"/>
      <c r="C1" s="119"/>
      <c r="D1" s="119"/>
      <c r="E1" s="119"/>
      <c r="F1" s="119"/>
      <c r="G1" s="119"/>
      <c r="H1" s="119"/>
      <c r="I1" s="119"/>
      <c r="J1" s="119"/>
      <c r="K1" s="120"/>
    </row>
    <row r="2" spans="1:11" ht="18.5" customHeight="1" thickBot="1" x14ac:dyDescent="0.4">
      <c r="A2" s="22" t="s">
        <v>77</v>
      </c>
      <c r="B2" s="124" t="str">
        <f>+'Data Sheet'!B1</f>
        <v>VINATI ORGANICS LTD</v>
      </c>
      <c r="C2" s="125"/>
      <c r="D2" s="125"/>
      <c r="E2" s="125"/>
      <c r="F2" s="125"/>
      <c r="G2" s="125"/>
      <c r="H2" s="125"/>
      <c r="I2" s="125"/>
      <c r="J2" s="125"/>
      <c r="K2" s="126"/>
    </row>
    <row r="3" spans="1:11" ht="21" customHeight="1" x14ac:dyDescent="0.35">
      <c r="A3" s="21" t="s">
        <v>78</v>
      </c>
      <c r="B3" s="23">
        <f>+'Data Sheet'!B16</f>
        <v>41364</v>
      </c>
      <c r="C3" s="23">
        <f>+'Data Sheet'!C16</f>
        <v>41729</v>
      </c>
      <c r="D3" s="23">
        <f>+'Data Sheet'!D16</f>
        <v>42094</v>
      </c>
      <c r="E3" s="23">
        <f>+'Data Sheet'!E16</f>
        <v>42460</v>
      </c>
      <c r="F3" s="23">
        <f>+'Data Sheet'!F16</f>
        <v>42825</v>
      </c>
      <c r="G3" s="23">
        <f>+'Data Sheet'!G16</f>
        <v>43190</v>
      </c>
      <c r="H3" s="23">
        <f>+'Data Sheet'!H16</f>
        <v>43555</v>
      </c>
      <c r="I3" s="23">
        <f>+'Data Sheet'!I16</f>
        <v>43921</v>
      </c>
      <c r="J3" s="23">
        <f>+'Data Sheet'!J16</f>
        <v>44286</v>
      </c>
      <c r="K3" s="23">
        <f>+'Data Sheet'!K16</f>
        <v>44651</v>
      </c>
    </row>
    <row r="4" spans="1:11" ht="15" customHeight="1" x14ac:dyDescent="0.35">
      <c r="A4" s="35" t="s">
        <v>11</v>
      </c>
      <c r="B4" s="46">
        <f>+'Income Statement'!B4</f>
        <v>554.27</v>
      </c>
      <c r="C4" s="46">
        <f>+'Income Statement'!C4</f>
        <v>696.13</v>
      </c>
      <c r="D4" s="46">
        <f>+'Income Statement'!D4</f>
        <v>771.73</v>
      </c>
      <c r="E4" s="46">
        <f>+'Income Statement'!E4</f>
        <v>630.95000000000005</v>
      </c>
      <c r="F4" s="46">
        <f>+'Income Statement'!F4</f>
        <v>640.79</v>
      </c>
      <c r="G4" s="46">
        <f>+'Income Statement'!G4</f>
        <v>729.68</v>
      </c>
      <c r="H4" s="46">
        <f>+'Income Statement'!H4</f>
        <v>1127.92</v>
      </c>
      <c r="I4" s="46">
        <f>+'Income Statement'!I4</f>
        <v>1028.8699999999999</v>
      </c>
      <c r="J4" s="46">
        <f>+'Income Statement'!J4</f>
        <v>954.26</v>
      </c>
      <c r="K4" s="46">
        <f>+'Income Statement'!K4</f>
        <v>1615.51</v>
      </c>
    </row>
    <row r="5" spans="1:11" ht="15" customHeight="1" x14ac:dyDescent="0.35">
      <c r="A5" t="s">
        <v>84</v>
      </c>
      <c r="B5" s="47">
        <f>+'Income Statement'!B10</f>
        <v>102.60999999999994</v>
      </c>
      <c r="C5" s="47">
        <f>+'Income Statement'!C10</f>
        <v>128.58999999999997</v>
      </c>
      <c r="D5" s="47">
        <f>+'Income Statement'!D10</f>
        <v>173.50000000000009</v>
      </c>
      <c r="E5" s="47">
        <f>+'Income Statement'!E10</f>
        <v>186.56</v>
      </c>
      <c r="F5" s="47">
        <f>+'Income Statement'!F10</f>
        <v>205.95999999999992</v>
      </c>
      <c r="G5" s="47">
        <f>+'Income Statement'!G10</f>
        <v>203.37999999999994</v>
      </c>
      <c r="H5" s="47">
        <f>+'Income Statement'!H10</f>
        <v>425.24000000000007</v>
      </c>
      <c r="I5" s="47">
        <f>+'Income Statement'!I10</f>
        <v>424.67999999999984</v>
      </c>
      <c r="J5" s="47">
        <f>+'Income Statement'!J10</f>
        <v>335.26</v>
      </c>
      <c r="K5" s="47">
        <f>+'Income Statement'!K10</f>
        <v>449.29999999999995</v>
      </c>
    </row>
    <row r="6" spans="1:11" ht="15" customHeight="1" x14ac:dyDescent="0.35">
      <c r="A6" t="s">
        <v>154</v>
      </c>
      <c r="B6" s="47">
        <f>+'Income Statement'!B5+'Income Statement'!B6+'Income Statement'!B9</f>
        <v>114.14999999999995</v>
      </c>
      <c r="C6" s="47">
        <f>+'Income Statement'!C5+'Income Statement'!C6+'Income Statement'!C9</f>
        <v>146.73999999999998</v>
      </c>
      <c r="D6" s="47">
        <f>+'Income Statement'!D5+'Income Statement'!D6+'Income Statement'!D9</f>
        <v>183.26000000000008</v>
      </c>
      <c r="E6" s="47">
        <f>+'Income Statement'!E5+'Income Statement'!E6+'Income Statement'!E9</f>
        <v>194.42000000000002</v>
      </c>
      <c r="F6" s="47">
        <f>+'Income Statement'!F5+'Income Statement'!F6+'Income Statement'!F9</f>
        <v>208.70999999999992</v>
      </c>
      <c r="G6" s="47">
        <f>+'Income Statement'!G5+'Income Statement'!G6+'Income Statement'!G9</f>
        <v>205.54999999999995</v>
      </c>
      <c r="H6" s="47">
        <f>+'Income Statement'!H5+'Income Statement'!H6+'Income Statement'!H9</f>
        <v>427.42000000000007</v>
      </c>
      <c r="I6" s="47">
        <f>+'Income Statement'!I5+'Income Statement'!I6+'Income Statement'!I9</f>
        <v>426.71999999999991</v>
      </c>
      <c r="J6" s="47">
        <f>+'Income Statement'!J5+'Income Statement'!J6+'Income Statement'!J9</f>
        <v>336.21000000000004</v>
      </c>
      <c r="K6" s="47">
        <f>+'Income Statement'!K5+'Income Statement'!K6+'Income Statement'!K9</f>
        <v>450.94999999999993</v>
      </c>
    </row>
    <row r="7" spans="1:11" ht="15" customHeight="1" x14ac:dyDescent="0.35">
      <c r="A7" t="s">
        <v>123</v>
      </c>
      <c r="B7" s="47">
        <f>'Income Statement'!B8</f>
        <v>-11.54</v>
      </c>
      <c r="C7" s="47">
        <f>'Income Statement'!C8</f>
        <v>-18.149999999999999</v>
      </c>
      <c r="D7" s="47">
        <f>'Income Statement'!D8</f>
        <v>-9.76</v>
      </c>
      <c r="E7" s="47">
        <f>'Income Statement'!E8</f>
        <v>-7.86</v>
      </c>
      <c r="F7" s="47">
        <f>'Income Statement'!F8</f>
        <v>-2.75</v>
      </c>
      <c r="G7" s="47">
        <f>'Income Statement'!G8</f>
        <v>-2.17</v>
      </c>
      <c r="H7" s="47">
        <f>'Income Statement'!H8</f>
        <v>-2.1800000000000002</v>
      </c>
      <c r="I7" s="47">
        <f>'Income Statement'!I8</f>
        <v>-2.04</v>
      </c>
      <c r="J7" s="47">
        <f>'Income Statement'!J8</f>
        <v>-0.95</v>
      </c>
      <c r="K7" s="47">
        <f>'Income Statement'!K8</f>
        <v>-1.65</v>
      </c>
    </row>
    <row r="8" spans="1:11" ht="15" customHeight="1" x14ac:dyDescent="0.35">
      <c r="A8" t="s">
        <v>124</v>
      </c>
      <c r="B8" s="44">
        <f>'Income Statement'!B11</f>
        <v>-33.94</v>
      </c>
      <c r="C8" s="44">
        <f>'Income Statement'!C11</f>
        <v>-42.43</v>
      </c>
      <c r="D8" s="44">
        <f>'Income Statement'!D11</f>
        <v>-57.7</v>
      </c>
      <c r="E8" s="44">
        <f>'Income Statement'!E11</f>
        <v>-54.99</v>
      </c>
      <c r="F8" s="44">
        <f>'Income Statement'!F11</f>
        <v>-65.69</v>
      </c>
      <c r="G8" s="44">
        <f>'Income Statement'!G11</f>
        <v>-59.5</v>
      </c>
      <c r="H8" s="44">
        <f>'Income Statement'!H11</f>
        <v>-142.75</v>
      </c>
      <c r="I8" s="44">
        <f>'Income Statement'!I11</f>
        <v>-90.84</v>
      </c>
      <c r="J8" s="44">
        <f>'Income Statement'!J11</f>
        <v>-65.91</v>
      </c>
      <c r="K8" s="44">
        <f>'Income Statement'!K11</f>
        <v>-102.63</v>
      </c>
    </row>
    <row r="9" spans="1:11" ht="15" customHeight="1" x14ac:dyDescent="0.35">
      <c r="A9" t="s">
        <v>125</v>
      </c>
      <c r="B9" s="44">
        <f>+'Income Statement'!B12</f>
        <v>68.669999999999945</v>
      </c>
      <c r="C9" s="44">
        <f>+'Income Statement'!C12</f>
        <v>86.159999999999968</v>
      </c>
      <c r="D9" s="44">
        <f>+'Income Statement'!D12</f>
        <v>115.80000000000008</v>
      </c>
      <c r="E9" s="44">
        <f>+'Income Statement'!E12</f>
        <v>131.57</v>
      </c>
      <c r="F9" s="44">
        <f>+'Income Statement'!F12</f>
        <v>140.26999999999992</v>
      </c>
      <c r="G9" s="44">
        <f>+'Income Statement'!G12</f>
        <v>143.87999999999994</v>
      </c>
      <c r="H9" s="44">
        <f>+'Income Statement'!H12</f>
        <v>282.49000000000007</v>
      </c>
      <c r="I9" s="44">
        <f>+'Income Statement'!I12</f>
        <v>333.8399999999998</v>
      </c>
      <c r="J9" s="44">
        <f>+'Income Statement'!J12</f>
        <v>269.35000000000002</v>
      </c>
      <c r="K9" s="44">
        <f>+'Income Statement'!K12</f>
        <v>346.66999999999996</v>
      </c>
    </row>
    <row r="10" spans="1:11" ht="15" customHeight="1" x14ac:dyDescent="0.35">
      <c r="A10" t="s">
        <v>99</v>
      </c>
      <c r="B10" s="44">
        <f>'Balance Sheet'!B14</f>
        <v>545.63</v>
      </c>
      <c r="C10" s="44">
        <f>'Balance Sheet'!C14</f>
        <v>552.11</v>
      </c>
      <c r="D10" s="44">
        <f>'Balance Sheet'!D14</f>
        <v>599.19000000000005</v>
      </c>
      <c r="E10" s="44">
        <f>'Balance Sheet'!E14</f>
        <v>686.96</v>
      </c>
      <c r="F10" s="44">
        <f>'Balance Sheet'!F14</f>
        <v>821.13000000000011</v>
      </c>
      <c r="G10" s="44">
        <f>'Balance Sheet'!G14</f>
        <v>979.95</v>
      </c>
      <c r="H10" s="44">
        <f>'Balance Sheet'!H14</f>
        <v>1227.5800000000002</v>
      </c>
      <c r="I10" s="44">
        <f>'Balance Sheet'!I14</f>
        <v>1442.98</v>
      </c>
      <c r="J10" s="44">
        <f>'Balance Sheet'!J14</f>
        <v>1733.5</v>
      </c>
      <c r="K10" s="44">
        <f>'Balance Sheet'!K14</f>
        <v>2089.77</v>
      </c>
    </row>
    <row r="11" spans="1:11" ht="15" customHeight="1" x14ac:dyDescent="0.35">
      <c r="A11" s="41" t="s">
        <v>126</v>
      </c>
      <c r="B11" s="48">
        <f>'Balance Sheet'!B21</f>
        <v>241.24</v>
      </c>
      <c r="C11" s="48">
        <f>'Balance Sheet'!C21</f>
        <v>310.07</v>
      </c>
      <c r="D11" s="48">
        <f>'Balance Sheet'!D21</f>
        <v>434.05</v>
      </c>
      <c r="E11" s="48">
        <f>'Balance Sheet'!E21</f>
        <v>540.78000000000009</v>
      </c>
      <c r="F11" s="48">
        <f>'Balance Sheet'!F21</f>
        <v>680.0100000000001</v>
      </c>
      <c r="G11" s="48">
        <f>'Balance Sheet'!G21</f>
        <v>796.67</v>
      </c>
      <c r="H11" s="48">
        <f>'Balance Sheet'!H21</f>
        <v>1051.28</v>
      </c>
      <c r="I11" s="48">
        <f>'Balance Sheet'!I21</f>
        <v>1279.4100000000001</v>
      </c>
      <c r="J11" s="48">
        <f>'Balance Sheet'!J21</f>
        <v>1543.42</v>
      </c>
      <c r="K11" s="48">
        <f>'Balance Sheet'!K21</f>
        <v>1828.1399999999999</v>
      </c>
    </row>
    <row r="12" spans="1:11" ht="15" customHeight="1" x14ac:dyDescent="0.35">
      <c r="B12" s="44"/>
      <c r="C12" s="44"/>
      <c r="D12" s="44"/>
      <c r="E12" s="44"/>
      <c r="F12" s="44"/>
      <c r="G12" s="44"/>
      <c r="H12" s="44"/>
      <c r="I12" s="44"/>
      <c r="J12" s="44"/>
      <c r="K12" s="44"/>
    </row>
    <row r="13" spans="1:11" ht="15" customHeight="1" x14ac:dyDescent="0.35">
      <c r="A13" s="60" t="s">
        <v>127</v>
      </c>
      <c r="B13" s="59"/>
      <c r="C13" s="59"/>
      <c r="D13" s="59"/>
      <c r="E13" s="59"/>
      <c r="F13" s="59"/>
      <c r="G13" s="59"/>
      <c r="H13" s="59"/>
      <c r="I13" s="59"/>
      <c r="J13" s="59"/>
      <c r="K13" s="59"/>
    </row>
    <row r="14" spans="1:11" ht="15" customHeight="1" x14ac:dyDescent="0.35">
      <c r="A14" t="s">
        <v>128</v>
      </c>
      <c r="B14" s="67">
        <f>+IFERROR(B9/B4,"n/m")</f>
        <v>0.12389268767928978</v>
      </c>
      <c r="C14" s="67">
        <f t="shared" ref="C14:K14" si="0">+IFERROR(C9/C4,"n/m")</f>
        <v>0.12376998549121568</v>
      </c>
      <c r="D14" s="67">
        <f t="shared" si="0"/>
        <v>0.1500524794941237</v>
      </c>
      <c r="E14" s="67">
        <f t="shared" si="0"/>
        <v>0.20852682462952687</v>
      </c>
      <c r="F14" s="67">
        <f t="shared" si="0"/>
        <v>0.2189016682532498</v>
      </c>
      <c r="G14" s="67">
        <f t="shared" si="0"/>
        <v>0.1971823264992873</v>
      </c>
      <c r="H14" s="67">
        <f t="shared" si="0"/>
        <v>0.25045215972764029</v>
      </c>
      <c r="I14" s="67">
        <f t="shared" si="0"/>
        <v>0.32447247951636243</v>
      </c>
      <c r="J14" s="67">
        <f t="shared" si="0"/>
        <v>0.28226059983652257</v>
      </c>
      <c r="K14" s="67">
        <f t="shared" si="0"/>
        <v>0.21458858193387845</v>
      </c>
    </row>
    <row r="15" spans="1:11" ht="15" customHeight="1" x14ac:dyDescent="0.35">
      <c r="A15" t="s">
        <v>129</v>
      </c>
      <c r="B15" s="58">
        <f>IFERROR(B4/B10,"n/m")</f>
        <v>1.0158349064384289</v>
      </c>
      <c r="C15" s="58">
        <f t="shared" ref="C15:K15" si="1">IFERROR(C4/C10,"n/m")</f>
        <v>1.2608538153628805</v>
      </c>
      <c r="D15" s="58">
        <f t="shared" si="1"/>
        <v>1.2879554064653949</v>
      </c>
      <c r="E15" s="58">
        <f t="shared" si="1"/>
        <v>0.91846686852218473</v>
      </c>
      <c r="F15" s="58">
        <f t="shared" si="1"/>
        <v>0.78037582356021562</v>
      </c>
      <c r="G15" s="58">
        <f t="shared" si="1"/>
        <v>0.74460941884790033</v>
      </c>
      <c r="H15" s="58">
        <f t="shared" si="1"/>
        <v>0.91881588165333417</v>
      </c>
      <c r="I15" s="58">
        <f t="shared" si="1"/>
        <v>0.71301750544013076</v>
      </c>
      <c r="J15" s="58">
        <f t="shared" si="1"/>
        <v>0.55048168445341794</v>
      </c>
      <c r="K15" s="58">
        <f t="shared" si="1"/>
        <v>0.77305636505452757</v>
      </c>
    </row>
    <row r="16" spans="1:11" ht="15" customHeight="1" x14ac:dyDescent="0.35">
      <c r="A16" t="s">
        <v>130</v>
      </c>
      <c r="B16" s="58">
        <f>IFERROR(B10/B11,"n/m")</f>
        <v>2.261772508705024</v>
      </c>
      <c r="C16" s="58">
        <f t="shared" ref="C16:K16" si="2">IFERROR(C10/C11,"n/m")</f>
        <v>1.7805979294997905</v>
      </c>
      <c r="D16" s="58">
        <f t="shared" si="2"/>
        <v>1.3804630802902893</v>
      </c>
      <c r="E16" s="58">
        <f t="shared" si="2"/>
        <v>1.2703132512297051</v>
      </c>
      <c r="F16" s="58">
        <f t="shared" si="2"/>
        <v>1.2075263599064718</v>
      </c>
      <c r="G16" s="58">
        <f t="shared" si="2"/>
        <v>1.2300576148216955</v>
      </c>
      <c r="H16" s="58">
        <f t="shared" si="2"/>
        <v>1.1677003272201509</v>
      </c>
      <c r="I16" s="58">
        <f t="shared" si="2"/>
        <v>1.1278479924340126</v>
      </c>
      <c r="J16" s="58">
        <f t="shared" si="2"/>
        <v>1.1231550712055045</v>
      </c>
      <c r="K16" s="58">
        <f t="shared" si="2"/>
        <v>1.1431126718960256</v>
      </c>
    </row>
    <row r="17" spans="1:11" ht="15" customHeight="1" x14ac:dyDescent="0.35">
      <c r="A17" s="54" t="s">
        <v>131</v>
      </c>
      <c r="B17" s="68">
        <f>IFERROR(B14*B15*B16,"n/m")</f>
        <v>0.28465428618802829</v>
      </c>
      <c r="C17" s="68">
        <f t="shared" ref="C17:K17" si="3">IFERROR(C14*C15*C16,"n/m")</f>
        <v>0.27787273841390642</v>
      </c>
      <c r="D17" s="68">
        <f t="shared" si="3"/>
        <v>0.26678954037553299</v>
      </c>
      <c r="E17" s="68">
        <f t="shared" si="3"/>
        <v>0.24329671955323787</v>
      </c>
      <c r="F17" s="68">
        <f t="shared" si="3"/>
        <v>0.20627637828855444</v>
      </c>
      <c r="G17" s="68">
        <f t="shared" si="3"/>
        <v>0.18060175480437315</v>
      </c>
      <c r="H17" s="68">
        <f t="shared" si="3"/>
        <v>0.26871052431321824</v>
      </c>
      <c r="I17" s="68">
        <f t="shared" si="3"/>
        <v>0.26093277370037732</v>
      </c>
      <c r="J17" s="68">
        <f t="shared" si="3"/>
        <v>0.17451503803242152</v>
      </c>
      <c r="K17" s="68">
        <f t="shared" si="3"/>
        <v>0.18962989705383615</v>
      </c>
    </row>
    <row r="19" spans="1:11" ht="15" customHeight="1" x14ac:dyDescent="0.35">
      <c r="A19" s="60" t="s">
        <v>132</v>
      </c>
      <c r="B19" s="59"/>
      <c r="C19" s="59"/>
      <c r="D19" s="59"/>
      <c r="E19" s="59"/>
      <c r="F19" s="59"/>
      <c r="G19" s="59"/>
      <c r="H19" s="59"/>
      <c r="I19" s="59"/>
      <c r="J19" s="59"/>
      <c r="K19" s="59"/>
    </row>
    <row r="20" spans="1:11" ht="15" customHeight="1" x14ac:dyDescent="0.35">
      <c r="A20" t="s">
        <v>133</v>
      </c>
      <c r="B20" s="69">
        <f>IFERROR(B9/B5,"n/m")</f>
        <v>0.66923301822434444</v>
      </c>
      <c r="C20" s="69">
        <f t="shared" ref="C20:K20" si="4">IFERROR(C9/C5,"n/m")</f>
        <v>0.67003655027607112</v>
      </c>
      <c r="D20" s="69">
        <f t="shared" si="4"/>
        <v>0.66743515850144108</v>
      </c>
      <c r="E20" s="69">
        <f t="shared" si="4"/>
        <v>0.705242281303602</v>
      </c>
      <c r="F20" s="69">
        <f t="shared" si="4"/>
        <v>0.68105457370363165</v>
      </c>
      <c r="G20" s="69">
        <f t="shared" si="4"/>
        <v>0.70744419313600149</v>
      </c>
      <c r="H20" s="69">
        <f t="shared" si="4"/>
        <v>0.66430721474931809</v>
      </c>
      <c r="I20" s="69">
        <f t="shared" si="4"/>
        <v>0.78609776773099727</v>
      </c>
      <c r="J20" s="69">
        <f t="shared" si="4"/>
        <v>0.80340631151941788</v>
      </c>
      <c r="K20" s="69">
        <f t="shared" si="4"/>
        <v>0.7715780102381482</v>
      </c>
    </row>
    <row r="21" spans="1:11" ht="15" customHeight="1" x14ac:dyDescent="0.35">
      <c r="A21" t="s">
        <v>134</v>
      </c>
      <c r="B21" s="69">
        <f>IFERROR(B5/B6,"n/m")</f>
        <v>0.89890494962768275</v>
      </c>
      <c r="C21" s="69">
        <f t="shared" ref="C21:K21" si="5">IFERROR(C5/C6,"n/m")</f>
        <v>0.87631184407796092</v>
      </c>
      <c r="D21" s="69">
        <f t="shared" si="5"/>
        <v>0.94674233329695523</v>
      </c>
      <c r="E21" s="69">
        <f t="shared" si="5"/>
        <v>0.95957206048760413</v>
      </c>
      <c r="F21" s="69">
        <f t="shared" si="5"/>
        <v>0.9868238225288678</v>
      </c>
      <c r="G21" s="69">
        <f t="shared" si="5"/>
        <v>0.98944295791778147</v>
      </c>
      <c r="H21" s="69">
        <f t="shared" si="5"/>
        <v>0.99489963034018059</v>
      </c>
      <c r="I21" s="69">
        <f t="shared" si="5"/>
        <v>0.99521934758155217</v>
      </c>
      <c r="J21" s="69">
        <f t="shared" si="5"/>
        <v>0.99717438505695832</v>
      </c>
      <c r="K21" s="69">
        <f t="shared" si="5"/>
        <v>0.99634105776693649</v>
      </c>
    </row>
    <row r="22" spans="1:11" ht="15" customHeight="1" x14ac:dyDescent="0.35">
      <c r="A22" t="s">
        <v>136</v>
      </c>
      <c r="B22" s="67">
        <f>IFERROR(B6/B4,"n/m")</f>
        <v>0.20594656034062814</v>
      </c>
      <c r="C22" s="67">
        <f t="shared" ref="C22:K22" si="6">IFERROR(C6/C4,"n/m")</f>
        <v>0.21079396089810809</v>
      </c>
      <c r="D22" s="67">
        <f t="shared" si="6"/>
        <v>0.23746647143431002</v>
      </c>
      <c r="E22" s="67">
        <f t="shared" si="6"/>
        <v>0.30813852127743879</v>
      </c>
      <c r="F22" s="67">
        <f t="shared" si="6"/>
        <v>0.32570733001451324</v>
      </c>
      <c r="G22" s="67">
        <f t="shared" si="6"/>
        <v>0.28169882688301717</v>
      </c>
      <c r="H22" s="67">
        <f t="shared" si="6"/>
        <v>0.37894531527058661</v>
      </c>
      <c r="I22" s="67">
        <f t="shared" si="6"/>
        <v>0.41474627503960654</v>
      </c>
      <c r="J22" s="67">
        <f t="shared" si="6"/>
        <v>0.35232536206065435</v>
      </c>
      <c r="K22" s="67">
        <f t="shared" si="6"/>
        <v>0.27913785739487834</v>
      </c>
    </row>
    <row r="23" spans="1:11" ht="15" customHeight="1" x14ac:dyDescent="0.35">
      <c r="A23" t="s">
        <v>129</v>
      </c>
      <c r="B23" s="58">
        <f>IFERROR(B4/B10,"n/m")</f>
        <v>1.0158349064384289</v>
      </c>
      <c r="C23" s="58">
        <f t="shared" ref="C23:K23" si="7">IFERROR(C4/C10,"n/m")</f>
        <v>1.2608538153628805</v>
      </c>
      <c r="D23" s="58">
        <f t="shared" si="7"/>
        <v>1.2879554064653949</v>
      </c>
      <c r="E23" s="58">
        <f t="shared" si="7"/>
        <v>0.91846686852218473</v>
      </c>
      <c r="F23" s="58">
        <f t="shared" si="7"/>
        <v>0.78037582356021562</v>
      </c>
      <c r="G23" s="58">
        <f t="shared" si="7"/>
        <v>0.74460941884790033</v>
      </c>
      <c r="H23" s="58">
        <f t="shared" si="7"/>
        <v>0.91881588165333417</v>
      </c>
      <c r="I23" s="58">
        <f t="shared" si="7"/>
        <v>0.71301750544013076</v>
      </c>
      <c r="J23" s="58">
        <f t="shared" si="7"/>
        <v>0.55048168445341794</v>
      </c>
      <c r="K23" s="58">
        <f t="shared" si="7"/>
        <v>0.77305636505452757</v>
      </c>
    </row>
    <row r="24" spans="1:11" ht="15" customHeight="1" x14ac:dyDescent="0.35">
      <c r="A24" t="s">
        <v>130</v>
      </c>
      <c r="B24" s="58">
        <f>IFERROR(B10/B11,"n/m")</f>
        <v>2.261772508705024</v>
      </c>
      <c r="C24" s="58">
        <f t="shared" ref="C24:K24" si="8">IFERROR(C10/C11,"n/m")</f>
        <v>1.7805979294997905</v>
      </c>
      <c r="D24" s="58">
        <f t="shared" si="8"/>
        <v>1.3804630802902893</v>
      </c>
      <c r="E24" s="58">
        <f t="shared" si="8"/>
        <v>1.2703132512297051</v>
      </c>
      <c r="F24" s="58">
        <f t="shared" si="8"/>
        <v>1.2075263599064718</v>
      </c>
      <c r="G24" s="58">
        <f t="shared" si="8"/>
        <v>1.2300576148216955</v>
      </c>
      <c r="H24" s="58">
        <f t="shared" si="8"/>
        <v>1.1677003272201509</v>
      </c>
      <c r="I24" s="58">
        <f t="shared" si="8"/>
        <v>1.1278479924340126</v>
      </c>
      <c r="J24" s="58">
        <f t="shared" si="8"/>
        <v>1.1231550712055045</v>
      </c>
      <c r="K24" s="58">
        <f t="shared" si="8"/>
        <v>1.1431126718960256</v>
      </c>
    </row>
    <row r="25" spans="1:11" ht="15" customHeight="1" x14ac:dyDescent="0.35">
      <c r="A25" s="54" t="s">
        <v>131</v>
      </c>
      <c r="B25" s="68">
        <f>IFERROR(B20*B21*B22*B23*B24,"n/m")</f>
        <v>0.28465428618802829</v>
      </c>
      <c r="C25" s="68">
        <f t="shared" ref="C25:K25" si="9">IFERROR(C20*C21*C22*C23*C24,"n/m")</f>
        <v>0.27787273841390642</v>
      </c>
      <c r="D25" s="68">
        <f t="shared" si="9"/>
        <v>0.26678954037553293</v>
      </c>
      <c r="E25" s="68">
        <f t="shared" si="9"/>
        <v>0.24329671955323789</v>
      </c>
      <c r="F25" s="68">
        <f t="shared" si="9"/>
        <v>0.20627637828855441</v>
      </c>
      <c r="G25" s="68">
        <f t="shared" si="9"/>
        <v>0.18060175480437313</v>
      </c>
      <c r="H25" s="68">
        <f t="shared" si="9"/>
        <v>0.26871052431321824</v>
      </c>
      <c r="I25" s="68">
        <f t="shared" si="9"/>
        <v>0.26093277370037743</v>
      </c>
      <c r="J25" s="68">
        <f t="shared" si="9"/>
        <v>0.17451503803242152</v>
      </c>
      <c r="K25" s="68">
        <f t="shared" si="9"/>
        <v>0.18962989705383612</v>
      </c>
    </row>
    <row r="27" spans="1:11" ht="15" customHeight="1" x14ac:dyDescent="0.35">
      <c r="A27" t="s">
        <v>135</v>
      </c>
      <c r="B27" s="70" t="b">
        <f>B25=B17</f>
        <v>1</v>
      </c>
      <c r="C27" s="70" t="b">
        <f t="shared" ref="C27:K27" si="10">C25=C17</f>
        <v>1</v>
      </c>
      <c r="D27" s="70" t="b">
        <f t="shared" si="10"/>
        <v>1</v>
      </c>
      <c r="E27" s="70" t="b">
        <f t="shared" si="10"/>
        <v>1</v>
      </c>
      <c r="F27" s="70" t="b">
        <f t="shared" si="10"/>
        <v>1</v>
      </c>
      <c r="G27" s="70" t="b">
        <f t="shared" si="10"/>
        <v>1</v>
      </c>
      <c r="H27" s="70" t="b">
        <f t="shared" si="10"/>
        <v>1</v>
      </c>
      <c r="I27" s="70" t="b">
        <f t="shared" si="10"/>
        <v>1</v>
      </c>
      <c r="J27" s="70" t="b">
        <f t="shared" si="10"/>
        <v>1</v>
      </c>
      <c r="K27" s="70" t="b">
        <f t="shared" si="10"/>
        <v>1</v>
      </c>
    </row>
  </sheetData>
  <mergeCells count="2">
    <mergeCell ref="A1:K1"/>
    <mergeCell ref="B2:K2"/>
  </mergeCells>
  <conditionalFormatting sqref="C14:K14">
    <cfRule type="cellIs" dxfId="9" priority="32" operator="lessThan">
      <formula>B14</formula>
    </cfRule>
  </conditionalFormatting>
  <conditionalFormatting sqref="C14:K16">
    <cfRule type="cellIs" dxfId="8" priority="26" operator="greaterThan">
      <formula>B14</formula>
    </cfRule>
  </conditionalFormatting>
  <conditionalFormatting sqref="C15:K17">
    <cfRule type="cellIs" dxfId="7" priority="22" operator="lessThan">
      <formula>B15</formula>
    </cfRule>
  </conditionalFormatting>
  <conditionalFormatting sqref="C17:K17">
    <cfRule type="cellIs" dxfId="6" priority="21" operator="greaterThan">
      <formula>B17</formula>
    </cfRule>
  </conditionalFormatting>
  <conditionalFormatting sqref="C20:K22">
    <cfRule type="cellIs" dxfId="5" priority="1" operator="greaterThan">
      <formula>B20</formula>
    </cfRule>
    <cfRule type="cellIs" dxfId="4" priority="2" operator="lessThan">
      <formula>B20</formula>
    </cfRule>
  </conditionalFormatting>
  <conditionalFormatting sqref="C23:K24">
    <cfRule type="cellIs" dxfId="3" priority="14" operator="greaterThan">
      <formula>B23</formula>
    </cfRule>
  </conditionalFormatting>
  <conditionalFormatting sqref="C23:K25">
    <cfRule type="cellIs" dxfId="2" priority="10" operator="lessThan">
      <formula>B23</formula>
    </cfRule>
  </conditionalFormatting>
  <conditionalFormatting sqref="C25:K25">
    <cfRule type="cellIs" dxfId="1" priority="9" operator="greaterThan">
      <formula>B25</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550F-9444-FB46-B809-2AEF5172B58D}">
  <dimension ref="A1"/>
  <sheetViews>
    <sheetView showGridLines="0" topLeftCell="A10" workbookViewId="0">
      <selection activeCell="S18" sqref="S18"/>
    </sheetView>
  </sheetViews>
  <sheetFormatPr defaultColWidth="10.90625"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L93"/>
  <sheetViews>
    <sheetView workbookViewId="0">
      <pane xSplit="1" ySplit="1" topLeftCell="B2" activePane="bottomRight" state="frozen"/>
      <selection activeCell="C4" sqref="C4"/>
      <selection pane="topRight" activeCell="C4" sqref="C4"/>
      <selection pane="bottomLeft" activeCell="C4" sqref="C4"/>
      <selection pane="bottomRight" activeCell="J35" sqref="J35"/>
    </sheetView>
  </sheetViews>
  <sheetFormatPr defaultColWidth="9.1796875" defaultRowHeight="14.5" x14ac:dyDescent="0.35"/>
  <cols>
    <col min="1" max="1" width="25.1796875" style="16" bestFit="1" customWidth="1"/>
    <col min="2" max="2" width="13.81640625" style="16" bestFit="1" customWidth="1"/>
    <col min="3" max="11" width="13" style="16" customWidth="1"/>
    <col min="12" max="16384" width="9.1796875" style="16"/>
  </cols>
  <sheetData>
    <row r="1" spans="1:11" s="14" customFormat="1" x14ac:dyDescent="0.35">
      <c r="A1" s="14" t="s">
        <v>0</v>
      </c>
      <c r="B1" s="14" t="s">
        <v>75</v>
      </c>
      <c r="E1" s="130" t="str">
        <f>IF(B2&lt;&gt;B3, "A NEW VERSION OF THE WORKSHEET IS AVAILABLE", "")</f>
        <v/>
      </c>
      <c r="F1" s="130"/>
      <c r="G1" s="130"/>
      <c r="H1" s="130"/>
      <c r="I1" s="130"/>
      <c r="J1" s="130"/>
      <c r="K1" s="130"/>
    </row>
    <row r="2" spans="1:11" x14ac:dyDescent="0.35">
      <c r="A2" s="14" t="s">
        <v>1</v>
      </c>
      <c r="B2" s="16">
        <v>2.1</v>
      </c>
      <c r="E2" s="131" t="s">
        <v>2</v>
      </c>
      <c r="F2" s="131"/>
      <c r="G2" s="131"/>
      <c r="H2" s="131"/>
      <c r="I2" s="131"/>
      <c r="J2" s="131"/>
      <c r="K2" s="131"/>
    </row>
    <row r="3" spans="1:11" x14ac:dyDescent="0.35">
      <c r="A3" s="14" t="s">
        <v>3</v>
      </c>
      <c r="B3" s="16">
        <v>2.1</v>
      </c>
    </row>
    <row r="4" spans="1:11" x14ac:dyDescent="0.35">
      <c r="A4" s="14"/>
    </row>
    <row r="5" spans="1:11" x14ac:dyDescent="0.35">
      <c r="A5" s="14" t="s">
        <v>4</v>
      </c>
    </row>
    <row r="6" spans="1:11" x14ac:dyDescent="0.35">
      <c r="A6" s="16" t="s">
        <v>5</v>
      </c>
      <c r="B6" s="16">
        <f>IF(B9&gt;0, B9/B8, 0)</f>
        <v>10.278207288549082</v>
      </c>
    </row>
    <row r="7" spans="1:11" x14ac:dyDescent="0.35">
      <c r="A7" s="16" t="s">
        <v>6</v>
      </c>
      <c r="B7" s="19">
        <v>1</v>
      </c>
    </row>
    <row r="8" spans="1:11" x14ac:dyDescent="0.35">
      <c r="A8" s="16" t="s">
        <v>7</v>
      </c>
      <c r="B8" s="19">
        <v>1988.05</v>
      </c>
    </row>
    <row r="9" spans="1:11" x14ac:dyDescent="0.35">
      <c r="A9" s="16" t="s">
        <v>8</v>
      </c>
      <c r="B9" s="19">
        <v>20433.59</v>
      </c>
    </row>
    <row r="15" spans="1:11" x14ac:dyDescent="0.35">
      <c r="A15" s="14" t="s">
        <v>9</v>
      </c>
    </row>
    <row r="16" spans="1:11" s="15" customFormat="1" x14ac:dyDescent="0.35">
      <c r="A16" s="17" t="s">
        <v>10</v>
      </c>
      <c r="B16" s="94">
        <v>41364</v>
      </c>
      <c r="C16" s="94">
        <v>41729</v>
      </c>
      <c r="D16" s="94">
        <v>42094</v>
      </c>
      <c r="E16" s="94">
        <v>42460</v>
      </c>
      <c r="F16" s="94">
        <v>42825</v>
      </c>
      <c r="G16" s="94">
        <v>43190</v>
      </c>
      <c r="H16" s="94">
        <v>43555</v>
      </c>
      <c r="I16" s="94">
        <v>43921</v>
      </c>
      <c r="J16" s="94">
        <v>44286</v>
      </c>
      <c r="K16" s="94">
        <v>44651</v>
      </c>
    </row>
    <row r="17" spans="1:11" x14ac:dyDescent="0.35">
      <c r="A17" s="16" t="s">
        <v>11</v>
      </c>
      <c r="B17" s="19">
        <v>554.27</v>
      </c>
      <c r="C17" s="19">
        <v>696.13</v>
      </c>
      <c r="D17" s="19">
        <v>771.73</v>
      </c>
      <c r="E17" s="19">
        <v>630.95000000000005</v>
      </c>
      <c r="F17" s="19">
        <v>640.79</v>
      </c>
      <c r="G17" s="19">
        <v>729.68</v>
      </c>
      <c r="H17" s="19">
        <v>1127.92</v>
      </c>
      <c r="I17" s="19">
        <v>1028.8699999999999</v>
      </c>
      <c r="J17" s="19">
        <v>954.26</v>
      </c>
      <c r="K17" s="19">
        <v>1615.51</v>
      </c>
    </row>
    <row r="18" spans="1:11" x14ac:dyDescent="0.35">
      <c r="A18" s="16" t="s">
        <v>12</v>
      </c>
      <c r="B18" s="19">
        <v>339.85</v>
      </c>
      <c r="C18" s="19">
        <v>417.96</v>
      </c>
      <c r="D18" s="19">
        <v>455.89</v>
      </c>
      <c r="E18" s="19">
        <v>295.56</v>
      </c>
      <c r="F18" s="19">
        <v>306.13</v>
      </c>
      <c r="G18" s="19">
        <v>370.51</v>
      </c>
      <c r="H18" s="19">
        <v>528.59</v>
      </c>
      <c r="I18" s="19">
        <v>431.5</v>
      </c>
      <c r="J18" s="19">
        <v>415.86</v>
      </c>
      <c r="K18" s="19">
        <v>861.13</v>
      </c>
    </row>
    <row r="19" spans="1:11" x14ac:dyDescent="0.35">
      <c r="A19" s="16" t="s">
        <v>13</v>
      </c>
      <c r="B19" s="19">
        <v>4.7300000000000004</v>
      </c>
      <c r="C19" s="19">
        <v>-0.85</v>
      </c>
      <c r="D19" s="19">
        <v>-0.65</v>
      </c>
      <c r="E19" s="19">
        <v>-0.75</v>
      </c>
      <c r="F19" s="19">
        <v>5.58</v>
      </c>
      <c r="G19" s="19">
        <v>-7.05</v>
      </c>
      <c r="H19" s="19">
        <v>3.49</v>
      </c>
      <c r="I19" s="19">
        <v>2.79</v>
      </c>
      <c r="J19" s="19">
        <v>28.2</v>
      </c>
      <c r="K19" s="19">
        <v>0.41</v>
      </c>
    </row>
    <row r="20" spans="1:11" x14ac:dyDescent="0.35">
      <c r="A20" s="16" t="s">
        <v>14</v>
      </c>
      <c r="B20" s="19">
        <v>30.88</v>
      </c>
      <c r="C20" s="19">
        <v>36.08</v>
      </c>
      <c r="D20" s="19">
        <v>31.33</v>
      </c>
      <c r="E20" s="19">
        <v>31.32</v>
      </c>
      <c r="F20" s="19">
        <v>36.950000000000003</v>
      </c>
      <c r="G20" s="19">
        <v>47.91</v>
      </c>
      <c r="H20" s="19">
        <v>56.36</v>
      </c>
      <c r="I20" s="19">
        <v>52.59</v>
      </c>
      <c r="J20" s="19">
        <v>63.38</v>
      </c>
      <c r="K20" s="19">
        <v>120.26</v>
      </c>
    </row>
    <row r="21" spans="1:11" x14ac:dyDescent="0.35">
      <c r="A21" s="16" t="s">
        <v>15</v>
      </c>
      <c r="B21" s="19">
        <v>16.149999999999999</v>
      </c>
      <c r="C21" s="19">
        <v>22.45</v>
      </c>
      <c r="D21" s="19">
        <v>27.11</v>
      </c>
      <c r="E21" s="19">
        <v>33.24</v>
      </c>
      <c r="F21" s="19">
        <v>30.87</v>
      </c>
      <c r="G21" s="19">
        <v>43.11</v>
      </c>
      <c r="H21" s="19">
        <v>50.19</v>
      </c>
      <c r="I21" s="19">
        <v>50.42</v>
      </c>
      <c r="J21" s="19">
        <v>52.66</v>
      </c>
      <c r="K21" s="19">
        <v>85.47</v>
      </c>
    </row>
    <row r="22" spans="1:11" x14ac:dyDescent="0.35">
      <c r="A22" s="16" t="s">
        <v>16</v>
      </c>
      <c r="B22" s="19">
        <v>22.62</v>
      </c>
      <c r="C22" s="19">
        <v>27.47</v>
      </c>
      <c r="D22" s="19">
        <v>31.94</v>
      </c>
      <c r="E22" s="19">
        <v>35.99</v>
      </c>
      <c r="F22" s="19">
        <v>41.97</v>
      </c>
      <c r="G22" s="19">
        <v>49.08</v>
      </c>
      <c r="H22" s="19">
        <v>54.31</v>
      </c>
      <c r="I22" s="19">
        <v>64.39</v>
      </c>
      <c r="J22" s="19">
        <v>72.78</v>
      </c>
      <c r="K22" s="19">
        <v>84.15</v>
      </c>
    </row>
    <row r="23" spans="1:11" x14ac:dyDescent="0.35">
      <c r="A23" s="16" t="s">
        <v>17</v>
      </c>
      <c r="B23" s="19">
        <v>22.88</v>
      </c>
      <c r="C23" s="19">
        <v>26.15</v>
      </c>
      <c r="D23" s="19">
        <v>23.41</v>
      </c>
      <c r="E23" s="19">
        <v>16.649999999999999</v>
      </c>
      <c r="F23" s="19">
        <v>6.78</v>
      </c>
      <c r="G23" s="19">
        <v>8.2100000000000009</v>
      </c>
      <c r="H23" s="19">
        <v>9.56</v>
      </c>
      <c r="I23" s="19">
        <v>10.52</v>
      </c>
      <c r="J23" s="19">
        <v>13.03</v>
      </c>
      <c r="K23" s="19">
        <v>13.5</v>
      </c>
    </row>
    <row r="24" spans="1:11" x14ac:dyDescent="0.35">
      <c r="A24" s="16" t="s">
        <v>18</v>
      </c>
      <c r="B24" s="19">
        <v>6.28</v>
      </c>
      <c r="C24" s="19">
        <v>12.28</v>
      </c>
      <c r="D24" s="19">
        <v>9.3000000000000007</v>
      </c>
      <c r="E24" s="19">
        <v>10.59</v>
      </c>
      <c r="F24" s="19">
        <v>5.83</v>
      </c>
      <c r="G24" s="19">
        <v>5.52</v>
      </c>
      <c r="H24" s="19">
        <v>7.39</v>
      </c>
      <c r="I24" s="19">
        <v>7.35</v>
      </c>
      <c r="J24" s="19">
        <v>11.49</v>
      </c>
      <c r="K24" s="19">
        <v>15.93</v>
      </c>
    </row>
    <row r="25" spans="1:11" x14ac:dyDescent="0.35">
      <c r="A25" s="16" t="s">
        <v>19</v>
      </c>
      <c r="B25" s="19">
        <v>3.76</v>
      </c>
      <c r="C25" s="19">
        <v>9.17</v>
      </c>
      <c r="D25" s="19">
        <v>8.82</v>
      </c>
      <c r="E25" s="19">
        <v>6.09</v>
      </c>
      <c r="F25" s="19">
        <v>12.48</v>
      </c>
      <c r="G25" s="19">
        <v>30.62</v>
      </c>
      <c r="H25" s="19">
        <v>29.8</v>
      </c>
      <c r="I25" s="19">
        <v>44.99</v>
      </c>
      <c r="J25" s="19">
        <v>25.86</v>
      </c>
      <c r="K25" s="19">
        <v>60.96</v>
      </c>
    </row>
    <row r="26" spans="1:11" x14ac:dyDescent="0.35">
      <c r="A26" s="16" t="s">
        <v>20</v>
      </c>
      <c r="B26" s="19">
        <v>9.9499999999999993</v>
      </c>
      <c r="C26" s="19">
        <v>15.32</v>
      </c>
      <c r="D26" s="19">
        <v>17.66</v>
      </c>
      <c r="E26" s="19">
        <v>18.52</v>
      </c>
      <c r="F26" s="19">
        <v>21.61</v>
      </c>
      <c r="G26" s="19">
        <v>23.36</v>
      </c>
      <c r="H26" s="19">
        <v>27.39</v>
      </c>
      <c r="I26" s="19">
        <v>33.159999999999997</v>
      </c>
      <c r="J26" s="19">
        <v>42.91</v>
      </c>
      <c r="K26" s="19">
        <v>45.49</v>
      </c>
    </row>
    <row r="27" spans="1:11" x14ac:dyDescent="0.35">
      <c r="A27" s="16" t="s">
        <v>21</v>
      </c>
      <c r="B27" s="19">
        <v>11.54</v>
      </c>
      <c r="C27" s="19">
        <v>18.149999999999999</v>
      </c>
      <c r="D27" s="19">
        <v>9.76</v>
      </c>
      <c r="E27" s="19">
        <v>7.86</v>
      </c>
      <c r="F27" s="19">
        <v>2.75</v>
      </c>
      <c r="G27" s="19">
        <v>2.17</v>
      </c>
      <c r="H27" s="19">
        <v>2.1800000000000002</v>
      </c>
      <c r="I27" s="19">
        <v>2.04</v>
      </c>
      <c r="J27" s="19">
        <v>0.95</v>
      </c>
      <c r="K27" s="19">
        <v>1.65</v>
      </c>
    </row>
    <row r="28" spans="1:11" x14ac:dyDescent="0.35">
      <c r="A28" s="16" t="s">
        <v>22</v>
      </c>
      <c r="B28" s="19">
        <v>102.61</v>
      </c>
      <c r="C28" s="19">
        <v>128.59</v>
      </c>
      <c r="D28" s="19">
        <v>173.5</v>
      </c>
      <c r="E28" s="19">
        <v>186.56</v>
      </c>
      <c r="F28" s="19">
        <v>205.96</v>
      </c>
      <c r="G28" s="19">
        <v>203.38</v>
      </c>
      <c r="H28" s="19">
        <v>425.24</v>
      </c>
      <c r="I28" s="19">
        <v>424.68</v>
      </c>
      <c r="J28" s="19">
        <v>335.26</v>
      </c>
      <c r="K28" s="19">
        <v>449.3</v>
      </c>
    </row>
    <row r="29" spans="1:11" x14ac:dyDescent="0.35">
      <c r="A29" s="16" t="s">
        <v>23</v>
      </c>
      <c r="B29" s="19">
        <v>33.94</v>
      </c>
      <c r="C29" s="19">
        <v>42.43</v>
      </c>
      <c r="D29" s="19">
        <v>57.7</v>
      </c>
      <c r="E29" s="19">
        <v>54.99</v>
      </c>
      <c r="F29" s="19">
        <v>65.69</v>
      </c>
      <c r="G29" s="19">
        <v>59.5</v>
      </c>
      <c r="H29" s="19">
        <v>142.75</v>
      </c>
      <c r="I29" s="19">
        <v>90.84</v>
      </c>
      <c r="J29" s="19">
        <v>65.91</v>
      </c>
      <c r="K29" s="19">
        <v>102.63</v>
      </c>
    </row>
    <row r="30" spans="1:11" x14ac:dyDescent="0.35">
      <c r="A30" s="16" t="s">
        <v>24</v>
      </c>
      <c r="B30" s="19">
        <v>68.66</v>
      </c>
      <c r="C30" s="19">
        <v>86.15</v>
      </c>
      <c r="D30" s="19">
        <v>115.79</v>
      </c>
      <c r="E30" s="19">
        <v>131.57</v>
      </c>
      <c r="F30" s="19">
        <v>140.28</v>
      </c>
      <c r="G30" s="19">
        <v>143.88</v>
      </c>
      <c r="H30" s="19">
        <v>282.49</v>
      </c>
      <c r="I30" s="19">
        <v>333.83</v>
      </c>
      <c r="J30" s="19">
        <v>269.33999999999997</v>
      </c>
      <c r="K30" s="19">
        <v>346.68</v>
      </c>
    </row>
    <row r="31" spans="1:11" x14ac:dyDescent="0.35">
      <c r="A31" s="16" t="s">
        <v>25</v>
      </c>
      <c r="B31" s="19">
        <v>12.34</v>
      </c>
      <c r="C31" s="19">
        <v>14.8</v>
      </c>
      <c r="D31" s="19">
        <v>18.059999999999999</v>
      </c>
      <c r="E31" s="19">
        <v>20.64</v>
      </c>
      <c r="F31" s="19">
        <v>2.58</v>
      </c>
      <c r="G31" s="19">
        <v>23.13</v>
      </c>
      <c r="H31" s="19">
        <v>35.979999999999997</v>
      </c>
      <c r="I31" s="19">
        <v>56.54</v>
      </c>
      <c r="J31" s="19">
        <v>61.68</v>
      </c>
      <c r="K31" s="19">
        <v>66.819999999999993</v>
      </c>
    </row>
    <row r="33" spans="1:11" x14ac:dyDescent="0.35">
      <c r="B33" s="96"/>
      <c r="C33" s="96"/>
      <c r="D33" s="96"/>
      <c r="E33" s="96"/>
      <c r="F33" s="96"/>
      <c r="G33" s="96"/>
      <c r="H33" s="96"/>
      <c r="I33" s="96"/>
      <c r="J33" s="96"/>
      <c r="K33" s="96"/>
    </row>
    <row r="40" spans="1:11" x14ac:dyDescent="0.35">
      <c r="A40" s="14" t="s">
        <v>26</v>
      </c>
    </row>
    <row r="41" spans="1:11" s="15" customFormat="1" x14ac:dyDescent="0.35">
      <c r="A41" s="17" t="s">
        <v>10</v>
      </c>
      <c r="B41" s="94">
        <v>44012</v>
      </c>
      <c r="C41" s="94">
        <v>44104</v>
      </c>
      <c r="D41" s="94">
        <v>44196</v>
      </c>
      <c r="E41" s="94">
        <v>44286</v>
      </c>
      <c r="F41" s="94">
        <v>44377</v>
      </c>
      <c r="G41" s="94">
        <v>44469</v>
      </c>
      <c r="H41" s="94">
        <v>44561</v>
      </c>
      <c r="I41" s="94">
        <v>44651</v>
      </c>
      <c r="J41" s="94">
        <v>44742</v>
      </c>
      <c r="K41" s="94">
        <v>44834</v>
      </c>
    </row>
    <row r="42" spans="1:11" x14ac:dyDescent="0.35">
      <c r="A42" s="16" t="s">
        <v>11</v>
      </c>
      <c r="B42" s="19">
        <v>231.57</v>
      </c>
      <c r="C42" s="19">
        <v>219.44</v>
      </c>
      <c r="D42" s="19">
        <v>223.47</v>
      </c>
      <c r="E42" s="19">
        <v>279.77</v>
      </c>
      <c r="F42" s="19">
        <v>386.37</v>
      </c>
      <c r="G42" s="19">
        <v>374.1</v>
      </c>
      <c r="H42" s="19">
        <v>368.95</v>
      </c>
      <c r="I42" s="19">
        <v>486.09</v>
      </c>
      <c r="J42" s="19">
        <v>506.32</v>
      </c>
      <c r="K42" s="19">
        <v>566.29</v>
      </c>
    </row>
    <row r="43" spans="1:11" x14ac:dyDescent="0.35">
      <c r="A43" s="16" t="s">
        <v>27</v>
      </c>
      <c r="B43" s="19">
        <v>134.38999999999999</v>
      </c>
      <c r="C43" s="19">
        <v>135.31</v>
      </c>
      <c r="D43" s="19">
        <v>151.38</v>
      </c>
      <c r="E43" s="19">
        <v>180.65</v>
      </c>
      <c r="F43" s="19">
        <v>284.86</v>
      </c>
      <c r="G43" s="19">
        <v>273.08999999999997</v>
      </c>
      <c r="H43" s="19">
        <v>276.18</v>
      </c>
      <c r="I43" s="19">
        <v>347.31</v>
      </c>
      <c r="J43" s="19">
        <v>375.44</v>
      </c>
      <c r="K43" s="19">
        <v>417.82</v>
      </c>
    </row>
    <row r="44" spans="1:11" x14ac:dyDescent="0.35">
      <c r="A44" s="16" t="s">
        <v>19</v>
      </c>
      <c r="B44" s="19">
        <v>8.6</v>
      </c>
      <c r="C44" s="19">
        <v>1.4</v>
      </c>
      <c r="D44" s="19">
        <v>9.2899999999999991</v>
      </c>
      <c r="E44" s="19">
        <v>6.57</v>
      </c>
      <c r="F44" s="19">
        <v>17.61</v>
      </c>
      <c r="G44" s="19">
        <v>13.58</v>
      </c>
      <c r="H44" s="19">
        <v>14.65</v>
      </c>
      <c r="I44" s="19">
        <v>15.13</v>
      </c>
      <c r="J44" s="19">
        <v>18.690000000000001</v>
      </c>
      <c r="K44" s="19">
        <v>19.97</v>
      </c>
    </row>
    <row r="45" spans="1:11" x14ac:dyDescent="0.35">
      <c r="A45" s="16" t="s">
        <v>20</v>
      </c>
      <c r="B45" s="19">
        <v>10.65</v>
      </c>
      <c r="C45" s="19">
        <v>10.76</v>
      </c>
      <c r="D45" s="19">
        <v>10.77</v>
      </c>
      <c r="E45" s="19">
        <v>10.73</v>
      </c>
      <c r="F45" s="19">
        <v>11.01</v>
      </c>
      <c r="G45" s="19">
        <v>11.28</v>
      </c>
      <c r="H45" s="19">
        <v>11.52</v>
      </c>
      <c r="I45" s="19">
        <v>11.69</v>
      </c>
      <c r="J45" s="19">
        <v>12.83</v>
      </c>
      <c r="K45" s="19">
        <v>13.05</v>
      </c>
    </row>
    <row r="46" spans="1:11" x14ac:dyDescent="0.35">
      <c r="A46" s="16" t="s">
        <v>21</v>
      </c>
      <c r="B46" s="19">
        <v>0.04</v>
      </c>
      <c r="C46" s="19">
        <v>0.05</v>
      </c>
      <c r="D46" s="19">
        <v>0.01</v>
      </c>
      <c r="E46" s="19">
        <v>0.11</v>
      </c>
      <c r="F46" s="19">
        <v>0.01</v>
      </c>
      <c r="G46" s="19"/>
      <c r="H46" s="19">
        <v>0.01</v>
      </c>
      <c r="I46" s="19">
        <v>0.23</v>
      </c>
      <c r="J46" s="19">
        <v>0.47</v>
      </c>
      <c r="K46" s="19">
        <v>0.01</v>
      </c>
    </row>
    <row r="47" spans="1:11" x14ac:dyDescent="0.35">
      <c r="A47" s="16" t="s">
        <v>22</v>
      </c>
      <c r="B47" s="19">
        <v>95.09</v>
      </c>
      <c r="C47" s="19">
        <v>74.72</v>
      </c>
      <c r="D47" s="19">
        <v>70.599999999999994</v>
      </c>
      <c r="E47" s="19">
        <v>94.85</v>
      </c>
      <c r="F47" s="19">
        <v>108.1</v>
      </c>
      <c r="G47" s="19">
        <v>103.31</v>
      </c>
      <c r="H47" s="19">
        <v>95.89</v>
      </c>
      <c r="I47" s="19">
        <v>141.99</v>
      </c>
      <c r="J47" s="19">
        <v>136.27000000000001</v>
      </c>
      <c r="K47" s="19">
        <v>155.38</v>
      </c>
    </row>
    <row r="48" spans="1:11" x14ac:dyDescent="0.35">
      <c r="A48" s="16" t="s">
        <v>23</v>
      </c>
      <c r="B48" s="19">
        <v>22.79</v>
      </c>
      <c r="C48" s="19">
        <v>12.68</v>
      </c>
      <c r="D48" s="19">
        <v>6.47</v>
      </c>
      <c r="E48" s="19">
        <v>23.99</v>
      </c>
      <c r="F48" s="19">
        <v>27.16</v>
      </c>
      <c r="G48" s="19">
        <v>21.95</v>
      </c>
      <c r="H48" s="19">
        <v>12.63</v>
      </c>
      <c r="I48" s="19">
        <v>40.89</v>
      </c>
      <c r="J48" s="19">
        <v>35.090000000000003</v>
      </c>
      <c r="K48" s="19">
        <v>39.380000000000003</v>
      </c>
    </row>
    <row r="49" spans="1:11" x14ac:dyDescent="0.35">
      <c r="A49" s="16" t="s">
        <v>24</v>
      </c>
      <c r="B49" s="19">
        <v>72.3</v>
      </c>
      <c r="C49" s="19">
        <v>62.04</v>
      </c>
      <c r="D49" s="19">
        <v>64.14</v>
      </c>
      <c r="E49" s="19">
        <v>70.86</v>
      </c>
      <c r="F49" s="19">
        <v>80.95</v>
      </c>
      <c r="G49" s="19">
        <v>81.36</v>
      </c>
      <c r="H49" s="19">
        <v>83.27</v>
      </c>
      <c r="I49" s="19">
        <v>101.1</v>
      </c>
      <c r="J49" s="19">
        <v>101.19</v>
      </c>
      <c r="K49" s="19">
        <v>116.01</v>
      </c>
    </row>
    <row r="50" spans="1:11" x14ac:dyDescent="0.35">
      <c r="A50" s="16" t="s">
        <v>28</v>
      </c>
      <c r="B50" s="19">
        <v>97.18</v>
      </c>
      <c r="C50" s="19">
        <v>84.13</v>
      </c>
      <c r="D50" s="19">
        <v>72.09</v>
      </c>
      <c r="E50" s="19">
        <v>99.12</v>
      </c>
      <c r="F50" s="19">
        <v>101.51</v>
      </c>
      <c r="G50" s="19">
        <v>101.01</v>
      </c>
      <c r="H50" s="19">
        <v>92.77</v>
      </c>
      <c r="I50" s="19">
        <v>138.78</v>
      </c>
      <c r="J50" s="19">
        <v>130.88</v>
      </c>
      <c r="K50" s="19">
        <v>148.47</v>
      </c>
    </row>
    <row r="55" spans="1:11" x14ac:dyDescent="0.35">
      <c r="A55" s="14" t="s">
        <v>29</v>
      </c>
    </row>
    <row r="56" spans="1:11" s="15" customFormat="1" x14ac:dyDescent="0.35">
      <c r="A56" s="17" t="s">
        <v>10</v>
      </c>
      <c r="B56" s="94">
        <v>41364</v>
      </c>
      <c r="C56" s="94">
        <v>41729</v>
      </c>
      <c r="D56" s="94">
        <v>42094</v>
      </c>
      <c r="E56" s="94">
        <v>42460</v>
      </c>
      <c r="F56" s="94">
        <v>42825</v>
      </c>
      <c r="G56" s="94">
        <v>43190</v>
      </c>
      <c r="H56" s="94">
        <v>43555</v>
      </c>
      <c r="I56" s="94">
        <v>43921</v>
      </c>
      <c r="J56" s="94">
        <v>44286</v>
      </c>
      <c r="K56" s="94">
        <v>44651</v>
      </c>
    </row>
    <row r="57" spans="1:11" x14ac:dyDescent="0.35">
      <c r="A57" s="16" t="s">
        <v>30</v>
      </c>
      <c r="B57" s="19">
        <v>9.8699999999999992</v>
      </c>
      <c r="C57" s="19">
        <v>9.8699999999999992</v>
      </c>
      <c r="D57" s="19">
        <v>10.32</v>
      </c>
      <c r="E57" s="19">
        <v>10.32</v>
      </c>
      <c r="F57" s="19">
        <v>10.32</v>
      </c>
      <c r="G57" s="19">
        <v>10.28</v>
      </c>
      <c r="H57" s="19">
        <v>10.28</v>
      </c>
      <c r="I57" s="19">
        <v>10.28</v>
      </c>
      <c r="J57" s="19">
        <v>10.28</v>
      </c>
      <c r="K57" s="19">
        <v>10.28</v>
      </c>
    </row>
    <row r="58" spans="1:11" x14ac:dyDescent="0.35">
      <c r="A58" s="16" t="s">
        <v>31</v>
      </c>
      <c r="B58" s="19">
        <v>231.37</v>
      </c>
      <c r="C58" s="19">
        <v>300.2</v>
      </c>
      <c r="D58" s="19">
        <v>423.73</v>
      </c>
      <c r="E58" s="19">
        <v>530.46</v>
      </c>
      <c r="F58" s="19">
        <v>669.69</v>
      </c>
      <c r="G58" s="19">
        <v>786.39</v>
      </c>
      <c r="H58" s="19">
        <v>1041</v>
      </c>
      <c r="I58" s="19">
        <v>1269.1300000000001</v>
      </c>
      <c r="J58" s="19">
        <v>1533.14</v>
      </c>
      <c r="K58" s="19">
        <v>1817.86</v>
      </c>
    </row>
    <row r="59" spans="1:11" x14ac:dyDescent="0.35">
      <c r="A59" s="16" t="s">
        <v>32</v>
      </c>
      <c r="B59" s="19">
        <v>237.26</v>
      </c>
      <c r="C59" s="19">
        <v>161.58000000000001</v>
      </c>
      <c r="D59" s="19">
        <v>65.3</v>
      </c>
      <c r="E59" s="19">
        <v>42.07</v>
      </c>
      <c r="F59" s="19">
        <v>2.3199999999999998</v>
      </c>
      <c r="G59" s="19">
        <v>15.2</v>
      </c>
      <c r="H59" s="19">
        <v>3.68</v>
      </c>
      <c r="I59" s="19">
        <v>0.35</v>
      </c>
      <c r="J59" s="19">
        <v>2.02</v>
      </c>
      <c r="K59" s="19">
        <v>18.399999999999999</v>
      </c>
    </row>
    <row r="60" spans="1:11" x14ac:dyDescent="0.35">
      <c r="A60" s="16" t="s">
        <v>33</v>
      </c>
      <c r="B60" s="19">
        <v>67.13</v>
      </c>
      <c r="C60" s="19">
        <v>80.459999999999994</v>
      </c>
      <c r="D60" s="19">
        <v>99.84</v>
      </c>
      <c r="E60" s="19">
        <v>104.11</v>
      </c>
      <c r="F60" s="19">
        <v>138.80000000000001</v>
      </c>
      <c r="G60" s="19">
        <v>168.08</v>
      </c>
      <c r="H60" s="19">
        <v>172.62</v>
      </c>
      <c r="I60" s="19">
        <v>163.22</v>
      </c>
      <c r="J60" s="19">
        <v>188.06</v>
      </c>
      <c r="K60" s="19">
        <v>243.23</v>
      </c>
    </row>
    <row r="61" spans="1:11" s="14" customFormat="1" x14ac:dyDescent="0.35">
      <c r="A61" s="14" t="s">
        <v>34</v>
      </c>
      <c r="B61" s="19">
        <v>545.63</v>
      </c>
      <c r="C61" s="19">
        <v>552.11</v>
      </c>
      <c r="D61" s="19">
        <v>599.19000000000005</v>
      </c>
      <c r="E61" s="19">
        <v>686.96</v>
      </c>
      <c r="F61" s="19">
        <v>821.13</v>
      </c>
      <c r="G61" s="19">
        <v>979.95</v>
      </c>
      <c r="H61" s="19">
        <v>1227.58</v>
      </c>
      <c r="I61" s="19">
        <v>1442.98</v>
      </c>
      <c r="J61" s="19">
        <v>1733.5</v>
      </c>
      <c r="K61" s="19">
        <v>2089.77</v>
      </c>
    </row>
    <row r="62" spans="1:11" x14ac:dyDescent="0.35">
      <c r="A62" s="16" t="s">
        <v>35</v>
      </c>
      <c r="B62" s="19">
        <v>290.13</v>
      </c>
      <c r="C62" s="19">
        <v>304.19</v>
      </c>
      <c r="D62" s="19">
        <v>327.25</v>
      </c>
      <c r="E62" s="19">
        <v>381.89</v>
      </c>
      <c r="F62" s="19">
        <v>467.6</v>
      </c>
      <c r="G62" s="19">
        <v>456.84</v>
      </c>
      <c r="H62" s="19">
        <v>474.51</v>
      </c>
      <c r="I62" s="19">
        <v>750.76</v>
      </c>
      <c r="J62" s="19">
        <v>756.83</v>
      </c>
      <c r="K62" s="19">
        <v>873.17</v>
      </c>
    </row>
    <row r="63" spans="1:11" x14ac:dyDescent="0.35">
      <c r="A63" s="16" t="s">
        <v>36</v>
      </c>
      <c r="B63" s="19">
        <v>14.05</v>
      </c>
      <c r="C63" s="19">
        <v>10.09</v>
      </c>
      <c r="D63" s="19">
        <v>20.02</v>
      </c>
      <c r="E63" s="19">
        <v>24.83</v>
      </c>
      <c r="F63" s="19">
        <v>7.38</v>
      </c>
      <c r="G63" s="19">
        <v>34.880000000000003</v>
      </c>
      <c r="H63" s="19">
        <v>191.18</v>
      </c>
      <c r="I63" s="19">
        <v>30.97</v>
      </c>
      <c r="J63" s="19">
        <v>54.69</v>
      </c>
      <c r="K63" s="19">
        <v>47.29</v>
      </c>
    </row>
    <row r="64" spans="1:11" x14ac:dyDescent="0.35">
      <c r="A64" s="16" t="s">
        <v>37</v>
      </c>
      <c r="B64" s="19">
        <v>12.77</v>
      </c>
      <c r="C64" s="19">
        <v>2.74</v>
      </c>
      <c r="D64" s="19">
        <v>2.74</v>
      </c>
      <c r="E64" s="19">
        <v>2.74</v>
      </c>
      <c r="F64" s="19">
        <v>61.83</v>
      </c>
      <c r="G64" s="19">
        <v>131.74</v>
      </c>
      <c r="H64" s="19">
        <v>96.47</v>
      </c>
      <c r="I64" s="19">
        <v>227.39</v>
      </c>
      <c r="J64" s="19">
        <v>288.67</v>
      </c>
      <c r="K64" s="19">
        <v>97.88</v>
      </c>
    </row>
    <row r="65" spans="1:11" x14ac:dyDescent="0.35">
      <c r="A65" s="16" t="s">
        <v>38</v>
      </c>
      <c r="B65" s="19">
        <v>228.68</v>
      </c>
      <c r="C65" s="19">
        <v>235.09</v>
      </c>
      <c r="D65" s="19">
        <v>249.18</v>
      </c>
      <c r="E65" s="19">
        <v>277.5</v>
      </c>
      <c r="F65" s="19">
        <v>284.32</v>
      </c>
      <c r="G65" s="19">
        <v>356.49</v>
      </c>
      <c r="H65" s="19">
        <v>465.42</v>
      </c>
      <c r="I65" s="19">
        <v>433.86</v>
      </c>
      <c r="J65" s="19">
        <v>633.30999999999995</v>
      </c>
      <c r="K65" s="19">
        <v>1071.43</v>
      </c>
    </row>
    <row r="66" spans="1:11" s="14" customFormat="1" x14ac:dyDescent="0.35">
      <c r="A66" s="14" t="s">
        <v>34</v>
      </c>
      <c r="B66" s="19">
        <v>545.63</v>
      </c>
      <c r="C66" s="19">
        <v>552.11</v>
      </c>
      <c r="D66" s="19">
        <v>599.19000000000005</v>
      </c>
      <c r="E66" s="19">
        <v>686.96</v>
      </c>
      <c r="F66" s="19">
        <v>821.13</v>
      </c>
      <c r="G66" s="19">
        <v>979.95</v>
      </c>
      <c r="H66" s="19">
        <v>1227.58</v>
      </c>
      <c r="I66" s="19">
        <v>1442.98</v>
      </c>
      <c r="J66" s="19">
        <v>1733.5</v>
      </c>
      <c r="K66" s="19">
        <v>2089.77</v>
      </c>
    </row>
    <row r="67" spans="1:11" x14ac:dyDescent="0.35">
      <c r="A67" s="16" t="s">
        <v>39</v>
      </c>
      <c r="B67" s="19">
        <v>113.19</v>
      </c>
      <c r="C67" s="19">
        <v>115.05</v>
      </c>
      <c r="D67" s="19">
        <v>129.1</v>
      </c>
      <c r="E67" s="19">
        <v>114.82</v>
      </c>
      <c r="F67" s="19">
        <v>140.54</v>
      </c>
      <c r="G67" s="19">
        <v>177.11</v>
      </c>
      <c r="H67" s="19">
        <v>243.98</v>
      </c>
      <c r="I67" s="19">
        <v>201.78</v>
      </c>
      <c r="J67" s="19">
        <v>277.16000000000003</v>
      </c>
      <c r="K67" s="19">
        <v>458.38</v>
      </c>
    </row>
    <row r="68" spans="1:11" x14ac:dyDescent="0.35">
      <c r="A68" s="16" t="s">
        <v>40</v>
      </c>
      <c r="B68" s="19">
        <v>54.64</v>
      </c>
      <c r="C68" s="19">
        <v>46.63</v>
      </c>
      <c r="D68" s="19">
        <v>54.49</v>
      </c>
      <c r="E68" s="19">
        <v>44.7</v>
      </c>
      <c r="F68" s="19">
        <v>65.069999999999993</v>
      </c>
      <c r="G68" s="19">
        <v>82.23</v>
      </c>
      <c r="H68" s="19">
        <v>92.39</v>
      </c>
      <c r="I68" s="19">
        <v>93.17</v>
      </c>
      <c r="J68" s="19">
        <v>121.94</v>
      </c>
      <c r="K68" s="19">
        <v>176.16</v>
      </c>
    </row>
    <row r="69" spans="1:11" x14ac:dyDescent="0.35">
      <c r="A69" s="16" t="s">
        <v>41</v>
      </c>
      <c r="B69" s="19">
        <v>33.770000000000003</v>
      </c>
      <c r="C69" s="19">
        <v>42.7</v>
      </c>
      <c r="D69" s="19">
        <v>27.14</v>
      </c>
      <c r="E69" s="19">
        <v>72.23</v>
      </c>
      <c r="F69" s="19">
        <v>4.75</v>
      </c>
      <c r="G69" s="19">
        <v>5.24</v>
      </c>
      <c r="H69" s="19">
        <v>3.8</v>
      </c>
      <c r="I69" s="19">
        <v>53.7</v>
      </c>
      <c r="J69" s="19">
        <v>6.85</v>
      </c>
      <c r="K69" s="19">
        <v>4.28</v>
      </c>
    </row>
    <row r="70" spans="1:11" x14ac:dyDescent="0.35">
      <c r="A70" s="16" t="s">
        <v>42</v>
      </c>
      <c r="B70" s="19">
        <v>49372500</v>
      </c>
      <c r="C70" s="19">
        <v>49372500</v>
      </c>
      <c r="D70" s="19">
        <v>51591025</v>
      </c>
      <c r="E70" s="19">
        <v>51591025</v>
      </c>
      <c r="F70" s="19">
        <v>51591025</v>
      </c>
      <c r="G70" s="19">
        <v>51391000</v>
      </c>
      <c r="H70" s="19">
        <v>51391000</v>
      </c>
      <c r="I70" s="19">
        <v>102782050</v>
      </c>
      <c r="J70" s="19">
        <v>102782050</v>
      </c>
      <c r="K70" s="19">
        <v>102782050</v>
      </c>
    </row>
    <row r="71" spans="1:11" x14ac:dyDescent="0.35">
      <c r="A71" s="16" t="s">
        <v>43</v>
      </c>
      <c r="B71" s="19"/>
      <c r="H71">
        <v>16457500</v>
      </c>
      <c r="I71"/>
      <c r="J71">
        <v>16457500</v>
      </c>
    </row>
    <row r="72" spans="1:11" x14ac:dyDescent="0.35">
      <c r="A72" s="16" t="s">
        <v>44</v>
      </c>
      <c r="B72" s="19">
        <v>2</v>
      </c>
      <c r="C72" s="19">
        <v>2</v>
      </c>
      <c r="D72" s="19">
        <v>2</v>
      </c>
      <c r="E72" s="19">
        <v>2</v>
      </c>
      <c r="F72" s="19">
        <v>2</v>
      </c>
      <c r="G72" s="19">
        <v>2</v>
      </c>
      <c r="H72" s="19">
        <v>2</v>
      </c>
      <c r="I72" s="19">
        <v>1</v>
      </c>
      <c r="J72" s="19">
        <v>1</v>
      </c>
      <c r="K72" s="19">
        <v>1</v>
      </c>
    </row>
    <row r="80" spans="1:11" x14ac:dyDescent="0.35">
      <c r="A80" s="14" t="s">
        <v>45</v>
      </c>
    </row>
    <row r="81" spans="1:12" s="15" customFormat="1" x14ac:dyDescent="0.35">
      <c r="A81" s="17" t="s">
        <v>10</v>
      </c>
      <c r="B81" s="94">
        <v>41364</v>
      </c>
      <c r="C81" s="94">
        <v>41729</v>
      </c>
      <c r="D81" s="94">
        <v>42094</v>
      </c>
      <c r="E81" s="94">
        <v>42460</v>
      </c>
      <c r="F81" s="94">
        <v>42825</v>
      </c>
      <c r="G81" s="94">
        <v>43190</v>
      </c>
      <c r="H81" s="94">
        <v>43555</v>
      </c>
      <c r="I81" s="94">
        <v>43921</v>
      </c>
      <c r="J81" s="94">
        <v>44286</v>
      </c>
      <c r="K81" s="94">
        <v>44651</v>
      </c>
      <c r="L81" s="95"/>
    </row>
    <row r="82" spans="1:12" s="14" customFormat="1" x14ac:dyDescent="0.35">
      <c r="A82" s="16" t="s">
        <v>46</v>
      </c>
      <c r="B82" s="19">
        <v>92.1</v>
      </c>
      <c r="C82" s="19">
        <v>131.46</v>
      </c>
      <c r="D82" s="19">
        <v>112.56</v>
      </c>
      <c r="E82" s="19">
        <v>167.49</v>
      </c>
      <c r="F82" s="19">
        <v>130.43</v>
      </c>
      <c r="G82" s="19">
        <v>138.33000000000001</v>
      </c>
      <c r="H82" s="19">
        <v>200.36</v>
      </c>
      <c r="I82" s="19">
        <v>415.93</v>
      </c>
      <c r="J82" s="19">
        <v>218.91</v>
      </c>
      <c r="K82" s="19">
        <v>127.1</v>
      </c>
    </row>
    <row r="83" spans="1:12" x14ac:dyDescent="0.35">
      <c r="A83" s="16" t="s">
        <v>47</v>
      </c>
      <c r="B83" s="19">
        <v>-112.58</v>
      </c>
      <c r="C83" s="19">
        <v>-9.0399999999999991</v>
      </c>
      <c r="D83" s="19">
        <v>-53.49</v>
      </c>
      <c r="E83" s="19">
        <v>-72.19</v>
      </c>
      <c r="F83" s="19">
        <v>-26.79</v>
      </c>
      <c r="G83" s="19">
        <v>-38.78</v>
      </c>
      <c r="H83" s="19">
        <v>-242.71</v>
      </c>
      <c r="I83" s="19">
        <v>-197.46</v>
      </c>
      <c r="J83" s="19">
        <v>-198.21</v>
      </c>
      <c r="K83" s="19">
        <v>-255.8</v>
      </c>
    </row>
    <row r="84" spans="1:12" x14ac:dyDescent="0.35">
      <c r="A84" s="16" t="s">
        <v>48</v>
      </c>
      <c r="B84" s="19">
        <v>22.3</v>
      </c>
      <c r="C84" s="19">
        <v>-113.49</v>
      </c>
      <c r="D84" s="19">
        <v>-74.63</v>
      </c>
      <c r="E84" s="19">
        <v>-50.22</v>
      </c>
      <c r="F84" s="19">
        <v>-45.08</v>
      </c>
      <c r="G84" s="19">
        <v>-29.86</v>
      </c>
      <c r="H84" s="19">
        <v>-40.26</v>
      </c>
      <c r="I84" s="19">
        <v>-109.05</v>
      </c>
      <c r="J84" s="19">
        <v>-3.1</v>
      </c>
      <c r="K84" s="19">
        <v>-46.43</v>
      </c>
    </row>
    <row r="85" spans="1:12" s="14" customFormat="1" x14ac:dyDescent="0.35">
      <c r="A85" s="16" t="s">
        <v>49</v>
      </c>
      <c r="B85" s="19">
        <v>1.82</v>
      </c>
      <c r="C85" s="19">
        <v>8.93</v>
      </c>
      <c r="D85" s="19">
        <v>-15.56</v>
      </c>
      <c r="E85" s="19">
        <v>45.09</v>
      </c>
      <c r="F85" s="19">
        <v>58.57</v>
      </c>
      <c r="G85" s="19">
        <v>69.69</v>
      </c>
      <c r="H85" s="19">
        <v>-82.62</v>
      </c>
      <c r="I85" s="19">
        <v>109.42</v>
      </c>
      <c r="J85" s="19">
        <v>17.600000000000001</v>
      </c>
      <c r="K85" s="19">
        <v>-175.13</v>
      </c>
    </row>
    <row r="90" spans="1:12" s="14" customFormat="1" x14ac:dyDescent="0.35">
      <c r="A90" s="14" t="s">
        <v>50</v>
      </c>
      <c r="B90" s="19">
        <v>51.88</v>
      </c>
      <c r="C90" s="19">
        <v>140.53</v>
      </c>
      <c r="D90" s="19">
        <v>261.95</v>
      </c>
      <c r="E90" s="19">
        <v>194.53</v>
      </c>
      <c r="F90" s="19">
        <v>379</v>
      </c>
      <c r="G90" s="19">
        <v>451.28</v>
      </c>
      <c r="H90" s="19">
        <v>822.18</v>
      </c>
      <c r="I90" s="19">
        <v>774.55</v>
      </c>
      <c r="J90" s="19">
        <v>1399.95</v>
      </c>
      <c r="K90" s="19">
        <v>1953.2</v>
      </c>
    </row>
    <row r="92" spans="1:12" s="14" customFormat="1" x14ac:dyDescent="0.35">
      <c r="A92" s="14" t="s">
        <v>51</v>
      </c>
    </row>
    <row r="93" spans="1:12" x14ac:dyDescent="0.35">
      <c r="A93" s="16" t="s">
        <v>52</v>
      </c>
      <c r="B93" s="20">
        <v>9.85</v>
      </c>
      <c r="C93" s="20">
        <v>9.85</v>
      </c>
      <c r="D93" s="20">
        <v>10.32</v>
      </c>
      <c r="E93" s="20">
        <v>10.32</v>
      </c>
      <c r="F93" s="20">
        <v>10.32</v>
      </c>
      <c r="G93" s="20">
        <v>10.28</v>
      </c>
      <c r="H93" s="20">
        <v>10.28</v>
      </c>
      <c r="I93" s="20">
        <v>10.28</v>
      </c>
      <c r="J93" s="20">
        <v>10.28</v>
      </c>
      <c r="K93" s="20">
        <v>10.28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6D27C303-A14F-134E-AAE8-555973D019BE}"/>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6"/>
  <sheetViews>
    <sheetView workbookViewId="0">
      <selection activeCell="O23" sqref="O23"/>
    </sheetView>
  </sheetViews>
  <sheetFormatPr defaultColWidth="9.1796875" defaultRowHeight="14.5" x14ac:dyDescent="0.35"/>
  <cols>
    <col min="1" max="1" width="9.1796875" style="3"/>
    <col min="2" max="2" width="10.453125" customWidth="1"/>
    <col min="3" max="3" width="13.36328125" style="2" customWidth="1"/>
    <col min="6" max="6" width="6.81640625" customWidth="1"/>
  </cols>
  <sheetData>
    <row r="1" spans="1:7" ht="21" x14ac:dyDescent="0.5">
      <c r="A1" s="1" t="s">
        <v>53</v>
      </c>
    </row>
    <row r="3" spans="1:7" x14ac:dyDescent="0.35">
      <c r="A3" s="3" t="s">
        <v>54</v>
      </c>
    </row>
    <row r="4" spans="1:7" x14ac:dyDescent="0.35">
      <c r="B4" t="s">
        <v>55</v>
      </c>
    </row>
    <row r="5" spans="1:7" x14ac:dyDescent="0.35">
      <c r="B5" t="s">
        <v>56</v>
      </c>
    </row>
    <row r="7" spans="1:7" x14ac:dyDescent="0.35">
      <c r="A7" s="3" t="s">
        <v>57</v>
      </c>
    </row>
    <row r="8" spans="1:7" x14ac:dyDescent="0.35">
      <c r="B8" t="s">
        <v>58</v>
      </c>
      <c r="C8" s="4" t="s">
        <v>59</v>
      </c>
    </row>
    <row r="10" spans="1:7" x14ac:dyDescent="0.35">
      <c r="A10" s="3" t="s">
        <v>60</v>
      </c>
    </row>
    <row r="11" spans="1:7" x14ac:dyDescent="0.35">
      <c r="B11" t="s">
        <v>61</v>
      </c>
    </row>
    <row r="14" spans="1:7" x14ac:dyDescent="0.35">
      <c r="A14" s="3" t="s">
        <v>62</v>
      </c>
    </row>
    <row r="15" spans="1:7" x14ac:dyDescent="0.35">
      <c r="B15" t="s">
        <v>63</v>
      </c>
    </row>
    <row r="16" spans="1:7" x14ac:dyDescent="0.35">
      <c r="B16" t="s">
        <v>64</v>
      </c>
      <c r="G16" s="5" t="s">
        <v>65</v>
      </c>
    </row>
  </sheetData>
  <hyperlinks>
    <hyperlink ref="C8" r:id="rId1" display=" http://www.screener.in/excel" xr:uid="{00000000-0004-0000-0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Instructions</vt:lpstr>
      <vt:lpstr>Overview</vt:lpstr>
      <vt:lpstr>Income Statement</vt:lpstr>
      <vt:lpstr>Income Statement_Quarterly</vt:lpstr>
      <vt:lpstr>Balance Sheet</vt:lpstr>
      <vt:lpstr>Cashflow Statement</vt:lpstr>
      <vt:lpstr>Ratio Analysis</vt:lpstr>
      <vt:lpstr>DuPont Analysis</vt:lpstr>
      <vt:lpstr>Graphs</vt:lpstr>
      <vt:lpstr>Data Sheet</vt:lpstr>
      <vt:lpstr>Customization</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TechnoFunda Investing Excel Template</dc:title>
  <dc:subject>TechnoFunda Investing</dc:subject>
  <dc:creator>Vivek Mashrani</dc:creator>
  <cp:keywords>TechnoFunda;Screener;Investing</cp:keywords>
  <cp:lastModifiedBy>PATEL Harsh</cp:lastModifiedBy>
  <dcterms:created xsi:type="dcterms:W3CDTF">2020-12-23T10:12:59Z</dcterms:created>
  <dcterms:modified xsi:type="dcterms:W3CDTF">2026-05-28T08:41:09Z</dcterms:modified>
</cp:coreProperties>
</file>