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rsh\Desktop\"/>
    </mc:Choice>
  </mc:AlternateContent>
  <bookViews>
    <workbookView xWindow="0" yWindow="0" windowWidth="20490" windowHeight="7530"/>
  </bookViews>
  <sheets>
    <sheet name="P-wave calibration" sheetId="1" r:id="rId1"/>
    <sheet name="S-wave calibration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J4" i="1"/>
  <c r="J2" i="1"/>
  <c r="I4" i="2" l="1"/>
  <c r="J4" i="2"/>
  <c r="H3" i="1"/>
  <c r="E7" i="2"/>
  <c r="E6" i="2"/>
  <c r="E5" i="2"/>
  <c r="I36" i="2"/>
  <c r="E8" i="2"/>
  <c r="B22" i="2" s="1"/>
  <c r="E9" i="2"/>
  <c r="E10" i="2"/>
  <c r="D18" i="2"/>
  <c r="C18" i="2"/>
  <c r="D17" i="2"/>
  <c r="C17" i="2"/>
  <c r="D16" i="2"/>
  <c r="C16" i="2"/>
  <c r="E18" i="2"/>
  <c r="E17" i="2"/>
  <c r="E16" i="2"/>
  <c r="F6" i="2" l="1"/>
  <c r="F7" i="2"/>
  <c r="F5" i="2"/>
  <c r="F4" i="2"/>
  <c r="F3" i="2"/>
  <c r="F2" i="2"/>
  <c r="F10" i="2"/>
  <c r="F9" i="2"/>
  <c r="F8" i="2"/>
  <c r="H4" i="1" l="1"/>
  <c r="J33" i="2"/>
  <c r="D2" i="2" l="1"/>
  <c r="D3" i="2"/>
  <c r="D4" i="2"/>
  <c r="D5" i="2"/>
  <c r="D6" i="2"/>
  <c r="D7" i="2"/>
  <c r="D8" i="2"/>
  <c r="C8" i="2"/>
  <c r="C6" i="2"/>
  <c r="C5" i="2"/>
  <c r="C7" i="2"/>
  <c r="C4" i="2"/>
  <c r="C3" i="2"/>
  <c r="C2" i="2"/>
  <c r="E15" i="2" l="1"/>
  <c r="E14" i="2"/>
  <c r="E13" i="2"/>
  <c r="E12" i="2"/>
  <c r="I35" i="2"/>
  <c r="D15" i="2"/>
  <c r="C15" i="2"/>
  <c r="D14" i="2"/>
  <c r="C14" i="2"/>
  <c r="D13" i="2"/>
  <c r="C13" i="2"/>
  <c r="D12" i="2"/>
  <c r="C12" i="2"/>
  <c r="D10" i="2"/>
  <c r="C10" i="2"/>
  <c r="D9" i="2"/>
  <c r="C9" i="2"/>
  <c r="H2" i="1"/>
  <c r="C24" i="1"/>
  <c r="B25" i="1" s="1"/>
  <c r="B24" i="1"/>
  <c r="C23" i="1"/>
  <c r="C22" i="1"/>
  <c r="B23" i="1"/>
  <c r="B22" i="1"/>
  <c r="E19" i="1"/>
  <c r="E18" i="1"/>
  <c r="E17" i="1"/>
  <c r="E16" i="1"/>
  <c r="D17" i="1"/>
  <c r="D18" i="1"/>
  <c r="D19" i="1"/>
  <c r="D16" i="1"/>
  <c r="D14" i="1"/>
  <c r="D13" i="1"/>
  <c r="D12" i="1"/>
  <c r="D11" i="1"/>
  <c r="E14" i="1"/>
  <c r="E13" i="1"/>
  <c r="E12" i="1"/>
  <c r="E11" i="1"/>
  <c r="C19" i="1"/>
  <c r="C18" i="1"/>
  <c r="C17" i="1"/>
  <c r="C16" i="1"/>
  <c r="C14" i="1"/>
  <c r="C13" i="1"/>
  <c r="C12" i="1"/>
  <c r="C11" i="1"/>
  <c r="J23" i="1"/>
  <c r="E2" i="1"/>
  <c r="E3" i="1"/>
  <c r="E4" i="1"/>
  <c r="I23" i="1"/>
  <c r="C3" i="1"/>
  <c r="B23" i="2" l="1"/>
  <c r="B24" i="2" s="1"/>
  <c r="B25" i="2" s="1"/>
  <c r="H23" i="1"/>
  <c r="E5" i="1" l="1"/>
  <c r="E6" i="1"/>
  <c r="E7" i="1"/>
  <c r="E10" i="1"/>
  <c r="E9" i="1"/>
  <c r="D2" i="1"/>
  <c r="D3" i="1"/>
  <c r="D4" i="1"/>
  <c r="D5" i="1"/>
  <c r="D6" i="1"/>
  <c r="D7" i="1"/>
  <c r="D9" i="1"/>
  <c r="D10" i="1"/>
  <c r="C2" i="1"/>
  <c r="C4" i="1"/>
  <c r="C5" i="1"/>
  <c r="C6" i="1"/>
  <c r="C7" i="1"/>
  <c r="E8" i="1"/>
  <c r="D8" i="1"/>
  <c r="H1" i="1"/>
  <c r="C8" i="1"/>
  <c r="C9" i="1"/>
  <c r="C10" i="1"/>
</calcChain>
</file>

<file path=xl/sharedStrings.xml><?xml version="1.0" encoding="utf-8"?>
<sst xmlns="http://schemas.openxmlformats.org/spreadsheetml/2006/main" count="43" uniqueCount="27">
  <si>
    <t>Offset (inch)</t>
  </si>
  <si>
    <t>Trigger Time (s)</t>
  </si>
  <si>
    <t>Travel Time (s)</t>
  </si>
  <si>
    <t>Pressure (psi)</t>
  </si>
  <si>
    <t>Offset (m)</t>
  </si>
  <si>
    <t>Velocity (m/s)</t>
  </si>
  <si>
    <t xml:space="preserve">Trigger Time </t>
  </si>
  <si>
    <t>Slope (s/m)</t>
  </si>
  <si>
    <t>Zero Intercept time (s)</t>
  </si>
  <si>
    <t>Steel Velocity</t>
  </si>
  <si>
    <t>Secondary Correction</t>
  </si>
  <si>
    <t>Primary Correction (s)</t>
  </si>
  <si>
    <t>Secondary Correction (s)</t>
  </si>
  <si>
    <t>Difference</t>
  </si>
  <si>
    <t>Velocity @ 1000psi</t>
  </si>
  <si>
    <t>Velocity @ 2000psi</t>
  </si>
  <si>
    <t>Endcaps only</t>
  </si>
  <si>
    <t>Endcaps + porous</t>
  </si>
  <si>
    <t>Secondary correction</t>
  </si>
  <si>
    <t>S1 Travel Time (s)</t>
  </si>
  <si>
    <t>S2 Travel Time (s)</t>
  </si>
  <si>
    <t>Total Correction</t>
  </si>
  <si>
    <t>Total Correction (s)</t>
  </si>
  <si>
    <t>S1</t>
  </si>
  <si>
    <t>S2</t>
  </si>
  <si>
    <t>m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</si>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</sst>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ck">
        <color theme="4" tint="0.499984740745262"/>
      </bottom>
      <diagonal/>
    </border>
    <border>
      <left/>
      <right style="thin">
        <color indexed="64"/>
      </right>
      <top style="thick">
        <color theme="4" tint="0.499984740745262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1" fillId="3" borderId="3" applyNumberFormat="0" applyFont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24">
    <xf numFmtId="0" fontId="0" fillId="0" borderId="0" xfId="0"/>
    <xf numFmtId="0" fontId="0" fillId="0" borderId="0" xfId="0" applyBorder="1"/>
    <xf numFmtId="0" fontId="0" fillId="0" borderId="4" xfId="0" applyBorder="1"/>
    <xf numFmtId="0" fontId="2" fillId="0" borderId="6" xfId="1" applyBorder="1"/>
    <xf numFmtId="0" fontId="2" fillId="3" borderId="3" xfId="3" applyFont="1"/>
    <xf numFmtId="0" fontId="0" fillId="3" borderId="3" xfId="3" applyFont="1"/>
    <xf numFmtId="0" fontId="3" fillId="2" borderId="2" xfId="2"/>
    <xf numFmtId="0" fontId="0" fillId="0" borderId="7" xfId="0" applyBorder="1"/>
    <xf numFmtId="0" fontId="0" fillId="0" borderId="5" xfId="0" applyBorder="1"/>
    <xf numFmtId="0" fontId="2" fillId="0" borderId="0" xfId="1" applyBorder="1"/>
    <xf numFmtId="0" fontId="0" fillId="0" borderId="8" xfId="0" applyBorder="1"/>
    <xf numFmtId="0" fontId="3" fillId="2" borderId="10" xfId="2" applyBorder="1"/>
    <xf numFmtId="0" fontId="4" fillId="4" borderId="4" xfId="4" applyBorder="1"/>
    <xf numFmtId="0" fontId="4" fillId="4" borderId="5" xfId="4" applyBorder="1"/>
    <xf numFmtId="0" fontId="2" fillId="3" borderId="11" xfId="3" applyFont="1" applyBorder="1"/>
    <xf numFmtId="0" fontId="2" fillId="0" borderId="4" xfId="1" applyBorder="1"/>
    <xf numFmtId="0" fontId="3" fillId="2" borderId="13" xfId="2" applyBorder="1"/>
    <xf numFmtId="0" fontId="0" fillId="6" borderId="4" xfId="0" applyFill="1" applyBorder="1"/>
    <xf numFmtId="0" fontId="0" fillId="6" borderId="5" xfId="0" applyFill="1" applyBorder="1"/>
    <xf numFmtId="0" fontId="4" fillId="4" borderId="12" xfId="4" applyBorder="1"/>
    <xf numFmtId="0" fontId="5" fillId="5" borderId="4" xfId="5" applyBorder="1"/>
    <xf numFmtId="0" fontId="4" fillId="4" borderId="0" xfId="4"/>
    <xf numFmtId="0" fontId="2" fillId="0" borderId="9" xfId="1" applyBorder="1" applyAlignment="1">
      <alignment horizontal="center"/>
    </xf>
    <xf numFmtId="0" fontId="2" fillId="0" borderId="14" xfId="1" applyBorder="1" applyAlignment="1">
      <alignment horizontal="center"/>
    </xf>
  </cellXfs>
  <cellStyles count="6">
    <cellStyle name="Bad" xfId="5" builtinId="27"/>
    <cellStyle name="Good" xfId="4" builtinId="26"/>
    <cellStyle name="Heading 2" xfId="1" builtinId="17"/>
    <cellStyle name="Input" xfId="2" builtinId="20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Steel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Steel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9325108978445528E-2"/>
                  <c:y val="0.31289156626506026"/>
                </c:manualLayout>
              </c:layout>
              <c:numFmt formatCode="#,##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'P-wave calibration'!$C$2:$C$10</c:f>
              <c:numCache>
                <c:formatCode>General</c:formatCode>
                <c:ptCount val="9"/>
                <c:pt idx="0">
                  <c:v>2.5399999999999999E-2</c:v>
                </c:pt>
                <c:pt idx="1">
                  <c:v>2.5399999999999999E-2</c:v>
                </c:pt>
                <c:pt idx="2">
                  <c:v>2.5399999999999999E-2</c:v>
                </c:pt>
                <c:pt idx="3">
                  <c:v>3.8099999999999995E-2</c:v>
                </c:pt>
                <c:pt idx="4">
                  <c:v>3.8099999999999995E-2</c:v>
                </c:pt>
                <c:pt idx="5">
                  <c:v>3.8099999999999995E-2</c:v>
                </c:pt>
                <c:pt idx="6">
                  <c:v>5.0799999999999998E-2</c:v>
                </c:pt>
                <c:pt idx="7">
                  <c:v>5.0799999999999998E-2</c:v>
                </c:pt>
                <c:pt idx="8">
                  <c:v>5.0799999999999998E-2</c:v>
                </c:pt>
              </c:numCache>
            </c:numRef>
          </c:xVal>
          <c:yVal>
            <c:numRef>
              <c:f>'P-wave calibration'!$E$2:$E$10</c:f>
              <c:numCache>
                <c:formatCode>General</c:formatCode>
                <c:ptCount val="9"/>
                <c:pt idx="0">
                  <c:v>1.9040000000000001E-5</c:v>
                </c:pt>
                <c:pt idx="1">
                  <c:v>1.8839999999999999E-5</c:v>
                </c:pt>
                <c:pt idx="2">
                  <c:v>1.8922000000000003E-5</c:v>
                </c:pt>
                <c:pt idx="3">
                  <c:v>2.1120000000000001E-5</c:v>
                </c:pt>
                <c:pt idx="4">
                  <c:v>2.1160000000000004E-5</c:v>
                </c:pt>
                <c:pt idx="5">
                  <c:v>2.1120000000000001E-5</c:v>
                </c:pt>
                <c:pt idx="6">
                  <c:v>2.3240000000000001E-5</c:v>
                </c:pt>
                <c:pt idx="7">
                  <c:v>2.3280000000000001E-5</c:v>
                </c:pt>
                <c:pt idx="8">
                  <c:v>2.332E-5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3-41F2-B178-D748A7804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506528"/>
        <c:axId val="215506856"/>
      </c:scatterChart>
      <c:valAx>
        <c:axId val="21550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Offset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06856"/>
        <c:crosses val="autoZero"/>
        <c:crossBetween val="midCat"/>
      </c:valAx>
      <c:valAx>
        <c:axId val="21550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Travel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0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Vp - Pressure Dependence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Steel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6877800495932"/>
                  <c:y val="-0.46219579269009287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('P-wave calibration'!$A$8:$A$9,'P-wave calibration'!$A$11:$A$14)</c:f>
              <c:numCache>
                <c:formatCode>General</c:formatCode>
                <c:ptCount val="6"/>
                <c:pt idx="0">
                  <c:v>400</c:v>
                </c:pt>
                <c:pt idx="1">
                  <c:v>400</c:v>
                </c:pt>
                <c:pt idx="2">
                  <c:v>1000</c:v>
                </c:pt>
                <c:pt idx="3">
                  <c:v>1000</c:v>
                </c:pt>
                <c:pt idx="4">
                  <c:v>2000</c:v>
                </c:pt>
                <c:pt idx="5">
                  <c:v>2000</c:v>
                </c:pt>
              </c:numCache>
            </c:numRef>
          </c:xVal>
          <c:yVal>
            <c:numRef>
              <c:f>('P-wave calibration'!$E$8:$E$9,'P-wave calibration'!$E$11:$E$14)</c:f>
              <c:numCache>
                <c:formatCode>General</c:formatCode>
                <c:ptCount val="6"/>
                <c:pt idx="0">
                  <c:v>2.3240000000000001E-5</c:v>
                </c:pt>
                <c:pt idx="1">
                  <c:v>2.3280000000000001E-5</c:v>
                </c:pt>
                <c:pt idx="2">
                  <c:v>2.3240000000000001E-5</c:v>
                </c:pt>
                <c:pt idx="3">
                  <c:v>2.3200000000000001E-5</c:v>
                </c:pt>
                <c:pt idx="4">
                  <c:v>2.3160000000000002E-5</c:v>
                </c:pt>
                <c:pt idx="5">
                  <c:v>2.3160000000000002E-5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97-4222-A299-D47B2034F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506528"/>
        <c:axId val="215506856"/>
      </c:scatterChart>
      <c:valAx>
        <c:axId val="21550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06856"/>
        <c:crosses val="autoZero"/>
        <c:crossBetween val="midCat"/>
      </c:valAx>
      <c:valAx>
        <c:axId val="21550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Travel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0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Steel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583272374575344"/>
                  <c:y val="-1.7406769630317759E-3"/>
                </c:manualLayout>
              </c:layout>
              <c:numFmt formatCode="#,##0.0000000000" sourceLinked="0"/>
              <c:spPr>
                <a:solidFill>
                  <a:srgbClr val="5B9BD5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'S-wave calibration'!$C$2:$C$10</c:f>
              <c:numCache>
                <c:formatCode>General</c:formatCode>
                <c:ptCount val="9"/>
                <c:pt idx="0">
                  <c:v>2.5399999999999999E-2</c:v>
                </c:pt>
                <c:pt idx="1">
                  <c:v>2.5399999999999999E-2</c:v>
                </c:pt>
                <c:pt idx="2">
                  <c:v>2.5399999999999999E-2</c:v>
                </c:pt>
                <c:pt idx="3">
                  <c:v>3.8099999999999995E-2</c:v>
                </c:pt>
                <c:pt idx="4">
                  <c:v>3.8099999999999995E-2</c:v>
                </c:pt>
                <c:pt idx="5">
                  <c:v>3.8099999999999995E-2</c:v>
                </c:pt>
                <c:pt idx="6">
                  <c:v>5.0799999999999998E-2</c:v>
                </c:pt>
                <c:pt idx="7">
                  <c:v>5.0799999999999998E-2</c:v>
                </c:pt>
                <c:pt idx="8">
                  <c:v>5.0799999999999998E-2</c:v>
                </c:pt>
              </c:numCache>
            </c:numRef>
          </c:xVal>
          <c:yVal>
            <c:numRef>
              <c:f>'S-wave calibration'!$F$2:$F$10</c:f>
              <c:numCache>
                <c:formatCode>General</c:formatCode>
                <c:ptCount val="9"/>
                <c:pt idx="0">
                  <c:v>3.1000000000000001E-5</c:v>
                </c:pt>
                <c:pt idx="1">
                  <c:v>3.1080000000000001E-5</c:v>
                </c:pt>
                <c:pt idx="2">
                  <c:v>3.1000000000000001E-5</c:v>
                </c:pt>
                <c:pt idx="3">
                  <c:v>3.3160000000000001E-5</c:v>
                </c:pt>
                <c:pt idx="4">
                  <c:v>3.4517000000000002E-5</c:v>
                </c:pt>
                <c:pt idx="5">
                  <c:v>3.3359999999999999E-5</c:v>
                </c:pt>
                <c:pt idx="6">
                  <c:v>3.8840000000000001E-5</c:v>
                </c:pt>
                <c:pt idx="7">
                  <c:v>3.8359999999999999E-5</c:v>
                </c:pt>
                <c:pt idx="8">
                  <c:v>3.8759000000000006E-5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86-40F0-9F8D-9FB8E7CCB92C}"/>
            </c:ext>
          </c:extLst>
        </c:ser>
        <c:ser>
          <c:idx val="1"/>
          <c:order val="1"/>
          <c:tx>
            <c:v>S1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0340370998644254E-2"/>
                  <c:y val="0.13699678113405414"/>
                </c:manualLayout>
              </c:layout>
              <c:numFmt formatCode="#,##0.0000000000" sourceLinked="0"/>
              <c:spPr>
                <a:solidFill>
                  <a:srgbClr val="ED7D3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'S-wave calibration'!$C$5:$C$10</c:f>
              <c:numCache>
                <c:formatCode>General</c:formatCode>
                <c:ptCount val="6"/>
                <c:pt idx="0">
                  <c:v>3.8099999999999995E-2</c:v>
                </c:pt>
                <c:pt idx="1">
                  <c:v>3.8099999999999995E-2</c:v>
                </c:pt>
                <c:pt idx="2">
                  <c:v>3.8099999999999995E-2</c:v>
                </c:pt>
                <c:pt idx="3">
                  <c:v>5.0799999999999998E-2</c:v>
                </c:pt>
                <c:pt idx="4">
                  <c:v>5.0799999999999998E-2</c:v>
                </c:pt>
                <c:pt idx="5">
                  <c:v>5.0799999999999998E-2</c:v>
                </c:pt>
              </c:numCache>
            </c:numRef>
          </c:xVal>
          <c:yVal>
            <c:numRef>
              <c:f>'S-wave calibration'!$E$5:$E$10</c:f>
              <c:numCache>
                <c:formatCode>General</c:formatCode>
                <c:ptCount val="6"/>
                <c:pt idx="0">
                  <c:v>2.8400000000000003E-5</c:v>
                </c:pt>
                <c:pt idx="1">
                  <c:v>2.8480000000000002E-5</c:v>
                </c:pt>
                <c:pt idx="2">
                  <c:v>2.828E-5</c:v>
                </c:pt>
                <c:pt idx="3">
                  <c:v>3.2160000000000004E-5</c:v>
                </c:pt>
                <c:pt idx="4">
                  <c:v>3.2360000000000002E-5</c:v>
                </c:pt>
                <c:pt idx="5">
                  <c:v>3.2400000000000001E-5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05-45C7-9D13-6345126B9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506528"/>
        <c:axId val="215506856"/>
      </c:scatterChart>
      <c:valAx>
        <c:axId val="21550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Offset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06856"/>
        <c:crosses val="autoZero"/>
        <c:crossBetween val="midCat"/>
      </c:valAx>
      <c:valAx>
        <c:axId val="21550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Travel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0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Vp - Pressure Dependence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Steel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6877800495932"/>
                  <c:y val="-0.46219579269009287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('P-wave calibration'!$A$8:$A$9,'P-wave calibration'!$A$11:$A$14)</c:f>
              <c:numCache>
                <c:formatCode>General</c:formatCode>
                <c:ptCount val="6"/>
                <c:pt idx="0">
                  <c:v>400</c:v>
                </c:pt>
                <c:pt idx="1">
                  <c:v>400</c:v>
                </c:pt>
                <c:pt idx="2">
                  <c:v>1000</c:v>
                </c:pt>
                <c:pt idx="3">
                  <c:v>1000</c:v>
                </c:pt>
                <c:pt idx="4">
                  <c:v>2000</c:v>
                </c:pt>
                <c:pt idx="5">
                  <c:v>2000</c:v>
                </c:pt>
              </c:numCache>
            </c:numRef>
          </c:xVal>
          <c:yVal>
            <c:numRef>
              <c:f>('P-wave calibration'!$E$8:$E$9,'P-wave calibration'!$E$11:$E$14)</c:f>
              <c:numCache>
                <c:formatCode>General</c:formatCode>
                <c:ptCount val="6"/>
                <c:pt idx="0">
                  <c:v>2.3240000000000001E-5</c:v>
                </c:pt>
                <c:pt idx="1">
                  <c:v>2.3280000000000001E-5</c:v>
                </c:pt>
                <c:pt idx="2">
                  <c:v>2.3240000000000001E-5</c:v>
                </c:pt>
                <c:pt idx="3">
                  <c:v>2.3200000000000001E-5</c:v>
                </c:pt>
                <c:pt idx="4">
                  <c:v>2.3160000000000002E-5</c:v>
                </c:pt>
                <c:pt idx="5">
                  <c:v>2.3160000000000002E-5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8C-48BF-BC9F-A8B623E76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506528"/>
        <c:axId val="215506856"/>
      </c:scatterChart>
      <c:valAx>
        <c:axId val="21550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06856"/>
        <c:crosses val="autoZero"/>
        <c:crossBetween val="midCat"/>
      </c:valAx>
      <c:valAx>
        <c:axId val="21550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Travel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0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394474</xdr:colOff>
      <xdr:row>5</xdr:row>
      <xdr:rowOff>104542</xdr:rowOff>
    </xdr:from>
    <xdr:to>
      <xdr:col>12</xdr:col>
      <xdr:colOff>346849</xdr:colOff>
      <xdr:row>20</xdr:row>
      <xdr:rowOff>1162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238125</xdr:colOff>
      <xdr:row>25</xdr:row>
      <xdr:rowOff>153330</xdr:rowOff>
    </xdr:from>
    <xdr:to>
      <xdr:col>12</xdr:col>
      <xdr:colOff>295275</xdr:colOff>
      <xdr:row>42</xdr:row>
      <xdr:rowOff>105705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5</xdr:row>
      <xdr:rowOff>34636</xdr:rowOff>
    </xdr:from>
    <xdr:to>
      <xdr:col>13</xdr:col>
      <xdr:colOff>323850</xdr:colOff>
      <xdr:row>33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297996</xdr:colOff>
      <xdr:row>37</xdr:row>
      <xdr:rowOff>187778</xdr:rowOff>
    </xdr:from>
    <xdr:to>
      <xdr:col>13</xdr:col>
      <xdr:colOff>355146</xdr:colOff>
      <xdr:row>54</xdr:row>
      <xdr:rowOff>140153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zoomScale="82" zoomScaleNormal="82" workbookViewId="0">
      <selection activeCell="P4" sqref="P4"/>
    </sheetView>
  </sheetViews>
  <sheetFormatPr defaultRowHeight="15" x14ac:dyDescent="0.25"/>
  <cols>
    <col min="1" max="1" width="19.85546875" style="2" bestFit="1" customWidth="1"/>
    <col min="2" max="3" width="17.85546875" style="2" bestFit="1" customWidth="1"/>
    <col min="4" max="4" width="17" style="2" bestFit="1" customWidth="1"/>
    <col min="5" max="5" width="16.140625" style="2" bestFit="1" customWidth="1"/>
    <col min="6" max="6" width="11" bestFit="1" customWidth="1"/>
    <col min="7" max="7" width="26.42578125" bestFit="1" customWidth="1"/>
    <col min="8" max="8" width="14.42578125" bestFit="1" customWidth="1"/>
    <col min="9" max="9" width="13.7109375" bestFit="1" customWidth="1"/>
    <col min="10" max="11" width="21.140625" bestFit="1" customWidth="1"/>
  </cols>
  <sheetData>
    <row r="1" spans="1:14" ht="18" thickBot="1" x14ac:dyDescent="0.35">
      <c r="A1" s="3" t="s">
        <v>3</v>
      </c>
      <c r="B1" s="3" t="s">
        <v>0</v>
      </c>
      <c r="C1" s="3" t="s">
        <v>4</v>
      </c>
      <c r="D1" s="3" t="s">
        <v>1</v>
      </c>
      <c r="E1" s="3" t="s">
        <v>2</v>
      </c>
      <c r="G1" s="4" t="s">
        <v>6</v>
      </c>
      <c r="H1" s="5">
        <f>2*10^-7</f>
        <v>1.9999999999999999E-7</v>
      </c>
    </row>
    <row r="2" spans="1:14" ht="18" thickTop="1" x14ac:dyDescent="0.3">
      <c r="A2" s="7">
        <v>400</v>
      </c>
      <c r="B2" s="7">
        <v>1</v>
      </c>
      <c r="C2" s="7">
        <f t="shared" ref="C2:C7" si="0">B2*0.0254</f>
        <v>2.5399999999999999E-2</v>
      </c>
      <c r="D2" s="7">
        <f t="shared" ref="D2:D7" si="1">2*10^-7</f>
        <v>1.9999999999999999E-7</v>
      </c>
      <c r="E2" s="7">
        <f>1.904*10^-5</f>
        <v>1.9040000000000001E-5</v>
      </c>
      <c r="G2" s="4" t="s">
        <v>11</v>
      </c>
      <c r="H2" s="5">
        <f>0.0000146</f>
        <v>1.4600000000000001E-5</v>
      </c>
      <c r="J2">
        <f>3*10^-5</f>
        <v>3.0000000000000004E-5</v>
      </c>
    </row>
    <row r="3" spans="1:14" ht="17.25" x14ac:dyDescent="0.3">
      <c r="A3" s="2">
        <v>400</v>
      </c>
      <c r="B3" s="2">
        <v>1</v>
      </c>
      <c r="C3" s="2">
        <f>B2*0.0254</f>
        <v>2.5399999999999999E-2</v>
      </c>
      <c r="D3" s="2">
        <f t="shared" si="1"/>
        <v>1.9999999999999999E-7</v>
      </c>
      <c r="E3" s="2">
        <f>1.884*10^-5</f>
        <v>1.8839999999999999E-5</v>
      </c>
      <c r="G3" s="4" t="s">
        <v>12</v>
      </c>
      <c r="H3" s="5">
        <f>0.00000159</f>
        <v>1.59E-6</v>
      </c>
      <c r="J3">
        <v>1.6189999999999999E-5</v>
      </c>
    </row>
    <row r="4" spans="1:14" ht="17.25" x14ac:dyDescent="0.3">
      <c r="A4" s="2">
        <v>400</v>
      </c>
      <c r="B4" s="2">
        <v>1</v>
      </c>
      <c r="C4" s="2">
        <f>B3*0.0254</f>
        <v>2.5399999999999999E-2</v>
      </c>
      <c r="D4" s="2">
        <f t="shared" si="1"/>
        <v>1.9999999999999999E-7</v>
      </c>
      <c r="E4" s="2">
        <f>1.8922*10^-5</f>
        <v>1.8922000000000003E-5</v>
      </c>
      <c r="G4" s="14" t="s">
        <v>21</v>
      </c>
      <c r="H4" s="5">
        <f>H2+H3</f>
        <v>1.6189999999999999E-5</v>
      </c>
      <c r="J4">
        <f>J2-J3</f>
        <v>1.3810000000000005E-5</v>
      </c>
      <c r="K4" t="s">
        <v>26</v>
      </c>
      <c r="L4">
        <v>3.3020000000000001E-2</v>
      </c>
      <c r="M4" t="s">
        <v>25</v>
      </c>
      <c r="N4">
        <f>L4/J4</f>
        <v>2391.0209992758864</v>
      </c>
    </row>
    <row r="5" spans="1:14" x14ac:dyDescent="0.25">
      <c r="A5" s="2">
        <v>400</v>
      </c>
      <c r="B5" s="2">
        <v>1.5</v>
      </c>
      <c r="C5" s="2">
        <f t="shared" si="0"/>
        <v>3.8099999999999995E-2</v>
      </c>
      <c r="D5" s="2">
        <f t="shared" si="1"/>
        <v>1.9999999999999999E-7</v>
      </c>
      <c r="E5" s="2">
        <f>2.112*10^-5</f>
        <v>2.1120000000000001E-5</v>
      </c>
    </row>
    <row r="6" spans="1:14" x14ac:dyDescent="0.25">
      <c r="A6" s="2">
        <v>400</v>
      </c>
      <c r="B6" s="2">
        <v>1.5</v>
      </c>
      <c r="C6" s="2">
        <f t="shared" si="0"/>
        <v>3.8099999999999995E-2</v>
      </c>
      <c r="D6" s="2">
        <f t="shared" si="1"/>
        <v>1.9999999999999999E-7</v>
      </c>
      <c r="E6" s="2">
        <f>2.116*10^-5</f>
        <v>2.1160000000000004E-5</v>
      </c>
    </row>
    <row r="7" spans="1:14" x14ac:dyDescent="0.25">
      <c r="A7" s="2">
        <v>400</v>
      </c>
      <c r="B7" s="2">
        <v>1.5</v>
      </c>
      <c r="C7" s="2">
        <f t="shared" si="0"/>
        <v>3.8099999999999995E-2</v>
      </c>
      <c r="D7" s="2">
        <f t="shared" si="1"/>
        <v>1.9999999999999999E-7</v>
      </c>
      <c r="E7" s="2">
        <f>2.112*10^-5</f>
        <v>2.1120000000000001E-5</v>
      </c>
    </row>
    <row r="8" spans="1:14" x14ac:dyDescent="0.25">
      <c r="A8" s="2">
        <v>400</v>
      </c>
      <c r="B8" s="2">
        <v>2</v>
      </c>
      <c r="C8" s="2">
        <f t="shared" ref="C8:C14" si="2">B8*0.0254</f>
        <v>5.0799999999999998E-2</v>
      </c>
      <c r="D8" s="2">
        <f>2*10^-7</f>
        <v>1.9999999999999999E-7</v>
      </c>
      <c r="E8" s="2">
        <f>2.324*10^-5</f>
        <v>2.3240000000000001E-5</v>
      </c>
    </row>
    <row r="9" spans="1:14" x14ac:dyDescent="0.25">
      <c r="A9" s="2">
        <v>400</v>
      </c>
      <c r="B9" s="2">
        <v>2</v>
      </c>
      <c r="C9" s="2">
        <f t="shared" si="2"/>
        <v>5.0799999999999998E-2</v>
      </c>
      <c r="D9" s="2">
        <f t="shared" ref="D9:D10" si="3">2*10^-7</f>
        <v>1.9999999999999999E-7</v>
      </c>
      <c r="E9" s="2">
        <f>2.328*10^-5</f>
        <v>2.3280000000000001E-5</v>
      </c>
    </row>
    <row r="10" spans="1:14" x14ac:dyDescent="0.25">
      <c r="A10" s="8">
        <v>400</v>
      </c>
      <c r="B10" s="8">
        <v>2</v>
      </c>
      <c r="C10" s="8">
        <f t="shared" si="2"/>
        <v>5.0799999999999998E-2</v>
      </c>
      <c r="D10" s="8">
        <f t="shared" si="3"/>
        <v>1.9999999999999999E-7</v>
      </c>
      <c r="E10" s="8">
        <f>2.332*10^-5</f>
        <v>2.332E-5</v>
      </c>
      <c r="F10" s="1"/>
    </row>
    <row r="11" spans="1:14" x14ac:dyDescent="0.25">
      <c r="A11" s="2">
        <v>1000</v>
      </c>
      <c r="B11" s="2">
        <v>2</v>
      </c>
      <c r="C11" s="2">
        <f t="shared" si="2"/>
        <v>5.0799999999999998E-2</v>
      </c>
      <c r="D11" s="2">
        <f t="shared" ref="D11" si="4">2*10^-7</f>
        <v>1.9999999999999999E-7</v>
      </c>
      <c r="E11" s="10">
        <f>2.324*10^-5</f>
        <v>2.3240000000000001E-5</v>
      </c>
      <c r="F11" s="1"/>
    </row>
    <row r="12" spans="1:14" x14ac:dyDescent="0.25">
      <c r="A12" s="2">
        <v>1000</v>
      </c>
      <c r="B12" s="2">
        <v>2</v>
      </c>
      <c r="C12" s="2">
        <f t="shared" si="2"/>
        <v>5.0799999999999998E-2</v>
      </c>
      <c r="D12" s="2">
        <f>2*10^-7</f>
        <v>1.9999999999999999E-7</v>
      </c>
      <c r="E12" s="2">
        <f>2.32*10^-5</f>
        <v>2.3200000000000001E-5</v>
      </c>
      <c r="F12" s="1"/>
    </row>
    <row r="13" spans="1:14" x14ac:dyDescent="0.25">
      <c r="A13" s="2">
        <v>2000</v>
      </c>
      <c r="B13" s="2">
        <v>2</v>
      </c>
      <c r="C13" s="2">
        <f t="shared" si="2"/>
        <v>5.0799999999999998E-2</v>
      </c>
      <c r="D13" s="2">
        <f t="shared" ref="D13:D19" si="5">2*10^-7</f>
        <v>1.9999999999999999E-7</v>
      </c>
      <c r="E13" s="2">
        <f>2.316*10^-5</f>
        <v>2.3160000000000002E-5</v>
      </c>
      <c r="F13" s="1"/>
    </row>
    <row r="14" spans="1:14" x14ac:dyDescent="0.25">
      <c r="A14" s="8">
        <v>2000</v>
      </c>
      <c r="B14" s="8">
        <v>2</v>
      </c>
      <c r="C14" s="8">
        <f t="shared" si="2"/>
        <v>5.0799999999999998E-2</v>
      </c>
      <c r="D14" s="8">
        <f t="shared" si="5"/>
        <v>1.9999999999999999E-7</v>
      </c>
      <c r="E14" s="8">
        <f>2.316*10^-5</f>
        <v>2.3160000000000002E-5</v>
      </c>
      <c r="F14" s="1"/>
    </row>
    <row r="15" spans="1:14" ht="17.25" x14ac:dyDescent="0.3">
      <c r="A15" s="22" t="s">
        <v>10</v>
      </c>
      <c r="B15" s="22"/>
      <c r="C15" s="22"/>
      <c r="D15" s="22"/>
      <c r="E15" s="22"/>
      <c r="F15" s="9"/>
    </row>
    <row r="16" spans="1:14" x14ac:dyDescent="0.25">
      <c r="A16" s="2">
        <v>1000</v>
      </c>
      <c r="B16" s="2">
        <v>2</v>
      </c>
      <c r="C16" s="2">
        <f>B16*0.0254</f>
        <v>5.0799999999999998E-2</v>
      </c>
      <c r="D16" s="2">
        <f t="shared" si="5"/>
        <v>1.9999999999999999E-7</v>
      </c>
      <c r="E16" s="10">
        <f>2.512*10^-5</f>
        <v>2.5120000000000003E-5</v>
      </c>
      <c r="F16" s="1"/>
    </row>
    <row r="17" spans="1:10" x14ac:dyDescent="0.25">
      <c r="A17" s="2">
        <v>1000</v>
      </c>
      <c r="B17" s="2">
        <v>2</v>
      </c>
      <c r="C17" s="2">
        <f>B17*0.0254</f>
        <v>5.0799999999999998E-2</v>
      </c>
      <c r="D17" s="2">
        <f t="shared" si="5"/>
        <v>1.9999999999999999E-7</v>
      </c>
      <c r="E17" s="2">
        <f>2.504*10^-5</f>
        <v>2.5040000000000001E-5</v>
      </c>
      <c r="F17" s="1"/>
    </row>
    <row r="18" spans="1:10" x14ac:dyDescent="0.25">
      <c r="A18" s="2">
        <v>2000</v>
      </c>
      <c r="B18" s="2">
        <v>2</v>
      </c>
      <c r="C18" s="2">
        <f>B18*0.0254</f>
        <v>5.0799999999999998E-2</v>
      </c>
      <c r="D18" s="2">
        <f t="shared" si="5"/>
        <v>1.9999999999999999E-7</v>
      </c>
      <c r="E18" s="2">
        <f>2.448*10^-5</f>
        <v>2.4480000000000003E-5</v>
      </c>
      <c r="F18" s="1"/>
    </row>
    <row r="19" spans="1:10" x14ac:dyDescent="0.25">
      <c r="A19" s="8">
        <v>2000</v>
      </c>
      <c r="B19" s="8">
        <v>2</v>
      </c>
      <c r="C19" s="8">
        <f>B19*0.0254</f>
        <v>5.0799999999999998E-2</v>
      </c>
      <c r="D19" s="8">
        <f t="shared" si="5"/>
        <v>1.9999999999999999E-7</v>
      </c>
      <c r="E19" s="8">
        <f>2.448*10^-5</f>
        <v>2.4480000000000003E-5</v>
      </c>
      <c r="F19" s="1"/>
    </row>
    <row r="21" spans="1:10" x14ac:dyDescent="0.25">
      <c r="A21" s="6"/>
      <c r="B21" s="6" t="s">
        <v>14</v>
      </c>
      <c r="C21" s="11" t="s">
        <v>15</v>
      </c>
    </row>
    <row r="22" spans="1:10" x14ac:dyDescent="0.25">
      <c r="A22" s="6" t="s">
        <v>16</v>
      </c>
      <c r="B22" s="6">
        <f>AVERAGE(E11:E12)</f>
        <v>2.3220000000000001E-5</v>
      </c>
      <c r="C22" s="11">
        <f>AVERAGE(E13:E14)</f>
        <v>2.3160000000000002E-5</v>
      </c>
      <c r="G22" s="6" t="s">
        <v>7</v>
      </c>
      <c r="H22" s="6" t="s">
        <v>5</v>
      </c>
      <c r="I22" s="6" t="s">
        <v>9</v>
      </c>
      <c r="J22" s="6" t="s">
        <v>8</v>
      </c>
    </row>
    <row r="23" spans="1:10" x14ac:dyDescent="0.25">
      <c r="A23" s="6" t="s">
        <v>17</v>
      </c>
      <c r="B23" s="6">
        <f>AVERAGE(E16:E17)</f>
        <v>2.5080000000000004E-5</v>
      </c>
      <c r="C23" s="11">
        <f>AVERAGE(E18:E19)</f>
        <v>2.4480000000000003E-5</v>
      </c>
      <c r="G23" s="6">
        <v>1.7110000000000001E-4</v>
      </c>
      <c r="H23" s="6">
        <f>1/G23</f>
        <v>5844.5353594389244</v>
      </c>
      <c r="I23" s="6">
        <f>5920</f>
        <v>5920</v>
      </c>
      <c r="J23" s="6">
        <f>0.0000146</f>
        <v>1.4600000000000001E-5</v>
      </c>
    </row>
    <row r="24" spans="1:10" x14ac:dyDescent="0.25">
      <c r="A24" s="6" t="s">
        <v>13</v>
      </c>
      <c r="B24" s="6">
        <f>B23-B22</f>
        <v>1.8600000000000025E-6</v>
      </c>
      <c r="C24" s="11">
        <f>C23-C22</f>
        <v>1.3200000000000009E-6</v>
      </c>
    </row>
    <row r="25" spans="1:10" x14ac:dyDescent="0.25">
      <c r="A25" s="6" t="s">
        <v>18</v>
      </c>
      <c r="B25" s="6">
        <f>AVERAGE(B24:C24)</f>
        <v>1.5900000000000017E-6</v>
      </c>
      <c r="C25" s="11"/>
    </row>
  </sheetData>
  <mergeCells count="1">
    <mergeCell ref="A15:E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zoomScale="90" zoomScaleNormal="90" workbookViewId="0">
      <selection activeCell="F8" sqref="F8"/>
    </sheetView>
  </sheetViews>
  <sheetFormatPr defaultRowHeight="15" x14ac:dyDescent="0.25"/>
  <cols>
    <col min="1" max="1" width="22.140625" style="2" bestFit="1" customWidth="1"/>
    <col min="2" max="2" width="19.140625" style="2" bestFit="1" customWidth="1"/>
    <col min="3" max="3" width="19.5703125" style="2" bestFit="1" customWidth="1"/>
    <col min="4" max="4" width="17.7109375" style="2" bestFit="1" customWidth="1"/>
    <col min="5" max="5" width="20.140625" style="2" customWidth="1"/>
    <col min="6" max="6" width="20" style="2" bestFit="1" customWidth="1"/>
    <col min="7" max="7" width="11" bestFit="1" customWidth="1"/>
    <col min="8" max="8" width="28.42578125" bestFit="1" customWidth="1"/>
    <col min="9" max="9" width="14.85546875" bestFit="1" customWidth="1"/>
    <col min="10" max="10" width="14.28515625" bestFit="1" customWidth="1"/>
    <col min="11" max="11" width="21.7109375" bestFit="1" customWidth="1"/>
    <col min="12" max="12" width="21.140625" bestFit="1" customWidth="1"/>
  </cols>
  <sheetData>
    <row r="1" spans="1:10" ht="18" thickBot="1" x14ac:dyDescent="0.35">
      <c r="A1" s="3" t="s">
        <v>3</v>
      </c>
      <c r="B1" s="3" t="s">
        <v>0</v>
      </c>
      <c r="C1" s="3" t="s">
        <v>4</v>
      </c>
      <c r="D1" s="3" t="s">
        <v>1</v>
      </c>
      <c r="E1" s="15" t="s">
        <v>19</v>
      </c>
      <c r="F1" s="3" t="s">
        <v>20</v>
      </c>
      <c r="I1" s="4" t="s">
        <v>23</v>
      </c>
      <c r="J1" s="4" t="s">
        <v>24</v>
      </c>
    </row>
    <row r="2" spans="1:10" ht="18" thickTop="1" x14ac:dyDescent="0.3">
      <c r="A2" s="2">
        <v>2000</v>
      </c>
      <c r="B2" s="2">
        <v>1</v>
      </c>
      <c r="C2" s="2">
        <f t="shared" ref="C2:C9" si="0">B2*0.0254</f>
        <v>2.5399999999999999E-2</v>
      </c>
      <c r="D2" s="2">
        <f t="shared" ref="D2:D8" si="1">2*10^-7</f>
        <v>1.9999999999999999E-7</v>
      </c>
      <c r="E2" s="20">
        <v>2.6599999999999999E-5</v>
      </c>
      <c r="F2" s="12">
        <f>3.1*10^-5</f>
        <v>3.1000000000000001E-5</v>
      </c>
      <c r="H2" s="4" t="s">
        <v>11</v>
      </c>
      <c r="I2" s="5">
        <v>2.3013399999999999E-5</v>
      </c>
      <c r="J2" s="5">
        <v>1.6626700000000001E-5</v>
      </c>
    </row>
    <row r="3" spans="1:10" ht="17.25" x14ac:dyDescent="0.3">
      <c r="A3" s="2">
        <v>2000</v>
      </c>
      <c r="B3" s="2">
        <v>1</v>
      </c>
      <c r="C3" s="2">
        <f t="shared" si="0"/>
        <v>2.5399999999999999E-2</v>
      </c>
      <c r="D3" s="2">
        <f t="shared" si="1"/>
        <v>1.9999999999999999E-7</v>
      </c>
      <c r="E3" s="20">
        <v>2.6840000000000001E-5</v>
      </c>
      <c r="F3" s="12">
        <f>3.108*10^-5</f>
        <v>3.1080000000000001E-5</v>
      </c>
      <c r="H3" s="4" t="s">
        <v>12</v>
      </c>
      <c r="I3" s="5">
        <v>1.5493333333333289E-6</v>
      </c>
      <c r="J3" s="5">
        <v>1.5493333333333289E-6</v>
      </c>
    </row>
    <row r="4" spans="1:10" ht="17.25" x14ac:dyDescent="0.3">
      <c r="A4" s="8">
        <v>2000</v>
      </c>
      <c r="B4" s="8">
        <v>1</v>
      </c>
      <c r="C4" s="8">
        <f t="shared" si="0"/>
        <v>2.5399999999999999E-2</v>
      </c>
      <c r="D4" s="8">
        <f t="shared" si="1"/>
        <v>1.9999999999999999E-7</v>
      </c>
      <c r="E4" s="20">
        <v>2.7440000000000002E-5</v>
      </c>
      <c r="F4" s="19">
        <f>3.1*10^-5</f>
        <v>3.1000000000000001E-5</v>
      </c>
      <c r="H4" s="4" t="s">
        <v>22</v>
      </c>
      <c r="I4" s="5">
        <f>I2+I3</f>
        <v>2.4562733333333328E-5</v>
      </c>
      <c r="J4" s="5">
        <f>J2+J3</f>
        <v>1.817603333333333E-5</v>
      </c>
    </row>
    <row r="5" spans="1:10" x14ac:dyDescent="0.25">
      <c r="A5" s="2">
        <v>2000</v>
      </c>
      <c r="B5" s="2">
        <v>1.5</v>
      </c>
      <c r="C5" s="2">
        <f t="shared" si="0"/>
        <v>3.8099999999999995E-2</v>
      </c>
      <c r="D5" s="2">
        <f t="shared" si="1"/>
        <v>1.9999999999999999E-7</v>
      </c>
      <c r="E5" s="12">
        <f>2.84*10^-5</f>
        <v>2.8400000000000003E-5</v>
      </c>
      <c r="F5" s="12">
        <f>3.316*10^-5</f>
        <v>3.3160000000000001E-5</v>
      </c>
    </row>
    <row r="6" spans="1:10" x14ac:dyDescent="0.25">
      <c r="A6" s="2">
        <v>2000</v>
      </c>
      <c r="B6" s="2">
        <v>1.5</v>
      </c>
      <c r="C6" s="2">
        <f t="shared" si="0"/>
        <v>3.8099999999999995E-2</v>
      </c>
      <c r="D6" s="2">
        <f t="shared" si="1"/>
        <v>1.9999999999999999E-7</v>
      </c>
      <c r="E6" s="12">
        <f>2.848*10^-5</f>
        <v>2.8480000000000002E-5</v>
      </c>
      <c r="F6" s="12">
        <f>3.4517*10^-5</f>
        <v>3.4517000000000002E-5</v>
      </c>
    </row>
    <row r="7" spans="1:10" x14ac:dyDescent="0.25">
      <c r="A7" s="8">
        <v>2000</v>
      </c>
      <c r="B7" s="8">
        <v>1.5</v>
      </c>
      <c r="C7" s="8">
        <f t="shared" si="0"/>
        <v>3.8099999999999995E-2</v>
      </c>
      <c r="D7" s="8">
        <f t="shared" si="1"/>
        <v>1.9999999999999999E-7</v>
      </c>
      <c r="E7" s="19">
        <f>2.828*10^-5</f>
        <v>2.828E-5</v>
      </c>
      <c r="F7" s="13">
        <f>3.336*10^-5</f>
        <v>3.3359999999999999E-5</v>
      </c>
    </row>
    <row r="8" spans="1:10" x14ac:dyDescent="0.25">
      <c r="A8" s="2">
        <v>2000</v>
      </c>
      <c r="B8" s="2">
        <v>2</v>
      </c>
      <c r="C8" s="2">
        <f t="shared" si="0"/>
        <v>5.0799999999999998E-2</v>
      </c>
      <c r="D8" s="2">
        <f t="shared" si="1"/>
        <v>1.9999999999999999E-7</v>
      </c>
      <c r="E8" s="21">
        <f>3.216*10^-5</f>
        <v>3.2160000000000004E-5</v>
      </c>
      <c r="F8" s="12">
        <f>3.884*10^-5</f>
        <v>3.8840000000000001E-5</v>
      </c>
    </row>
    <row r="9" spans="1:10" x14ac:dyDescent="0.25">
      <c r="A9" s="2">
        <v>2000</v>
      </c>
      <c r="B9" s="2">
        <v>2</v>
      </c>
      <c r="C9" s="2">
        <f t="shared" si="0"/>
        <v>5.0799999999999998E-2</v>
      </c>
      <c r="D9" s="2">
        <f t="shared" ref="D9:D18" si="2">2*10^-7</f>
        <v>1.9999999999999999E-7</v>
      </c>
      <c r="E9" s="21">
        <f>3.236*10^-5</f>
        <v>3.2360000000000002E-5</v>
      </c>
      <c r="F9" s="12">
        <f>3.836*10^-5</f>
        <v>3.8359999999999999E-5</v>
      </c>
    </row>
    <row r="10" spans="1:10" x14ac:dyDescent="0.25">
      <c r="A10" s="2">
        <v>2000</v>
      </c>
      <c r="B10" s="2">
        <v>2</v>
      </c>
      <c r="C10" s="2">
        <f>B10*0.0254</f>
        <v>5.0799999999999998E-2</v>
      </c>
      <c r="D10" s="2">
        <f t="shared" si="2"/>
        <v>1.9999999999999999E-7</v>
      </c>
      <c r="E10" s="21">
        <f>3.24*10^-5</f>
        <v>3.2400000000000001E-5</v>
      </c>
      <c r="F10" s="12">
        <f>3.8759*10^-5</f>
        <v>3.8759000000000006E-5</v>
      </c>
    </row>
    <row r="11" spans="1:10" ht="17.25" x14ac:dyDescent="0.3">
      <c r="A11" s="22" t="s">
        <v>10</v>
      </c>
      <c r="B11" s="22"/>
      <c r="C11" s="22"/>
      <c r="D11" s="22"/>
      <c r="E11" s="23"/>
      <c r="F11" s="23"/>
    </row>
    <row r="12" spans="1:10" x14ac:dyDescent="0.25">
      <c r="A12" s="2">
        <v>1000</v>
      </c>
      <c r="B12" s="2">
        <v>2</v>
      </c>
      <c r="C12" s="2">
        <f t="shared" ref="C12:C18" si="3">B12*0.0254</f>
        <v>5.0799999999999998E-2</v>
      </c>
      <c r="D12" s="2">
        <f t="shared" si="2"/>
        <v>1.9999999999999999E-7</v>
      </c>
      <c r="E12" s="10">
        <f>3.392*10^-5</f>
        <v>3.392E-5</v>
      </c>
      <c r="F12" s="17"/>
      <c r="G12" s="1"/>
    </row>
    <row r="13" spans="1:10" x14ac:dyDescent="0.25">
      <c r="A13" s="8">
        <v>1000</v>
      </c>
      <c r="B13" s="8">
        <v>2</v>
      </c>
      <c r="C13" s="8">
        <f t="shared" si="3"/>
        <v>5.0799999999999998E-2</v>
      </c>
      <c r="D13" s="8">
        <f t="shared" si="2"/>
        <v>1.9999999999999999E-7</v>
      </c>
      <c r="E13" s="8">
        <f>3.384*10^-5</f>
        <v>3.3840000000000001E-5</v>
      </c>
      <c r="F13" s="17"/>
      <c r="G13" s="1"/>
    </row>
    <row r="14" spans="1:10" x14ac:dyDescent="0.25">
      <c r="A14" s="2">
        <v>2000</v>
      </c>
      <c r="B14" s="2">
        <v>2</v>
      </c>
      <c r="C14" s="2">
        <f t="shared" si="3"/>
        <v>5.0799999999999998E-2</v>
      </c>
      <c r="D14" s="2">
        <f t="shared" si="2"/>
        <v>1.9999999999999999E-7</v>
      </c>
      <c r="E14" s="2">
        <f>3.38*10^-5</f>
        <v>3.3800000000000002E-5</v>
      </c>
      <c r="F14" s="17"/>
      <c r="G14" s="1"/>
    </row>
    <row r="15" spans="1:10" x14ac:dyDescent="0.25">
      <c r="A15" s="2">
        <v>2000</v>
      </c>
      <c r="B15" s="2">
        <v>2</v>
      </c>
      <c r="C15" s="2">
        <f t="shared" si="3"/>
        <v>5.0799999999999998E-2</v>
      </c>
      <c r="D15" s="2">
        <f t="shared" si="2"/>
        <v>1.9999999999999999E-7</v>
      </c>
      <c r="E15" s="2">
        <f>3.38*10^-5</f>
        <v>3.3800000000000002E-5</v>
      </c>
      <c r="F15" s="17"/>
      <c r="G15" s="1"/>
    </row>
    <row r="16" spans="1:10" x14ac:dyDescent="0.25">
      <c r="A16" s="2">
        <v>2000</v>
      </c>
      <c r="B16" s="2">
        <v>2</v>
      </c>
      <c r="C16" s="2">
        <f t="shared" si="3"/>
        <v>5.0799999999999998E-2</v>
      </c>
      <c r="D16" s="2">
        <f t="shared" si="2"/>
        <v>1.9999999999999999E-7</v>
      </c>
      <c r="E16" s="2">
        <f>3.388*10^-5</f>
        <v>3.3880000000000001E-5</v>
      </c>
      <c r="F16" s="17"/>
      <c r="G16" s="1"/>
      <c r="H16" s="1"/>
      <c r="I16" s="1"/>
      <c r="J16" s="1"/>
    </row>
    <row r="17" spans="1:10" s="1" customFormat="1" x14ac:dyDescent="0.25">
      <c r="A17" s="2">
        <v>2000</v>
      </c>
      <c r="B17" s="2">
        <v>2</v>
      </c>
      <c r="C17" s="2">
        <f t="shared" si="3"/>
        <v>5.0799999999999998E-2</v>
      </c>
      <c r="D17" s="2">
        <f t="shared" si="2"/>
        <v>1.9999999999999999E-7</v>
      </c>
      <c r="E17" s="2">
        <f>3.388*10^-5</f>
        <v>3.3880000000000001E-5</v>
      </c>
      <c r="F17" s="17"/>
      <c r="H17"/>
      <c r="I17"/>
      <c r="J17"/>
    </row>
    <row r="18" spans="1:10" x14ac:dyDescent="0.25">
      <c r="A18" s="8">
        <v>2000</v>
      </c>
      <c r="B18" s="8">
        <v>2</v>
      </c>
      <c r="C18" s="8">
        <f t="shared" si="3"/>
        <v>5.0799999999999998E-2</v>
      </c>
      <c r="D18" s="8">
        <f t="shared" si="2"/>
        <v>1.9999999999999999E-7</v>
      </c>
      <c r="E18" s="8">
        <f>3.392*10^-5</f>
        <v>3.392E-5</v>
      </c>
      <c r="F18" s="18"/>
      <c r="G18" s="1"/>
    </row>
    <row r="19" spans="1:10" x14ac:dyDescent="0.25">
      <c r="G19" s="1"/>
    </row>
    <row r="20" spans="1:10" x14ac:dyDescent="0.25">
      <c r="G20" s="1"/>
    </row>
    <row r="21" spans="1:10" x14ac:dyDescent="0.25">
      <c r="A21" s="11"/>
      <c r="B21" s="16" t="s">
        <v>15</v>
      </c>
      <c r="E21" s="1"/>
      <c r="F21"/>
      <c r="G21" s="1"/>
    </row>
    <row r="22" spans="1:10" x14ac:dyDescent="0.25">
      <c r="A22" s="11" t="s">
        <v>16</v>
      </c>
      <c r="B22" s="16">
        <f>AVERAGE(E8:E10)</f>
        <v>3.2306666666666674E-5</v>
      </c>
      <c r="E22" s="1"/>
      <c r="F22"/>
      <c r="G22" s="1"/>
    </row>
    <row r="23" spans="1:10" x14ac:dyDescent="0.25">
      <c r="A23" s="11" t="s">
        <v>17</v>
      </c>
      <c r="B23" s="16">
        <f>AVERAGE(E14:E18)</f>
        <v>3.3856000000000002E-5</v>
      </c>
      <c r="E23" s="1"/>
      <c r="F23"/>
      <c r="G23" s="1"/>
    </row>
    <row r="24" spans="1:10" x14ac:dyDescent="0.25">
      <c r="A24" s="11" t="s">
        <v>13</v>
      </c>
      <c r="B24" s="16">
        <f>B23-B22</f>
        <v>1.5493333333333289E-6</v>
      </c>
      <c r="E24" s="1"/>
      <c r="F24"/>
    </row>
    <row r="25" spans="1:10" ht="17.25" x14ac:dyDescent="0.3">
      <c r="A25" s="11" t="s">
        <v>18</v>
      </c>
      <c r="B25" s="16">
        <f>B24</f>
        <v>1.5493333333333289E-6</v>
      </c>
      <c r="E25" s="9"/>
      <c r="F25"/>
    </row>
    <row r="29" spans="1:10" x14ac:dyDescent="0.25">
      <c r="G29" s="1"/>
    </row>
    <row r="30" spans="1:10" x14ac:dyDescent="0.25">
      <c r="G30" s="1"/>
    </row>
    <row r="31" spans="1:10" x14ac:dyDescent="0.25">
      <c r="G31" s="1"/>
    </row>
    <row r="32" spans="1:10" x14ac:dyDescent="0.25">
      <c r="G32" s="1"/>
    </row>
    <row r="33" spans="8:11" x14ac:dyDescent="0.25">
      <c r="J33">
        <f>1/J35</f>
        <v>3.0911901081916539E-4</v>
      </c>
    </row>
    <row r="34" spans="8:11" x14ac:dyDescent="0.25">
      <c r="H34" s="6" t="s">
        <v>7</v>
      </c>
      <c r="I34" s="6" t="s">
        <v>5</v>
      </c>
      <c r="J34" s="6" t="s">
        <v>9</v>
      </c>
      <c r="K34" s="6" t="s">
        <v>8</v>
      </c>
    </row>
    <row r="35" spans="8:11" x14ac:dyDescent="0.25">
      <c r="H35" s="6">
        <v>3.0019999999999998E-4</v>
      </c>
      <c r="I35" s="6">
        <f>1/H35</f>
        <v>3331.1125916055967</v>
      </c>
      <c r="J35" s="6">
        <v>3235</v>
      </c>
      <c r="K35" s="6">
        <v>2.3013399999999999E-5</v>
      </c>
    </row>
    <row r="36" spans="8:11" x14ac:dyDescent="0.25">
      <c r="H36" s="6">
        <v>3.0885999999999999E-4</v>
      </c>
      <c r="I36" s="6">
        <f>1/H36</f>
        <v>3237.7128796218353</v>
      </c>
      <c r="J36" s="6">
        <v>3235</v>
      </c>
      <c r="K36" s="6">
        <v>1.6626700000000001E-5</v>
      </c>
    </row>
  </sheetData>
  <mergeCells count="1">
    <mergeCell ref="A11:F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P-wave calibration</vt:lpstr>
      <vt:lpstr>S-wave 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Vora</dc:creator>
  <cp:lastModifiedBy>Harsh Vora</cp:lastModifiedBy>
  <dcterms:created xsi:type="dcterms:W3CDTF">2016-06-24T19:16:46Z</dcterms:created>
  <dcterms:modified xsi:type="dcterms:W3CDTF">2016-07-06T16:35:48Z</dcterms:modified>
</cp:coreProperties>
</file>