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sh\Desktop\"/>
    </mc:Choice>
  </mc:AlternateContent>
  <bookViews>
    <workbookView xWindow="0" yWindow="0" windowWidth="7785" windowHeight="2760" activeTab="2"/>
  </bookViews>
  <sheets>
    <sheet name="Experimental Plan" sheetId="6" r:id="rId1"/>
    <sheet name="Core Details" sheetId="1" r:id="rId2"/>
    <sheet name="Experimental data" sheetId="3" r:id="rId3"/>
    <sheet name="k tests" sheetId="7" r:id="rId4"/>
    <sheet name="Initialization Parameters" sheetId="2" r:id="rId5"/>
    <sheet name="Btests" sheetId="5" r:id="rId6"/>
    <sheet name="TT calculations" sheetId="4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7" i="3"/>
  <c r="F18" i="3"/>
  <c r="F19" i="3"/>
  <c r="F20" i="3"/>
  <c r="F21" i="3"/>
  <c r="F22" i="3"/>
  <c r="F23" i="3"/>
  <c r="F4" i="3"/>
  <c r="B20" i="1" l="1"/>
  <c r="W40" i="3" l="1"/>
  <c r="AB2" i="7"/>
  <c r="T9" i="5"/>
  <c r="V9" i="5" s="1"/>
  <c r="W9" i="5" s="1"/>
  <c r="U9" i="5"/>
  <c r="P9" i="5"/>
  <c r="R9" i="5" s="1"/>
  <c r="Q9" i="5"/>
  <c r="L9" i="5"/>
  <c r="N9" i="5" s="1"/>
  <c r="M9" i="5"/>
  <c r="J9" i="5"/>
  <c r="H9" i="5"/>
  <c r="F9" i="5"/>
  <c r="T8" i="5"/>
  <c r="V8" i="5"/>
  <c r="W8" i="5" s="1"/>
  <c r="U8" i="5"/>
  <c r="P8" i="5"/>
  <c r="R8" i="5" s="1"/>
  <c r="Q8" i="5"/>
  <c r="L8" i="5"/>
  <c r="N8" i="5" s="1"/>
  <c r="M8" i="5"/>
  <c r="J8" i="5" l="1"/>
  <c r="H8" i="5"/>
  <c r="F8" i="5"/>
  <c r="T7" i="5" l="1"/>
  <c r="V7" i="5"/>
  <c r="W7" i="5" s="1"/>
  <c r="U7" i="5"/>
  <c r="P7" i="5"/>
  <c r="R7" i="5" s="1"/>
  <c r="Q7" i="5"/>
  <c r="L7" i="5"/>
  <c r="N7" i="5"/>
  <c r="M7" i="5"/>
  <c r="J7" i="5" l="1"/>
  <c r="W6" i="5"/>
  <c r="V6" i="5"/>
  <c r="T6" i="5"/>
  <c r="U6" i="5"/>
  <c r="R6" i="5"/>
  <c r="P6" i="5"/>
  <c r="Q6" i="5"/>
  <c r="M6" i="5"/>
  <c r="N6" i="5"/>
  <c r="L6" i="5"/>
  <c r="J6" i="5"/>
  <c r="H6" i="5"/>
  <c r="H7" i="5"/>
  <c r="F6" i="5"/>
  <c r="F7" i="5"/>
  <c r="P5" i="5" l="1"/>
  <c r="R5" i="5" s="1"/>
  <c r="Q5" i="5"/>
  <c r="U5" i="5"/>
  <c r="T5" i="5"/>
  <c r="I86" i="6" l="1"/>
  <c r="H86" i="6"/>
  <c r="G86" i="6"/>
  <c r="N85" i="6"/>
  <c r="M85" i="6"/>
  <c r="L85" i="6"/>
  <c r="L84" i="6" s="1"/>
  <c r="H85" i="6"/>
  <c r="G85" i="6"/>
  <c r="E85" i="6"/>
  <c r="N84" i="6"/>
  <c r="M84" i="6"/>
  <c r="K84" i="6"/>
  <c r="G84" i="6"/>
  <c r="F84" i="6"/>
  <c r="I84" i="6" s="1"/>
  <c r="D84" i="6"/>
  <c r="E84" i="6" s="1"/>
  <c r="C84" i="6"/>
  <c r="I83" i="6"/>
  <c r="H83" i="6"/>
  <c r="G83" i="6"/>
  <c r="N82" i="6"/>
  <c r="M82" i="6"/>
  <c r="L82" i="6"/>
  <c r="H82" i="6"/>
  <c r="G82" i="6"/>
  <c r="E82" i="6"/>
  <c r="N81" i="6"/>
  <c r="M81" i="6"/>
  <c r="L81" i="6"/>
  <c r="K81" i="6"/>
  <c r="F81" i="6"/>
  <c r="G81" i="6" s="1"/>
  <c r="E81" i="6"/>
  <c r="D81" i="6"/>
  <c r="H81" i="6" s="1"/>
  <c r="C81" i="6"/>
  <c r="F80" i="6"/>
  <c r="H80" i="6" s="1"/>
  <c r="N79" i="6"/>
  <c r="M79" i="6"/>
  <c r="L79" i="6"/>
  <c r="H79" i="6"/>
  <c r="G79" i="6"/>
  <c r="E79" i="6"/>
  <c r="N78" i="6"/>
  <c r="M78" i="6"/>
  <c r="L78" i="6"/>
  <c r="K78" i="6"/>
  <c r="F78" i="6"/>
  <c r="G78" i="6" s="1"/>
  <c r="E78" i="6"/>
  <c r="D78" i="6"/>
  <c r="H78" i="6" s="1"/>
  <c r="C78" i="6"/>
  <c r="F77" i="6"/>
  <c r="H77" i="6" s="1"/>
  <c r="K76" i="6"/>
  <c r="M76" i="6" s="1"/>
  <c r="M75" i="6" s="1"/>
  <c r="I75" i="6" s="1"/>
  <c r="H76" i="6"/>
  <c r="G76" i="6"/>
  <c r="E76" i="6"/>
  <c r="K75" i="6"/>
  <c r="G75" i="6"/>
  <c r="F75" i="6"/>
  <c r="D75" i="6"/>
  <c r="H75" i="6" s="1"/>
  <c r="C75" i="6"/>
  <c r="E75" i="6" s="1"/>
  <c r="H74" i="6"/>
  <c r="G74" i="6"/>
  <c r="E74" i="6"/>
  <c r="C74" i="6"/>
  <c r="I74" i="6" s="1"/>
  <c r="I73" i="6"/>
  <c r="H73" i="6"/>
  <c r="G73" i="6"/>
  <c r="F73" i="6"/>
  <c r="E73" i="6"/>
  <c r="I72" i="6"/>
  <c r="G72" i="6"/>
  <c r="F72" i="6"/>
  <c r="H72" i="6" s="1"/>
  <c r="E72" i="6"/>
  <c r="I71" i="6"/>
  <c r="H71" i="6"/>
  <c r="G71" i="6"/>
  <c r="N70" i="6"/>
  <c r="M70" i="6"/>
  <c r="M69" i="6" s="1"/>
  <c r="I69" i="6" s="1"/>
  <c r="L70" i="6"/>
  <c r="H70" i="6"/>
  <c r="G70" i="6"/>
  <c r="E70" i="6"/>
  <c r="N69" i="6"/>
  <c r="L69" i="6"/>
  <c r="K69" i="6"/>
  <c r="F69" i="6"/>
  <c r="D69" i="6"/>
  <c r="E69" i="6" s="1"/>
  <c r="C69" i="6"/>
  <c r="H68" i="6"/>
  <c r="G68" i="6"/>
  <c r="F68" i="6"/>
  <c r="I68" i="6" s="1"/>
  <c r="N67" i="6"/>
  <c r="M67" i="6"/>
  <c r="M66" i="6" s="1"/>
  <c r="I66" i="6" s="1"/>
  <c r="L67" i="6"/>
  <c r="H67" i="6"/>
  <c r="G67" i="6"/>
  <c r="E67" i="6"/>
  <c r="N66" i="6"/>
  <c r="L66" i="6"/>
  <c r="K66" i="6"/>
  <c r="F66" i="6"/>
  <c r="D66" i="6"/>
  <c r="E66" i="6" s="1"/>
  <c r="C66" i="6"/>
  <c r="H65" i="6"/>
  <c r="G65" i="6"/>
  <c r="F65" i="6"/>
  <c r="I65" i="6" s="1"/>
  <c r="N64" i="6"/>
  <c r="M64" i="6"/>
  <c r="M63" i="6" s="1"/>
  <c r="I63" i="6" s="1"/>
  <c r="L64" i="6"/>
  <c r="H64" i="6"/>
  <c r="G64" i="6"/>
  <c r="E64" i="6"/>
  <c r="N63" i="6"/>
  <c r="L63" i="6"/>
  <c r="K63" i="6"/>
  <c r="F63" i="6"/>
  <c r="D63" i="6"/>
  <c r="E63" i="6" s="1"/>
  <c r="C63" i="6"/>
  <c r="H62" i="6"/>
  <c r="G62" i="6"/>
  <c r="F62" i="6"/>
  <c r="I62" i="6" s="1"/>
  <c r="M61" i="6"/>
  <c r="L61" i="6"/>
  <c r="K61" i="6"/>
  <c r="N61" i="6" s="1"/>
  <c r="N60" i="6" s="1"/>
  <c r="H61" i="6"/>
  <c r="G61" i="6"/>
  <c r="E61" i="6"/>
  <c r="M60" i="6"/>
  <c r="L60" i="6"/>
  <c r="K60" i="6"/>
  <c r="I60" i="6"/>
  <c r="F60" i="6"/>
  <c r="G60" i="6" s="1"/>
  <c r="E60" i="6"/>
  <c r="D60" i="6"/>
  <c r="H60" i="6" s="1"/>
  <c r="C60" i="6"/>
  <c r="H59" i="6"/>
  <c r="G59" i="6"/>
  <c r="C59" i="6"/>
  <c r="E59" i="6" s="1"/>
  <c r="I58" i="6"/>
  <c r="G58" i="6"/>
  <c r="F58" i="6"/>
  <c r="H58" i="6" s="1"/>
  <c r="E58" i="6"/>
  <c r="I57" i="6"/>
  <c r="H57" i="6"/>
  <c r="G57" i="6"/>
  <c r="F57" i="6"/>
  <c r="E57" i="6"/>
  <c r="I56" i="6"/>
  <c r="H56" i="6"/>
  <c r="G56" i="6"/>
  <c r="C56" i="6"/>
  <c r="N55" i="6"/>
  <c r="M55" i="6"/>
  <c r="L55" i="6"/>
  <c r="L54" i="6" s="1"/>
  <c r="H55" i="6"/>
  <c r="G55" i="6"/>
  <c r="E55" i="6"/>
  <c r="N54" i="6"/>
  <c r="M54" i="6"/>
  <c r="K54" i="6"/>
  <c r="G54" i="6"/>
  <c r="F54" i="6"/>
  <c r="I54" i="6" s="1"/>
  <c r="D54" i="6"/>
  <c r="H54" i="6" s="1"/>
  <c r="C54" i="6"/>
  <c r="E54" i="6" s="1"/>
  <c r="G53" i="6"/>
  <c r="F53" i="6"/>
  <c r="I53" i="6" s="1"/>
  <c r="N52" i="6"/>
  <c r="M52" i="6"/>
  <c r="L52" i="6"/>
  <c r="L51" i="6" s="1"/>
  <c r="H52" i="6"/>
  <c r="G52" i="6"/>
  <c r="E52" i="6"/>
  <c r="N51" i="6"/>
  <c r="M51" i="6"/>
  <c r="K51" i="6"/>
  <c r="G51" i="6"/>
  <c r="F51" i="6"/>
  <c r="I51" i="6" s="1"/>
  <c r="D51" i="6"/>
  <c r="H51" i="6" s="1"/>
  <c r="C51" i="6"/>
  <c r="E51" i="6" s="1"/>
  <c r="G50" i="6"/>
  <c r="F50" i="6"/>
  <c r="I50" i="6" s="1"/>
  <c r="C50" i="6"/>
  <c r="N49" i="6"/>
  <c r="M49" i="6"/>
  <c r="M48" i="6" s="1"/>
  <c r="I48" i="6" s="1"/>
  <c r="L49" i="6"/>
  <c r="H49" i="6"/>
  <c r="G49" i="6"/>
  <c r="E49" i="6"/>
  <c r="N48" i="6"/>
  <c r="L48" i="6"/>
  <c r="K48" i="6"/>
  <c r="F48" i="6"/>
  <c r="G48" i="6" s="1"/>
  <c r="D48" i="6"/>
  <c r="E48" i="6" s="1"/>
  <c r="C48" i="6"/>
  <c r="H47" i="6"/>
  <c r="F47" i="6"/>
  <c r="I47" i="6" s="1"/>
  <c r="C47" i="6"/>
  <c r="N46" i="6"/>
  <c r="L46" i="6"/>
  <c r="K46" i="6"/>
  <c r="M46" i="6" s="1"/>
  <c r="M45" i="6" s="1"/>
  <c r="I45" i="6" s="1"/>
  <c r="H46" i="6"/>
  <c r="G46" i="6"/>
  <c r="E46" i="6"/>
  <c r="N45" i="6"/>
  <c r="L45" i="6"/>
  <c r="K45" i="6"/>
  <c r="F45" i="6"/>
  <c r="G45" i="6" s="1"/>
  <c r="D45" i="6"/>
  <c r="H45" i="6" s="1"/>
  <c r="C45" i="6"/>
  <c r="H44" i="6"/>
  <c r="G44" i="6"/>
  <c r="E44" i="6"/>
  <c r="C44" i="6"/>
  <c r="I44" i="6" s="1"/>
  <c r="I43" i="6"/>
  <c r="H43" i="6"/>
  <c r="F43" i="6"/>
  <c r="G43" i="6" s="1"/>
  <c r="E43" i="6"/>
  <c r="I42" i="6"/>
  <c r="F42" i="6"/>
  <c r="H42" i="6" s="1"/>
  <c r="E42" i="6"/>
  <c r="I41" i="6"/>
  <c r="H41" i="6"/>
  <c r="G41" i="6"/>
  <c r="N40" i="6"/>
  <c r="N39" i="6" s="1"/>
  <c r="M40" i="6"/>
  <c r="L40" i="6"/>
  <c r="L39" i="6" s="1"/>
  <c r="H40" i="6"/>
  <c r="G40" i="6"/>
  <c r="E40" i="6"/>
  <c r="M39" i="6"/>
  <c r="I39" i="6" s="1"/>
  <c r="F39" i="6"/>
  <c r="G39" i="6" s="1"/>
  <c r="D39" i="6"/>
  <c r="H39" i="6" s="1"/>
  <c r="C39" i="6"/>
  <c r="F38" i="6"/>
  <c r="H38" i="6" s="1"/>
  <c r="N37" i="6"/>
  <c r="M37" i="6"/>
  <c r="M36" i="6" s="1"/>
  <c r="I36" i="6" s="1"/>
  <c r="L37" i="6"/>
  <c r="H37" i="6"/>
  <c r="G37" i="6"/>
  <c r="E37" i="6"/>
  <c r="N36" i="6"/>
  <c r="L36" i="6"/>
  <c r="K36" i="6"/>
  <c r="F36" i="6"/>
  <c r="G36" i="6" s="1"/>
  <c r="D36" i="6"/>
  <c r="H36" i="6" s="1"/>
  <c r="C36" i="6"/>
  <c r="F35" i="6"/>
  <c r="H35" i="6" s="1"/>
  <c r="N34" i="6"/>
  <c r="M34" i="6"/>
  <c r="L34" i="6"/>
  <c r="H34" i="6"/>
  <c r="G34" i="6"/>
  <c r="E34" i="6"/>
  <c r="N33" i="6"/>
  <c r="M33" i="6"/>
  <c r="L33" i="6"/>
  <c r="K33" i="6"/>
  <c r="F33" i="6"/>
  <c r="G33" i="6" s="1"/>
  <c r="D33" i="6"/>
  <c r="H33" i="6" s="1"/>
  <c r="C33" i="6"/>
  <c r="F32" i="6"/>
  <c r="H32" i="6" s="1"/>
  <c r="K31" i="6"/>
  <c r="M31" i="6" s="1"/>
  <c r="M30" i="6" s="1"/>
  <c r="I30" i="6" s="1"/>
  <c r="H31" i="6"/>
  <c r="G31" i="6"/>
  <c r="E31" i="6"/>
  <c r="K30" i="6"/>
  <c r="G30" i="6"/>
  <c r="F30" i="6"/>
  <c r="D30" i="6"/>
  <c r="H30" i="6" s="1"/>
  <c r="C30" i="6"/>
  <c r="E30" i="6" s="1"/>
  <c r="H29" i="6"/>
  <c r="G29" i="6"/>
  <c r="C29" i="6"/>
  <c r="I29" i="6" s="1"/>
  <c r="I28" i="6"/>
  <c r="G28" i="6"/>
  <c r="F28" i="6"/>
  <c r="H28" i="6" s="1"/>
  <c r="E28" i="6"/>
  <c r="I27" i="6"/>
  <c r="G27" i="6"/>
  <c r="F27" i="6"/>
  <c r="H27" i="6" s="1"/>
  <c r="E27" i="6"/>
  <c r="I26" i="6"/>
  <c r="H26" i="6"/>
  <c r="G26" i="6"/>
  <c r="N25" i="6"/>
  <c r="M25" i="6"/>
  <c r="L25" i="6"/>
  <c r="H25" i="6"/>
  <c r="G25" i="6"/>
  <c r="C25" i="6"/>
  <c r="E25" i="6" s="1"/>
  <c r="N24" i="6"/>
  <c r="M24" i="6"/>
  <c r="L24" i="6"/>
  <c r="K24" i="6"/>
  <c r="I24" i="6"/>
  <c r="D24" i="6"/>
  <c r="G24" i="6" s="1"/>
  <c r="H23" i="6"/>
  <c r="F23" i="6"/>
  <c r="I23" i="6" s="1"/>
  <c r="M22" i="6"/>
  <c r="M21" i="6" s="1"/>
  <c r="I21" i="6" s="1"/>
  <c r="G22" i="6"/>
  <c r="F22" i="6"/>
  <c r="N22" i="6" s="1"/>
  <c r="N21" i="6" s="1"/>
  <c r="E22" i="6"/>
  <c r="C22" i="6"/>
  <c r="K21" i="6"/>
  <c r="F21" i="6"/>
  <c r="G21" i="6" s="1"/>
  <c r="D21" i="6"/>
  <c r="H21" i="6" s="1"/>
  <c r="C21" i="6"/>
  <c r="I20" i="6"/>
  <c r="H20" i="6"/>
  <c r="G20" i="6"/>
  <c r="N19" i="6"/>
  <c r="N18" i="6" s="1"/>
  <c r="L19" i="6"/>
  <c r="L18" i="6" s="1"/>
  <c r="K19" i="6"/>
  <c r="M19" i="6" s="1"/>
  <c r="M18" i="6" s="1"/>
  <c r="I18" i="6" s="1"/>
  <c r="H19" i="6"/>
  <c r="G19" i="6"/>
  <c r="C19" i="6"/>
  <c r="E19" i="6" s="1"/>
  <c r="K18" i="6"/>
  <c r="G18" i="6"/>
  <c r="F18" i="6"/>
  <c r="D18" i="6"/>
  <c r="H18" i="6" s="1"/>
  <c r="C18" i="6"/>
  <c r="E18" i="6" s="1"/>
  <c r="H17" i="6"/>
  <c r="G17" i="6"/>
  <c r="C17" i="6"/>
  <c r="I17" i="6" s="1"/>
  <c r="I16" i="6"/>
  <c r="G16" i="6"/>
  <c r="F16" i="6"/>
  <c r="H16" i="6" s="1"/>
  <c r="E16" i="6"/>
  <c r="I15" i="6"/>
  <c r="G15" i="6"/>
  <c r="F15" i="6"/>
  <c r="H15" i="6" s="1"/>
  <c r="E15" i="6"/>
  <c r="I14" i="6"/>
  <c r="H14" i="6"/>
  <c r="G14" i="6"/>
  <c r="E14" i="6"/>
  <c r="N13" i="6"/>
  <c r="N12" i="6" s="1"/>
  <c r="M13" i="6"/>
  <c r="L13" i="6"/>
  <c r="L12" i="6" s="1"/>
  <c r="H13" i="6"/>
  <c r="G13" i="6"/>
  <c r="E13" i="6"/>
  <c r="M12" i="6"/>
  <c r="K12" i="6"/>
  <c r="I12" i="6"/>
  <c r="H12" i="6"/>
  <c r="G12" i="6"/>
  <c r="E12" i="6"/>
  <c r="I11" i="6"/>
  <c r="H11" i="6"/>
  <c r="G11" i="6"/>
  <c r="E11" i="6"/>
  <c r="K10" i="6"/>
  <c r="M10" i="6" s="1"/>
  <c r="M9" i="6" s="1"/>
  <c r="I9" i="6" s="1"/>
  <c r="H10" i="6"/>
  <c r="G10" i="6"/>
  <c r="E10" i="6"/>
  <c r="K9" i="6"/>
  <c r="H9" i="6"/>
  <c r="G9" i="6"/>
  <c r="E9" i="6"/>
  <c r="H8" i="6"/>
  <c r="G8" i="6"/>
  <c r="E8" i="6"/>
  <c r="C8" i="6"/>
  <c r="I8" i="6" s="1"/>
  <c r="I7" i="6"/>
  <c r="F7" i="6"/>
  <c r="H7" i="6" s="1"/>
  <c r="E7" i="6"/>
  <c r="H6" i="6"/>
  <c r="E6" i="6"/>
  <c r="L5" i="6"/>
  <c r="H5" i="6"/>
  <c r="G5" i="6"/>
  <c r="E5" i="6"/>
  <c r="I4" i="6"/>
  <c r="H4" i="6"/>
  <c r="G4" i="6"/>
  <c r="E4" i="6"/>
  <c r="H3" i="6"/>
  <c r="G3" i="6"/>
  <c r="E3" i="6"/>
  <c r="J2" i="6"/>
  <c r="J3" i="6" s="1"/>
  <c r="H2" i="6"/>
  <c r="E2" i="6"/>
  <c r="J4" i="6" l="1"/>
  <c r="J5" i="6" s="1"/>
  <c r="J7" i="6" s="1"/>
  <c r="J8" i="6" s="1"/>
  <c r="N10" i="6"/>
  <c r="N9" i="6" s="1"/>
  <c r="E17" i="6"/>
  <c r="E21" i="6"/>
  <c r="L22" i="6"/>
  <c r="L21" i="6" s="1"/>
  <c r="G23" i="6"/>
  <c r="C24" i="6"/>
  <c r="H24" i="6"/>
  <c r="E29" i="6"/>
  <c r="N31" i="6"/>
  <c r="N30" i="6" s="1"/>
  <c r="I32" i="6"/>
  <c r="E33" i="6"/>
  <c r="I33" i="6"/>
  <c r="I35" i="6"/>
  <c r="E36" i="6"/>
  <c r="I38" i="6"/>
  <c r="E39" i="6"/>
  <c r="E45" i="6"/>
  <c r="G47" i="6"/>
  <c r="G63" i="6"/>
  <c r="G66" i="6"/>
  <c r="G69" i="6"/>
  <c r="N76" i="6"/>
  <c r="N75" i="6" s="1"/>
  <c r="I77" i="6"/>
  <c r="I78" i="6"/>
  <c r="I80" i="6"/>
  <c r="I81" i="6"/>
  <c r="H48" i="6"/>
  <c r="I59" i="6"/>
  <c r="H63" i="6"/>
  <c r="H66" i="6"/>
  <c r="H69" i="6"/>
  <c r="G7" i="6"/>
  <c r="L10" i="6"/>
  <c r="L9" i="6" s="1"/>
  <c r="H22" i="6"/>
  <c r="E24" i="6"/>
  <c r="L31" i="6"/>
  <c r="L30" i="6" s="1"/>
  <c r="G32" i="6"/>
  <c r="G35" i="6"/>
  <c r="G38" i="6"/>
  <c r="G42" i="6"/>
  <c r="H50" i="6"/>
  <c r="H53" i="6"/>
  <c r="L76" i="6"/>
  <c r="L75" i="6" s="1"/>
  <c r="G77" i="6"/>
  <c r="G80" i="6"/>
  <c r="H84" i="6"/>
  <c r="U4" i="5"/>
  <c r="Q4" i="5"/>
  <c r="P4" i="5"/>
  <c r="R4" i="5" s="1"/>
  <c r="M5" i="5"/>
  <c r="L4" i="5"/>
  <c r="L5" i="5"/>
  <c r="H4" i="5"/>
  <c r="H5" i="5"/>
  <c r="J4" i="5"/>
  <c r="J5" i="5"/>
  <c r="V5" i="5" s="1"/>
  <c r="W5" i="5" s="1"/>
  <c r="F4" i="5"/>
  <c r="F5" i="5"/>
  <c r="N5" i="5" s="1"/>
  <c r="T4" i="5"/>
  <c r="V4" i="5" s="1"/>
  <c r="U3" i="5"/>
  <c r="M3" i="5"/>
  <c r="M4" i="5"/>
  <c r="N3" i="5"/>
  <c r="Q3" i="5"/>
  <c r="P3" i="5"/>
  <c r="R3" i="5" s="1"/>
  <c r="H3" i="5"/>
  <c r="T3" i="5"/>
  <c r="V3" i="5" s="1"/>
  <c r="W3" i="5" s="1"/>
  <c r="J3" i="5"/>
  <c r="L3" i="5"/>
  <c r="F3" i="5"/>
  <c r="T2" i="5"/>
  <c r="V2" i="5" s="1"/>
  <c r="R2" i="5"/>
  <c r="N2" i="5"/>
  <c r="U2" i="5"/>
  <c r="Q2" i="5"/>
  <c r="M2" i="5"/>
  <c r="W2" i="5" l="1"/>
  <c r="N4" i="5"/>
  <c r="W4" i="5" s="1"/>
  <c r="J10" i="6"/>
  <c r="J11" i="6" s="1"/>
  <c r="J9" i="6"/>
  <c r="B22" i="2"/>
  <c r="B9" i="1"/>
  <c r="B8" i="1"/>
  <c r="B7" i="1"/>
  <c r="C4" i="1"/>
  <c r="C5" i="1"/>
  <c r="C3" i="1"/>
  <c r="C12" i="1"/>
  <c r="C13" i="1"/>
  <c r="C14" i="1"/>
  <c r="B16" i="1" s="1"/>
  <c r="J13" i="6" l="1"/>
  <c r="J14" i="6" s="1"/>
  <c r="J15" i="6" s="1"/>
  <c r="J16" i="6" s="1"/>
  <c r="J17" i="6" s="1"/>
  <c r="J12" i="6"/>
  <c r="J19" i="6" l="1"/>
  <c r="J20" i="6" s="1"/>
  <c r="J18" i="6"/>
  <c r="J22" i="6" l="1"/>
  <c r="J23" i="6" s="1"/>
  <c r="J21" i="6"/>
  <c r="J25" i="6" l="1"/>
  <c r="J26" i="6" s="1"/>
  <c r="J27" i="6" s="1"/>
  <c r="J28" i="6" s="1"/>
  <c r="J29" i="6" s="1"/>
  <c r="J24" i="6"/>
  <c r="J31" i="6" l="1"/>
  <c r="J32" i="6" s="1"/>
  <c r="J30" i="6"/>
  <c r="J34" i="6" l="1"/>
  <c r="J35" i="6" s="1"/>
  <c r="J33" i="6"/>
  <c r="J37" i="6" l="1"/>
  <c r="J38" i="6" s="1"/>
  <c r="J36" i="6"/>
  <c r="J40" i="6" l="1"/>
  <c r="J41" i="6" s="1"/>
  <c r="J42" i="6" s="1"/>
  <c r="J43" i="6" s="1"/>
  <c r="J44" i="6" s="1"/>
  <c r="J39" i="6"/>
  <c r="J46" i="6" l="1"/>
  <c r="J47" i="6" s="1"/>
  <c r="J45" i="6"/>
  <c r="J49" i="6" l="1"/>
  <c r="J50" i="6" s="1"/>
  <c r="J48" i="6"/>
  <c r="J52" i="6" l="1"/>
  <c r="J53" i="6" s="1"/>
  <c r="J51" i="6"/>
  <c r="J55" i="6" l="1"/>
  <c r="J56" i="6" s="1"/>
  <c r="J57" i="6" s="1"/>
  <c r="J58" i="6" s="1"/>
  <c r="J59" i="6" s="1"/>
  <c r="J54" i="6"/>
  <c r="J61" i="6" l="1"/>
  <c r="J62" i="6" s="1"/>
  <c r="J60" i="6"/>
  <c r="J64" i="6" l="1"/>
  <c r="J65" i="6" s="1"/>
  <c r="J63" i="6"/>
  <c r="J67" i="6" l="1"/>
  <c r="J68" i="6" s="1"/>
  <c r="J66" i="6"/>
  <c r="J70" i="6" l="1"/>
  <c r="J71" i="6" s="1"/>
  <c r="J72" i="6" s="1"/>
  <c r="J73" i="6" s="1"/>
  <c r="J74" i="6" s="1"/>
  <c r="J69" i="6"/>
  <c r="J76" i="6" l="1"/>
  <c r="J77" i="6" s="1"/>
  <c r="J75" i="6"/>
  <c r="J79" i="6" l="1"/>
  <c r="J80" i="6" s="1"/>
  <c r="J78" i="6"/>
  <c r="J82" i="6" l="1"/>
  <c r="J83" i="6" s="1"/>
  <c r="J81" i="6"/>
  <c r="J85" i="6" l="1"/>
  <c r="J86" i="6" s="1"/>
  <c r="J84" i="6"/>
</calcChain>
</file>

<file path=xl/sharedStrings.xml><?xml version="1.0" encoding="utf-8"?>
<sst xmlns="http://schemas.openxmlformats.org/spreadsheetml/2006/main" count="550" uniqueCount="201">
  <si>
    <t>Initial Core Dimensions</t>
  </si>
  <si>
    <t>IODP Core Details</t>
  </si>
  <si>
    <t>Step</t>
  </si>
  <si>
    <t>Date</t>
  </si>
  <si>
    <t xml:space="preserve">Time </t>
  </si>
  <si>
    <t>Potentiometer reading</t>
  </si>
  <si>
    <t>P wave TT</t>
  </si>
  <si>
    <t>S1 wave TT</t>
  </si>
  <si>
    <t>S2 wave TT</t>
  </si>
  <si>
    <t>Permeability (sq m)</t>
  </si>
  <si>
    <t>Permeability (mD)</t>
  </si>
  <si>
    <t>Pressure Sensors</t>
  </si>
  <si>
    <t>Pump</t>
  </si>
  <si>
    <t>Gain</t>
  </si>
  <si>
    <t>Damping</t>
  </si>
  <si>
    <t>Waveform Trigger</t>
  </si>
  <si>
    <t>Porosity (calculated)</t>
  </si>
  <si>
    <t>Length (mm)</t>
  </si>
  <si>
    <t>Before (g)</t>
  </si>
  <si>
    <t>After (g)</t>
  </si>
  <si>
    <t>Net (g)</t>
  </si>
  <si>
    <t>Diameter (inch)</t>
  </si>
  <si>
    <t>Initial  Dry Weight of core</t>
  </si>
  <si>
    <t>Average length (m)</t>
  </si>
  <si>
    <t>Dia (m)</t>
  </si>
  <si>
    <t>Initial Volume (m3)</t>
  </si>
  <si>
    <t>Dry Weight (g)</t>
  </si>
  <si>
    <t>Liner</t>
  </si>
  <si>
    <t>Length (m)</t>
  </si>
  <si>
    <t>Constant Voltage across Axial Transducer (V)</t>
  </si>
  <si>
    <t>Constant Voltage across Radial Transducer (V)</t>
  </si>
  <si>
    <t>Constant Voltage across Pore Transducer (V)</t>
  </si>
  <si>
    <t>PRF (Hz)</t>
  </si>
  <si>
    <t>Energy</t>
  </si>
  <si>
    <t>Proportional Servo Gain  - Open</t>
  </si>
  <si>
    <t>Differential Servo Gain - Open</t>
  </si>
  <si>
    <t>Proportional Servo Gain - Closed</t>
  </si>
  <si>
    <t>Differential Servo Gain - Closed</t>
  </si>
  <si>
    <t>HPF</t>
  </si>
  <si>
    <t>LPF</t>
  </si>
  <si>
    <t>out</t>
  </si>
  <si>
    <t>Full BW</t>
  </si>
  <si>
    <t>Length (inch)</t>
  </si>
  <si>
    <t>Axial Pressure (V)</t>
  </si>
  <si>
    <t>Axial Pressure (psi)</t>
  </si>
  <si>
    <t>Radial Pressure (V)</t>
  </si>
  <si>
    <t>Radial Pressure (psi)</t>
  </si>
  <si>
    <t>Pore Pressure (V)</t>
  </si>
  <si>
    <t>Pore Pressure (psi)</t>
  </si>
  <si>
    <t>Initial Length (mm)</t>
  </si>
  <si>
    <t>Shortening (mm)</t>
  </si>
  <si>
    <t>Length of sample (mm)</t>
  </si>
  <si>
    <t xml:space="preserve">C.S.A (m2) </t>
  </si>
  <si>
    <t>Initial C.S.Area (m2)</t>
  </si>
  <si>
    <t>NA</t>
  </si>
  <si>
    <t>k test - Upstream Pressure (psi)</t>
  </si>
  <si>
    <t>k test - Downstream pressure (psi)</t>
  </si>
  <si>
    <t>k test - Upstream volume (ml)</t>
  </si>
  <si>
    <t>Downstream volume (ml)</t>
  </si>
  <si>
    <t>Potentiometer Voltage (V)</t>
  </si>
  <si>
    <t>P_1</t>
  </si>
  <si>
    <t>P_2</t>
  </si>
  <si>
    <t>length of sample</t>
  </si>
  <si>
    <t>P_3</t>
  </si>
  <si>
    <t>S_2_P</t>
  </si>
  <si>
    <t>S1_1</t>
  </si>
  <si>
    <t>S1_2</t>
  </si>
  <si>
    <t>S1_3</t>
  </si>
  <si>
    <t>P_2_S1</t>
  </si>
  <si>
    <t>S2_1</t>
  </si>
  <si>
    <t>S2_2</t>
  </si>
  <si>
    <t>S2_3</t>
  </si>
  <si>
    <t>P_2_S2</t>
  </si>
  <si>
    <t>ZEROED</t>
  </si>
  <si>
    <t>TBC</t>
  </si>
  <si>
    <t>ZER0ED</t>
  </si>
  <si>
    <t>Step description</t>
  </si>
  <si>
    <t>Axial Ramp</t>
  </si>
  <si>
    <t>Radial Ramp</t>
  </si>
  <si>
    <t>Pore Ramp</t>
  </si>
  <si>
    <t>Initial flushing</t>
  </si>
  <si>
    <t>Flushing</t>
  </si>
  <si>
    <t>As Above</t>
  </si>
  <si>
    <t>K test time (s)</t>
  </si>
  <si>
    <t>Pore Pressure during test (V)</t>
  </si>
  <si>
    <t>Pore Pressure during test (psi)</t>
  </si>
  <si>
    <t>Number</t>
  </si>
  <si>
    <t xml:space="preserve"> Pore pressure after pulse (V)</t>
  </si>
  <si>
    <t>Change in Pore Pressure (V)</t>
  </si>
  <si>
    <t>B</t>
  </si>
  <si>
    <t xml:space="preserve"> Pore pressure after pulse (psi)</t>
  </si>
  <si>
    <t>Change in Pore Pressure (psi)</t>
  </si>
  <si>
    <t xml:space="preserve">Attain Desired Effective Stress </t>
  </si>
  <si>
    <t>Comments</t>
  </si>
  <si>
    <t>Permeability test not successful due to unstable pore pressures</t>
  </si>
  <si>
    <t>B-tests conducted</t>
  </si>
  <si>
    <t>Back Pressure Ramp</t>
  </si>
  <si>
    <t>Y</t>
  </si>
  <si>
    <t>N</t>
  </si>
  <si>
    <t>Pore fluid zeroed before step(Y/N)</t>
  </si>
  <si>
    <t>Time</t>
  </si>
  <si>
    <t>Axial Pressure after pulse (V)</t>
  </si>
  <si>
    <t>Axial Pressure after pulse (psi)</t>
  </si>
  <si>
    <t>Change in Axial Pressure (V)</t>
  </si>
  <si>
    <t>Radial Pressure after pulse (V)</t>
  </si>
  <si>
    <t>Radial Pressure after pulse (psi)</t>
  </si>
  <si>
    <t>Change in Radial Pressure (V)</t>
  </si>
  <si>
    <t>Pore pressure (psi)</t>
  </si>
  <si>
    <t>Change in Axial Pressure (psi)</t>
  </si>
  <si>
    <t>Change in radial pressure (psi)</t>
  </si>
  <si>
    <t>tbc</t>
  </si>
  <si>
    <t>Injected fluid volume (ml)</t>
  </si>
  <si>
    <t>na</t>
  </si>
  <si>
    <t>Step Description</t>
  </si>
  <si>
    <t>S3/S1 (=0.8)</t>
  </si>
  <si>
    <t>P/S3 (=0.5)</t>
  </si>
  <si>
    <t>Effective Stress (psi)</t>
  </si>
  <si>
    <t>Time (hrs)</t>
  </si>
  <si>
    <t>Cumulative Time (hrs)</t>
  </si>
  <si>
    <t>Delta P for flow</t>
  </si>
  <si>
    <t>Delta P/P</t>
  </si>
  <si>
    <t>k test - Downstream Pressure (psi)</t>
  </si>
  <si>
    <t>Measurements</t>
  </si>
  <si>
    <t>Notes</t>
  </si>
  <si>
    <t>Apply axial load</t>
  </si>
  <si>
    <t>Apply radial load</t>
  </si>
  <si>
    <t>sealing should be achieved at this pressure</t>
  </si>
  <si>
    <t>Raise Pore Pressure</t>
  </si>
  <si>
    <t>check for sealing - connection between pore and radial pressures</t>
  </si>
  <si>
    <t>Flush core</t>
  </si>
  <si>
    <t>k</t>
  </si>
  <si>
    <t>wait for flowrate to become constant to end step</t>
  </si>
  <si>
    <t>Attain desired effective stress for saturation</t>
  </si>
  <si>
    <t>Back pressure of 125 psi</t>
  </si>
  <si>
    <t>Back Pressure saturation ramp</t>
  </si>
  <si>
    <t>Potentiometer, Vp, Vs</t>
  </si>
  <si>
    <t>Maintain constant effective stress, keep drains closed</t>
  </si>
  <si>
    <t>Desired effective stress for saturation - anisotropic loading</t>
  </si>
  <si>
    <t>Achieve anisotropic stress state, ramp axial</t>
  </si>
  <si>
    <t>Permeability test ramp</t>
  </si>
  <si>
    <t>Make flow input/output pressure = pore pressure, then setup ramps</t>
  </si>
  <si>
    <t>Permeability test</t>
  </si>
  <si>
    <t>Initial Permeability test, Delta P/ P =0.5</t>
  </si>
  <si>
    <t>Unloading</t>
  </si>
  <si>
    <t>Pore pressure increased, reduce Delta P for k test</t>
  </si>
  <si>
    <t>Draining</t>
  </si>
  <si>
    <t>Make isotropic stress state for loading</t>
  </si>
  <si>
    <t>Attain isotropic stress state for loading</t>
  </si>
  <si>
    <t>Loading - Isotropic</t>
  </si>
  <si>
    <t>Axial and Radial Ramping</t>
  </si>
  <si>
    <t>Loading - Anisotropic</t>
  </si>
  <si>
    <t>Backpressure Ramp</t>
  </si>
  <si>
    <t>Anisotropic loading</t>
  </si>
  <si>
    <t>AA</t>
  </si>
  <si>
    <t>Upstream Flowrate (ml/min)</t>
  </si>
  <si>
    <t>Intended Axial (psi)</t>
  </si>
  <si>
    <t>Axial During Test (V)</t>
  </si>
  <si>
    <t>Axial during test (psi)</t>
  </si>
  <si>
    <t>Axial during test (Pa)</t>
  </si>
  <si>
    <t>Intended Radial (psi)</t>
  </si>
  <si>
    <t>Radial during test (V)</t>
  </si>
  <si>
    <t>Radial During Test (psi)</t>
  </si>
  <si>
    <t>Radial During Test (Pa)</t>
  </si>
  <si>
    <t>Intended Pore (psi)</t>
  </si>
  <si>
    <t>Pore during test (psi)</t>
  </si>
  <si>
    <t>Pore during test (V)</t>
  </si>
  <si>
    <t>Pore during test (Pa)</t>
  </si>
  <si>
    <t>Effective Stress (Pa)</t>
  </si>
  <si>
    <t>Differential Stress (psi)</t>
  </si>
  <si>
    <t>Differential Stress (Pa)</t>
  </si>
  <si>
    <t>Upstream Pressure (psi)</t>
  </si>
  <si>
    <t>Upstream Pressure (Pa)</t>
  </si>
  <si>
    <t>Downstream Pressure (psi)</t>
  </si>
  <si>
    <t>Downstream Pressure (Pa)</t>
  </si>
  <si>
    <t>Upstream volume (ml)</t>
  </si>
  <si>
    <t>Upstream Volume (m3)</t>
  </si>
  <si>
    <t>Downstream Volume (m3)</t>
  </si>
  <si>
    <t>Time elapsed (s)</t>
  </si>
  <si>
    <t>Time elapsed (hh:mm:ss)</t>
  </si>
  <si>
    <t>viscosity (Pa.s)</t>
  </si>
  <si>
    <t>length of sample (mm)</t>
  </si>
  <si>
    <t>length of sampe (m)</t>
  </si>
  <si>
    <t>CSA (m2)</t>
  </si>
  <si>
    <t>k (m2)</t>
  </si>
  <si>
    <t>k (Darcy)</t>
  </si>
  <si>
    <t>k test</t>
  </si>
  <si>
    <t>Hole</t>
  </si>
  <si>
    <t>Expedition</t>
  </si>
  <si>
    <t>Depth</t>
  </si>
  <si>
    <t>Porosity</t>
  </si>
  <si>
    <t>kh</t>
  </si>
  <si>
    <t>kv</t>
  </si>
  <si>
    <t>Grain Size Distribution</t>
  </si>
  <si>
    <t>TNC</t>
  </si>
  <si>
    <t>Make Isotropic stress state</t>
  </si>
  <si>
    <t>Isitropic loading</t>
  </si>
  <si>
    <t>y</t>
  </si>
  <si>
    <t>Weight of weighing flask (g)</t>
  </si>
  <si>
    <t>Wet Weight after experiment</t>
  </si>
  <si>
    <t>Strain</t>
  </si>
  <si>
    <t>Potentiometer reading (calibrated)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</si>
</sst>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0" borderId="3" applyNumberFormat="0" applyFill="0" applyAlignment="0" applyProtection="0"/>
    <xf numFmtId="0" fontId="3" fillId="8" borderId="0" applyNumberFormat="0" applyBorder="0" applyAlignment="0" applyProtection="0"/>
    <xf numFmtId="0" fontId="5" fillId="12" borderId="8" applyNumberFormat="0" applyFont="0" applyAlignment="0" applyProtection="0"/>
  </cellStyleXfs>
  <cellXfs count="72">
    <xf numFmtId="0" fontId="0" fillId="0" borderId="0" xfId="0"/>
    <xf numFmtId="16" fontId="0" fillId="0" borderId="0" xfId="0" applyNumberFormat="1"/>
    <xf numFmtId="20" fontId="0" fillId="0" borderId="0" xfId="0" applyNumberFormat="1"/>
    <xf numFmtId="11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16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2" fillId="0" borderId="3" xfId="1" applyAlignment="1">
      <alignment horizontal="center"/>
    </xf>
    <xf numFmtId="0" fontId="0" fillId="0" borderId="0" xfId="0" applyBorder="1"/>
    <xf numFmtId="0" fontId="0" fillId="3" borderId="4" xfId="0" applyFill="1" applyBorder="1"/>
    <xf numFmtId="0" fontId="0" fillId="0" borderId="5" xfId="0" applyFill="1" applyBorder="1"/>
    <xf numFmtId="0" fontId="0" fillId="0" borderId="5" xfId="0" applyBorder="1"/>
    <xf numFmtId="0" fontId="0" fillId="5" borderId="0" xfId="0" applyFill="1"/>
    <xf numFmtId="0" fontId="0" fillId="6" borderId="0" xfId="0" applyFill="1"/>
    <xf numFmtId="0" fontId="0" fillId="7" borderId="0" xfId="0" applyFill="1" applyBorder="1"/>
    <xf numFmtId="0" fontId="0" fillId="7" borderId="0" xfId="0" applyFill="1"/>
    <xf numFmtId="0" fontId="0" fillId="6" borderId="0" xfId="0" applyFill="1" applyBorder="1"/>
    <xf numFmtId="0" fontId="0" fillId="0" borderId="4" xfId="0" applyBorder="1"/>
    <xf numFmtId="0" fontId="0" fillId="0" borderId="4" xfId="0" applyFill="1" applyBorder="1"/>
    <xf numFmtId="2" fontId="0" fillId="7" borderId="0" xfId="0" applyNumberFormat="1" applyFill="1" applyBorder="1"/>
    <xf numFmtId="0" fontId="0" fillId="2" borderId="0" xfId="0" applyFill="1" applyBorder="1"/>
    <xf numFmtId="16" fontId="0" fillId="9" borderId="0" xfId="0" applyNumberFormat="1" applyFill="1"/>
    <xf numFmtId="20" fontId="0" fillId="9" borderId="0" xfId="0" applyNumberFormat="1" applyFill="1"/>
    <xf numFmtId="0" fontId="0" fillId="9" borderId="0" xfId="0" applyFill="1"/>
    <xf numFmtId="11" fontId="0" fillId="9" borderId="0" xfId="0" applyNumberFormat="1" applyFill="1"/>
    <xf numFmtId="0" fontId="0" fillId="0" borderId="1" xfId="0" applyFill="1" applyBorder="1"/>
    <xf numFmtId="21" fontId="0" fillId="0" borderId="0" xfId="0" applyNumberFormat="1"/>
    <xf numFmtId="11" fontId="0" fillId="3" borderId="0" xfId="0" applyNumberFormat="1" applyFill="1"/>
    <xf numFmtId="0" fontId="0" fillId="3" borderId="1" xfId="0" applyFill="1" applyBorder="1"/>
    <xf numFmtId="0" fontId="0" fillId="9" borderId="1" xfId="0" applyFill="1" applyBorder="1"/>
    <xf numFmtId="21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0" xfId="0" applyFill="1"/>
    <xf numFmtId="0" fontId="0" fillId="10" borderId="0" xfId="0" applyFill="1" applyBorder="1"/>
    <xf numFmtId="16" fontId="0" fillId="0" borderId="4" xfId="0" applyNumberFormat="1" applyBorder="1"/>
    <xf numFmtId="20" fontId="0" fillId="0" borderId="4" xfId="0" applyNumberFormat="1" applyBorder="1"/>
    <xf numFmtId="0" fontId="0" fillId="0" borderId="6" xfId="0" applyBorder="1"/>
    <xf numFmtId="16" fontId="0" fillId="3" borderId="0" xfId="0" applyNumberFormat="1" applyFill="1" applyBorder="1"/>
    <xf numFmtId="20" fontId="0" fillId="3" borderId="0" xfId="0" applyNumberFormat="1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21" fontId="0" fillId="3" borderId="0" xfId="0" applyNumberFormat="1" applyFill="1" applyBorder="1"/>
    <xf numFmtId="0" fontId="0" fillId="0" borderId="4" xfId="0" applyBorder="1" applyAlignment="1">
      <alignment horizontal="center"/>
    </xf>
    <xf numFmtId="11" fontId="3" fillId="8" borderId="4" xfId="2" applyNumberFormat="1" applyBorder="1"/>
    <xf numFmtId="0" fontId="2" fillId="0" borderId="3" xfId="1" applyFont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4" fillId="3" borderId="4" xfId="0" applyFont="1" applyFill="1" applyBorder="1"/>
    <xf numFmtId="0" fontId="4" fillId="0" borderId="5" xfId="0" applyFont="1" applyBorder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 applyBorder="1"/>
    <xf numFmtId="0" fontId="4" fillId="10" borderId="0" xfId="0" applyFont="1" applyFill="1"/>
    <xf numFmtId="0" fontId="4" fillId="7" borderId="0" xfId="0" applyFont="1" applyFill="1"/>
    <xf numFmtId="0" fontId="4" fillId="0" borderId="4" xfId="0" applyFont="1" applyBorder="1"/>
    <xf numFmtId="21" fontId="0" fillId="0" borderId="4" xfId="0" applyNumberFormat="1" applyBorder="1"/>
    <xf numFmtId="0" fontId="0" fillId="0" borderId="7" xfId="0" applyBorder="1"/>
    <xf numFmtId="0" fontId="0" fillId="11" borderId="0" xfId="0" applyFill="1"/>
    <xf numFmtId="0" fontId="4" fillId="11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3" fillId="12" borderId="8" xfId="3" applyFont="1"/>
  </cellXfs>
  <cellStyles count="4">
    <cellStyle name="Bad" xfId="2" builtinId="27"/>
    <cellStyle name="Heading 2" xfId="1" builtinId="17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zoomScale="70" zoomScaleNormal="70" workbookViewId="0">
      <selection activeCell="B24" sqref="B24"/>
    </sheetView>
  </sheetViews>
  <sheetFormatPr defaultRowHeight="15" x14ac:dyDescent="0.25"/>
  <cols>
    <col min="1" max="1" width="7.25" bestFit="1" customWidth="1"/>
    <col min="2" max="2" width="53.875" bestFit="1" customWidth="1"/>
    <col min="3" max="3" width="24.5" bestFit="1" customWidth="1"/>
    <col min="4" max="4" width="26.125" bestFit="1" customWidth="1"/>
    <col min="5" max="5" width="16.125" bestFit="1" customWidth="1"/>
    <col min="6" max="6" width="24.25" bestFit="1" customWidth="1"/>
    <col min="7" max="7" width="15.125" bestFit="1" customWidth="1"/>
    <col min="8" max="8" width="26.125" bestFit="1" customWidth="1"/>
    <col min="9" max="9" width="13" style="53" bestFit="1" customWidth="1"/>
    <col min="10" max="10" width="27" bestFit="1" customWidth="1"/>
    <col min="11" max="11" width="19.5" bestFit="1" customWidth="1"/>
    <col min="12" max="12" width="12.875" bestFit="1" customWidth="1"/>
    <col min="13" max="13" width="39.125" bestFit="1" customWidth="1"/>
    <col min="14" max="14" width="42.375" bestFit="1" customWidth="1"/>
    <col min="15" max="15" width="20.75" bestFit="1" customWidth="1"/>
    <col min="16" max="16" width="60.75" bestFit="1" customWidth="1"/>
  </cols>
  <sheetData>
    <row r="1" spans="1:16" ht="18" thickBot="1" x14ac:dyDescent="0.35">
      <c r="A1" s="13" t="s">
        <v>2</v>
      </c>
      <c r="B1" s="13" t="s">
        <v>113</v>
      </c>
      <c r="C1" s="13" t="s">
        <v>44</v>
      </c>
      <c r="D1" s="13" t="s">
        <v>46</v>
      </c>
      <c r="E1" s="13" t="s">
        <v>114</v>
      </c>
      <c r="F1" s="13" t="s">
        <v>48</v>
      </c>
      <c r="G1" s="13" t="s">
        <v>115</v>
      </c>
      <c r="H1" s="13" t="s">
        <v>116</v>
      </c>
      <c r="I1" s="52" t="s">
        <v>117</v>
      </c>
      <c r="J1" s="13" t="s">
        <v>118</v>
      </c>
      <c r="K1" s="13" t="s">
        <v>119</v>
      </c>
      <c r="L1" s="13" t="s">
        <v>120</v>
      </c>
      <c r="M1" s="13" t="s">
        <v>55</v>
      </c>
      <c r="N1" s="13" t="s">
        <v>121</v>
      </c>
      <c r="O1" s="13" t="s">
        <v>122</v>
      </c>
      <c r="P1" s="13" t="s">
        <v>123</v>
      </c>
    </row>
    <row r="2" spans="1:16" ht="15.75" thickTop="1" x14ac:dyDescent="0.25">
      <c r="A2">
        <v>1.1000000000000001</v>
      </c>
      <c r="B2" t="s">
        <v>124</v>
      </c>
      <c r="C2">
        <v>100</v>
      </c>
      <c r="D2">
        <v>0</v>
      </c>
      <c r="E2">
        <f>D2/C2</f>
        <v>0</v>
      </c>
      <c r="F2">
        <v>0</v>
      </c>
      <c r="H2">
        <f t="shared" ref="H2:H14" si="0">D2-F2</f>
        <v>0</v>
      </c>
      <c r="I2" s="53">
        <v>24</v>
      </c>
      <c r="J2">
        <f>I2</f>
        <v>24</v>
      </c>
    </row>
    <row r="3" spans="1:16" x14ac:dyDescent="0.25">
      <c r="A3">
        <v>1.2</v>
      </c>
      <c r="B3" t="s">
        <v>125</v>
      </c>
      <c r="C3">
        <v>100</v>
      </c>
      <c r="D3">
        <v>100</v>
      </c>
      <c r="E3">
        <f t="shared" ref="E3:E14" si="1">D3/C3</f>
        <v>1</v>
      </c>
      <c r="F3">
        <v>0</v>
      </c>
      <c r="G3">
        <f>F3/D3</f>
        <v>0</v>
      </c>
      <c r="H3">
        <f t="shared" si="0"/>
        <v>100</v>
      </c>
      <c r="I3" s="53">
        <v>24</v>
      </c>
      <c r="J3">
        <f>I3+J2</f>
        <v>48</v>
      </c>
      <c r="P3" t="s">
        <v>126</v>
      </c>
    </row>
    <row r="4" spans="1:16" x14ac:dyDescent="0.25">
      <c r="A4" s="14">
        <v>1.3</v>
      </c>
      <c r="B4" s="14" t="s">
        <v>127</v>
      </c>
      <c r="C4" s="14">
        <v>100</v>
      </c>
      <c r="D4" s="14">
        <v>100</v>
      </c>
      <c r="E4" s="14">
        <f t="shared" si="1"/>
        <v>1</v>
      </c>
      <c r="F4" s="14">
        <v>20</v>
      </c>
      <c r="G4">
        <f>F4/D4</f>
        <v>0.2</v>
      </c>
      <c r="H4" s="14">
        <f t="shared" si="0"/>
        <v>80</v>
      </c>
      <c r="I4" s="54">
        <f>(F4-F3)/25</f>
        <v>0.8</v>
      </c>
      <c r="J4">
        <f t="shared" ref="J4:J66" si="2">I4+J3</f>
        <v>48.8</v>
      </c>
      <c r="M4" s="14"/>
      <c r="N4" s="14"/>
      <c r="O4" s="14"/>
      <c r="P4" s="14" t="s">
        <v>128</v>
      </c>
    </row>
    <row r="5" spans="1:16" x14ac:dyDescent="0.25">
      <c r="A5" s="15">
        <v>1.4</v>
      </c>
      <c r="B5" s="15" t="s">
        <v>129</v>
      </c>
      <c r="C5" s="15">
        <v>100</v>
      </c>
      <c r="D5" s="15">
        <v>100</v>
      </c>
      <c r="E5" s="15">
        <f t="shared" si="1"/>
        <v>1</v>
      </c>
      <c r="F5" s="15">
        <v>20</v>
      </c>
      <c r="G5" s="15">
        <f>F5/D5</f>
        <v>0.2</v>
      </c>
      <c r="H5" s="15">
        <f t="shared" si="0"/>
        <v>80</v>
      </c>
      <c r="I5" s="55">
        <v>3</v>
      </c>
      <c r="J5" s="15">
        <f t="shared" si="2"/>
        <v>51.8</v>
      </c>
      <c r="K5" s="15">
        <v>20</v>
      </c>
      <c r="L5" s="15">
        <f>K5/F5</f>
        <v>1</v>
      </c>
      <c r="M5" s="15">
        <v>30</v>
      </c>
      <c r="N5" s="15">
        <v>10</v>
      </c>
      <c r="O5" s="15" t="s">
        <v>130</v>
      </c>
      <c r="P5" s="15" t="s">
        <v>131</v>
      </c>
    </row>
    <row r="6" spans="1:16" x14ac:dyDescent="0.25">
      <c r="A6" s="16">
        <v>1.5</v>
      </c>
      <c r="B6" s="16" t="s">
        <v>132</v>
      </c>
      <c r="C6" s="16">
        <v>145</v>
      </c>
      <c r="D6" s="16">
        <v>145</v>
      </c>
      <c r="E6" s="16">
        <f t="shared" si="1"/>
        <v>1</v>
      </c>
      <c r="F6" s="16">
        <v>20</v>
      </c>
      <c r="G6" s="17"/>
      <c r="H6" s="16">
        <f t="shared" si="0"/>
        <v>125</v>
      </c>
      <c r="I6" s="56"/>
      <c r="J6" s="17"/>
      <c r="K6" s="17"/>
      <c r="L6" s="17"/>
      <c r="M6" s="17"/>
      <c r="N6" s="17"/>
      <c r="O6" s="17"/>
      <c r="P6" s="16" t="s">
        <v>133</v>
      </c>
    </row>
    <row r="7" spans="1:16" x14ac:dyDescent="0.25">
      <c r="A7" s="18">
        <v>2.1</v>
      </c>
      <c r="B7" s="18" t="s">
        <v>134</v>
      </c>
      <c r="C7" s="18">
        <v>250</v>
      </c>
      <c r="D7" s="18">
        <v>250</v>
      </c>
      <c r="E7" s="18">
        <f t="shared" si="1"/>
        <v>1</v>
      </c>
      <c r="F7" s="18">
        <f>0.5*C7</f>
        <v>125</v>
      </c>
      <c r="G7" s="18">
        <f>F7/D7</f>
        <v>0.5</v>
      </c>
      <c r="H7" s="18">
        <f t="shared" si="0"/>
        <v>125</v>
      </c>
      <c r="I7" s="57">
        <f>(D7-D5)/25</f>
        <v>6</v>
      </c>
      <c r="J7" s="18">
        <f>I7+J5</f>
        <v>57.8</v>
      </c>
      <c r="K7" s="18"/>
      <c r="L7" s="18"/>
      <c r="M7" s="18"/>
      <c r="N7" s="18"/>
      <c r="O7" s="18" t="s">
        <v>135</v>
      </c>
      <c r="P7" s="18" t="s">
        <v>136</v>
      </c>
    </row>
    <row r="8" spans="1:16" x14ac:dyDescent="0.25">
      <c r="A8">
        <v>2.2000000000000002</v>
      </c>
      <c r="B8" t="s">
        <v>137</v>
      </c>
      <c r="C8">
        <f>D8/0.8</f>
        <v>312.5</v>
      </c>
      <c r="D8">
        <v>250</v>
      </c>
      <c r="E8">
        <f t="shared" si="1"/>
        <v>0.8</v>
      </c>
      <c r="F8">
        <v>125</v>
      </c>
      <c r="G8">
        <f t="shared" ref="G8:G14" si="3">F8/D8</f>
        <v>0.5</v>
      </c>
      <c r="H8">
        <f t="shared" si="0"/>
        <v>125</v>
      </c>
      <c r="I8" s="53">
        <f>(C8-C7)/25</f>
        <v>2.5</v>
      </c>
      <c r="J8">
        <f>I8+J7</f>
        <v>60.3</v>
      </c>
      <c r="O8" t="s">
        <v>135</v>
      </c>
      <c r="P8" t="s">
        <v>138</v>
      </c>
    </row>
    <row r="9" spans="1:16" x14ac:dyDescent="0.25">
      <c r="A9" s="19">
        <v>2.2999999999999998</v>
      </c>
      <c r="B9" s="19" t="s">
        <v>139</v>
      </c>
      <c r="C9" s="19">
        <v>312.5</v>
      </c>
      <c r="D9" s="19">
        <v>250</v>
      </c>
      <c r="E9" s="19">
        <f t="shared" si="1"/>
        <v>0.8</v>
      </c>
      <c r="F9" s="19">
        <v>125</v>
      </c>
      <c r="G9" s="19">
        <f t="shared" si="3"/>
        <v>0.5</v>
      </c>
      <c r="H9" s="19">
        <f t="shared" si="0"/>
        <v>125</v>
      </c>
      <c r="I9" s="58">
        <f>(M9-F9)/25</f>
        <v>0.5</v>
      </c>
      <c r="J9" s="19">
        <f>I9+J8</f>
        <v>60.8</v>
      </c>
      <c r="K9" s="19">
        <f>K10</f>
        <v>25</v>
      </c>
      <c r="L9" s="19">
        <f>L10</f>
        <v>0.2</v>
      </c>
      <c r="M9" s="19">
        <f>M10</f>
        <v>137.5</v>
      </c>
      <c r="N9" s="19">
        <f>N10</f>
        <v>112.5</v>
      </c>
      <c r="O9" s="19"/>
      <c r="P9" s="19" t="s">
        <v>140</v>
      </c>
    </row>
    <row r="10" spans="1:16" x14ac:dyDescent="0.25">
      <c r="A10" s="20">
        <v>2.4</v>
      </c>
      <c r="B10" s="20" t="s">
        <v>141</v>
      </c>
      <c r="C10" s="20">
        <v>312.5</v>
      </c>
      <c r="D10" s="20">
        <v>250</v>
      </c>
      <c r="E10" s="20">
        <f t="shared" si="1"/>
        <v>0.8</v>
      </c>
      <c r="F10" s="20">
        <v>125</v>
      </c>
      <c r="G10" s="21">
        <f t="shared" si="3"/>
        <v>0.5</v>
      </c>
      <c r="H10" s="20">
        <f t="shared" si="0"/>
        <v>125</v>
      </c>
      <c r="I10" s="59">
        <v>8</v>
      </c>
      <c r="J10" s="21">
        <f>I10+J8</f>
        <v>68.3</v>
      </c>
      <c r="K10" s="21">
        <f>0.2*F10</f>
        <v>25</v>
      </c>
      <c r="L10" s="21">
        <f>K10/F10</f>
        <v>0.2</v>
      </c>
      <c r="M10" s="20">
        <f>F10+K10/2</f>
        <v>137.5</v>
      </c>
      <c r="N10" s="20">
        <f>F10-K10/2</f>
        <v>112.5</v>
      </c>
      <c r="O10" s="20" t="s">
        <v>130</v>
      </c>
      <c r="P10" s="20" t="s">
        <v>142</v>
      </c>
    </row>
    <row r="11" spans="1:16" s="40" customFormat="1" x14ac:dyDescent="0.25">
      <c r="A11" s="40">
        <v>2.5</v>
      </c>
      <c r="B11" s="40" t="s">
        <v>143</v>
      </c>
      <c r="C11" s="40">
        <v>312.5</v>
      </c>
      <c r="D11" s="40">
        <v>250</v>
      </c>
      <c r="E11" s="40">
        <f t="shared" si="1"/>
        <v>0.8</v>
      </c>
      <c r="F11" s="40">
        <v>200</v>
      </c>
      <c r="G11" s="40">
        <f t="shared" si="3"/>
        <v>0.8</v>
      </c>
      <c r="H11" s="41">
        <f t="shared" si="0"/>
        <v>50</v>
      </c>
      <c r="I11" s="60">
        <f>(F11-F10)/25</f>
        <v>3</v>
      </c>
      <c r="J11" s="40">
        <f t="shared" si="2"/>
        <v>71.3</v>
      </c>
      <c r="O11" s="40" t="s">
        <v>135</v>
      </c>
    </row>
    <row r="12" spans="1:16" x14ac:dyDescent="0.25">
      <c r="A12" s="19">
        <v>2.6</v>
      </c>
      <c r="B12" s="19" t="s">
        <v>139</v>
      </c>
      <c r="C12" s="19">
        <v>312.5</v>
      </c>
      <c r="D12" s="19">
        <v>250</v>
      </c>
      <c r="E12" s="19">
        <f t="shared" si="1"/>
        <v>0.8</v>
      </c>
      <c r="F12" s="19">
        <v>200</v>
      </c>
      <c r="G12" s="19">
        <f t="shared" si="3"/>
        <v>0.8</v>
      </c>
      <c r="H12" s="22">
        <f t="shared" si="0"/>
        <v>50</v>
      </c>
      <c r="I12" s="58">
        <f>(M12-F12)/25</f>
        <v>0.5</v>
      </c>
      <c r="J12" s="19">
        <f t="shared" si="2"/>
        <v>71.8</v>
      </c>
      <c r="K12" s="19">
        <f>K13</f>
        <v>25</v>
      </c>
      <c r="L12" s="19">
        <f>L13</f>
        <v>0.125</v>
      </c>
      <c r="M12" s="19">
        <f>M13</f>
        <v>212.5</v>
      </c>
      <c r="N12" s="19">
        <f>N13</f>
        <v>107.05</v>
      </c>
      <c r="O12" s="19"/>
      <c r="P12" s="19" t="s">
        <v>140</v>
      </c>
    </row>
    <row r="13" spans="1:16" x14ac:dyDescent="0.25">
      <c r="A13" s="21">
        <v>2.7</v>
      </c>
      <c r="B13" s="21" t="s">
        <v>141</v>
      </c>
      <c r="C13" s="21">
        <v>312.5</v>
      </c>
      <c r="D13" s="21">
        <v>250</v>
      </c>
      <c r="E13" s="21">
        <f t="shared" si="1"/>
        <v>0.8</v>
      </c>
      <c r="F13" s="21">
        <v>200</v>
      </c>
      <c r="G13" s="21">
        <f t="shared" si="3"/>
        <v>0.8</v>
      </c>
      <c r="H13" s="20">
        <f t="shared" si="0"/>
        <v>50</v>
      </c>
      <c r="I13" s="61">
        <v>8</v>
      </c>
      <c r="J13" s="21">
        <f>I13+J11</f>
        <v>79.3</v>
      </c>
      <c r="K13" s="21">
        <v>25</v>
      </c>
      <c r="L13" s="21">
        <f>K13/F13</f>
        <v>0.125</v>
      </c>
      <c r="M13" s="21">
        <f>F13+K13/2</f>
        <v>212.5</v>
      </c>
      <c r="N13" s="21">
        <f>G13+M13/2</f>
        <v>107.05</v>
      </c>
      <c r="O13" s="20" t="s">
        <v>130</v>
      </c>
      <c r="P13" s="21" t="s">
        <v>144</v>
      </c>
    </row>
    <row r="14" spans="1:16" x14ac:dyDescent="0.25">
      <c r="A14" s="23">
        <v>2.8</v>
      </c>
      <c r="B14" s="23" t="s">
        <v>145</v>
      </c>
      <c r="C14" s="23">
        <v>312.5</v>
      </c>
      <c r="D14" s="23">
        <v>250</v>
      </c>
      <c r="E14" s="23">
        <f t="shared" si="1"/>
        <v>0.8</v>
      </c>
      <c r="F14" s="23">
        <v>125</v>
      </c>
      <c r="G14" s="23">
        <f t="shared" si="3"/>
        <v>0.5</v>
      </c>
      <c r="H14" s="24">
        <f t="shared" si="0"/>
        <v>125</v>
      </c>
      <c r="I14" s="62">
        <f>(F13-F14)/25</f>
        <v>3</v>
      </c>
      <c r="J14" s="23">
        <f t="shared" si="2"/>
        <v>82.3</v>
      </c>
      <c r="K14" s="23"/>
      <c r="L14" s="23"/>
      <c r="M14" s="23"/>
      <c r="N14" s="23"/>
      <c r="O14" s="23" t="s">
        <v>135</v>
      </c>
      <c r="P14" s="23"/>
    </row>
    <row r="15" spans="1:16" x14ac:dyDescent="0.25">
      <c r="A15">
        <v>3.1</v>
      </c>
      <c r="B15" t="s">
        <v>146</v>
      </c>
      <c r="C15">
        <v>312.5</v>
      </c>
      <c r="D15">
        <v>312.5</v>
      </c>
      <c r="E15">
        <f>D15/C15</f>
        <v>1</v>
      </c>
      <c r="F15">
        <f>0.5*C15</f>
        <v>156.25</v>
      </c>
      <c r="G15">
        <f>F15/D15</f>
        <v>0.5</v>
      </c>
      <c r="H15">
        <f t="shared" ref="H15:H29" si="4">D15-F15</f>
        <v>156.25</v>
      </c>
      <c r="I15" s="53">
        <f>(D15-D14)/25</f>
        <v>2.5</v>
      </c>
      <c r="J15">
        <f t="shared" si="2"/>
        <v>84.8</v>
      </c>
      <c r="O15" t="s">
        <v>135</v>
      </c>
      <c r="P15" t="s">
        <v>147</v>
      </c>
    </row>
    <row r="16" spans="1:16" s="65" customFormat="1" x14ac:dyDescent="0.25">
      <c r="A16" s="65">
        <v>3.2</v>
      </c>
      <c r="B16" s="65" t="s">
        <v>148</v>
      </c>
      <c r="C16" s="65">
        <v>750</v>
      </c>
      <c r="D16" s="65">
        <v>750</v>
      </c>
      <c r="E16" s="65">
        <f>D16/C16</f>
        <v>1</v>
      </c>
      <c r="F16" s="65">
        <f>D16*0.5</f>
        <v>375</v>
      </c>
      <c r="G16" s="65">
        <f>F16/D16</f>
        <v>0.5</v>
      </c>
      <c r="H16" s="65">
        <f t="shared" si="4"/>
        <v>375</v>
      </c>
      <c r="I16" s="66">
        <f>(C16-C15)/25</f>
        <v>17.5</v>
      </c>
      <c r="J16" s="65">
        <f t="shared" si="2"/>
        <v>102.3</v>
      </c>
      <c r="O16" s="65" t="s">
        <v>135</v>
      </c>
      <c r="P16" s="65" t="s">
        <v>149</v>
      </c>
    </row>
    <row r="17" spans="1:16" x14ac:dyDescent="0.25">
      <c r="A17">
        <v>3.3</v>
      </c>
      <c r="B17" t="s">
        <v>150</v>
      </c>
      <c r="C17">
        <f>D17/0.8</f>
        <v>937.5</v>
      </c>
      <c r="D17">
        <v>750</v>
      </c>
      <c r="E17">
        <f>D17/C17</f>
        <v>0.8</v>
      </c>
      <c r="F17">
        <v>375</v>
      </c>
      <c r="G17">
        <f>F17/D17</f>
        <v>0.5</v>
      </c>
      <c r="H17">
        <f t="shared" si="4"/>
        <v>375</v>
      </c>
      <c r="I17" s="53">
        <f>(C17-C16)/25</f>
        <v>7.5</v>
      </c>
      <c r="J17">
        <f>I17+J16</f>
        <v>109.8</v>
      </c>
      <c r="O17" t="s">
        <v>135</v>
      </c>
      <c r="P17" t="s">
        <v>138</v>
      </c>
    </row>
    <row r="18" spans="1:16" x14ac:dyDescent="0.25">
      <c r="A18" s="19">
        <v>2.6</v>
      </c>
      <c r="B18" s="19" t="s">
        <v>139</v>
      </c>
      <c r="C18" s="19">
        <f>C19</f>
        <v>937.5</v>
      </c>
      <c r="D18" s="19">
        <f>D19</f>
        <v>750</v>
      </c>
      <c r="E18" s="19">
        <f>D18/C18</f>
        <v>0.8</v>
      </c>
      <c r="F18" s="19">
        <f>F19</f>
        <v>375</v>
      </c>
      <c r="G18" s="19">
        <f t="shared" ref="G18:G26" si="5">F18/D18</f>
        <v>0.5</v>
      </c>
      <c r="H18" s="22">
        <f t="shared" si="4"/>
        <v>375</v>
      </c>
      <c r="I18" s="58">
        <f>(M18-F18)/25</f>
        <v>1.5</v>
      </c>
      <c r="J18" s="19">
        <f>I18+J17</f>
        <v>111.3</v>
      </c>
      <c r="K18" s="19">
        <f>K19</f>
        <v>75</v>
      </c>
      <c r="L18" s="19">
        <f>L19</f>
        <v>0.2</v>
      </c>
      <c r="M18" s="19">
        <f>M19</f>
        <v>412.5</v>
      </c>
      <c r="N18" s="19">
        <f>N19</f>
        <v>337.5</v>
      </c>
      <c r="O18" s="19"/>
      <c r="P18" s="19" t="s">
        <v>140</v>
      </c>
    </row>
    <row r="19" spans="1:16" x14ac:dyDescent="0.25">
      <c r="A19" s="20">
        <v>3.4</v>
      </c>
      <c r="B19" s="20" t="s">
        <v>141</v>
      </c>
      <c r="C19" s="20">
        <f>D19/0.8</f>
        <v>937.5</v>
      </c>
      <c r="D19" s="20">
        <v>750</v>
      </c>
      <c r="E19" s="20">
        <f>D19/C19</f>
        <v>0.8</v>
      </c>
      <c r="F19" s="20">
        <v>375</v>
      </c>
      <c r="G19" s="21">
        <f t="shared" si="5"/>
        <v>0.5</v>
      </c>
      <c r="H19" s="20">
        <f t="shared" si="4"/>
        <v>375</v>
      </c>
      <c r="I19" s="61">
        <v>8</v>
      </c>
      <c r="J19" s="21">
        <f>I19+J17</f>
        <v>117.8</v>
      </c>
      <c r="K19" s="21">
        <f>0.2*F19</f>
        <v>75</v>
      </c>
      <c r="L19" s="21">
        <f>K19/F19</f>
        <v>0.2</v>
      </c>
      <c r="M19" s="20">
        <f>F19+K19/2</f>
        <v>412.5</v>
      </c>
      <c r="N19" s="20">
        <f>F19-K19/2</f>
        <v>337.5</v>
      </c>
      <c r="O19" s="20" t="s">
        <v>130</v>
      </c>
      <c r="P19" s="20" t="s">
        <v>142</v>
      </c>
    </row>
    <row r="20" spans="1:16" s="67" customFormat="1" x14ac:dyDescent="0.25">
      <c r="A20" s="67">
        <v>3.5</v>
      </c>
      <c r="B20" s="67" t="s">
        <v>143</v>
      </c>
      <c r="C20" s="67">
        <v>937.5</v>
      </c>
      <c r="D20" s="67">
        <v>750</v>
      </c>
      <c r="E20" s="67">
        <v>0.8</v>
      </c>
      <c r="F20" s="67">
        <v>525</v>
      </c>
      <c r="G20" s="67">
        <f t="shared" si="5"/>
        <v>0.7</v>
      </c>
      <c r="H20" s="67">
        <f t="shared" si="4"/>
        <v>225</v>
      </c>
      <c r="I20" s="69">
        <f>(F20-F19)/25</f>
        <v>6</v>
      </c>
      <c r="J20" s="67">
        <f t="shared" si="2"/>
        <v>123.8</v>
      </c>
      <c r="O20" s="67" t="s">
        <v>135</v>
      </c>
    </row>
    <row r="21" spans="1:16" s="19" customFormat="1" x14ac:dyDescent="0.25">
      <c r="A21" s="19">
        <v>2.6</v>
      </c>
      <c r="B21" s="19" t="s">
        <v>139</v>
      </c>
      <c r="C21" s="19">
        <f>C22</f>
        <v>937.5</v>
      </c>
      <c r="D21" s="19">
        <f>D22</f>
        <v>750</v>
      </c>
      <c r="E21" s="19">
        <f>D21/C21</f>
        <v>0.8</v>
      </c>
      <c r="F21" s="19">
        <f>F22</f>
        <v>525</v>
      </c>
      <c r="G21" s="19">
        <f t="shared" si="5"/>
        <v>0.7</v>
      </c>
      <c r="H21" s="22">
        <f t="shared" si="4"/>
        <v>225</v>
      </c>
      <c r="I21" s="58">
        <f>(M21-F21)/25</f>
        <v>1.5</v>
      </c>
      <c r="J21" s="19">
        <f t="shared" si="2"/>
        <v>125.3</v>
      </c>
      <c r="K21" s="19">
        <f>K22</f>
        <v>75</v>
      </c>
      <c r="L21" s="19">
        <f>L22</f>
        <v>0.14285714285714285</v>
      </c>
      <c r="M21" s="19">
        <f>M22</f>
        <v>562.5</v>
      </c>
      <c r="N21" s="19">
        <f>N22</f>
        <v>487.5</v>
      </c>
      <c r="P21" s="19" t="s">
        <v>140</v>
      </c>
    </row>
    <row r="22" spans="1:16" s="21" customFormat="1" x14ac:dyDescent="0.25">
      <c r="A22" s="20">
        <v>3.6</v>
      </c>
      <c r="B22" s="20" t="s">
        <v>141</v>
      </c>
      <c r="C22" s="20">
        <f>D22/0.8</f>
        <v>937.5</v>
      </c>
      <c r="D22" s="20">
        <v>750</v>
      </c>
      <c r="E22" s="20">
        <f>D22/C22</f>
        <v>0.8</v>
      </c>
      <c r="F22" s="20">
        <f>0.7*D22</f>
        <v>525</v>
      </c>
      <c r="G22" s="21">
        <f t="shared" si="5"/>
        <v>0.7</v>
      </c>
      <c r="H22" s="20">
        <f t="shared" si="4"/>
        <v>225</v>
      </c>
      <c r="I22" s="61">
        <v>8</v>
      </c>
      <c r="J22" s="21">
        <f>I22+J20</f>
        <v>131.80000000000001</v>
      </c>
      <c r="K22" s="21">
        <v>75</v>
      </c>
      <c r="L22" s="21">
        <f>K22/F22</f>
        <v>0.14285714285714285</v>
      </c>
      <c r="M22" s="20">
        <f>F22+K22/2</f>
        <v>562.5</v>
      </c>
      <c r="N22" s="20">
        <f>F22-K22/2</f>
        <v>487.5</v>
      </c>
      <c r="O22" s="20" t="s">
        <v>130</v>
      </c>
      <c r="P22" s="21" t="s">
        <v>144</v>
      </c>
    </row>
    <row r="23" spans="1:16" s="67" customFormat="1" x14ac:dyDescent="0.25">
      <c r="A23" s="67">
        <v>3.5</v>
      </c>
      <c r="B23" s="67" t="s">
        <v>143</v>
      </c>
      <c r="C23" s="67">
        <v>937.5</v>
      </c>
      <c r="D23" s="67">
        <v>750</v>
      </c>
      <c r="E23" s="67">
        <v>0.8</v>
      </c>
      <c r="F23" s="67">
        <f>0.8*D23</f>
        <v>600</v>
      </c>
      <c r="G23" s="67">
        <f t="shared" si="5"/>
        <v>0.8</v>
      </c>
      <c r="H23" s="67">
        <f t="shared" si="4"/>
        <v>150</v>
      </c>
      <c r="I23" s="69">
        <f>(F23-F22)/25</f>
        <v>3</v>
      </c>
      <c r="J23" s="67">
        <f t="shared" si="2"/>
        <v>134.80000000000001</v>
      </c>
      <c r="O23" s="67" t="s">
        <v>135</v>
      </c>
    </row>
    <row r="24" spans="1:16" x14ac:dyDescent="0.25">
      <c r="A24" s="19">
        <v>2.6</v>
      </c>
      <c r="B24" s="19" t="s">
        <v>139</v>
      </c>
      <c r="C24" s="19">
        <f>C25</f>
        <v>937.5</v>
      </c>
      <c r="D24" s="19">
        <f>D25</f>
        <v>750</v>
      </c>
      <c r="E24" s="19">
        <f>D24/C24</f>
        <v>0.8</v>
      </c>
      <c r="F24" s="19">
        <v>600</v>
      </c>
      <c r="G24" s="19">
        <f t="shared" si="5"/>
        <v>0.8</v>
      </c>
      <c r="H24" s="22">
        <f t="shared" si="4"/>
        <v>150</v>
      </c>
      <c r="I24" s="58">
        <f>(M24-F24)/25</f>
        <v>1.5</v>
      </c>
      <c r="J24" s="19">
        <f t="shared" si="2"/>
        <v>136.30000000000001</v>
      </c>
      <c r="K24" s="19">
        <f>K25</f>
        <v>75</v>
      </c>
      <c r="L24" s="19">
        <f>L25</f>
        <v>0.125</v>
      </c>
      <c r="M24" s="19">
        <f>M25</f>
        <v>637.5</v>
      </c>
      <c r="N24" s="19">
        <f>N25</f>
        <v>562.5</v>
      </c>
      <c r="O24" s="19"/>
      <c r="P24" s="19" t="s">
        <v>140</v>
      </c>
    </row>
    <row r="25" spans="1:16" x14ac:dyDescent="0.25">
      <c r="A25" s="20">
        <v>3.6</v>
      </c>
      <c r="B25" s="20" t="s">
        <v>141</v>
      </c>
      <c r="C25" s="20">
        <f>D25/0.8</f>
        <v>937.5</v>
      </c>
      <c r="D25" s="20">
        <v>750</v>
      </c>
      <c r="E25" s="20">
        <f>D25/C25</f>
        <v>0.8</v>
      </c>
      <c r="F25" s="20">
        <v>600</v>
      </c>
      <c r="G25" s="21">
        <f t="shared" si="5"/>
        <v>0.8</v>
      </c>
      <c r="H25" s="20">
        <f t="shared" si="4"/>
        <v>150</v>
      </c>
      <c r="I25" s="61">
        <v>8</v>
      </c>
      <c r="J25" s="21">
        <f>I25+J23</f>
        <v>142.80000000000001</v>
      </c>
      <c r="K25" s="21">
        <v>75</v>
      </c>
      <c r="L25" s="21">
        <f>K25/F25</f>
        <v>0.125</v>
      </c>
      <c r="M25" s="20">
        <f>F25+K25/2</f>
        <v>637.5</v>
      </c>
      <c r="N25" s="20">
        <f>F25-K25/2</f>
        <v>562.5</v>
      </c>
      <c r="O25" s="20" t="s">
        <v>130</v>
      </c>
      <c r="P25" s="21" t="s">
        <v>144</v>
      </c>
    </row>
    <row r="26" spans="1:16" x14ac:dyDescent="0.25">
      <c r="A26" s="23">
        <v>3.7</v>
      </c>
      <c r="B26" s="23" t="s">
        <v>145</v>
      </c>
      <c r="C26" s="23">
        <v>937.5</v>
      </c>
      <c r="D26" s="23">
        <v>750</v>
      </c>
      <c r="E26" s="23"/>
      <c r="F26" s="23">
        <v>375</v>
      </c>
      <c r="G26" s="23">
        <f t="shared" si="5"/>
        <v>0.5</v>
      </c>
      <c r="H26" s="23">
        <f t="shared" si="4"/>
        <v>375</v>
      </c>
      <c r="I26" s="62">
        <f>(F25-F26)/25</f>
        <v>9</v>
      </c>
      <c r="J26" s="23">
        <f t="shared" si="2"/>
        <v>151.80000000000001</v>
      </c>
      <c r="K26" s="23"/>
      <c r="L26" s="23"/>
      <c r="M26" s="23"/>
      <c r="N26" s="23"/>
      <c r="O26" t="s">
        <v>135</v>
      </c>
      <c r="P26" s="23"/>
    </row>
    <row r="27" spans="1:16" x14ac:dyDescent="0.25">
      <c r="A27">
        <v>3.1</v>
      </c>
      <c r="B27" t="s">
        <v>146</v>
      </c>
      <c r="C27">
        <v>937.5</v>
      </c>
      <c r="D27">
        <v>937.5</v>
      </c>
      <c r="E27">
        <f>D27/C27</f>
        <v>1</v>
      </c>
      <c r="F27">
        <f>0.5*C27</f>
        <v>468.75</v>
      </c>
      <c r="G27">
        <f>F27/D27</f>
        <v>0.5</v>
      </c>
      <c r="H27">
        <f t="shared" si="4"/>
        <v>468.75</v>
      </c>
      <c r="I27" s="53">
        <f>(D27-D26)/25</f>
        <v>7.5</v>
      </c>
      <c r="J27">
        <f t="shared" si="2"/>
        <v>159.30000000000001</v>
      </c>
      <c r="O27" t="s">
        <v>135</v>
      </c>
      <c r="P27" t="s">
        <v>147</v>
      </c>
    </row>
    <row r="28" spans="1:16" x14ac:dyDescent="0.25">
      <c r="A28">
        <v>3.2</v>
      </c>
      <c r="B28" t="s">
        <v>148</v>
      </c>
      <c r="C28">
        <v>1500</v>
      </c>
      <c r="D28">
        <v>1500</v>
      </c>
      <c r="E28">
        <f>D28/C28</f>
        <v>1</v>
      </c>
      <c r="F28">
        <f>D28*0.5</f>
        <v>750</v>
      </c>
      <c r="G28">
        <f>F28/D28</f>
        <v>0.5</v>
      </c>
      <c r="H28">
        <f t="shared" si="4"/>
        <v>750</v>
      </c>
      <c r="I28" s="53">
        <f>(C28-C27)/25</f>
        <v>22.5</v>
      </c>
      <c r="J28">
        <f t="shared" si="2"/>
        <v>181.8</v>
      </c>
      <c r="O28" t="s">
        <v>135</v>
      </c>
      <c r="P28" t="s">
        <v>149</v>
      </c>
    </row>
    <row r="29" spans="1:16" x14ac:dyDescent="0.25">
      <c r="A29">
        <v>3.3</v>
      </c>
      <c r="B29" t="s">
        <v>150</v>
      </c>
      <c r="C29">
        <f>1500/0.8</f>
        <v>1875</v>
      </c>
      <c r="D29">
        <v>1500</v>
      </c>
      <c r="E29">
        <f>D29/C29</f>
        <v>0.8</v>
      </c>
      <c r="F29">
        <v>750</v>
      </c>
      <c r="G29">
        <f>F29/D29</f>
        <v>0.5</v>
      </c>
      <c r="H29">
        <f t="shared" si="4"/>
        <v>750</v>
      </c>
      <c r="I29" s="53">
        <f>(C29-C28)/25</f>
        <v>15</v>
      </c>
      <c r="J29">
        <f>I29+J28</f>
        <v>196.8</v>
      </c>
      <c r="O29" t="s">
        <v>135</v>
      </c>
      <c r="P29" t="s">
        <v>138</v>
      </c>
    </row>
    <row r="30" spans="1:16" x14ac:dyDescent="0.25">
      <c r="A30" s="19">
        <v>2.6</v>
      </c>
      <c r="B30" s="19" t="s">
        <v>139</v>
      </c>
      <c r="C30" s="19">
        <f>C31</f>
        <v>1875</v>
      </c>
      <c r="D30" s="19">
        <f>D31</f>
        <v>1500</v>
      </c>
      <c r="E30" s="19">
        <f>D30/C30</f>
        <v>0.8</v>
      </c>
      <c r="F30" s="19">
        <f>F31</f>
        <v>750</v>
      </c>
      <c r="G30" s="19">
        <f t="shared" ref="G30:G41" si="6">F30/D30</f>
        <v>0.5</v>
      </c>
      <c r="H30" s="22">
        <f t="shared" ref="H30:H41" si="7">D30-F30</f>
        <v>750</v>
      </c>
      <c r="I30" s="58">
        <f>(M30-F30)/25</f>
        <v>3</v>
      </c>
      <c r="J30" s="19">
        <f>I30+J29</f>
        <v>199.8</v>
      </c>
      <c r="K30" s="19">
        <f>K31</f>
        <v>150</v>
      </c>
      <c r="L30" s="19">
        <f>L31</f>
        <v>0.2</v>
      </c>
      <c r="M30" s="19">
        <f>M31</f>
        <v>825</v>
      </c>
      <c r="N30" s="19">
        <f>N31</f>
        <v>675</v>
      </c>
      <c r="O30" s="19"/>
      <c r="P30" s="19" t="s">
        <v>140</v>
      </c>
    </row>
    <row r="31" spans="1:16" x14ac:dyDescent="0.25">
      <c r="A31" s="20">
        <v>3.4</v>
      </c>
      <c r="B31" s="20" t="s">
        <v>141</v>
      </c>
      <c r="C31" s="20">
        <v>1875</v>
      </c>
      <c r="D31" s="20">
        <v>1500</v>
      </c>
      <c r="E31" s="20">
        <f>D31/C31</f>
        <v>0.8</v>
      </c>
      <c r="F31" s="20">
        <v>750</v>
      </c>
      <c r="G31" s="21">
        <f t="shared" si="6"/>
        <v>0.5</v>
      </c>
      <c r="H31" s="20">
        <f t="shared" si="7"/>
        <v>750</v>
      </c>
      <c r="I31" s="61">
        <v>8</v>
      </c>
      <c r="J31" s="21">
        <f>I31+J29</f>
        <v>204.8</v>
      </c>
      <c r="K31" s="21">
        <f>0.2*F31</f>
        <v>150</v>
      </c>
      <c r="L31" s="21">
        <f>K31/F31</f>
        <v>0.2</v>
      </c>
      <c r="M31" s="20">
        <f>F31+K31/2</f>
        <v>825</v>
      </c>
      <c r="N31" s="20">
        <f>F31-K31/2</f>
        <v>675</v>
      </c>
      <c r="O31" s="20" t="s">
        <v>130</v>
      </c>
      <c r="P31" s="20" t="s">
        <v>142</v>
      </c>
    </row>
    <row r="32" spans="1:16" x14ac:dyDescent="0.25">
      <c r="A32">
        <v>3.5</v>
      </c>
      <c r="B32" t="s">
        <v>143</v>
      </c>
      <c r="C32">
        <v>1875</v>
      </c>
      <c r="D32">
        <v>1500</v>
      </c>
      <c r="E32">
        <v>0.8</v>
      </c>
      <c r="F32">
        <f>0.65*D32</f>
        <v>975</v>
      </c>
      <c r="G32">
        <f t="shared" si="6"/>
        <v>0.65</v>
      </c>
      <c r="H32">
        <f t="shared" si="7"/>
        <v>525</v>
      </c>
      <c r="I32" s="53">
        <f>(F32-F31)/25</f>
        <v>9</v>
      </c>
      <c r="J32">
        <f t="shared" si="2"/>
        <v>213.8</v>
      </c>
      <c r="O32" t="s">
        <v>135</v>
      </c>
    </row>
    <row r="33" spans="1:16" x14ac:dyDescent="0.25">
      <c r="A33" s="19">
        <v>2.6</v>
      </c>
      <c r="B33" s="19" t="s">
        <v>139</v>
      </c>
      <c r="C33" s="19">
        <f>C34</f>
        <v>1875</v>
      </c>
      <c r="D33" s="19">
        <f>D34</f>
        <v>1500</v>
      </c>
      <c r="E33" s="19">
        <f>D33/C33</f>
        <v>0.8</v>
      </c>
      <c r="F33" s="19">
        <f>F34</f>
        <v>975</v>
      </c>
      <c r="G33" s="19">
        <f t="shared" si="6"/>
        <v>0.65</v>
      </c>
      <c r="H33" s="22">
        <f t="shared" si="7"/>
        <v>525</v>
      </c>
      <c r="I33" s="58">
        <f>(M33-F33)/25</f>
        <v>3</v>
      </c>
      <c r="J33" s="19">
        <f t="shared" si="2"/>
        <v>216.8</v>
      </c>
      <c r="K33" s="19">
        <f>K34</f>
        <v>150</v>
      </c>
      <c r="L33" s="19">
        <f>L34</f>
        <v>0.15384615384615385</v>
      </c>
      <c r="M33" s="19">
        <f>M34</f>
        <v>1050</v>
      </c>
      <c r="N33" s="19">
        <f>N34</f>
        <v>900</v>
      </c>
      <c r="O33" s="19"/>
      <c r="P33" s="19" t="s">
        <v>140</v>
      </c>
    </row>
    <row r="34" spans="1:16" x14ac:dyDescent="0.25">
      <c r="A34" s="20">
        <v>3.6</v>
      </c>
      <c r="B34" s="20" t="s">
        <v>141</v>
      </c>
      <c r="C34" s="20">
        <v>1875</v>
      </c>
      <c r="D34" s="20">
        <v>1500</v>
      </c>
      <c r="E34" s="20">
        <f>D34/C34</f>
        <v>0.8</v>
      </c>
      <c r="F34" s="20">
        <v>975</v>
      </c>
      <c r="G34" s="21">
        <f t="shared" si="6"/>
        <v>0.65</v>
      </c>
      <c r="H34" s="20">
        <f t="shared" si="7"/>
        <v>525</v>
      </c>
      <c r="I34" s="61">
        <v>8</v>
      </c>
      <c r="J34" s="21">
        <f>I34+J32</f>
        <v>221.8</v>
      </c>
      <c r="K34" s="21">
        <v>150</v>
      </c>
      <c r="L34" s="21">
        <f>K34/F34</f>
        <v>0.15384615384615385</v>
      </c>
      <c r="M34" s="20">
        <f>F34+K34/2</f>
        <v>1050</v>
      </c>
      <c r="N34" s="20">
        <f>F34-K34/2</f>
        <v>900</v>
      </c>
      <c r="O34" s="20" t="s">
        <v>130</v>
      </c>
      <c r="P34" s="21" t="s">
        <v>144</v>
      </c>
    </row>
    <row r="35" spans="1:16" x14ac:dyDescent="0.25">
      <c r="A35">
        <v>3.7</v>
      </c>
      <c r="B35" t="s">
        <v>143</v>
      </c>
      <c r="C35">
        <v>1875</v>
      </c>
      <c r="D35">
        <v>1500</v>
      </c>
      <c r="E35">
        <v>0.8</v>
      </c>
      <c r="F35">
        <f>0.8*D35</f>
        <v>1200</v>
      </c>
      <c r="G35">
        <f t="shared" si="6"/>
        <v>0.8</v>
      </c>
      <c r="H35">
        <f t="shared" si="7"/>
        <v>300</v>
      </c>
      <c r="I35" s="53">
        <f>(F35-F34)/25</f>
        <v>9</v>
      </c>
      <c r="J35">
        <f t="shared" si="2"/>
        <v>230.8</v>
      </c>
      <c r="O35" t="s">
        <v>135</v>
      </c>
    </row>
    <row r="36" spans="1:16" x14ac:dyDescent="0.25">
      <c r="A36" s="19">
        <v>2.6</v>
      </c>
      <c r="B36" s="19" t="s">
        <v>139</v>
      </c>
      <c r="C36" s="19">
        <f>C37</f>
        <v>1875</v>
      </c>
      <c r="D36" s="19">
        <f>D37</f>
        <v>1500</v>
      </c>
      <c r="E36" s="19">
        <f>D36/C36</f>
        <v>0.8</v>
      </c>
      <c r="F36" s="19">
        <f>F37</f>
        <v>1200</v>
      </c>
      <c r="G36" s="19">
        <f t="shared" si="6"/>
        <v>0.8</v>
      </c>
      <c r="H36" s="22">
        <f t="shared" si="7"/>
        <v>300</v>
      </c>
      <c r="I36" s="58">
        <f>(M36-F36)/25</f>
        <v>3</v>
      </c>
      <c r="J36" s="19">
        <f t="shared" si="2"/>
        <v>233.8</v>
      </c>
      <c r="K36" s="19">
        <f>K37</f>
        <v>150</v>
      </c>
      <c r="L36" s="19">
        <f>L37</f>
        <v>0.125</v>
      </c>
      <c r="M36" s="19">
        <f>M37</f>
        <v>1275</v>
      </c>
      <c r="N36" s="19">
        <f>N37</f>
        <v>1125</v>
      </c>
      <c r="O36" s="19"/>
      <c r="P36" s="19" t="s">
        <v>140</v>
      </c>
    </row>
    <row r="37" spans="1:16" x14ac:dyDescent="0.25">
      <c r="A37" s="20">
        <v>3.8</v>
      </c>
      <c r="B37" s="20" t="s">
        <v>141</v>
      </c>
      <c r="C37" s="20">
        <v>1875</v>
      </c>
      <c r="D37" s="20">
        <v>1500</v>
      </c>
      <c r="E37" s="20">
        <f>D37/C37</f>
        <v>0.8</v>
      </c>
      <c r="F37" s="20">
        <v>1200</v>
      </c>
      <c r="G37" s="21">
        <f t="shared" si="6"/>
        <v>0.8</v>
      </c>
      <c r="H37" s="20">
        <f t="shared" si="7"/>
        <v>300</v>
      </c>
      <c r="I37" s="61">
        <v>8</v>
      </c>
      <c r="J37" s="21">
        <f>I37+J35</f>
        <v>238.8</v>
      </c>
      <c r="K37" s="21">
        <v>150</v>
      </c>
      <c r="L37" s="21">
        <f>K37/F37</f>
        <v>0.125</v>
      </c>
      <c r="M37" s="20">
        <f>F37+K37/2</f>
        <v>1275</v>
      </c>
      <c r="N37" s="20">
        <f>F37-K37/2</f>
        <v>1125</v>
      </c>
      <c r="O37" s="20" t="s">
        <v>130</v>
      </c>
      <c r="P37" s="21" t="s">
        <v>144</v>
      </c>
    </row>
    <row r="38" spans="1:16" x14ac:dyDescent="0.25">
      <c r="A38">
        <v>3.9</v>
      </c>
      <c r="B38" t="s">
        <v>143</v>
      </c>
      <c r="C38">
        <v>1875</v>
      </c>
      <c r="D38">
        <v>1500</v>
      </c>
      <c r="E38">
        <v>0.8</v>
      </c>
      <c r="F38">
        <f>0.9*D38</f>
        <v>1350</v>
      </c>
      <c r="G38">
        <f t="shared" si="6"/>
        <v>0.9</v>
      </c>
      <c r="H38">
        <f t="shared" si="7"/>
        <v>150</v>
      </c>
      <c r="I38" s="53">
        <f>(F38-F37)/25</f>
        <v>6</v>
      </c>
      <c r="J38">
        <f t="shared" si="2"/>
        <v>244.8</v>
      </c>
      <c r="O38" t="s">
        <v>135</v>
      </c>
    </row>
    <row r="39" spans="1:16" x14ac:dyDescent="0.25">
      <c r="A39" s="19">
        <v>2.6</v>
      </c>
      <c r="B39" s="19" t="s">
        <v>139</v>
      </c>
      <c r="C39" s="19">
        <f>C40</f>
        <v>1875</v>
      </c>
      <c r="D39" s="19">
        <f>D40</f>
        <v>1500</v>
      </c>
      <c r="E39" s="19">
        <f>D39/C39</f>
        <v>0.8</v>
      </c>
      <c r="F39" s="19">
        <f>F40</f>
        <v>1350</v>
      </c>
      <c r="G39" s="19">
        <f t="shared" si="6"/>
        <v>0.9</v>
      </c>
      <c r="H39" s="22">
        <f t="shared" si="7"/>
        <v>150</v>
      </c>
      <c r="I39" s="58">
        <f>(M39-F39)/25</f>
        <v>3</v>
      </c>
      <c r="J39" s="19">
        <f t="shared" si="2"/>
        <v>247.8</v>
      </c>
      <c r="K39" s="19">
        <v>150</v>
      </c>
      <c r="L39" s="19">
        <f>L40</f>
        <v>0.1111111111111111</v>
      </c>
      <c r="M39" s="19">
        <f>M40</f>
        <v>1425</v>
      </c>
      <c r="N39" s="19">
        <f>N40</f>
        <v>1275</v>
      </c>
      <c r="O39" s="19"/>
      <c r="P39" s="19" t="s">
        <v>140</v>
      </c>
    </row>
    <row r="40" spans="1:16" x14ac:dyDescent="0.25">
      <c r="A40" s="25">
        <v>3.1</v>
      </c>
      <c r="B40" s="20" t="s">
        <v>141</v>
      </c>
      <c r="C40" s="20">
        <v>1875</v>
      </c>
      <c r="D40" s="20">
        <v>1500</v>
      </c>
      <c r="E40" s="20">
        <f>D40/C40</f>
        <v>0.8</v>
      </c>
      <c r="F40" s="20">
        <v>1350</v>
      </c>
      <c r="G40" s="21">
        <f t="shared" si="6"/>
        <v>0.9</v>
      </c>
      <c r="H40" s="20">
        <f t="shared" si="7"/>
        <v>150</v>
      </c>
      <c r="I40" s="61">
        <v>8</v>
      </c>
      <c r="J40" s="21">
        <f>I40+J38</f>
        <v>252.8</v>
      </c>
      <c r="K40" s="21">
        <v>150</v>
      </c>
      <c r="L40" s="21">
        <f>K40/F40</f>
        <v>0.1111111111111111</v>
      </c>
      <c r="M40" s="20">
        <f>F40+K40/2</f>
        <v>1425</v>
      </c>
      <c r="N40" s="20">
        <f>F40-K40/2</f>
        <v>1275</v>
      </c>
      <c r="O40" s="20" t="s">
        <v>130</v>
      </c>
      <c r="P40" s="21" t="s">
        <v>144</v>
      </c>
    </row>
    <row r="41" spans="1:16" x14ac:dyDescent="0.25">
      <c r="A41" s="23">
        <v>3.11</v>
      </c>
      <c r="B41" s="23" t="s">
        <v>145</v>
      </c>
      <c r="C41" s="23">
        <v>1875</v>
      </c>
      <c r="D41" s="23">
        <v>1500</v>
      </c>
      <c r="E41" s="23"/>
      <c r="F41" s="23">
        <v>750</v>
      </c>
      <c r="G41" s="23">
        <f t="shared" si="6"/>
        <v>0.5</v>
      </c>
      <c r="H41" s="23">
        <f t="shared" si="7"/>
        <v>750</v>
      </c>
      <c r="I41" s="62">
        <f>(F40-F41)/25</f>
        <v>24</v>
      </c>
      <c r="J41" s="23">
        <f t="shared" si="2"/>
        <v>276.8</v>
      </c>
      <c r="K41" s="23"/>
      <c r="L41" s="23"/>
      <c r="M41" s="23"/>
      <c r="N41" s="23"/>
      <c r="O41" t="s">
        <v>135</v>
      </c>
      <c r="P41" s="23"/>
    </row>
    <row r="42" spans="1:16" x14ac:dyDescent="0.25">
      <c r="A42">
        <v>4.0999999999999996</v>
      </c>
      <c r="B42" t="s">
        <v>146</v>
      </c>
      <c r="C42">
        <v>1875</v>
      </c>
      <c r="D42">
        <v>1875</v>
      </c>
      <c r="E42">
        <f>D42/C42</f>
        <v>1</v>
      </c>
      <c r="F42">
        <f>0.5*C42</f>
        <v>937.5</v>
      </c>
      <c r="G42">
        <f>F42/D42</f>
        <v>0.5</v>
      </c>
      <c r="H42">
        <f>D42-F42</f>
        <v>937.5</v>
      </c>
      <c r="I42" s="53">
        <f>(D42-D41)/25</f>
        <v>15</v>
      </c>
      <c r="J42">
        <f t="shared" si="2"/>
        <v>291.8</v>
      </c>
      <c r="O42" t="s">
        <v>135</v>
      </c>
      <c r="P42" t="s">
        <v>147</v>
      </c>
    </row>
    <row r="43" spans="1:16" x14ac:dyDescent="0.25">
      <c r="A43">
        <v>4.2</v>
      </c>
      <c r="B43" t="s">
        <v>148</v>
      </c>
      <c r="C43">
        <v>2500</v>
      </c>
      <c r="D43">
        <v>2500</v>
      </c>
      <c r="E43">
        <f>D43/C43</f>
        <v>1</v>
      </c>
      <c r="F43">
        <f>D43*0.5</f>
        <v>1250</v>
      </c>
      <c r="G43">
        <f>F43/D43</f>
        <v>0.5</v>
      </c>
      <c r="H43">
        <f>D43-F43</f>
        <v>1250</v>
      </c>
      <c r="I43" s="53">
        <f>(C43-C42)/25</f>
        <v>25</v>
      </c>
      <c r="J43">
        <f t="shared" si="2"/>
        <v>316.8</v>
      </c>
      <c r="O43" t="s">
        <v>135</v>
      </c>
      <c r="P43" t="s">
        <v>149</v>
      </c>
    </row>
    <row r="44" spans="1:16" x14ac:dyDescent="0.25">
      <c r="A44">
        <v>4.3</v>
      </c>
      <c r="B44" t="s">
        <v>150</v>
      </c>
      <c r="C44">
        <f>2500/0.8</f>
        <v>3125</v>
      </c>
      <c r="D44">
        <v>2500</v>
      </c>
      <c r="E44">
        <f>D44/C44</f>
        <v>0.8</v>
      </c>
      <c r="F44">
        <v>1250</v>
      </c>
      <c r="G44">
        <f>F44/D44</f>
        <v>0.5</v>
      </c>
      <c r="H44">
        <f>D44-F44</f>
        <v>1250</v>
      </c>
      <c r="I44" s="53">
        <f>(C44-C43)/25</f>
        <v>25</v>
      </c>
      <c r="J44">
        <f>I44+J43</f>
        <v>341.8</v>
      </c>
      <c r="O44" t="s">
        <v>135</v>
      </c>
      <c r="P44" t="s">
        <v>138</v>
      </c>
    </row>
    <row r="45" spans="1:16" x14ac:dyDescent="0.25">
      <c r="A45" s="19">
        <v>2.6</v>
      </c>
      <c r="B45" s="19" t="s">
        <v>139</v>
      </c>
      <c r="C45" s="19">
        <f>C46</f>
        <v>3125</v>
      </c>
      <c r="D45" s="19">
        <f>D46</f>
        <v>2500</v>
      </c>
      <c r="E45" s="19">
        <f>D45/C45</f>
        <v>0.8</v>
      </c>
      <c r="F45" s="19">
        <f>F46</f>
        <v>1250</v>
      </c>
      <c r="G45" s="19">
        <f t="shared" ref="G45:G56" si="8">F45/D45</f>
        <v>0.5</v>
      </c>
      <c r="H45" s="22">
        <f t="shared" ref="H45:H56" si="9">D45-F45</f>
        <v>1250</v>
      </c>
      <c r="I45" s="58">
        <f>(M45-F45)/25</f>
        <v>5</v>
      </c>
      <c r="J45" s="19">
        <f>I45+J44</f>
        <v>346.8</v>
      </c>
      <c r="K45" s="19">
        <f>K46</f>
        <v>250</v>
      </c>
      <c r="L45" s="19">
        <f>L46</f>
        <v>0.2</v>
      </c>
      <c r="M45" s="19">
        <f>M46</f>
        <v>1375</v>
      </c>
      <c r="N45" s="19">
        <f>N46</f>
        <v>1125</v>
      </c>
      <c r="O45" s="19"/>
      <c r="P45" s="19" t="s">
        <v>140</v>
      </c>
    </row>
    <row r="46" spans="1:16" x14ac:dyDescent="0.25">
      <c r="A46" s="20">
        <v>4.4000000000000004</v>
      </c>
      <c r="B46" s="20" t="s">
        <v>141</v>
      </c>
      <c r="C46" s="20">
        <v>3125</v>
      </c>
      <c r="D46" s="20">
        <v>2500</v>
      </c>
      <c r="E46" s="20">
        <f>D46/C46</f>
        <v>0.8</v>
      </c>
      <c r="F46" s="20">
        <v>1250</v>
      </c>
      <c r="G46" s="21">
        <f t="shared" si="8"/>
        <v>0.5</v>
      </c>
      <c r="H46" s="20">
        <f t="shared" si="9"/>
        <v>1250</v>
      </c>
      <c r="I46" s="61">
        <v>8</v>
      </c>
      <c r="J46" s="21">
        <f>I46+J44</f>
        <v>349.8</v>
      </c>
      <c r="K46" s="21">
        <f>0.2*F46</f>
        <v>250</v>
      </c>
      <c r="L46" s="21">
        <f>K46/F46</f>
        <v>0.2</v>
      </c>
      <c r="M46" s="20">
        <f>F46+K46/2</f>
        <v>1375</v>
      </c>
      <c r="N46" s="20">
        <f>F46-K46/2</f>
        <v>1125</v>
      </c>
      <c r="O46" s="20" t="s">
        <v>130</v>
      </c>
      <c r="P46" s="20" t="s">
        <v>142</v>
      </c>
    </row>
    <row r="47" spans="1:16" x14ac:dyDescent="0.25">
      <c r="A47">
        <v>4.5</v>
      </c>
      <c r="B47" t="s">
        <v>143</v>
      </c>
      <c r="C47">
        <f>2500/0.8</f>
        <v>3125</v>
      </c>
      <c r="D47">
        <v>2500</v>
      </c>
      <c r="E47">
        <v>0.8</v>
      </c>
      <c r="F47">
        <f>0.65*D47</f>
        <v>1625</v>
      </c>
      <c r="G47">
        <f t="shared" si="8"/>
        <v>0.65</v>
      </c>
      <c r="H47">
        <f t="shared" si="9"/>
        <v>875</v>
      </c>
      <c r="I47" s="53">
        <f>(F47-F46)/25</f>
        <v>15</v>
      </c>
      <c r="J47">
        <f t="shared" si="2"/>
        <v>364.8</v>
      </c>
      <c r="O47" t="s">
        <v>135</v>
      </c>
    </row>
    <row r="48" spans="1:16" x14ac:dyDescent="0.25">
      <c r="A48" s="19">
        <v>2.6</v>
      </c>
      <c r="B48" s="19" t="s">
        <v>139</v>
      </c>
      <c r="C48" s="19">
        <f>C49</f>
        <v>3125</v>
      </c>
      <c r="D48" s="19">
        <f>D49</f>
        <v>2500</v>
      </c>
      <c r="E48" s="19">
        <f>D48/C48</f>
        <v>0.8</v>
      </c>
      <c r="F48" s="19">
        <f>F49</f>
        <v>1625</v>
      </c>
      <c r="G48" s="19">
        <f t="shared" si="8"/>
        <v>0.65</v>
      </c>
      <c r="H48" s="22">
        <f t="shared" si="9"/>
        <v>875</v>
      </c>
      <c r="I48" s="58">
        <f>(M48-F48)/25</f>
        <v>5</v>
      </c>
      <c r="J48" s="19">
        <f t="shared" si="2"/>
        <v>369.8</v>
      </c>
      <c r="K48" s="19">
        <f>K49</f>
        <v>250</v>
      </c>
      <c r="L48" s="19">
        <f>L49</f>
        <v>0.15384615384615385</v>
      </c>
      <c r="M48" s="19">
        <f>M49</f>
        <v>1750</v>
      </c>
      <c r="N48" s="19">
        <f>N49</f>
        <v>1500</v>
      </c>
      <c r="O48" s="19"/>
      <c r="P48" s="19" t="s">
        <v>140</v>
      </c>
    </row>
    <row r="49" spans="1:16" x14ac:dyDescent="0.25">
      <c r="A49" s="20">
        <v>4.5999999999999996</v>
      </c>
      <c r="B49" s="20" t="s">
        <v>141</v>
      </c>
      <c r="C49" s="20">
        <v>3125</v>
      </c>
      <c r="D49" s="20">
        <v>2500</v>
      </c>
      <c r="E49" s="20">
        <f>D49/C49</f>
        <v>0.8</v>
      </c>
      <c r="F49" s="20">
        <v>1625</v>
      </c>
      <c r="G49" s="21">
        <f t="shared" si="8"/>
        <v>0.65</v>
      </c>
      <c r="H49" s="20">
        <f t="shared" si="9"/>
        <v>875</v>
      </c>
      <c r="I49" s="61">
        <v>8</v>
      </c>
      <c r="J49" s="21">
        <f>I49+J47</f>
        <v>372.8</v>
      </c>
      <c r="K49" s="21">
        <v>250</v>
      </c>
      <c r="L49" s="21">
        <f>K49/F49</f>
        <v>0.15384615384615385</v>
      </c>
      <c r="M49" s="20">
        <f>F49+K49/2</f>
        <v>1750</v>
      </c>
      <c r="N49" s="20">
        <f>F49-K49/2</f>
        <v>1500</v>
      </c>
      <c r="O49" s="20" t="s">
        <v>130</v>
      </c>
      <c r="P49" s="21" t="s">
        <v>144</v>
      </c>
    </row>
    <row r="50" spans="1:16" x14ac:dyDescent="0.25">
      <c r="A50">
        <v>4.7</v>
      </c>
      <c r="B50" t="s">
        <v>143</v>
      </c>
      <c r="C50">
        <f>2500/0.8</f>
        <v>3125</v>
      </c>
      <c r="D50">
        <v>2500</v>
      </c>
      <c r="E50">
        <v>0.8</v>
      </c>
      <c r="F50">
        <f>0.8*D50</f>
        <v>2000</v>
      </c>
      <c r="G50">
        <f t="shared" si="8"/>
        <v>0.8</v>
      </c>
      <c r="H50">
        <f t="shared" si="9"/>
        <v>500</v>
      </c>
      <c r="I50" s="53">
        <f>(F50-F49)/25</f>
        <v>15</v>
      </c>
      <c r="J50">
        <f t="shared" si="2"/>
        <v>387.8</v>
      </c>
      <c r="O50" t="s">
        <v>135</v>
      </c>
    </row>
    <row r="51" spans="1:16" x14ac:dyDescent="0.25">
      <c r="A51" s="19">
        <v>2.6</v>
      </c>
      <c r="B51" s="19" t="s">
        <v>139</v>
      </c>
      <c r="C51" s="19">
        <f>C52</f>
        <v>3125</v>
      </c>
      <c r="D51" s="19">
        <f>D52</f>
        <v>2500</v>
      </c>
      <c r="E51" s="19">
        <f>D51/C51</f>
        <v>0.8</v>
      </c>
      <c r="F51" s="19">
        <f>F52</f>
        <v>2000</v>
      </c>
      <c r="G51" s="19">
        <f t="shared" si="8"/>
        <v>0.8</v>
      </c>
      <c r="H51" s="22">
        <f t="shared" si="9"/>
        <v>500</v>
      </c>
      <c r="I51" s="58">
        <f>(M51-F51)/25</f>
        <v>5</v>
      </c>
      <c r="J51" s="19">
        <f t="shared" si="2"/>
        <v>392.8</v>
      </c>
      <c r="K51" s="19">
        <f>K52</f>
        <v>250</v>
      </c>
      <c r="L51" s="19">
        <f>L52</f>
        <v>0.125</v>
      </c>
      <c r="M51" s="19">
        <f>M52</f>
        <v>2125</v>
      </c>
      <c r="N51" s="19">
        <f>N52</f>
        <v>1875</v>
      </c>
      <c r="O51" s="19"/>
      <c r="P51" s="19" t="s">
        <v>140</v>
      </c>
    </row>
    <row r="52" spans="1:16" x14ac:dyDescent="0.25">
      <c r="A52" s="20">
        <v>4.8</v>
      </c>
      <c r="B52" s="20" t="s">
        <v>141</v>
      </c>
      <c r="C52" s="20">
        <v>3125</v>
      </c>
      <c r="D52" s="20">
        <v>2500</v>
      </c>
      <c r="E52" s="20">
        <f>D52/C52</f>
        <v>0.8</v>
      </c>
      <c r="F52" s="20">
        <v>2000</v>
      </c>
      <c r="G52" s="21">
        <f t="shared" si="8"/>
        <v>0.8</v>
      </c>
      <c r="H52" s="20">
        <f t="shared" si="9"/>
        <v>500</v>
      </c>
      <c r="I52" s="61">
        <v>8</v>
      </c>
      <c r="J52" s="21">
        <f>I52+J50</f>
        <v>395.8</v>
      </c>
      <c r="K52" s="21">
        <v>250</v>
      </c>
      <c r="L52" s="21">
        <f>K52/F52</f>
        <v>0.125</v>
      </c>
      <c r="M52" s="20">
        <f>F52+K52/2</f>
        <v>2125</v>
      </c>
      <c r="N52" s="20">
        <f>F52-K52/2</f>
        <v>1875</v>
      </c>
      <c r="O52" s="20" t="s">
        <v>130</v>
      </c>
      <c r="P52" s="21" t="s">
        <v>144</v>
      </c>
    </row>
    <row r="53" spans="1:16" x14ac:dyDescent="0.25">
      <c r="A53">
        <v>4.9000000000000004</v>
      </c>
      <c r="B53" t="s">
        <v>143</v>
      </c>
      <c r="C53">
        <v>3125</v>
      </c>
      <c r="D53">
        <v>2500</v>
      </c>
      <c r="E53">
        <v>0.8</v>
      </c>
      <c r="F53">
        <f>0.9*D53</f>
        <v>2250</v>
      </c>
      <c r="G53">
        <f t="shared" si="8"/>
        <v>0.9</v>
      </c>
      <c r="H53">
        <f t="shared" si="9"/>
        <v>250</v>
      </c>
      <c r="I53" s="53">
        <f>(F53-F52)/25</f>
        <v>10</v>
      </c>
      <c r="J53">
        <f t="shared" si="2"/>
        <v>405.8</v>
      </c>
      <c r="O53" t="s">
        <v>135</v>
      </c>
    </row>
    <row r="54" spans="1:16" x14ac:dyDescent="0.25">
      <c r="A54" s="19">
        <v>2.6</v>
      </c>
      <c r="B54" s="19" t="s">
        <v>139</v>
      </c>
      <c r="C54" s="19">
        <f>C55</f>
        <v>3125</v>
      </c>
      <c r="D54" s="19">
        <f>D55</f>
        <v>2500</v>
      </c>
      <c r="E54" s="19">
        <f>D54/C54</f>
        <v>0.8</v>
      </c>
      <c r="F54" s="19">
        <f>F55</f>
        <v>2250</v>
      </c>
      <c r="G54" s="19">
        <f t="shared" si="8"/>
        <v>0.9</v>
      </c>
      <c r="H54" s="22">
        <f t="shared" si="9"/>
        <v>250</v>
      </c>
      <c r="I54" s="58">
        <f>(M54-F54)/25</f>
        <v>5</v>
      </c>
      <c r="J54" s="19">
        <f t="shared" si="2"/>
        <v>410.8</v>
      </c>
      <c r="K54" s="19">
        <f>K55</f>
        <v>250</v>
      </c>
      <c r="L54" s="19">
        <f>L55</f>
        <v>0.1111111111111111</v>
      </c>
      <c r="M54" s="19">
        <f>M55</f>
        <v>2375</v>
      </c>
      <c r="N54" s="19">
        <f>N55</f>
        <v>2125</v>
      </c>
      <c r="O54" s="19"/>
      <c r="P54" s="19" t="s">
        <v>140</v>
      </c>
    </row>
    <row r="55" spans="1:16" x14ac:dyDescent="0.25">
      <c r="A55" s="25">
        <v>4.0999999999999996</v>
      </c>
      <c r="B55" s="20" t="s">
        <v>141</v>
      </c>
      <c r="C55" s="20">
        <v>3125</v>
      </c>
      <c r="D55" s="20">
        <v>2500</v>
      </c>
      <c r="E55" s="20">
        <f>D55/C55</f>
        <v>0.8</v>
      </c>
      <c r="F55" s="20">
        <v>2250</v>
      </c>
      <c r="G55" s="21">
        <f t="shared" si="8"/>
        <v>0.9</v>
      </c>
      <c r="H55" s="20">
        <f t="shared" si="9"/>
        <v>250</v>
      </c>
      <c r="I55" s="61">
        <v>8</v>
      </c>
      <c r="J55" s="21">
        <f>I55+J53</f>
        <v>413.8</v>
      </c>
      <c r="K55" s="21">
        <v>250</v>
      </c>
      <c r="L55" s="21">
        <f>K55/F55</f>
        <v>0.1111111111111111</v>
      </c>
      <c r="M55" s="20">
        <f>F55+K55/2</f>
        <v>2375</v>
      </c>
      <c r="N55" s="20">
        <f>F55-K55/2</f>
        <v>2125</v>
      </c>
      <c r="O55" s="20" t="s">
        <v>130</v>
      </c>
      <c r="P55" s="21" t="s">
        <v>144</v>
      </c>
    </row>
    <row r="56" spans="1:16" x14ac:dyDescent="0.25">
      <c r="A56" s="23">
        <v>4.1100000000000003</v>
      </c>
      <c r="B56" s="23" t="s">
        <v>145</v>
      </c>
      <c r="C56" s="23">
        <f>2500/0.8</f>
        <v>3125</v>
      </c>
      <c r="D56" s="23">
        <v>2500</v>
      </c>
      <c r="E56" s="23">
        <v>0.8</v>
      </c>
      <c r="F56" s="23">
        <v>1250</v>
      </c>
      <c r="G56" s="23">
        <f t="shared" si="8"/>
        <v>0.5</v>
      </c>
      <c r="H56" s="23">
        <f t="shared" si="9"/>
        <v>1250</v>
      </c>
      <c r="I56" s="62">
        <f>(F55-F56)/25</f>
        <v>40</v>
      </c>
      <c r="J56" s="23">
        <f t="shared" si="2"/>
        <v>453.8</v>
      </c>
      <c r="K56" s="23"/>
      <c r="L56" s="23"/>
      <c r="M56" s="23"/>
      <c r="N56" s="23"/>
      <c r="O56" t="s">
        <v>135</v>
      </c>
      <c r="P56" s="23"/>
    </row>
    <row r="57" spans="1:16" x14ac:dyDescent="0.25">
      <c r="A57">
        <v>5.0999999999999996</v>
      </c>
      <c r="B57" t="s">
        <v>146</v>
      </c>
      <c r="C57">
        <v>3125</v>
      </c>
      <c r="D57">
        <v>3125</v>
      </c>
      <c r="E57">
        <f>D57/C57</f>
        <v>1</v>
      </c>
      <c r="F57">
        <f>0.5*C57</f>
        <v>1562.5</v>
      </c>
      <c r="G57">
        <f>F57/D57</f>
        <v>0.5</v>
      </c>
      <c r="H57">
        <f>D57-F57</f>
        <v>1562.5</v>
      </c>
      <c r="I57" s="53">
        <f>(D57-D56)/25</f>
        <v>25</v>
      </c>
      <c r="J57">
        <f t="shared" si="2"/>
        <v>478.8</v>
      </c>
      <c r="O57" t="s">
        <v>135</v>
      </c>
      <c r="P57" t="s">
        <v>147</v>
      </c>
    </row>
    <row r="58" spans="1:16" x14ac:dyDescent="0.25">
      <c r="A58">
        <v>5.2</v>
      </c>
      <c r="B58" t="s">
        <v>148</v>
      </c>
      <c r="C58">
        <v>3500</v>
      </c>
      <c r="D58">
        <v>3500</v>
      </c>
      <c r="E58">
        <f>D58/C58</f>
        <v>1</v>
      </c>
      <c r="F58">
        <f>D58*0.5</f>
        <v>1750</v>
      </c>
      <c r="G58">
        <f>F58/D58</f>
        <v>0.5</v>
      </c>
      <c r="H58">
        <f>D58-F58</f>
        <v>1750</v>
      </c>
      <c r="I58" s="53">
        <f>(C58-C57)/25</f>
        <v>15</v>
      </c>
      <c r="J58">
        <f t="shared" si="2"/>
        <v>493.8</v>
      </c>
      <c r="O58" t="s">
        <v>135</v>
      </c>
      <c r="P58" t="s">
        <v>149</v>
      </c>
    </row>
    <row r="59" spans="1:16" x14ac:dyDescent="0.25">
      <c r="A59">
        <v>5.3</v>
      </c>
      <c r="B59" t="s">
        <v>150</v>
      </c>
      <c r="C59">
        <f>3500/0.8</f>
        <v>4375</v>
      </c>
      <c r="D59">
        <v>3500</v>
      </c>
      <c r="E59">
        <f>D59/C59</f>
        <v>0.8</v>
      </c>
      <c r="F59">
        <v>1750</v>
      </c>
      <c r="G59">
        <f>F59/D59</f>
        <v>0.5</v>
      </c>
      <c r="H59">
        <f>D59-F59</f>
        <v>1750</v>
      </c>
      <c r="I59" s="53">
        <f>(C59-C58)/25</f>
        <v>35</v>
      </c>
      <c r="J59">
        <f t="shared" si="2"/>
        <v>528.79999999999995</v>
      </c>
      <c r="O59" t="s">
        <v>135</v>
      </c>
      <c r="P59" t="s">
        <v>138</v>
      </c>
    </row>
    <row r="60" spans="1:16" x14ac:dyDescent="0.25">
      <c r="A60" s="19">
        <v>2.6</v>
      </c>
      <c r="B60" s="19" t="s">
        <v>139</v>
      </c>
      <c r="C60" s="19">
        <f>C61</f>
        <v>4375</v>
      </c>
      <c r="D60" s="19">
        <f>D61</f>
        <v>3500</v>
      </c>
      <c r="E60" s="19">
        <f>D60/C60</f>
        <v>0.8</v>
      </c>
      <c r="F60" s="19">
        <f>F61</f>
        <v>1750</v>
      </c>
      <c r="G60" s="19">
        <f t="shared" ref="G60:G71" si="10">F60/D60</f>
        <v>0.5</v>
      </c>
      <c r="H60" s="22">
        <f t="shared" ref="H60:H71" si="11">D60-F60</f>
        <v>1750</v>
      </c>
      <c r="I60" s="58">
        <f>(M60-F60)/25</f>
        <v>7</v>
      </c>
      <c r="J60" s="19">
        <f t="shared" si="2"/>
        <v>535.79999999999995</v>
      </c>
      <c r="K60" s="19">
        <f>K61</f>
        <v>350</v>
      </c>
      <c r="L60" s="19">
        <f>L61</f>
        <v>0.2</v>
      </c>
      <c r="M60" s="19">
        <f>M61</f>
        <v>1925</v>
      </c>
      <c r="N60" s="19">
        <f>N61</f>
        <v>1575</v>
      </c>
      <c r="O60" s="19"/>
      <c r="P60" s="19" t="s">
        <v>140</v>
      </c>
    </row>
    <row r="61" spans="1:16" x14ac:dyDescent="0.25">
      <c r="A61" s="20">
        <v>5.4</v>
      </c>
      <c r="B61" s="20" t="s">
        <v>141</v>
      </c>
      <c r="C61" s="20">
        <v>4375</v>
      </c>
      <c r="D61" s="20">
        <v>3500</v>
      </c>
      <c r="E61" s="20">
        <f>D61/C61</f>
        <v>0.8</v>
      </c>
      <c r="F61" s="20">
        <v>1750</v>
      </c>
      <c r="G61" s="21">
        <f t="shared" si="10"/>
        <v>0.5</v>
      </c>
      <c r="H61" s="20">
        <f t="shared" si="11"/>
        <v>1750</v>
      </c>
      <c r="I61" s="61">
        <v>8</v>
      </c>
      <c r="J61" s="21">
        <f>I61+J59</f>
        <v>536.79999999999995</v>
      </c>
      <c r="K61" s="21">
        <f>0.2*F61</f>
        <v>350</v>
      </c>
      <c r="L61" s="21">
        <f>K61/F61</f>
        <v>0.2</v>
      </c>
      <c r="M61" s="20">
        <f>F61+K61/2</f>
        <v>1925</v>
      </c>
      <c r="N61" s="20">
        <f>F61-K61/2</f>
        <v>1575</v>
      </c>
      <c r="O61" s="20" t="s">
        <v>130</v>
      </c>
      <c r="P61" s="20" t="s">
        <v>142</v>
      </c>
    </row>
    <row r="62" spans="1:16" x14ac:dyDescent="0.25">
      <c r="A62">
        <v>5.5</v>
      </c>
      <c r="B62" t="s">
        <v>143</v>
      </c>
      <c r="C62">
        <v>4375</v>
      </c>
      <c r="D62">
        <v>3500</v>
      </c>
      <c r="E62">
        <v>0.8</v>
      </c>
      <c r="F62">
        <f>0.65*D62</f>
        <v>2275</v>
      </c>
      <c r="G62">
        <f t="shared" si="10"/>
        <v>0.65</v>
      </c>
      <c r="H62">
        <f t="shared" si="11"/>
        <v>1225</v>
      </c>
      <c r="I62" s="53">
        <f>(F62-F61)/25</f>
        <v>21</v>
      </c>
      <c r="J62">
        <f t="shared" si="2"/>
        <v>557.79999999999995</v>
      </c>
      <c r="O62" t="s">
        <v>135</v>
      </c>
    </row>
    <row r="63" spans="1:16" x14ac:dyDescent="0.25">
      <c r="A63" s="19">
        <v>2.6</v>
      </c>
      <c r="B63" s="19" t="s">
        <v>139</v>
      </c>
      <c r="C63" s="19">
        <f>C64</f>
        <v>4375</v>
      </c>
      <c r="D63" s="19">
        <f>D64</f>
        <v>3500</v>
      </c>
      <c r="E63" s="19">
        <f>D63/C63</f>
        <v>0.8</v>
      </c>
      <c r="F63" s="19">
        <f>F64</f>
        <v>2275</v>
      </c>
      <c r="G63" s="19">
        <f t="shared" si="10"/>
        <v>0.65</v>
      </c>
      <c r="H63" s="22">
        <f t="shared" si="11"/>
        <v>1225</v>
      </c>
      <c r="I63" s="58">
        <f>(M63-F63)/25</f>
        <v>7</v>
      </c>
      <c r="J63" s="19">
        <f t="shared" si="2"/>
        <v>564.79999999999995</v>
      </c>
      <c r="K63" s="19">
        <f>K64</f>
        <v>350</v>
      </c>
      <c r="L63" s="19">
        <f>L64</f>
        <v>0.15384615384615385</v>
      </c>
      <c r="M63" s="19">
        <f>M64</f>
        <v>2450</v>
      </c>
      <c r="N63" s="19">
        <f>N64</f>
        <v>2100</v>
      </c>
      <c r="O63" s="19"/>
      <c r="P63" s="19" t="s">
        <v>140</v>
      </c>
    </row>
    <row r="64" spans="1:16" x14ac:dyDescent="0.25">
      <c r="A64" s="20">
        <v>5.6</v>
      </c>
      <c r="B64" s="20" t="s">
        <v>141</v>
      </c>
      <c r="C64" s="20">
        <v>4375</v>
      </c>
      <c r="D64" s="20">
        <v>3500</v>
      </c>
      <c r="E64" s="20">
        <f>D64/C64</f>
        <v>0.8</v>
      </c>
      <c r="F64" s="20">
        <v>2275</v>
      </c>
      <c r="G64" s="21">
        <f t="shared" si="10"/>
        <v>0.65</v>
      </c>
      <c r="H64" s="20">
        <f t="shared" si="11"/>
        <v>1225</v>
      </c>
      <c r="I64" s="61">
        <v>8</v>
      </c>
      <c r="J64" s="21">
        <f>I64+J62</f>
        <v>565.79999999999995</v>
      </c>
      <c r="K64" s="21">
        <v>350</v>
      </c>
      <c r="L64" s="21">
        <f>K64/F64</f>
        <v>0.15384615384615385</v>
      </c>
      <c r="M64" s="20">
        <f>F64+K64/2</f>
        <v>2450</v>
      </c>
      <c r="N64" s="20">
        <f>F64-K64/2</f>
        <v>2100</v>
      </c>
      <c r="O64" s="20" t="s">
        <v>130</v>
      </c>
      <c r="P64" s="21" t="s">
        <v>144</v>
      </c>
    </row>
    <row r="65" spans="1:16" x14ac:dyDescent="0.25">
      <c r="A65">
        <v>5.7</v>
      </c>
      <c r="B65" t="s">
        <v>143</v>
      </c>
      <c r="C65">
        <v>4375</v>
      </c>
      <c r="D65">
        <v>3500</v>
      </c>
      <c r="E65">
        <v>0.8</v>
      </c>
      <c r="F65">
        <f>0.8*D65</f>
        <v>2800</v>
      </c>
      <c r="G65">
        <f t="shared" si="10"/>
        <v>0.8</v>
      </c>
      <c r="H65">
        <f t="shared" si="11"/>
        <v>700</v>
      </c>
      <c r="I65" s="53">
        <f>(F65-F64)/25</f>
        <v>21</v>
      </c>
      <c r="J65">
        <f t="shared" si="2"/>
        <v>586.79999999999995</v>
      </c>
      <c r="O65" t="s">
        <v>135</v>
      </c>
    </row>
    <row r="66" spans="1:16" x14ac:dyDescent="0.25">
      <c r="A66" s="19">
        <v>2.6</v>
      </c>
      <c r="B66" s="19" t="s">
        <v>139</v>
      </c>
      <c r="C66" s="19">
        <f>C67</f>
        <v>4375</v>
      </c>
      <c r="D66" s="19">
        <f>D67</f>
        <v>3500</v>
      </c>
      <c r="E66" s="19">
        <f>D66/C66</f>
        <v>0.8</v>
      </c>
      <c r="F66" s="19">
        <f>F67</f>
        <v>2800</v>
      </c>
      <c r="G66" s="19">
        <f t="shared" si="10"/>
        <v>0.8</v>
      </c>
      <c r="H66" s="22">
        <f t="shared" si="11"/>
        <v>700</v>
      </c>
      <c r="I66" s="58">
        <f>(M66-F66)/25</f>
        <v>7</v>
      </c>
      <c r="J66" s="19">
        <f t="shared" si="2"/>
        <v>593.79999999999995</v>
      </c>
      <c r="K66" s="19">
        <f>K67</f>
        <v>350</v>
      </c>
      <c r="L66" s="19">
        <f>L67</f>
        <v>0.125</v>
      </c>
      <c r="M66" s="19">
        <f>M67</f>
        <v>2975</v>
      </c>
      <c r="N66" s="19">
        <f>N67</f>
        <v>2625</v>
      </c>
      <c r="O66" s="19"/>
      <c r="P66" s="19" t="s">
        <v>140</v>
      </c>
    </row>
    <row r="67" spans="1:16" x14ac:dyDescent="0.25">
      <c r="A67" s="20">
        <v>5.8</v>
      </c>
      <c r="B67" s="20" t="s">
        <v>141</v>
      </c>
      <c r="C67" s="20">
        <v>4375</v>
      </c>
      <c r="D67" s="20">
        <v>3500</v>
      </c>
      <c r="E67" s="20">
        <f>D67/C67</f>
        <v>0.8</v>
      </c>
      <c r="F67" s="20">
        <v>2800</v>
      </c>
      <c r="G67" s="21">
        <f t="shared" si="10"/>
        <v>0.8</v>
      </c>
      <c r="H67" s="20">
        <f t="shared" si="11"/>
        <v>700</v>
      </c>
      <c r="I67" s="61">
        <v>8</v>
      </c>
      <c r="J67" s="21">
        <f>I67+J65</f>
        <v>594.79999999999995</v>
      </c>
      <c r="K67" s="21">
        <v>350</v>
      </c>
      <c r="L67" s="21">
        <f>K67/F67</f>
        <v>0.125</v>
      </c>
      <c r="M67" s="20">
        <f>F67+K67/2</f>
        <v>2975</v>
      </c>
      <c r="N67" s="20">
        <f>F67-K67/2</f>
        <v>2625</v>
      </c>
      <c r="O67" s="20" t="s">
        <v>130</v>
      </c>
      <c r="P67" s="21" t="s">
        <v>144</v>
      </c>
    </row>
    <row r="68" spans="1:16" x14ac:dyDescent="0.25">
      <c r="A68">
        <v>5.9</v>
      </c>
      <c r="B68" t="s">
        <v>143</v>
      </c>
      <c r="C68">
        <v>4375</v>
      </c>
      <c r="D68">
        <v>3500</v>
      </c>
      <c r="E68">
        <v>0.8</v>
      </c>
      <c r="F68">
        <f>0.9*D68</f>
        <v>3150</v>
      </c>
      <c r="G68">
        <f t="shared" si="10"/>
        <v>0.9</v>
      </c>
      <c r="H68">
        <f t="shared" si="11"/>
        <v>350</v>
      </c>
      <c r="I68" s="53">
        <f>(F68-F67)/25</f>
        <v>14</v>
      </c>
      <c r="J68">
        <f t="shared" ref="J68:J86" si="12">I68+J67</f>
        <v>608.79999999999995</v>
      </c>
      <c r="O68" t="s">
        <v>135</v>
      </c>
    </row>
    <row r="69" spans="1:16" x14ac:dyDescent="0.25">
      <c r="A69" s="19">
        <v>2.6</v>
      </c>
      <c r="B69" s="19" t="s">
        <v>139</v>
      </c>
      <c r="C69" s="19">
        <f>C70</f>
        <v>4375</v>
      </c>
      <c r="D69" s="19">
        <f>D70</f>
        <v>3500</v>
      </c>
      <c r="E69" s="19">
        <f>D69/C69</f>
        <v>0.8</v>
      </c>
      <c r="F69" s="19">
        <f>F70</f>
        <v>3150</v>
      </c>
      <c r="G69" s="19">
        <f t="shared" si="10"/>
        <v>0.9</v>
      </c>
      <c r="H69" s="22">
        <f t="shared" si="11"/>
        <v>350</v>
      </c>
      <c r="I69" s="58">
        <f>(M69-F69)/25</f>
        <v>7</v>
      </c>
      <c r="J69" s="19">
        <f t="shared" si="12"/>
        <v>615.79999999999995</v>
      </c>
      <c r="K69" s="19">
        <f>K70</f>
        <v>350</v>
      </c>
      <c r="L69" s="19">
        <f>L70</f>
        <v>0.1111111111111111</v>
      </c>
      <c r="M69" s="19">
        <f>M70</f>
        <v>3325</v>
      </c>
      <c r="N69" s="19">
        <f>N70</f>
        <v>2975</v>
      </c>
      <c r="O69" s="19"/>
      <c r="P69" s="19" t="s">
        <v>140</v>
      </c>
    </row>
    <row r="70" spans="1:16" x14ac:dyDescent="0.25">
      <c r="A70" s="25">
        <v>5.0999999999999996</v>
      </c>
      <c r="B70" s="20" t="s">
        <v>141</v>
      </c>
      <c r="C70" s="20">
        <v>4375</v>
      </c>
      <c r="D70" s="20">
        <v>3500</v>
      </c>
      <c r="E70" s="20">
        <f>D70/C70</f>
        <v>0.8</v>
      </c>
      <c r="F70" s="20">
        <v>3150</v>
      </c>
      <c r="G70" s="21">
        <f t="shared" si="10"/>
        <v>0.9</v>
      </c>
      <c r="H70" s="20">
        <f t="shared" si="11"/>
        <v>350</v>
      </c>
      <c r="I70" s="61">
        <v>8</v>
      </c>
      <c r="J70" s="21">
        <f>I70+J68</f>
        <v>616.79999999999995</v>
      </c>
      <c r="K70" s="21">
        <v>350</v>
      </c>
      <c r="L70" s="21">
        <f>K70/F70</f>
        <v>0.1111111111111111</v>
      </c>
      <c r="M70" s="20">
        <f>F70+K70/2</f>
        <v>3325</v>
      </c>
      <c r="N70" s="20">
        <f>F70-K70/2</f>
        <v>2975</v>
      </c>
      <c r="O70" s="20" t="s">
        <v>130</v>
      </c>
      <c r="P70" s="21" t="s">
        <v>144</v>
      </c>
    </row>
    <row r="71" spans="1:16" x14ac:dyDescent="0.25">
      <c r="A71" s="23">
        <v>5.1100000000000003</v>
      </c>
      <c r="B71" s="23" t="s">
        <v>145</v>
      </c>
      <c r="C71" s="23">
        <v>4375</v>
      </c>
      <c r="D71" s="23">
        <v>3500</v>
      </c>
      <c r="E71" s="23">
        <v>0.8</v>
      </c>
      <c r="F71" s="23">
        <v>1750</v>
      </c>
      <c r="G71" s="23">
        <f t="shared" si="10"/>
        <v>0.5</v>
      </c>
      <c r="H71" s="23">
        <f t="shared" si="11"/>
        <v>1750</v>
      </c>
      <c r="I71" s="62">
        <f>(F70-F71)/25</f>
        <v>56</v>
      </c>
      <c r="J71" s="23">
        <f t="shared" si="12"/>
        <v>672.8</v>
      </c>
      <c r="K71" s="23"/>
      <c r="L71" s="23"/>
      <c r="M71" s="23"/>
      <c r="N71" s="23"/>
      <c r="O71" s="23" t="s">
        <v>135</v>
      </c>
      <c r="P71" s="23"/>
    </row>
    <row r="72" spans="1:16" x14ac:dyDescent="0.25">
      <c r="A72">
        <v>6.1</v>
      </c>
      <c r="B72" t="s">
        <v>146</v>
      </c>
      <c r="C72">
        <v>4375</v>
      </c>
      <c r="D72">
        <v>4375</v>
      </c>
      <c r="E72">
        <f>D72/C72</f>
        <v>1</v>
      </c>
      <c r="F72">
        <f>0.5*C72</f>
        <v>2187.5</v>
      </c>
      <c r="G72">
        <f>F72/D72</f>
        <v>0.5</v>
      </c>
      <c r="H72">
        <f>D72-F72</f>
        <v>2187.5</v>
      </c>
      <c r="I72" s="53">
        <f>(D72-D71)/25</f>
        <v>35</v>
      </c>
      <c r="J72">
        <f t="shared" si="12"/>
        <v>707.8</v>
      </c>
      <c r="O72" t="s">
        <v>135</v>
      </c>
      <c r="P72" t="s">
        <v>147</v>
      </c>
    </row>
    <row r="73" spans="1:16" x14ac:dyDescent="0.25">
      <c r="A73">
        <v>6.2</v>
      </c>
      <c r="B73" t="s">
        <v>148</v>
      </c>
      <c r="C73">
        <v>4800</v>
      </c>
      <c r="D73">
        <v>4800</v>
      </c>
      <c r="E73">
        <f>D73/C73</f>
        <v>1</v>
      </c>
      <c r="F73">
        <f>D73*0.5</f>
        <v>2400</v>
      </c>
      <c r="G73">
        <f>F73/D73</f>
        <v>0.5</v>
      </c>
      <c r="H73">
        <f>D73-F73</f>
        <v>2400</v>
      </c>
      <c r="I73" s="53">
        <f>(C73-C72)/25</f>
        <v>17</v>
      </c>
      <c r="J73">
        <f t="shared" si="12"/>
        <v>724.8</v>
      </c>
      <c r="O73" t="s">
        <v>135</v>
      </c>
      <c r="P73" t="s">
        <v>149</v>
      </c>
    </row>
    <row r="74" spans="1:16" x14ac:dyDescent="0.25">
      <c r="A74">
        <v>6.3</v>
      </c>
      <c r="B74" t="s">
        <v>150</v>
      </c>
      <c r="C74">
        <f>4800/0.8</f>
        <v>6000</v>
      </c>
      <c r="D74">
        <v>4800</v>
      </c>
      <c r="E74">
        <f>D74/C74</f>
        <v>0.8</v>
      </c>
      <c r="F74">
        <v>2400</v>
      </c>
      <c r="G74">
        <f>F74/D74</f>
        <v>0.5</v>
      </c>
      <c r="H74">
        <f>D74-F74</f>
        <v>2400</v>
      </c>
      <c r="I74" s="53">
        <f>(C74-C73)/25</f>
        <v>48</v>
      </c>
      <c r="J74">
        <f t="shared" si="12"/>
        <v>772.8</v>
      </c>
      <c r="O74" t="s">
        <v>135</v>
      </c>
      <c r="P74" t="s">
        <v>138</v>
      </c>
    </row>
    <row r="75" spans="1:16" x14ac:dyDescent="0.25">
      <c r="A75" s="19">
        <v>2.6</v>
      </c>
      <c r="B75" s="19" t="s">
        <v>139</v>
      </c>
      <c r="C75" s="19">
        <f>C76</f>
        <v>6000</v>
      </c>
      <c r="D75" s="19">
        <f>D76</f>
        <v>4800</v>
      </c>
      <c r="E75" s="19">
        <f>D75/C75</f>
        <v>0.8</v>
      </c>
      <c r="F75" s="19">
        <f>F76</f>
        <v>2400</v>
      </c>
      <c r="G75" s="19">
        <f t="shared" ref="G75:G86" si="13">F75/D75</f>
        <v>0.5</v>
      </c>
      <c r="H75" s="22">
        <f t="shared" ref="H75:H86" si="14">D75-F75</f>
        <v>2400</v>
      </c>
      <c r="I75" s="58">
        <f>(M75-F75)/25</f>
        <v>9.6</v>
      </c>
      <c r="J75" s="19">
        <f t="shared" si="12"/>
        <v>782.4</v>
      </c>
      <c r="K75" s="19">
        <f>K76</f>
        <v>480</v>
      </c>
      <c r="L75" s="19">
        <f>L76</f>
        <v>0.2</v>
      </c>
      <c r="M75" s="19">
        <f>M76</f>
        <v>2640</v>
      </c>
      <c r="N75" s="19">
        <f>N76</f>
        <v>2160</v>
      </c>
      <c r="O75" s="19"/>
      <c r="P75" s="19" t="s">
        <v>140</v>
      </c>
    </row>
    <row r="76" spans="1:16" x14ac:dyDescent="0.25">
      <c r="A76" s="20">
        <v>6.4</v>
      </c>
      <c r="B76" s="20" t="s">
        <v>141</v>
      </c>
      <c r="C76" s="20">
        <v>6000</v>
      </c>
      <c r="D76" s="20">
        <v>4800</v>
      </c>
      <c r="E76" s="20">
        <f>D76/C76</f>
        <v>0.8</v>
      </c>
      <c r="F76" s="20">
        <v>2400</v>
      </c>
      <c r="G76" s="21">
        <f t="shared" si="13"/>
        <v>0.5</v>
      </c>
      <c r="H76" s="20">
        <f t="shared" si="14"/>
        <v>2400</v>
      </c>
      <c r="I76" s="61">
        <v>8</v>
      </c>
      <c r="J76" s="21">
        <f>I76+J74</f>
        <v>780.8</v>
      </c>
      <c r="K76" s="21">
        <f>0.2*F76</f>
        <v>480</v>
      </c>
      <c r="L76" s="21">
        <f>K76/F76</f>
        <v>0.2</v>
      </c>
      <c r="M76" s="20">
        <f>F76+K76/2</f>
        <v>2640</v>
      </c>
      <c r="N76" s="20">
        <f>F76-K76/2</f>
        <v>2160</v>
      </c>
      <c r="O76" s="20" t="s">
        <v>130</v>
      </c>
      <c r="P76" s="20" t="s">
        <v>142</v>
      </c>
    </row>
    <row r="77" spans="1:16" x14ac:dyDescent="0.25">
      <c r="A77">
        <v>6.5</v>
      </c>
      <c r="B77" t="s">
        <v>143</v>
      </c>
      <c r="C77">
        <v>6000</v>
      </c>
      <c r="D77">
        <v>4800</v>
      </c>
      <c r="E77">
        <v>0.8</v>
      </c>
      <c r="F77">
        <f>0.65*D77</f>
        <v>3120</v>
      </c>
      <c r="G77">
        <f t="shared" si="13"/>
        <v>0.65</v>
      </c>
      <c r="H77">
        <f t="shared" si="14"/>
        <v>1680</v>
      </c>
      <c r="I77" s="53">
        <f>(F77-F76)/25</f>
        <v>28.8</v>
      </c>
      <c r="J77">
        <f t="shared" si="12"/>
        <v>809.59999999999991</v>
      </c>
      <c r="O77" t="s">
        <v>135</v>
      </c>
    </row>
    <row r="78" spans="1:16" x14ac:dyDescent="0.25">
      <c r="A78" s="19">
        <v>2.6</v>
      </c>
      <c r="B78" s="19" t="s">
        <v>139</v>
      </c>
      <c r="C78" s="19">
        <f>C79</f>
        <v>6000</v>
      </c>
      <c r="D78" s="19">
        <f>D79</f>
        <v>4800</v>
      </c>
      <c r="E78" s="19">
        <f>D78/C78</f>
        <v>0.8</v>
      </c>
      <c r="F78" s="19">
        <f>F79</f>
        <v>3120</v>
      </c>
      <c r="G78" s="19">
        <f t="shared" si="13"/>
        <v>0.65</v>
      </c>
      <c r="H78" s="22">
        <f t="shared" si="14"/>
        <v>1680</v>
      </c>
      <c r="I78" s="58">
        <f>(M78-F78)/25</f>
        <v>9.6</v>
      </c>
      <c r="J78" s="19">
        <f t="shared" si="12"/>
        <v>819.19999999999993</v>
      </c>
      <c r="K78" s="19">
        <f>K79</f>
        <v>480</v>
      </c>
      <c r="L78" s="19">
        <f>L79</f>
        <v>0.15384615384615385</v>
      </c>
      <c r="M78" s="19">
        <f>M79</f>
        <v>3360</v>
      </c>
      <c r="N78" s="19">
        <f>N79</f>
        <v>2880</v>
      </c>
      <c r="O78" s="19"/>
      <c r="P78" s="19" t="s">
        <v>140</v>
      </c>
    </row>
    <row r="79" spans="1:16" x14ac:dyDescent="0.25">
      <c r="A79" s="20">
        <v>6.6</v>
      </c>
      <c r="B79" s="20" t="s">
        <v>141</v>
      </c>
      <c r="C79" s="20">
        <v>6000</v>
      </c>
      <c r="D79" s="20">
        <v>4800</v>
      </c>
      <c r="E79" s="20">
        <f>D79/C79</f>
        <v>0.8</v>
      </c>
      <c r="F79" s="20">
        <v>3120</v>
      </c>
      <c r="G79" s="21">
        <f t="shared" si="13"/>
        <v>0.65</v>
      </c>
      <c r="H79" s="20">
        <f t="shared" si="14"/>
        <v>1680</v>
      </c>
      <c r="I79" s="61">
        <v>8</v>
      </c>
      <c r="J79" s="21">
        <f>I79+J77</f>
        <v>817.59999999999991</v>
      </c>
      <c r="K79" s="21">
        <v>480</v>
      </c>
      <c r="L79" s="21">
        <f>K79/F79</f>
        <v>0.15384615384615385</v>
      </c>
      <c r="M79" s="20">
        <f>F79+K79/2</f>
        <v>3360</v>
      </c>
      <c r="N79" s="20">
        <f>F79-K79/2</f>
        <v>2880</v>
      </c>
      <c r="O79" s="20" t="s">
        <v>130</v>
      </c>
      <c r="P79" s="21" t="s">
        <v>144</v>
      </c>
    </row>
    <row r="80" spans="1:16" x14ac:dyDescent="0.25">
      <c r="A80">
        <v>6.7</v>
      </c>
      <c r="B80" t="s">
        <v>143</v>
      </c>
      <c r="C80">
        <v>6000</v>
      </c>
      <c r="D80">
        <v>4800</v>
      </c>
      <c r="E80">
        <v>0.8</v>
      </c>
      <c r="F80">
        <f>0.8*D80</f>
        <v>3840</v>
      </c>
      <c r="G80">
        <f t="shared" si="13"/>
        <v>0.8</v>
      </c>
      <c r="H80">
        <f t="shared" si="14"/>
        <v>960</v>
      </c>
      <c r="I80" s="53">
        <f>(F80-F79)/25</f>
        <v>28.8</v>
      </c>
      <c r="J80">
        <f t="shared" si="12"/>
        <v>846.39999999999986</v>
      </c>
      <c r="O80" t="s">
        <v>135</v>
      </c>
    </row>
    <row r="81" spans="1:16" x14ac:dyDescent="0.25">
      <c r="A81" s="19">
        <v>2.6</v>
      </c>
      <c r="B81" s="19" t="s">
        <v>139</v>
      </c>
      <c r="C81" s="19">
        <f>C82</f>
        <v>6000</v>
      </c>
      <c r="D81" s="19">
        <f>D82</f>
        <v>4800</v>
      </c>
      <c r="E81" s="19">
        <f>D81/C81</f>
        <v>0.8</v>
      </c>
      <c r="F81" s="19">
        <f>F82</f>
        <v>3840</v>
      </c>
      <c r="G81" s="19">
        <f t="shared" si="13"/>
        <v>0.8</v>
      </c>
      <c r="H81" s="22">
        <f t="shared" si="14"/>
        <v>960</v>
      </c>
      <c r="I81" s="58">
        <f>(M81-F81)/25</f>
        <v>9.6</v>
      </c>
      <c r="J81" s="19">
        <f t="shared" si="12"/>
        <v>855.99999999999989</v>
      </c>
      <c r="K81" s="19">
        <f>K82</f>
        <v>480</v>
      </c>
      <c r="L81" s="19">
        <f>L82</f>
        <v>0.125</v>
      </c>
      <c r="M81" s="19">
        <f>M82</f>
        <v>4080</v>
      </c>
      <c r="N81" s="19">
        <f>N82</f>
        <v>3600</v>
      </c>
      <c r="O81" s="19"/>
      <c r="P81" s="19" t="s">
        <v>140</v>
      </c>
    </row>
    <row r="82" spans="1:16" x14ac:dyDescent="0.25">
      <c r="A82" s="20">
        <v>6.8</v>
      </c>
      <c r="B82" s="20" t="s">
        <v>141</v>
      </c>
      <c r="C82" s="20">
        <v>6000</v>
      </c>
      <c r="D82" s="20">
        <v>4800</v>
      </c>
      <c r="E82" s="20">
        <f>D82/C82</f>
        <v>0.8</v>
      </c>
      <c r="F82" s="20">
        <v>3840</v>
      </c>
      <c r="G82" s="21">
        <f t="shared" si="13"/>
        <v>0.8</v>
      </c>
      <c r="H82" s="20">
        <f t="shared" si="14"/>
        <v>960</v>
      </c>
      <c r="I82" s="61">
        <v>8</v>
      </c>
      <c r="J82" s="21">
        <f>I82+J80</f>
        <v>854.39999999999986</v>
      </c>
      <c r="K82" s="21">
        <v>480</v>
      </c>
      <c r="L82" s="21">
        <f>K82/F82</f>
        <v>0.125</v>
      </c>
      <c r="M82" s="20">
        <f>F82+K82/2</f>
        <v>4080</v>
      </c>
      <c r="N82" s="20">
        <f>F82-K82/2</f>
        <v>3600</v>
      </c>
      <c r="O82" s="20" t="s">
        <v>130</v>
      </c>
      <c r="P82" s="21" t="s">
        <v>144</v>
      </c>
    </row>
    <row r="83" spans="1:16" x14ac:dyDescent="0.25">
      <c r="A83">
        <v>6.9</v>
      </c>
      <c r="B83" t="s">
        <v>143</v>
      </c>
      <c r="C83">
        <v>6000</v>
      </c>
      <c r="D83">
        <v>4800</v>
      </c>
      <c r="E83">
        <v>0.8</v>
      </c>
      <c r="F83">
        <v>4320</v>
      </c>
      <c r="G83">
        <f t="shared" si="13"/>
        <v>0.9</v>
      </c>
      <c r="H83">
        <f t="shared" si="14"/>
        <v>480</v>
      </c>
      <c r="I83" s="53">
        <f>(F83-F82)/25</f>
        <v>19.2</v>
      </c>
      <c r="J83">
        <f t="shared" si="12"/>
        <v>873.59999999999991</v>
      </c>
      <c r="O83" t="s">
        <v>135</v>
      </c>
    </row>
    <row r="84" spans="1:16" x14ac:dyDescent="0.25">
      <c r="A84" s="19">
        <v>2.6</v>
      </c>
      <c r="B84" s="19" t="s">
        <v>139</v>
      </c>
      <c r="C84" s="19">
        <f>C85</f>
        <v>6000</v>
      </c>
      <c r="D84" s="19">
        <f>D85</f>
        <v>4800</v>
      </c>
      <c r="E84" s="19">
        <f>D84/C84</f>
        <v>0.8</v>
      </c>
      <c r="F84" s="19">
        <f>F85</f>
        <v>4320</v>
      </c>
      <c r="G84" s="19">
        <f t="shared" si="13"/>
        <v>0.9</v>
      </c>
      <c r="H84" s="22">
        <f t="shared" si="14"/>
        <v>480</v>
      </c>
      <c r="I84" s="58">
        <f>(M84-F84)/25</f>
        <v>9.6</v>
      </c>
      <c r="J84" s="19">
        <f t="shared" si="12"/>
        <v>883.19999999999993</v>
      </c>
      <c r="K84" s="19">
        <f>K85</f>
        <v>480</v>
      </c>
      <c r="L84" s="19">
        <f>L85</f>
        <v>0.1111111111111111</v>
      </c>
      <c r="M84" s="19">
        <f>M85</f>
        <v>4560</v>
      </c>
      <c r="N84" s="19">
        <f>N85</f>
        <v>4080</v>
      </c>
      <c r="O84" s="19"/>
      <c r="P84" s="19" t="s">
        <v>140</v>
      </c>
    </row>
    <row r="85" spans="1:16" x14ac:dyDescent="0.25">
      <c r="A85" s="25">
        <v>6.1</v>
      </c>
      <c r="B85" s="20" t="s">
        <v>141</v>
      </c>
      <c r="C85" s="20">
        <v>6000</v>
      </c>
      <c r="D85" s="20">
        <v>4800</v>
      </c>
      <c r="E85" s="20">
        <f>D85/C85</f>
        <v>0.8</v>
      </c>
      <c r="F85" s="20">
        <v>4320</v>
      </c>
      <c r="G85" s="21">
        <f t="shared" si="13"/>
        <v>0.9</v>
      </c>
      <c r="H85" s="20">
        <f t="shared" si="14"/>
        <v>480</v>
      </c>
      <c r="I85" s="59">
        <v>8</v>
      </c>
      <c r="J85" s="21">
        <f>I85+J83</f>
        <v>881.59999999999991</v>
      </c>
      <c r="K85" s="21">
        <v>480</v>
      </c>
      <c r="L85" s="21">
        <f>K85/F85</f>
        <v>0.1111111111111111</v>
      </c>
      <c r="M85" s="20">
        <f>F85+K85/2</f>
        <v>4560</v>
      </c>
      <c r="N85" s="20">
        <f>F85-K85/2</f>
        <v>4080</v>
      </c>
      <c r="O85" s="20" t="s">
        <v>130</v>
      </c>
      <c r="P85" s="21" t="s">
        <v>144</v>
      </c>
    </row>
    <row r="86" spans="1:16" x14ac:dyDescent="0.25">
      <c r="A86" s="23">
        <v>6.11</v>
      </c>
      <c r="B86" s="23" t="s">
        <v>145</v>
      </c>
      <c r="C86" s="23">
        <v>6000</v>
      </c>
      <c r="D86" s="23">
        <v>4800</v>
      </c>
      <c r="E86" s="23">
        <v>0.8</v>
      </c>
      <c r="F86" s="23">
        <v>2400</v>
      </c>
      <c r="G86" s="23">
        <f t="shared" si="13"/>
        <v>0.5</v>
      </c>
      <c r="H86" s="23">
        <f t="shared" si="14"/>
        <v>2400</v>
      </c>
      <c r="I86" s="62">
        <f>(F85-F86)/25</f>
        <v>76.8</v>
      </c>
      <c r="J86" s="23">
        <f t="shared" si="12"/>
        <v>958.39999999999986</v>
      </c>
      <c r="K86" s="23"/>
      <c r="L86" s="23"/>
      <c r="M86" s="23"/>
      <c r="N86" s="23"/>
      <c r="O86" s="23" t="s">
        <v>135</v>
      </c>
      <c r="P86" s="2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20" sqref="E20"/>
    </sheetView>
  </sheetViews>
  <sheetFormatPr defaultRowHeight="15" x14ac:dyDescent="0.25"/>
  <cols>
    <col min="1" max="1" width="22.125" bestFit="1" customWidth="1"/>
    <col min="2" max="2" width="12.375" bestFit="1" customWidth="1"/>
  </cols>
  <sheetData>
    <row r="1" spans="1:8" x14ac:dyDescent="0.25">
      <c r="A1" s="70" t="s">
        <v>0</v>
      </c>
      <c r="B1" s="70"/>
      <c r="G1" s="70" t="s">
        <v>1</v>
      </c>
      <c r="H1" s="70"/>
    </row>
    <row r="2" spans="1:8" x14ac:dyDescent="0.25">
      <c r="A2" t="s">
        <v>17</v>
      </c>
      <c r="B2" t="s">
        <v>21</v>
      </c>
      <c r="C2" t="s">
        <v>24</v>
      </c>
    </row>
    <row r="3" spans="1:8" x14ac:dyDescent="0.25">
      <c r="A3">
        <v>41</v>
      </c>
      <c r="B3">
        <v>1</v>
      </c>
      <c r="C3">
        <f>B3*0.0254</f>
        <v>2.5399999999999999E-2</v>
      </c>
      <c r="F3" t="s">
        <v>187</v>
      </c>
    </row>
    <row r="4" spans="1:8" x14ac:dyDescent="0.25">
      <c r="A4">
        <v>40</v>
      </c>
      <c r="B4">
        <v>1</v>
      </c>
      <c r="C4">
        <f>B4*0.0254</f>
        <v>2.5399999999999999E-2</v>
      </c>
      <c r="F4" t="s">
        <v>186</v>
      </c>
    </row>
    <row r="5" spans="1:8" x14ac:dyDescent="0.25">
      <c r="A5">
        <v>40</v>
      </c>
      <c r="B5">
        <v>1</v>
      </c>
      <c r="C5">
        <f>B5*0.0254</f>
        <v>2.5399999999999999E-2</v>
      </c>
    </row>
    <row r="6" spans="1:8" x14ac:dyDescent="0.25">
      <c r="F6" t="s">
        <v>188</v>
      </c>
    </row>
    <row r="7" spans="1:8" x14ac:dyDescent="0.25">
      <c r="A7" t="s">
        <v>23</v>
      </c>
      <c r="B7">
        <f>AVERAGE(A3:A5)/1000</f>
        <v>4.0333333333333339E-2</v>
      </c>
    </row>
    <row r="8" spans="1:8" x14ac:dyDescent="0.25">
      <c r="A8" t="s">
        <v>53</v>
      </c>
      <c r="B8">
        <f>(3.14*AVERAGE(C3:C5)^2)/4</f>
        <v>5.0645059999999986E-4</v>
      </c>
      <c r="F8" t="s">
        <v>189</v>
      </c>
    </row>
    <row r="9" spans="1:8" x14ac:dyDescent="0.25">
      <c r="A9" t="s">
        <v>25</v>
      </c>
      <c r="B9">
        <f>B8*B7</f>
        <v>2.0426840866666665E-5</v>
      </c>
      <c r="F9" t="s">
        <v>190</v>
      </c>
    </row>
    <row r="10" spans="1:8" x14ac:dyDescent="0.25">
      <c r="A10" s="70" t="s">
        <v>22</v>
      </c>
      <c r="B10" s="70"/>
      <c r="C10" s="70"/>
      <c r="F10" t="s">
        <v>191</v>
      </c>
    </row>
    <row r="11" spans="1:8" x14ac:dyDescent="0.25">
      <c r="A11" t="s">
        <v>18</v>
      </c>
      <c r="B11" t="s">
        <v>19</v>
      </c>
      <c r="C11" t="s">
        <v>20</v>
      </c>
    </row>
    <row r="12" spans="1:8" x14ac:dyDescent="0.25">
      <c r="A12">
        <v>-0.22</v>
      </c>
      <c r="B12">
        <v>35.51</v>
      </c>
      <c r="C12">
        <f>B12+A12</f>
        <v>35.29</v>
      </c>
      <c r="F12" t="s">
        <v>192</v>
      </c>
    </row>
    <row r="13" spans="1:8" x14ac:dyDescent="0.25">
      <c r="A13">
        <v>-0.22</v>
      </c>
      <c r="B13">
        <v>35.49</v>
      </c>
      <c r="C13">
        <f>B13+A13</f>
        <v>35.270000000000003</v>
      </c>
    </row>
    <row r="14" spans="1:8" x14ac:dyDescent="0.25">
      <c r="A14">
        <v>-0.22</v>
      </c>
      <c r="B14">
        <v>35.479999999999997</v>
      </c>
      <c r="C14">
        <f>B14+A14</f>
        <v>35.26</v>
      </c>
    </row>
    <row r="16" spans="1:8" x14ac:dyDescent="0.25">
      <c r="A16" t="s">
        <v>26</v>
      </c>
      <c r="B16">
        <f>AVERAGE(C12:C14)</f>
        <v>35.273333333333333</v>
      </c>
    </row>
    <row r="18" spans="1:3" x14ac:dyDescent="0.25">
      <c r="A18" t="s">
        <v>197</v>
      </c>
      <c r="B18">
        <v>50.56</v>
      </c>
    </row>
    <row r="20" spans="1:3" x14ac:dyDescent="0.25">
      <c r="A20" t="s">
        <v>198</v>
      </c>
      <c r="B20">
        <f>C20-B18</f>
        <v>34.47</v>
      </c>
      <c r="C20">
        <v>85.03</v>
      </c>
    </row>
  </sheetData>
  <mergeCells count="3">
    <mergeCell ref="A1:B1"/>
    <mergeCell ref="G1:H1"/>
    <mergeCell ref="A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tabSelected="1" workbookViewId="0">
      <selection activeCell="H10" sqref="H10"/>
    </sheetView>
  </sheetViews>
  <sheetFormatPr defaultRowHeight="15" x14ac:dyDescent="0.25"/>
  <cols>
    <col min="1" max="1" width="8.375" bestFit="1" customWidth="1"/>
    <col min="2" max="2" width="5.375" bestFit="1" customWidth="1"/>
    <col min="3" max="3" width="4.25" bestFit="1" customWidth="1"/>
    <col min="4" max="4" width="24" bestFit="1" customWidth="1"/>
    <col min="5" max="5" width="18.125" bestFit="1" customWidth="1"/>
    <col min="6" max="6" width="27.375" bestFit="1" customWidth="1"/>
    <col min="7" max="7" width="21" bestFit="1" customWidth="1"/>
    <col min="8" max="8" width="13.25" bestFit="1" customWidth="1"/>
    <col min="9" max="9" width="15.25" bestFit="1" customWidth="1"/>
    <col min="10" max="10" width="18.625" bestFit="1" customWidth="1"/>
    <col min="11" max="11" width="18.625" customWidth="1"/>
    <col min="12" max="12" width="9.375" bestFit="1" customWidth="1"/>
    <col min="13" max="13" width="8.375" bestFit="1" customWidth="1"/>
    <col min="14" max="15" width="9.25" bestFit="1" customWidth="1"/>
    <col min="16" max="16" width="14.125" bestFit="1" customWidth="1"/>
    <col min="17" max="18" width="15.125" bestFit="1" customWidth="1"/>
    <col min="19" max="19" width="16.125" bestFit="1" customWidth="1"/>
    <col min="20" max="20" width="14.125" bestFit="1" customWidth="1"/>
    <col min="21" max="21" width="15.125" bestFit="1" customWidth="1"/>
    <col min="22" max="22" width="20.5" bestFit="1" customWidth="1"/>
    <col min="23" max="23" width="27.25" style="37" bestFit="1" customWidth="1"/>
    <col min="24" max="24" width="22.625" customWidth="1"/>
    <col min="25" max="25" width="23.875" bestFit="1" customWidth="1"/>
    <col min="26" max="26" width="22.625" customWidth="1"/>
    <col min="27" max="27" width="24.25" bestFit="1" customWidth="1"/>
    <col min="28" max="28" width="26.625" bestFit="1" customWidth="1"/>
    <col min="29" max="29" width="23.75" bestFit="1" customWidth="1"/>
    <col min="30" max="30" width="20.375" bestFit="1" customWidth="1"/>
    <col min="31" max="31" width="20.375" style="10" customWidth="1"/>
    <col min="32" max="32" width="14.625" bestFit="1" customWidth="1"/>
    <col min="33" max="33" width="15.625" bestFit="1" customWidth="1"/>
    <col min="34" max="34" width="16.375" bestFit="1" customWidth="1"/>
    <col min="35" max="35" width="49.25" bestFit="1" customWidth="1"/>
  </cols>
  <sheetData>
    <row r="1" spans="1:35" x14ac:dyDescent="0.25">
      <c r="A1" t="s">
        <v>3</v>
      </c>
      <c r="B1" t="s">
        <v>4</v>
      </c>
      <c r="C1" t="s">
        <v>2</v>
      </c>
      <c r="D1" t="s">
        <v>76</v>
      </c>
      <c r="E1" t="s">
        <v>5</v>
      </c>
      <c r="F1" t="s">
        <v>200</v>
      </c>
      <c r="G1" t="s">
        <v>59</v>
      </c>
      <c r="H1" t="s">
        <v>50</v>
      </c>
      <c r="I1" t="s">
        <v>49</v>
      </c>
      <c r="J1" t="s">
        <v>51</v>
      </c>
      <c r="K1" t="s">
        <v>199</v>
      </c>
      <c r="L1" t="s">
        <v>52</v>
      </c>
      <c r="M1" t="s">
        <v>6</v>
      </c>
      <c r="N1" t="s">
        <v>7</v>
      </c>
      <c r="O1" t="s">
        <v>8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111</v>
      </c>
      <c r="W1" s="37" t="s">
        <v>99</v>
      </c>
      <c r="X1" t="s">
        <v>84</v>
      </c>
      <c r="Y1" t="s">
        <v>85</v>
      </c>
      <c r="Z1" t="s">
        <v>154</v>
      </c>
      <c r="AA1" t="s">
        <v>55</v>
      </c>
      <c r="AB1" t="s">
        <v>56</v>
      </c>
      <c r="AC1" t="s">
        <v>57</v>
      </c>
      <c r="AD1" t="s">
        <v>58</v>
      </c>
      <c r="AE1" s="10" t="s">
        <v>83</v>
      </c>
      <c r="AF1" t="s">
        <v>10</v>
      </c>
      <c r="AG1" t="s">
        <v>9</v>
      </c>
      <c r="AH1" t="s">
        <v>16</v>
      </c>
      <c r="AI1" t="s">
        <v>93</v>
      </c>
    </row>
    <row r="2" spans="1:35" x14ac:dyDescent="0.25">
      <c r="A2" s="1">
        <v>42614</v>
      </c>
      <c r="B2" s="2">
        <v>0.5083333333333333</v>
      </c>
      <c r="C2">
        <v>1.1000000000000001</v>
      </c>
      <c r="D2" t="s">
        <v>77</v>
      </c>
      <c r="E2">
        <v>0</v>
      </c>
      <c r="G2" s="3">
        <v>-5.9999999999999995E-4</v>
      </c>
      <c r="H2">
        <v>0</v>
      </c>
      <c r="I2">
        <v>40.33</v>
      </c>
      <c r="J2">
        <v>40.33</v>
      </c>
      <c r="L2">
        <v>5.0645059999999986E-4</v>
      </c>
      <c r="M2" s="71"/>
      <c r="N2" s="71"/>
      <c r="O2" s="71"/>
      <c r="P2">
        <v>0.78790000000000004</v>
      </c>
      <c r="R2">
        <v>0.7984</v>
      </c>
      <c r="T2">
        <v>0.78969999999999996</v>
      </c>
      <c r="V2">
        <v>0</v>
      </c>
      <c r="X2" t="s">
        <v>54</v>
      </c>
      <c r="Y2" t="s">
        <v>54</v>
      </c>
      <c r="AA2" t="s">
        <v>54</v>
      </c>
      <c r="AB2" t="s">
        <v>54</v>
      </c>
      <c r="AC2" t="s">
        <v>54</v>
      </c>
      <c r="AD2" t="s">
        <v>54</v>
      </c>
      <c r="AE2" s="10" t="s">
        <v>54</v>
      </c>
      <c r="AF2" t="s">
        <v>54</v>
      </c>
      <c r="AG2" t="s">
        <v>54</v>
      </c>
    </row>
    <row r="3" spans="1:35" x14ac:dyDescent="0.25">
      <c r="A3" s="1">
        <v>42621</v>
      </c>
      <c r="B3" s="2">
        <v>0.57916666666666672</v>
      </c>
      <c r="C3">
        <v>1.2</v>
      </c>
      <c r="D3" t="s">
        <v>78</v>
      </c>
      <c r="E3" t="s">
        <v>73</v>
      </c>
      <c r="G3" t="s">
        <v>73</v>
      </c>
      <c r="H3" t="s">
        <v>73</v>
      </c>
      <c r="I3">
        <v>40.33</v>
      </c>
      <c r="J3">
        <v>40.33</v>
      </c>
      <c r="L3">
        <v>5.0645059999999986E-4</v>
      </c>
      <c r="M3" s="71"/>
      <c r="N3" s="71"/>
      <c r="O3" s="71"/>
      <c r="P3">
        <v>0.8085</v>
      </c>
      <c r="R3">
        <v>0.79969999999999997</v>
      </c>
      <c r="T3">
        <v>0.79244000000000003</v>
      </c>
      <c r="V3">
        <v>0</v>
      </c>
      <c r="X3" t="s">
        <v>54</v>
      </c>
      <c r="Y3" t="s">
        <v>54</v>
      </c>
      <c r="AA3" t="s">
        <v>54</v>
      </c>
      <c r="AB3" t="s">
        <v>54</v>
      </c>
      <c r="AC3" t="s">
        <v>54</v>
      </c>
      <c r="AD3" t="s">
        <v>54</v>
      </c>
      <c r="AE3" s="10" t="s">
        <v>54</v>
      </c>
      <c r="AF3" t="s">
        <v>54</v>
      </c>
      <c r="AG3" t="s">
        <v>54</v>
      </c>
    </row>
    <row r="4" spans="1:35" x14ac:dyDescent="0.25">
      <c r="A4" s="1">
        <v>42622</v>
      </c>
      <c r="B4" s="2">
        <v>0.43124999999999997</v>
      </c>
      <c r="C4">
        <v>1.3</v>
      </c>
      <c r="D4" t="s">
        <v>79</v>
      </c>
      <c r="E4">
        <v>-5.0000000000000001E-3</v>
      </c>
      <c r="F4">
        <f>E4+0.005</f>
        <v>0</v>
      </c>
      <c r="G4" s="3">
        <v>-7.6499999999999995E-4</v>
      </c>
      <c r="H4" s="4">
        <v>0</v>
      </c>
      <c r="I4">
        <v>40.33</v>
      </c>
      <c r="J4" s="4" t="s">
        <v>74</v>
      </c>
      <c r="K4" s="4"/>
      <c r="L4" s="4" t="s">
        <v>74</v>
      </c>
      <c r="M4" s="71"/>
      <c r="N4" s="71"/>
      <c r="O4" s="71"/>
      <c r="P4">
        <v>0.80830000000000002</v>
      </c>
      <c r="R4">
        <v>0.8125</v>
      </c>
      <c r="T4">
        <v>0.79200000000000004</v>
      </c>
      <c r="V4" t="s">
        <v>75</v>
      </c>
      <c r="W4" s="37" t="s">
        <v>97</v>
      </c>
      <c r="X4" t="s">
        <v>54</v>
      </c>
      <c r="Y4" t="s">
        <v>54</v>
      </c>
      <c r="AA4" t="s">
        <v>54</v>
      </c>
      <c r="AB4" t="s">
        <v>54</v>
      </c>
      <c r="AC4" t="s">
        <v>54</v>
      </c>
      <c r="AD4" t="s">
        <v>54</v>
      </c>
      <c r="AE4" s="10" t="s">
        <v>54</v>
      </c>
      <c r="AF4" t="s">
        <v>54</v>
      </c>
      <c r="AG4" t="s">
        <v>54</v>
      </c>
    </row>
    <row r="5" spans="1:35" x14ac:dyDescent="0.25">
      <c r="A5" s="1">
        <v>42623</v>
      </c>
      <c r="B5" s="2">
        <v>0.11527777777777777</v>
      </c>
      <c r="C5">
        <v>1.4</v>
      </c>
      <c r="D5" t="s">
        <v>80</v>
      </c>
      <c r="E5">
        <v>-5.0000000000000001E-3</v>
      </c>
      <c r="F5">
        <f t="shared" ref="F5:F23" si="0">E5+0.005</f>
        <v>0</v>
      </c>
      <c r="G5" s="3">
        <v>-5.7939999999999997E-3</v>
      </c>
      <c r="H5" s="4">
        <v>0</v>
      </c>
      <c r="I5">
        <v>40.33</v>
      </c>
      <c r="J5" s="4" t="s">
        <v>74</v>
      </c>
      <c r="K5" s="4"/>
      <c r="L5" s="4" t="s">
        <v>74</v>
      </c>
      <c r="M5" s="71"/>
      <c r="N5" s="71"/>
      <c r="O5" s="71"/>
      <c r="P5">
        <v>0.80669999999999997</v>
      </c>
      <c r="R5">
        <v>0.81710000000000005</v>
      </c>
      <c r="T5">
        <v>0.79730000000000001</v>
      </c>
      <c r="U5" s="5"/>
      <c r="V5">
        <v>2.972</v>
      </c>
      <c r="W5" s="37" t="s">
        <v>98</v>
      </c>
      <c r="X5" t="s">
        <v>54</v>
      </c>
      <c r="Y5" t="s">
        <v>54</v>
      </c>
      <c r="AA5" t="s">
        <v>54</v>
      </c>
      <c r="AB5" t="s">
        <v>54</v>
      </c>
      <c r="AC5" t="s">
        <v>54</v>
      </c>
      <c r="AD5" t="s">
        <v>54</v>
      </c>
      <c r="AE5" s="10" t="s">
        <v>54</v>
      </c>
      <c r="AF5" t="s">
        <v>54</v>
      </c>
      <c r="AG5" t="s">
        <v>54</v>
      </c>
    </row>
    <row r="6" spans="1:35" x14ac:dyDescent="0.25">
      <c r="A6" s="1">
        <v>42623</v>
      </c>
      <c r="B6" s="2">
        <v>0.15972222222222224</v>
      </c>
      <c r="C6">
        <v>1.4</v>
      </c>
      <c r="D6" t="s">
        <v>80</v>
      </c>
      <c r="E6">
        <v>-5.0000000000000001E-3</v>
      </c>
      <c r="F6">
        <f t="shared" si="0"/>
        <v>0</v>
      </c>
      <c r="G6" s="3">
        <v>-7.8429999999999993E-3</v>
      </c>
      <c r="H6" s="9">
        <v>0</v>
      </c>
      <c r="I6">
        <v>40.33</v>
      </c>
      <c r="J6" s="9" t="s">
        <v>82</v>
      </c>
      <c r="K6" s="9"/>
      <c r="L6" s="9" t="s">
        <v>82</v>
      </c>
      <c r="M6" s="71"/>
      <c r="N6" s="71"/>
      <c r="O6" s="71"/>
      <c r="P6">
        <v>0.80659999999999998</v>
      </c>
      <c r="R6">
        <v>0.81740000000000002</v>
      </c>
      <c r="T6">
        <v>0.80030000000000001</v>
      </c>
      <c r="V6">
        <v>4.0839999999999996</v>
      </c>
      <c r="W6" s="37" t="s">
        <v>98</v>
      </c>
      <c r="X6" t="s">
        <v>54</v>
      </c>
      <c r="Y6" t="s">
        <v>54</v>
      </c>
      <c r="AA6">
        <v>0</v>
      </c>
      <c r="AB6">
        <v>0</v>
      </c>
      <c r="AC6" t="s">
        <v>73</v>
      </c>
      <c r="AD6" t="s">
        <v>73</v>
      </c>
      <c r="AE6" s="10" t="s">
        <v>54</v>
      </c>
      <c r="AF6" t="s">
        <v>54</v>
      </c>
      <c r="AG6" t="s">
        <v>54</v>
      </c>
    </row>
    <row r="7" spans="1:35" s="6" customFormat="1" x14ac:dyDescent="0.25">
      <c r="A7" s="7">
        <v>42623</v>
      </c>
      <c r="B7" s="8">
        <v>0.67013888888888884</v>
      </c>
      <c r="C7" s="6">
        <v>1.4</v>
      </c>
      <c r="D7" s="6" t="s">
        <v>81</v>
      </c>
      <c r="E7" s="6">
        <v>-5.0000000000000001E-3</v>
      </c>
      <c r="F7">
        <f t="shared" si="0"/>
        <v>0</v>
      </c>
      <c r="G7" s="6">
        <v>-697.87900000000002</v>
      </c>
      <c r="H7" s="9">
        <v>0</v>
      </c>
      <c r="I7" s="6">
        <v>40.33</v>
      </c>
      <c r="J7" s="9" t="s">
        <v>82</v>
      </c>
      <c r="K7" s="9"/>
      <c r="L7" s="9" t="s">
        <v>82</v>
      </c>
      <c r="M7" s="71"/>
      <c r="N7" s="71"/>
      <c r="O7" s="71"/>
      <c r="P7" s="6">
        <v>0.80669999999999997</v>
      </c>
      <c r="R7" s="6">
        <v>0.81659999999999999</v>
      </c>
      <c r="T7" s="6">
        <v>0.80110000000000003</v>
      </c>
      <c r="V7" s="6">
        <v>4.0839999999999996</v>
      </c>
      <c r="W7" s="38" t="s">
        <v>98</v>
      </c>
      <c r="AA7" s="6">
        <v>30</v>
      </c>
      <c r="AB7" s="6">
        <v>10</v>
      </c>
      <c r="AE7" s="34"/>
      <c r="AI7" s="6" t="s">
        <v>94</v>
      </c>
    </row>
    <row r="8" spans="1:35" x14ac:dyDescent="0.25">
      <c r="A8" s="1">
        <v>42625</v>
      </c>
      <c r="B8" s="2">
        <v>0.44027777777777777</v>
      </c>
      <c r="C8">
        <v>1.5</v>
      </c>
      <c r="D8" t="s">
        <v>92</v>
      </c>
      <c r="E8">
        <v>-5.0000000000000001E-3</v>
      </c>
      <c r="F8">
        <f t="shared" si="0"/>
        <v>0</v>
      </c>
      <c r="G8" s="3">
        <v>-1.9040000000000001E-3</v>
      </c>
      <c r="H8">
        <v>0</v>
      </c>
      <c r="I8">
        <v>40.33</v>
      </c>
      <c r="J8" t="s">
        <v>74</v>
      </c>
      <c r="L8" t="s">
        <v>74</v>
      </c>
      <c r="M8" s="71"/>
      <c r="N8" s="71"/>
      <c r="O8" s="71"/>
      <c r="P8">
        <v>0.83399999999999996</v>
      </c>
      <c r="R8">
        <v>0.84519999999999995</v>
      </c>
      <c r="T8">
        <v>0.8004</v>
      </c>
      <c r="V8">
        <v>4.1500000000000004</v>
      </c>
      <c r="W8" s="37" t="s">
        <v>98</v>
      </c>
      <c r="X8" t="s">
        <v>54</v>
      </c>
      <c r="Y8" t="s">
        <v>54</v>
      </c>
      <c r="AA8" t="s">
        <v>54</v>
      </c>
      <c r="AB8" t="s">
        <v>54</v>
      </c>
      <c r="AC8" t="s">
        <v>54</v>
      </c>
      <c r="AD8" t="s">
        <v>54</v>
      </c>
      <c r="AE8" s="10" t="s">
        <v>54</v>
      </c>
      <c r="AF8" t="s">
        <v>54</v>
      </c>
      <c r="AG8" t="s">
        <v>54</v>
      </c>
      <c r="AI8" t="s">
        <v>95</v>
      </c>
    </row>
    <row r="9" spans="1:35" x14ac:dyDescent="0.25">
      <c r="A9" s="1">
        <v>42625</v>
      </c>
      <c r="B9" s="2">
        <v>0.57847222222222217</v>
      </c>
      <c r="C9">
        <v>2.1</v>
      </c>
      <c r="D9" t="s">
        <v>96</v>
      </c>
      <c r="E9">
        <v>-5.0000000000000001E-3</v>
      </c>
      <c r="F9">
        <f t="shared" si="0"/>
        <v>0</v>
      </c>
      <c r="G9" s="3">
        <v>-1.0276E-3</v>
      </c>
      <c r="H9">
        <v>0</v>
      </c>
      <c r="I9">
        <v>40.33</v>
      </c>
      <c r="J9" t="s">
        <v>74</v>
      </c>
      <c r="L9" t="s">
        <v>74</v>
      </c>
      <c r="M9" s="71"/>
      <c r="N9" s="71"/>
      <c r="O9" s="71"/>
      <c r="P9">
        <v>0.86050000000000004</v>
      </c>
      <c r="R9">
        <v>0.872</v>
      </c>
      <c r="T9">
        <v>0.82479999999999998</v>
      </c>
      <c r="V9">
        <v>5.867</v>
      </c>
      <c r="W9" s="37" t="s">
        <v>97</v>
      </c>
      <c r="X9" t="s">
        <v>112</v>
      </c>
      <c r="Y9" t="s">
        <v>112</v>
      </c>
      <c r="AA9" t="s">
        <v>112</v>
      </c>
      <c r="AB9" t="s">
        <v>112</v>
      </c>
      <c r="AC9" t="s">
        <v>112</v>
      </c>
      <c r="AD9" t="s">
        <v>112</v>
      </c>
      <c r="AE9" s="10" t="s">
        <v>112</v>
      </c>
      <c r="AF9" t="s">
        <v>112</v>
      </c>
      <c r="AG9" t="s">
        <v>112</v>
      </c>
    </row>
    <row r="10" spans="1:35" x14ac:dyDescent="0.25">
      <c r="A10" s="1">
        <v>42632</v>
      </c>
      <c r="B10" s="2">
        <v>0.4861111111111111</v>
      </c>
      <c r="C10">
        <v>2.1</v>
      </c>
      <c r="D10" t="s">
        <v>151</v>
      </c>
      <c r="E10">
        <v>-4.0000000000000001E-3</v>
      </c>
      <c r="F10">
        <f t="shared" si="0"/>
        <v>1E-3</v>
      </c>
      <c r="G10" s="3">
        <v>-1.9009999999999999E-3</v>
      </c>
      <c r="H10" t="s">
        <v>110</v>
      </c>
      <c r="I10">
        <v>40.33</v>
      </c>
      <c r="J10" t="s">
        <v>110</v>
      </c>
      <c r="L10" t="s">
        <v>110</v>
      </c>
      <c r="M10" s="71"/>
      <c r="N10" s="71"/>
      <c r="O10" s="71"/>
      <c r="P10">
        <v>0.86309999999999998</v>
      </c>
      <c r="R10">
        <v>0.87460000000000004</v>
      </c>
      <c r="T10">
        <v>0.82789999999999997</v>
      </c>
      <c r="V10">
        <v>6.0229999999999997</v>
      </c>
      <c r="W10" s="37" t="s">
        <v>98</v>
      </c>
      <c r="X10" t="s">
        <v>54</v>
      </c>
      <c r="Y10" t="s">
        <v>54</v>
      </c>
      <c r="AA10" t="s">
        <v>54</v>
      </c>
      <c r="AB10" t="s">
        <v>54</v>
      </c>
      <c r="AC10" t="s">
        <v>54</v>
      </c>
      <c r="AD10" t="s">
        <v>54</v>
      </c>
      <c r="AE10" s="10" t="s">
        <v>54</v>
      </c>
      <c r="AF10" t="s">
        <v>54</v>
      </c>
      <c r="AG10" t="s">
        <v>54</v>
      </c>
    </row>
    <row r="11" spans="1:35" s="29" customFormat="1" x14ac:dyDescent="0.25">
      <c r="A11" s="27">
        <v>42632</v>
      </c>
      <c r="B11" s="28">
        <v>0.6381944444444444</v>
      </c>
      <c r="C11" s="29">
        <v>2.2000000000000002</v>
      </c>
      <c r="D11" s="29" t="s">
        <v>152</v>
      </c>
      <c r="E11" s="29">
        <v>-3.0000000000000001E-3</v>
      </c>
      <c r="F11">
        <f t="shared" si="0"/>
        <v>2E-3</v>
      </c>
      <c r="G11" s="30">
        <v>-7.7771000000000003E-4</v>
      </c>
      <c r="H11" s="29" t="s">
        <v>74</v>
      </c>
      <c r="I11" s="29">
        <v>40.33</v>
      </c>
      <c r="J11" s="29" t="s">
        <v>74</v>
      </c>
      <c r="L11" s="29" t="s">
        <v>74</v>
      </c>
      <c r="M11" s="71"/>
      <c r="N11" s="71"/>
      <c r="O11" s="71"/>
      <c r="P11" s="29">
        <v>0.88229999999999997</v>
      </c>
      <c r="R11" s="29">
        <v>0.88739999999999997</v>
      </c>
      <c r="T11" s="29">
        <v>0.82789999999999997</v>
      </c>
      <c r="V11" s="29">
        <v>-6.2E-2</v>
      </c>
      <c r="W11" s="39" t="s">
        <v>97</v>
      </c>
      <c r="X11" s="29" t="s">
        <v>54</v>
      </c>
      <c r="Y11" s="29" t="s">
        <v>54</v>
      </c>
      <c r="AA11" s="29" t="s">
        <v>54</v>
      </c>
      <c r="AB11" s="29" t="s">
        <v>54</v>
      </c>
      <c r="AC11" s="29" t="s">
        <v>54</v>
      </c>
      <c r="AD11" s="29" t="s">
        <v>54</v>
      </c>
      <c r="AE11" s="35" t="s">
        <v>54</v>
      </c>
      <c r="AF11" s="29" t="s">
        <v>54</v>
      </c>
      <c r="AG11" s="29" t="s">
        <v>54</v>
      </c>
    </row>
    <row r="12" spans="1:35" s="6" customFormat="1" ht="14.25" customHeight="1" x14ac:dyDescent="0.25">
      <c r="A12" s="7">
        <v>42632</v>
      </c>
      <c r="B12" s="8">
        <v>0.66666666666666663</v>
      </c>
      <c r="C12" s="6">
        <v>2.1</v>
      </c>
      <c r="D12" s="6" t="s">
        <v>141</v>
      </c>
      <c r="E12" s="6">
        <v>-3.0000000000000001E-3</v>
      </c>
      <c r="F12">
        <f t="shared" si="0"/>
        <v>2E-3</v>
      </c>
      <c r="G12" s="33">
        <v>-6.5600000000000001E-4</v>
      </c>
      <c r="I12" s="6">
        <v>40.33</v>
      </c>
      <c r="J12" s="6" t="s">
        <v>74</v>
      </c>
      <c r="L12" s="6" t="s">
        <v>74</v>
      </c>
      <c r="M12" s="71"/>
      <c r="N12" s="71"/>
      <c r="O12" s="71"/>
      <c r="P12" s="6">
        <v>0.86299999999999999</v>
      </c>
      <c r="R12" s="6">
        <v>0.872</v>
      </c>
      <c r="T12" s="6">
        <v>0.8296</v>
      </c>
      <c r="V12" s="6" t="s">
        <v>185</v>
      </c>
      <c r="W12" s="38" t="s">
        <v>97</v>
      </c>
      <c r="X12" s="6">
        <v>0.83350000000000002</v>
      </c>
      <c r="Z12" s="6">
        <v>2</v>
      </c>
      <c r="AA12" s="6">
        <v>136</v>
      </c>
      <c r="AB12" s="6">
        <v>115</v>
      </c>
      <c r="AC12" s="6">
        <v>0.34100000000000003</v>
      </c>
      <c r="AD12" s="6">
        <v>0.32300000000000001</v>
      </c>
      <c r="AE12" s="36">
        <v>0.29959490740740741</v>
      </c>
      <c r="AF12" s="6" t="s">
        <v>74</v>
      </c>
      <c r="AG12" s="6" t="s">
        <v>74</v>
      </c>
    </row>
    <row r="13" spans="1:35" x14ac:dyDescent="0.25">
      <c r="A13" s="1">
        <v>42633</v>
      </c>
      <c r="B13" s="2">
        <v>0.99305555555555547</v>
      </c>
      <c r="C13">
        <v>2.2000000000000002</v>
      </c>
      <c r="D13" t="s">
        <v>152</v>
      </c>
      <c r="E13">
        <v>0</v>
      </c>
      <c r="F13">
        <f t="shared" si="0"/>
        <v>5.0000000000000001E-3</v>
      </c>
      <c r="G13" s="3">
        <v>-7.0699999999999995E-4</v>
      </c>
      <c r="H13" t="s">
        <v>74</v>
      </c>
      <c r="I13">
        <v>40.33</v>
      </c>
      <c r="J13" t="s">
        <v>74</v>
      </c>
      <c r="L13" t="s">
        <v>74</v>
      </c>
      <c r="M13" s="71"/>
      <c r="N13" s="71"/>
      <c r="O13" s="71"/>
      <c r="P13">
        <v>0.88280000000000003</v>
      </c>
      <c r="R13">
        <v>0.88490000000000002</v>
      </c>
      <c r="T13">
        <v>0.83020000000000005</v>
      </c>
      <c r="V13">
        <v>0.14399999999999999</v>
      </c>
      <c r="W13" s="37" t="s">
        <v>97</v>
      </c>
    </row>
    <row r="14" spans="1:35" s="6" customFormat="1" x14ac:dyDescent="0.25">
      <c r="A14" s="7">
        <v>42634</v>
      </c>
      <c r="B14" s="8">
        <v>0.71597222222222223</v>
      </c>
      <c r="C14" s="6">
        <v>2.4</v>
      </c>
      <c r="D14" s="6" t="s">
        <v>141</v>
      </c>
      <c r="E14" s="6">
        <v>0</v>
      </c>
      <c r="F14">
        <f t="shared" si="0"/>
        <v>5.0000000000000001E-3</v>
      </c>
      <c r="G14" s="33">
        <v>-7.4580000000000002E-3</v>
      </c>
      <c r="H14" s="6" t="s">
        <v>153</v>
      </c>
      <c r="I14" s="6">
        <v>40.33</v>
      </c>
      <c r="J14" s="6" t="s">
        <v>153</v>
      </c>
      <c r="L14" s="6" t="s">
        <v>153</v>
      </c>
      <c r="M14" s="71"/>
      <c r="N14" s="71"/>
      <c r="O14" s="71"/>
      <c r="P14" s="6">
        <v>0.87339999999999995</v>
      </c>
      <c r="R14" s="6">
        <v>0.88</v>
      </c>
      <c r="T14" s="6">
        <v>0.83440000000000003</v>
      </c>
      <c r="V14" s="6" t="s">
        <v>54</v>
      </c>
      <c r="W14" s="38" t="s">
        <v>97</v>
      </c>
      <c r="X14" s="6">
        <v>0.83440000000000003</v>
      </c>
      <c r="Z14" s="6">
        <v>2</v>
      </c>
      <c r="AA14" s="6">
        <v>138.19999999999999</v>
      </c>
      <c r="AB14" s="6">
        <v>112.5</v>
      </c>
      <c r="AC14" s="6">
        <v>0.28999999999999998</v>
      </c>
      <c r="AD14" s="6">
        <v>0.26700000000000002</v>
      </c>
      <c r="AE14" s="36">
        <v>0.25100694444444444</v>
      </c>
      <c r="AF14" s="6" t="s">
        <v>74</v>
      </c>
      <c r="AG14" s="6" t="s">
        <v>193</v>
      </c>
      <c r="AH14" s="6" t="s">
        <v>74</v>
      </c>
    </row>
    <row r="15" spans="1:35" x14ac:dyDescent="0.25">
      <c r="A15" s="1">
        <v>42634</v>
      </c>
      <c r="B15" s="2">
        <v>0.89097222222222217</v>
      </c>
      <c r="C15">
        <v>2.5</v>
      </c>
      <c r="D15" t="s">
        <v>143</v>
      </c>
      <c r="E15">
        <v>2E-3</v>
      </c>
      <c r="F15">
        <f t="shared" si="0"/>
        <v>7.0000000000000001E-3</v>
      </c>
      <c r="G15" s="3">
        <v>-8.6600000000000002E-4</v>
      </c>
      <c r="I15">
        <v>40.33</v>
      </c>
      <c r="M15" s="71"/>
      <c r="N15" s="71"/>
      <c r="O15" s="71"/>
      <c r="P15">
        <v>0.88390000000000002</v>
      </c>
      <c r="R15">
        <v>0.89159999999999995</v>
      </c>
      <c r="T15">
        <v>0.85370000000000001</v>
      </c>
      <c r="V15">
        <v>0.56000000000000005</v>
      </c>
      <c r="W15" s="37" t="s">
        <v>97</v>
      </c>
    </row>
    <row r="16" spans="1:35" s="47" customFormat="1" x14ac:dyDescent="0.25">
      <c r="A16" s="45">
        <v>42635</v>
      </c>
      <c r="B16" s="46">
        <v>0.62916666666666665</v>
      </c>
      <c r="C16" s="47">
        <v>2.7</v>
      </c>
      <c r="D16" s="47" t="s">
        <v>141</v>
      </c>
      <c r="E16" s="47" t="s">
        <v>153</v>
      </c>
      <c r="F16"/>
      <c r="G16" s="47" t="s">
        <v>153</v>
      </c>
      <c r="H16" s="47" t="s">
        <v>153</v>
      </c>
      <c r="I16" s="47" t="s">
        <v>153</v>
      </c>
      <c r="J16" s="47" t="s">
        <v>153</v>
      </c>
      <c r="L16" s="47" t="s">
        <v>153</v>
      </c>
      <c r="M16" s="71"/>
      <c r="N16" s="71"/>
      <c r="O16" s="71"/>
      <c r="P16" s="47">
        <v>0.88139999999999996</v>
      </c>
      <c r="R16" s="47">
        <v>0.88500000000000001</v>
      </c>
      <c r="T16" s="47">
        <v>0.85699999999999998</v>
      </c>
      <c r="V16" s="47" t="s">
        <v>185</v>
      </c>
      <c r="W16" s="48" t="s">
        <v>97</v>
      </c>
      <c r="X16" s="47">
        <v>0.85699999999999998</v>
      </c>
      <c r="Z16" s="47">
        <v>2</v>
      </c>
      <c r="AA16" s="47">
        <v>212.5</v>
      </c>
      <c r="AB16" s="47">
        <v>187.5</v>
      </c>
      <c r="AC16" s="47">
        <v>0.88300000000000001</v>
      </c>
      <c r="AD16" s="47">
        <v>0.77300000000000002</v>
      </c>
      <c r="AE16" s="49">
        <v>0.50707175925925929</v>
      </c>
      <c r="AF16" s="47" t="s">
        <v>74</v>
      </c>
      <c r="AG16" s="47" t="s">
        <v>74</v>
      </c>
      <c r="AH16" s="47" t="s">
        <v>74</v>
      </c>
    </row>
    <row r="17" spans="1:31" s="23" customFormat="1" x14ac:dyDescent="0.25">
      <c r="A17" s="42">
        <v>42635</v>
      </c>
      <c r="B17" s="43">
        <v>0.63472222222222219</v>
      </c>
      <c r="C17" s="23">
        <v>2.8</v>
      </c>
      <c r="D17" s="23" t="s">
        <v>145</v>
      </c>
      <c r="E17" s="23">
        <v>0.01</v>
      </c>
      <c r="F17">
        <f t="shared" si="0"/>
        <v>1.4999999999999999E-2</v>
      </c>
      <c r="G17" s="51" t="s">
        <v>112</v>
      </c>
      <c r="H17" s="23" t="s">
        <v>74</v>
      </c>
      <c r="I17" s="23">
        <v>40.33</v>
      </c>
      <c r="J17" s="23" t="s">
        <v>74</v>
      </c>
      <c r="L17" s="23" t="s">
        <v>74</v>
      </c>
      <c r="M17" s="71"/>
      <c r="N17" s="71"/>
      <c r="O17" s="71"/>
      <c r="P17" s="23">
        <v>0.8831</v>
      </c>
      <c r="R17" s="23">
        <v>0.87580000000000002</v>
      </c>
      <c r="T17" s="23">
        <v>0.83020000000000005</v>
      </c>
      <c r="V17" s="23">
        <v>-0.90800000000000003</v>
      </c>
      <c r="W17" s="50" t="s">
        <v>97</v>
      </c>
      <c r="X17" s="23" t="s">
        <v>54</v>
      </c>
    </row>
    <row r="18" spans="1:31" x14ac:dyDescent="0.25">
      <c r="A18" s="1">
        <v>42638</v>
      </c>
      <c r="B18" s="2">
        <v>0.62569444444444444</v>
      </c>
      <c r="C18" s="12">
        <v>3.1</v>
      </c>
      <c r="D18" s="12" t="s">
        <v>194</v>
      </c>
      <c r="E18" s="47">
        <v>1.2E-2</v>
      </c>
      <c r="F18">
        <f t="shared" si="0"/>
        <v>1.7000000000000001E-2</v>
      </c>
      <c r="M18" s="71"/>
      <c r="N18" s="71"/>
      <c r="O18" s="71"/>
      <c r="P18" s="47">
        <v>0.88719999999999999</v>
      </c>
      <c r="R18" s="47">
        <v>0.89490000000000003</v>
      </c>
      <c r="T18" s="47">
        <v>0.84009999999999996</v>
      </c>
      <c r="V18" s="47">
        <v>-4.7E-2</v>
      </c>
      <c r="W18" s="37" t="s">
        <v>97</v>
      </c>
    </row>
    <row r="19" spans="1:31" x14ac:dyDescent="0.25">
      <c r="A19" s="1">
        <v>42639</v>
      </c>
      <c r="B19" s="2">
        <v>0.6381944444444444</v>
      </c>
      <c r="C19" s="12">
        <v>3.2</v>
      </c>
      <c r="D19" s="12" t="s">
        <v>195</v>
      </c>
      <c r="E19" s="12">
        <v>1.0999999999999999E-2</v>
      </c>
      <c r="F19">
        <f t="shared" si="0"/>
        <v>1.6E-2</v>
      </c>
      <c r="G19" s="3">
        <v>-7.6499999999999995E-4</v>
      </c>
      <c r="H19" t="s">
        <v>74</v>
      </c>
      <c r="I19">
        <v>40.33</v>
      </c>
      <c r="M19" s="71"/>
      <c r="N19" s="71"/>
      <c r="O19" s="71"/>
      <c r="P19" s="12">
        <v>1.0194000000000001</v>
      </c>
      <c r="R19" s="12">
        <v>1.0331999999999999</v>
      </c>
      <c r="T19" s="12">
        <v>0.90859999999999996</v>
      </c>
      <c r="V19" s="12">
        <v>-9.1999999999999998E-2</v>
      </c>
      <c r="W19" s="37" t="s">
        <v>97</v>
      </c>
    </row>
    <row r="20" spans="1:31" x14ac:dyDescent="0.25">
      <c r="A20" s="1">
        <v>42639</v>
      </c>
      <c r="B20" s="2">
        <v>0.64374999999999993</v>
      </c>
      <c r="C20" s="12">
        <v>3.3</v>
      </c>
      <c r="D20" s="12" t="s">
        <v>152</v>
      </c>
      <c r="E20" s="47">
        <v>8.5999999999999993E-2</v>
      </c>
      <c r="F20">
        <f t="shared" si="0"/>
        <v>9.0999999999999998E-2</v>
      </c>
      <c r="G20" s="3">
        <v>-5.4600000000000004E-4</v>
      </c>
      <c r="M20" s="71"/>
      <c r="N20" s="71"/>
      <c r="O20" s="71"/>
      <c r="P20" s="47">
        <v>1.0771999999999999</v>
      </c>
      <c r="R20" s="47">
        <v>1.0604</v>
      </c>
      <c r="T20" s="47">
        <v>0.90859999999999996</v>
      </c>
      <c r="V20" s="47">
        <v>-0.53400000000000003</v>
      </c>
      <c r="W20" s="37" t="s">
        <v>97</v>
      </c>
    </row>
    <row r="21" spans="1:31" s="6" customFormat="1" x14ac:dyDescent="0.25">
      <c r="A21" s="7">
        <v>42640</v>
      </c>
      <c r="B21" s="8">
        <v>2.013888888888889E-2</v>
      </c>
      <c r="C21" s="47">
        <v>3.4</v>
      </c>
      <c r="D21" s="47" t="s">
        <v>141</v>
      </c>
      <c r="E21" s="47">
        <v>0.13800000000000001</v>
      </c>
      <c r="F21">
        <f t="shared" si="0"/>
        <v>0.14300000000000002</v>
      </c>
      <c r="M21" s="71"/>
      <c r="N21" s="71"/>
      <c r="O21" s="71"/>
      <c r="P21" s="6">
        <v>1.0569999999999999</v>
      </c>
      <c r="R21" s="6">
        <v>1.0466</v>
      </c>
      <c r="T21" s="6">
        <v>0.92042999999999997</v>
      </c>
      <c r="V21" s="6" t="s">
        <v>185</v>
      </c>
      <c r="W21" s="38" t="s">
        <v>196</v>
      </c>
      <c r="X21" s="6">
        <v>0.9204</v>
      </c>
      <c r="AA21" s="6">
        <v>412.5</v>
      </c>
      <c r="AB21" s="6">
        <v>337.5</v>
      </c>
      <c r="AC21" s="6">
        <v>0.20799999999999999</v>
      </c>
      <c r="AD21" s="6">
        <v>0.20599999999999999</v>
      </c>
      <c r="AE21" s="36">
        <v>0.31467592592592591</v>
      </c>
    </row>
    <row r="22" spans="1:31" x14ac:dyDescent="0.25">
      <c r="A22" s="1">
        <v>42640</v>
      </c>
      <c r="B22" s="2">
        <v>0.85069444444444453</v>
      </c>
      <c r="C22" s="12">
        <v>3.5</v>
      </c>
      <c r="D22" s="12" t="s">
        <v>143</v>
      </c>
      <c r="E22" s="12">
        <v>0.14199999999999999</v>
      </c>
      <c r="F22">
        <f t="shared" si="0"/>
        <v>0.14699999999999999</v>
      </c>
      <c r="G22" s="3">
        <v>-7.8399999999999997E-4</v>
      </c>
      <c r="M22" s="71"/>
      <c r="N22" s="71"/>
      <c r="O22" s="71"/>
      <c r="P22" s="67">
        <v>1.0778000000000001</v>
      </c>
      <c r="Q22" s="67"/>
      <c r="R22" s="67">
        <v>1.0615000000000001</v>
      </c>
      <c r="S22" s="67"/>
      <c r="T22" s="67">
        <v>0.9556</v>
      </c>
      <c r="U22" s="67"/>
      <c r="V22" s="67">
        <v>0.33900000000000002</v>
      </c>
      <c r="W22" s="68" t="s">
        <v>97</v>
      </c>
    </row>
    <row r="23" spans="1:31" s="6" customFormat="1" x14ac:dyDescent="0.25">
      <c r="A23" s="7">
        <v>42641</v>
      </c>
      <c r="B23" s="8">
        <v>0.45416666666666666</v>
      </c>
      <c r="C23" s="6">
        <v>3.6</v>
      </c>
      <c r="D23" s="6" t="s">
        <v>141</v>
      </c>
      <c r="E23" s="6">
        <v>0.14299999999999999</v>
      </c>
      <c r="F23">
        <f t="shared" si="0"/>
        <v>0.14799999999999999</v>
      </c>
      <c r="M23" s="71"/>
      <c r="N23" s="71"/>
      <c r="O23" s="71"/>
      <c r="P23" s="6">
        <v>1.0778000000000001</v>
      </c>
      <c r="R23" s="6">
        <v>1.0615000000000001</v>
      </c>
      <c r="T23" s="6">
        <v>0.96709999999999996</v>
      </c>
      <c r="V23" s="6" t="s">
        <v>185</v>
      </c>
      <c r="W23" s="38" t="s">
        <v>97</v>
      </c>
      <c r="X23" s="6">
        <v>0.96709999999999996</v>
      </c>
      <c r="AA23" s="6">
        <v>562.5</v>
      </c>
      <c r="AB23" s="6">
        <v>487.5</v>
      </c>
      <c r="AC23" s="6">
        <v>0.23100000000000001</v>
      </c>
      <c r="AD23" s="6">
        <v>0.188</v>
      </c>
      <c r="AE23" s="36">
        <v>0.29305555555555557</v>
      </c>
    </row>
    <row r="24" spans="1:31" x14ac:dyDescent="0.25">
      <c r="A24" s="1"/>
      <c r="B24" s="2"/>
      <c r="C24" s="12"/>
      <c r="D24" s="12"/>
    </row>
    <row r="40" spans="23:23" x14ac:dyDescent="0.25">
      <c r="W40" s="37">
        <f>+W41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topLeftCell="G1" workbookViewId="0">
      <selection activeCell="N12" sqref="N12"/>
    </sheetView>
  </sheetViews>
  <sheetFormatPr defaultRowHeight="15" x14ac:dyDescent="0.25"/>
  <cols>
    <col min="1" max="1" width="4.25" style="10" bestFit="1" customWidth="1"/>
    <col min="2" max="2" width="15.5" bestFit="1" customWidth="1"/>
    <col min="3" max="3" width="20" bestFit="1" customWidth="1"/>
    <col min="4" max="4" width="16.75" bestFit="1" customWidth="1"/>
    <col min="5" max="5" width="20.625" style="10" bestFit="1" customWidth="1"/>
    <col min="6" max="6" width="16.5" bestFit="1" customWidth="1"/>
    <col min="7" max="7" width="16.75" bestFit="1" customWidth="1"/>
    <col min="8" max="8" width="18.25" bestFit="1" customWidth="1"/>
    <col min="9" max="9" width="18.25" style="10" customWidth="1"/>
    <col min="10" max="10" width="15.5" bestFit="1" customWidth="1"/>
    <col min="11" max="11" width="15.75" bestFit="1" customWidth="1"/>
    <col min="12" max="12" width="16.75" bestFit="1" customWidth="1"/>
    <col min="13" max="13" width="16.5" style="10" bestFit="1" customWidth="1"/>
    <col min="14" max="14" width="16.5" style="14" customWidth="1"/>
    <col min="15" max="15" width="16.5" style="10" customWidth="1"/>
    <col min="16" max="16" width="18.125" style="14" bestFit="1" customWidth="1"/>
    <col min="17" max="17" width="17.875" style="10" bestFit="1" customWidth="1"/>
    <col min="18" max="18" width="19.25" bestFit="1" customWidth="1"/>
    <col min="19" max="19" width="19" style="10" bestFit="1" customWidth="1"/>
    <col min="20" max="20" width="21.625" bestFit="1" customWidth="1"/>
    <col min="21" max="21" width="21.375" style="10" bestFit="1" customWidth="1"/>
    <col min="22" max="22" width="18.125" bestFit="1" customWidth="1"/>
    <col min="23" max="23" width="19" style="10" bestFit="1" customWidth="1"/>
    <col min="24" max="24" width="20.375" bestFit="1" customWidth="1"/>
    <col min="25" max="25" width="21.375" style="10" bestFit="1" customWidth="1"/>
    <col min="26" max="26" width="20" bestFit="1" customWidth="1"/>
    <col min="27" max="27" width="13.125" style="10" bestFit="1" customWidth="1"/>
    <col min="28" max="28" width="12" bestFit="1" customWidth="1"/>
    <col min="29" max="29" width="18.25" bestFit="1" customWidth="1"/>
    <col min="30" max="30" width="16.25" style="10" bestFit="1" customWidth="1"/>
    <col min="31" max="31" width="9" style="11"/>
    <col min="33" max="33" width="9" style="10"/>
  </cols>
  <sheetData>
    <row r="1" spans="1:33" x14ac:dyDescent="0.25">
      <c r="A1" s="10" t="s">
        <v>2</v>
      </c>
      <c r="B1" t="s">
        <v>155</v>
      </c>
      <c r="C1" t="s">
        <v>156</v>
      </c>
      <c r="D1" t="s">
        <v>157</v>
      </c>
      <c r="E1" s="10" t="s">
        <v>158</v>
      </c>
      <c r="F1" t="s">
        <v>159</v>
      </c>
      <c r="G1" t="s">
        <v>160</v>
      </c>
      <c r="H1" t="s">
        <v>161</v>
      </c>
      <c r="I1" s="10" t="s">
        <v>162</v>
      </c>
      <c r="J1" t="s">
        <v>163</v>
      </c>
      <c r="K1" t="s">
        <v>165</v>
      </c>
      <c r="L1" t="s">
        <v>164</v>
      </c>
      <c r="M1" s="10" t="s">
        <v>166</v>
      </c>
      <c r="N1" s="12" t="s">
        <v>116</v>
      </c>
      <c r="O1" s="31" t="s">
        <v>167</v>
      </c>
      <c r="P1" s="12" t="s">
        <v>168</v>
      </c>
      <c r="Q1" s="31" t="s">
        <v>169</v>
      </c>
      <c r="R1" t="s">
        <v>170</v>
      </c>
      <c r="S1" s="10" t="s">
        <v>171</v>
      </c>
      <c r="T1" t="s">
        <v>172</v>
      </c>
      <c r="U1" s="10" t="s">
        <v>173</v>
      </c>
      <c r="V1" t="s">
        <v>174</v>
      </c>
      <c r="W1" s="10" t="s">
        <v>175</v>
      </c>
      <c r="X1" t="s">
        <v>58</v>
      </c>
      <c r="Y1" s="10" t="s">
        <v>176</v>
      </c>
      <c r="Z1" t="s">
        <v>178</v>
      </c>
      <c r="AA1" s="10" t="s">
        <v>177</v>
      </c>
      <c r="AB1" t="s">
        <v>179</v>
      </c>
      <c r="AC1" t="s">
        <v>180</v>
      </c>
      <c r="AD1" s="10" t="s">
        <v>181</v>
      </c>
      <c r="AE1" s="11" t="s">
        <v>182</v>
      </c>
      <c r="AF1" s="12" t="s">
        <v>183</v>
      </c>
      <c r="AG1" s="31" t="s">
        <v>184</v>
      </c>
    </row>
    <row r="2" spans="1:33" x14ac:dyDescent="0.25">
      <c r="A2" s="10">
        <v>2.1</v>
      </c>
      <c r="B2">
        <v>250</v>
      </c>
      <c r="C2">
        <v>0.86</v>
      </c>
      <c r="F2" s="12">
        <v>250</v>
      </c>
      <c r="G2" s="12">
        <v>0.87</v>
      </c>
      <c r="J2">
        <v>125</v>
      </c>
      <c r="K2">
        <v>0.83360000000000001</v>
      </c>
      <c r="R2">
        <v>136</v>
      </c>
      <c r="T2">
        <v>115</v>
      </c>
      <c r="V2">
        <v>0.34100000000000003</v>
      </c>
      <c r="X2">
        <v>0.32300000000000001</v>
      </c>
      <c r="Z2" s="32">
        <v>0.29959490740740741</v>
      </c>
      <c r="AB2">
        <f>8.9*10^-4</f>
        <v>8.9000000000000006E-4</v>
      </c>
    </row>
    <row r="3" spans="1:33" x14ac:dyDescent="0.25">
      <c r="A3" s="10">
        <v>2.4</v>
      </c>
      <c r="B3">
        <v>312.5</v>
      </c>
      <c r="C3">
        <v>0.87250000000000005</v>
      </c>
      <c r="F3" s="12">
        <v>250</v>
      </c>
      <c r="G3" s="12">
        <v>0.88</v>
      </c>
      <c r="J3">
        <v>125</v>
      </c>
      <c r="K3">
        <v>0.83440000000000003</v>
      </c>
      <c r="R3">
        <v>138.19999999999999</v>
      </c>
      <c r="T3">
        <v>112.5</v>
      </c>
      <c r="V3">
        <v>0.28999999999999998</v>
      </c>
      <c r="X3">
        <v>0.26700000000000002</v>
      </c>
      <c r="Z3" s="32">
        <v>0.25100694444444444</v>
      </c>
    </row>
    <row r="4" spans="1:33" s="23" customFormat="1" x14ac:dyDescent="0.25">
      <c r="A4" s="44">
        <v>2.6</v>
      </c>
      <c r="B4" s="23">
        <v>312.5</v>
      </c>
      <c r="C4" s="23">
        <v>0.88139999999999996</v>
      </c>
      <c r="E4" s="44"/>
      <c r="F4" s="24">
        <v>250</v>
      </c>
      <c r="G4" s="24">
        <v>0.88500000000000001</v>
      </c>
      <c r="I4" s="44"/>
      <c r="J4" s="23">
        <v>200</v>
      </c>
      <c r="K4" s="23">
        <v>0.85699999999999998</v>
      </c>
      <c r="M4" s="44"/>
      <c r="O4" s="44"/>
      <c r="Q4" s="44"/>
      <c r="R4" s="23">
        <v>212.5</v>
      </c>
      <c r="S4" s="44"/>
      <c r="T4" s="23">
        <v>187.5</v>
      </c>
      <c r="U4" s="44"/>
      <c r="V4" s="23">
        <v>0.83299999999999996</v>
      </c>
      <c r="W4" s="44"/>
      <c r="X4" s="23">
        <v>0.77300000000000002</v>
      </c>
      <c r="Y4" s="44"/>
      <c r="Z4" s="63">
        <v>0.50707175925925929</v>
      </c>
      <c r="AA4" s="44"/>
      <c r="AD4" s="44"/>
      <c r="AE4" s="64"/>
      <c r="AG4" s="44"/>
    </row>
    <row r="5" spans="1:33" x14ac:dyDescent="0.25">
      <c r="A5" s="10">
        <v>3.4</v>
      </c>
      <c r="B5" s="12">
        <v>937.5</v>
      </c>
      <c r="C5" s="12">
        <v>1.0569999999999999</v>
      </c>
      <c r="F5" s="12">
        <v>750</v>
      </c>
      <c r="G5" s="12">
        <v>1.0466</v>
      </c>
      <c r="J5" s="12">
        <v>375</v>
      </c>
      <c r="K5" s="12">
        <v>0.9204</v>
      </c>
      <c r="R5" s="12">
        <v>412.5</v>
      </c>
      <c r="T5" s="12">
        <v>337.5</v>
      </c>
      <c r="V5" s="12">
        <v>0.20799999999999999</v>
      </c>
      <c r="X5" s="12">
        <v>0.20599999999999999</v>
      </c>
      <c r="Z5" s="32">
        <v>0.31467592592592591</v>
      </c>
    </row>
    <row r="6" spans="1:33" x14ac:dyDescent="0.25">
      <c r="A6" s="10">
        <v>3.6</v>
      </c>
      <c r="B6" s="12">
        <v>937.5</v>
      </c>
      <c r="C6" s="12">
        <v>1.077</v>
      </c>
      <c r="F6" s="12">
        <v>750</v>
      </c>
      <c r="G6" s="12">
        <v>1.0615000000000001</v>
      </c>
      <c r="J6" s="12">
        <v>525</v>
      </c>
      <c r="K6" s="12">
        <v>0.96709999999999996</v>
      </c>
      <c r="R6" s="12">
        <v>526.5</v>
      </c>
      <c r="T6" s="12">
        <v>487.5</v>
      </c>
      <c r="V6" s="12">
        <v>0.23100000000000001</v>
      </c>
      <c r="X6" s="12">
        <v>0.188</v>
      </c>
      <c r="Z6" s="32">
        <v>0.29305555555555557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8" sqref="C8"/>
    </sheetView>
  </sheetViews>
  <sheetFormatPr defaultRowHeight="15" x14ac:dyDescent="0.25"/>
  <cols>
    <col min="1" max="1" width="36.125" bestFit="1" customWidth="1"/>
  </cols>
  <sheetData>
    <row r="1" spans="1:3" x14ac:dyDescent="0.25">
      <c r="A1" s="70" t="s">
        <v>11</v>
      </c>
      <c r="B1" s="70"/>
    </row>
    <row r="2" spans="1:3" x14ac:dyDescent="0.25">
      <c r="A2" t="s">
        <v>29</v>
      </c>
      <c r="B2">
        <v>23.3</v>
      </c>
    </row>
    <row r="3" spans="1:3" x14ac:dyDescent="0.25">
      <c r="A3" t="s">
        <v>30</v>
      </c>
      <c r="B3">
        <v>24.5</v>
      </c>
    </row>
    <row r="4" spans="1:3" x14ac:dyDescent="0.25">
      <c r="A4" t="s">
        <v>31</v>
      </c>
      <c r="B4">
        <v>23.9</v>
      </c>
    </row>
    <row r="6" spans="1:3" x14ac:dyDescent="0.25">
      <c r="A6" s="70" t="s">
        <v>12</v>
      </c>
      <c r="B6" s="70"/>
    </row>
    <row r="7" spans="1:3" x14ac:dyDescent="0.25">
      <c r="A7" t="s">
        <v>34</v>
      </c>
      <c r="B7">
        <v>10000</v>
      </c>
      <c r="C7">
        <v>2500</v>
      </c>
    </row>
    <row r="8" spans="1:3" x14ac:dyDescent="0.25">
      <c r="A8" t="s">
        <v>35</v>
      </c>
      <c r="B8">
        <v>8000</v>
      </c>
    </row>
    <row r="9" spans="1:3" x14ac:dyDescent="0.25">
      <c r="A9" t="s">
        <v>36</v>
      </c>
      <c r="B9">
        <v>4000</v>
      </c>
    </row>
    <row r="10" spans="1:3" x14ac:dyDescent="0.25">
      <c r="A10" t="s">
        <v>37</v>
      </c>
      <c r="B10">
        <v>3000</v>
      </c>
    </row>
    <row r="12" spans="1:3" x14ac:dyDescent="0.25">
      <c r="A12" s="70" t="s">
        <v>15</v>
      </c>
      <c r="B12" s="70"/>
    </row>
    <row r="13" spans="1:3" x14ac:dyDescent="0.25">
      <c r="A13" t="s">
        <v>32</v>
      </c>
      <c r="B13">
        <v>200</v>
      </c>
    </row>
    <row r="14" spans="1:3" x14ac:dyDescent="0.25">
      <c r="A14" t="s">
        <v>33</v>
      </c>
      <c r="B14">
        <v>4</v>
      </c>
    </row>
    <row r="15" spans="1:3" x14ac:dyDescent="0.25">
      <c r="A15" t="s">
        <v>14</v>
      </c>
      <c r="B15">
        <v>1</v>
      </c>
    </row>
    <row r="16" spans="1:3" x14ac:dyDescent="0.25">
      <c r="A16" t="s">
        <v>13</v>
      </c>
      <c r="B16">
        <v>30</v>
      </c>
    </row>
    <row r="17" spans="1:2" x14ac:dyDescent="0.25">
      <c r="A17" t="s">
        <v>38</v>
      </c>
      <c r="B17" t="s">
        <v>40</v>
      </c>
    </row>
    <row r="18" spans="1:2" x14ac:dyDescent="0.25">
      <c r="A18" t="s">
        <v>39</v>
      </c>
      <c r="B18" t="s">
        <v>41</v>
      </c>
    </row>
    <row r="20" spans="1:2" x14ac:dyDescent="0.25">
      <c r="A20" s="70" t="s">
        <v>27</v>
      </c>
      <c r="B20" s="70"/>
    </row>
    <row r="21" spans="1:2" x14ac:dyDescent="0.25">
      <c r="A21" t="s">
        <v>42</v>
      </c>
      <c r="B21">
        <v>3</v>
      </c>
    </row>
    <row r="22" spans="1:2" x14ac:dyDescent="0.25">
      <c r="A22" t="s">
        <v>28</v>
      </c>
      <c r="B22">
        <f>B21*0.0254</f>
        <v>7.619999999999999E-2</v>
      </c>
    </row>
  </sheetData>
  <mergeCells count="4">
    <mergeCell ref="A1:B1"/>
    <mergeCell ref="A6:B6"/>
    <mergeCell ref="A12:B12"/>
    <mergeCell ref="A20:B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selection activeCell="A10" sqref="A10"/>
    </sheetView>
  </sheetViews>
  <sheetFormatPr defaultRowHeight="15" x14ac:dyDescent="0.25"/>
  <cols>
    <col min="3" max="4" width="9" style="10"/>
    <col min="5" max="5" width="14.125" bestFit="1" customWidth="1"/>
    <col min="6" max="6" width="15.125" style="10" bestFit="1" customWidth="1"/>
    <col min="7" max="7" width="14.5" bestFit="1" customWidth="1"/>
    <col min="8" max="8" width="16.125" style="10" bestFit="1" customWidth="1"/>
    <col min="9" max="9" width="14.125" bestFit="1" customWidth="1"/>
    <col min="10" max="10" width="15.125" style="10" bestFit="1" customWidth="1"/>
    <col min="11" max="11" width="27" bestFit="1" customWidth="1"/>
    <col min="12" max="12" width="28" bestFit="1" customWidth="1"/>
    <col min="13" max="13" width="25.375" bestFit="1" customWidth="1"/>
    <col min="14" max="14" width="25.375" style="10" customWidth="1"/>
    <col min="15" max="16" width="25.375" customWidth="1"/>
    <col min="17" max="17" width="26" bestFit="1" customWidth="1"/>
    <col min="18" max="18" width="23.75" style="10" bestFit="1" customWidth="1"/>
    <col min="19" max="19" width="22.875" bestFit="1" customWidth="1"/>
    <col min="20" max="20" width="24.125" bestFit="1" customWidth="1"/>
    <col min="21" max="21" width="26" bestFit="1" customWidth="1"/>
    <col min="22" max="22" width="23.125" style="10" bestFit="1" customWidth="1"/>
    <col min="23" max="23" width="9" style="11"/>
  </cols>
  <sheetData>
    <row r="1" spans="1:23" x14ac:dyDescent="0.25">
      <c r="A1" t="s">
        <v>3</v>
      </c>
      <c r="B1" t="s">
        <v>100</v>
      </c>
      <c r="C1" s="10" t="s">
        <v>86</v>
      </c>
      <c r="D1" s="10" t="s">
        <v>2</v>
      </c>
      <c r="E1" t="s">
        <v>43</v>
      </c>
      <c r="F1" s="10" t="s">
        <v>44</v>
      </c>
      <c r="G1" t="s">
        <v>45</v>
      </c>
      <c r="H1" s="10" t="s">
        <v>46</v>
      </c>
      <c r="I1" t="s">
        <v>47</v>
      </c>
      <c r="J1" s="10" t="s">
        <v>107</v>
      </c>
      <c r="K1" t="s">
        <v>101</v>
      </c>
      <c r="L1" t="s">
        <v>102</v>
      </c>
      <c r="M1" t="s">
        <v>103</v>
      </c>
      <c r="N1" s="10" t="s">
        <v>108</v>
      </c>
      <c r="O1" t="s">
        <v>104</v>
      </c>
      <c r="P1" t="s">
        <v>105</v>
      </c>
      <c r="Q1" t="s">
        <v>106</v>
      </c>
      <c r="R1" s="10" t="s">
        <v>109</v>
      </c>
      <c r="S1" t="s">
        <v>87</v>
      </c>
      <c r="T1" t="s">
        <v>90</v>
      </c>
      <c r="U1" t="s">
        <v>88</v>
      </c>
      <c r="V1" s="10" t="s">
        <v>91</v>
      </c>
      <c r="W1" s="11" t="s">
        <v>89</v>
      </c>
    </row>
    <row r="2" spans="1:23" x14ac:dyDescent="0.25">
      <c r="A2" s="1">
        <v>42625</v>
      </c>
      <c r="B2" s="2">
        <v>0.74861111111111101</v>
      </c>
      <c r="C2" s="10">
        <v>1</v>
      </c>
      <c r="D2" s="10">
        <v>2.1</v>
      </c>
      <c r="E2">
        <v>0.86019999999999996</v>
      </c>
      <c r="F2" s="10">
        <v>241.98</v>
      </c>
      <c r="G2">
        <v>0.87180000000000002</v>
      </c>
      <c r="H2" s="10">
        <v>237.57</v>
      </c>
      <c r="I2">
        <v>0.82569999999999999</v>
      </c>
      <c r="J2" s="10">
        <v>115.97</v>
      </c>
      <c r="K2">
        <v>0.86370000000000002</v>
      </c>
      <c r="L2">
        <v>253.21</v>
      </c>
      <c r="M2">
        <f t="shared" ref="M2:N9" si="0">K2-E2</f>
        <v>3.5000000000000586E-3</v>
      </c>
      <c r="N2" s="10">
        <f t="shared" si="0"/>
        <v>11.230000000000018</v>
      </c>
      <c r="O2">
        <v>0.87529999999999997</v>
      </c>
      <c r="P2">
        <v>248.66</v>
      </c>
      <c r="Q2">
        <f t="shared" ref="Q2:R9" si="1">O2-G2</f>
        <v>3.4999999999999476E-3</v>
      </c>
      <c r="R2" s="10">
        <f t="shared" si="1"/>
        <v>11.090000000000003</v>
      </c>
      <c r="S2">
        <v>0.82620000000000005</v>
      </c>
      <c r="T2">
        <f>117.56</f>
        <v>117.56</v>
      </c>
      <c r="U2">
        <f>S2-I2</f>
        <v>5.0000000000005596E-4</v>
      </c>
      <c r="V2" s="10">
        <f>T2-J2</f>
        <v>1.5900000000000034</v>
      </c>
      <c r="W2" s="11">
        <f t="shared" ref="W2:W9" si="2">V2/MIN(R2,N2)</f>
        <v>0.1433724075743916</v>
      </c>
    </row>
    <row r="3" spans="1:23" x14ac:dyDescent="0.25">
      <c r="A3" s="1">
        <v>42625</v>
      </c>
      <c r="B3" s="2">
        <v>0.4375</v>
      </c>
      <c r="C3" s="10">
        <v>2</v>
      </c>
      <c r="D3" s="10">
        <v>2.1</v>
      </c>
      <c r="E3">
        <v>0.86360000000000003</v>
      </c>
      <c r="F3" s="10">
        <f t="shared" ref="F3:F9" si="3">3209*E3-2518.4</f>
        <v>252.89240000000018</v>
      </c>
      <c r="G3">
        <v>0.87519999999999998</v>
      </c>
      <c r="H3" s="10">
        <f t="shared" ref="H3:H9" si="4">3167.9*G3-2524.2</f>
        <v>248.34608000000026</v>
      </c>
      <c r="I3">
        <v>0.82589999999999997</v>
      </c>
      <c r="J3" s="10">
        <f t="shared" ref="J3:J9" si="5">3191.2*I3-2519</f>
        <v>116.61207999999988</v>
      </c>
      <c r="K3">
        <v>0.86650000000000005</v>
      </c>
      <c r="L3">
        <f t="shared" ref="L3:L9" si="6">3209*K3-2518.4</f>
        <v>262.19849999999997</v>
      </c>
      <c r="M3">
        <f t="shared" si="0"/>
        <v>2.9000000000000137E-3</v>
      </c>
      <c r="N3" s="10">
        <f t="shared" si="0"/>
        <v>9.3060999999997875</v>
      </c>
      <c r="O3">
        <v>0.878</v>
      </c>
      <c r="P3">
        <f t="shared" ref="P3:P9" si="7">3167.9*O3-2524.2</f>
        <v>257.2162000000003</v>
      </c>
      <c r="Q3">
        <f t="shared" si="1"/>
        <v>2.8000000000000247E-3</v>
      </c>
      <c r="R3" s="10">
        <f t="shared" si="1"/>
        <v>8.8701200000000426</v>
      </c>
      <c r="S3">
        <v>0.82650000000000001</v>
      </c>
      <c r="T3">
        <f t="shared" ref="T3:T9" si="8">3191.2*S3-2519</f>
        <v>118.52680000000009</v>
      </c>
      <c r="U3">
        <f>S3-I3</f>
        <v>6.0000000000004494E-4</v>
      </c>
      <c r="V3" s="10">
        <f>T3-J3</f>
        <v>1.9147200000002158</v>
      </c>
      <c r="W3" s="11">
        <f t="shared" si="2"/>
        <v>0.21586179217419907</v>
      </c>
    </row>
    <row r="4" spans="1:23" x14ac:dyDescent="0.25">
      <c r="A4" s="1">
        <v>42625</v>
      </c>
      <c r="B4" s="2">
        <v>0.875</v>
      </c>
      <c r="C4" s="10">
        <v>3</v>
      </c>
      <c r="D4" s="10">
        <v>2.1</v>
      </c>
      <c r="E4">
        <v>0.86370000000000002</v>
      </c>
      <c r="F4" s="10">
        <f t="shared" si="3"/>
        <v>253.21329999999989</v>
      </c>
      <c r="G4" s="12">
        <v>0.87529999999999997</v>
      </c>
      <c r="H4" s="10">
        <f t="shared" si="4"/>
        <v>248.66287000000011</v>
      </c>
      <c r="I4" s="12">
        <v>0.82589999999999997</v>
      </c>
      <c r="J4" s="10">
        <f t="shared" si="5"/>
        <v>116.61207999999988</v>
      </c>
      <c r="K4">
        <v>0.87019999999999997</v>
      </c>
      <c r="L4">
        <f t="shared" si="6"/>
        <v>274.07179999999971</v>
      </c>
      <c r="M4">
        <f t="shared" si="0"/>
        <v>6.4999999999999503E-3</v>
      </c>
      <c r="N4" s="10">
        <f t="shared" si="0"/>
        <v>20.858499999999822</v>
      </c>
      <c r="O4">
        <v>0.88190000000000002</v>
      </c>
      <c r="P4">
        <f t="shared" si="7"/>
        <v>269.57101000000011</v>
      </c>
      <c r="Q4">
        <f t="shared" si="1"/>
        <v>6.6000000000000503E-3</v>
      </c>
      <c r="R4" s="10">
        <f t="shared" si="1"/>
        <v>20.908140000000003</v>
      </c>
      <c r="S4">
        <v>0.82879999999999998</v>
      </c>
      <c r="T4">
        <f t="shared" si="8"/>
        <v>125.86655999999994</v>
      </c>
      <c r="U4">
        <f t="shared" ref="U4:V9" si="9">S4-I4</f>
        <v>2.9000000000000137E-3</v>
      </c>
      <c r="V4" s="10">
        <f t="shared" si="9"/>
        <v>9.2544800000000578</v>
      </c>
      <c r="W4" s="11">
        <f t="shared" si="2"/>
        <v>0.44367907567658926</v>
      </c>
    </row>
    <row r="5" spans="1:23" x14ac:dyDescent="0.25">
      <c r="A5" s="1">
        <v>42626</v>
      </c>
      <c r="B5" s="2">
        <v>0.77847222222222223</v>
      </c>
      <c r="C5" s="10">
        <v>4</v>
      </c>
      <c r="D5" s="10">
        <v>2.1</v>
      </c>
      <c r="E5">
        <v>0.86380000000000001</v>
      </c>
      <c r="F5" s="10">
        <f t="shared" si="3"/>
        <v>253.53420000000006</v>
      </c>
      <c r="G5" s="12">
        <v>0.87529999999999997</v>
      </c>
      <c r="H5" s="10">
        <f t="shared" si="4"/>
        <v>248.66287000000011</v>
      </c>
      <c r="I5" s="12">
        <v>0.82599999999999996</v>
      </c>
      <c r="J5" s="10">
        <f t="shared" si="5"/>
        <v>116.93119999999954</v>
      </c>
      <c r="K5">
        <v>0.86919999999999997</v>
      </c>
      <c r="L5">
        <f t="shared" si="6"/>
        <v>270.86279999999988</v>
      </c>
      <c r="M5">
        <f t="shared" si="0"/>
        <v>5.3999999999999604E-3</v>
      </c>
      <c r="N5" s="10">
        <f t="shared" si="0"/>
        <v>17.328599999999824</v>
      </c>
      <c r="O5">
        <v>0.88080000000000003</v>
      </c>
      <c r="P5">
        <f t="shared" si="7"/>
        <v>266.08632000000034</v>
      </c>
      <c r="Q5">
        <f t="shared" si="1"/>
        <v>5.5000000000000604E-3</v>
      </c>
      <c r="R5" s="10">
        <f t="shared" si="1"/>
        <v>17.42345000000023</v>
      </c>
      <c r="S5">
        <v>0.82869999999999999</v>
      </c>
      <c r="T5">
        <f t="shared" si="8"/>
        <v>125.54743999999982</v>
      </c>
      <c r="U5">
        <f t="shared" si="9"/>
        <v>2.7000000000000357E-3</v>
      </c>
      <c r="V5" s="10">
        <f t="shared" si="9"/>
        <v>8.616240000000289</v>
      </c>
      <c r="W5" s="11">
        <f t="shared" si="2"/>
        <v>0.49722655032722646</v>
      </c>
    </row>
    <row r="6" spans="1:23" x14ac:dyDescent="0.25">
      <c r="A6" s="1">
        <v>42626</v>
      </c>
      <c r="B6" s="2">
        <v>0.92361111111111116</v>
      </c>
      <c r="C6" s="10">
        <v>5</v>
      </c>
      <c r="D6" s="10">
        <v>2.1</v>
      </c>
      <c r="E6">
        <v>0.86329999999999996</v>
      </c>
      <c r="F6" s="10">
        <f t="shared" si="3"/>
        <v>251.92969999999968</v>
      </c>
      <c r="G6" s="12">
        <v>0.87450000000000006</v>
      </c>
      <c r="H6" s="10">
        <f t="shared" si="4"/>
        <v>246.12855000000036</v>
      </c>
      <c r="I6" s="12">
        <v>0.82489999999999997</v>
      </c>
      <c r="J6" s="10">
        <f t="shared" si="5"/>
        <v>113.42087999999967</v>
      </c>
      <c r="K6">
        <v>0.86950000000000005</v>
      </c>
      <c r="L6">
        <f t="shared" si="6"/>
        <v>271.82549999999992</v>
      </c>
      <c r="M6">
        <f t="shared" si="0"/>
        <v>6.2000000000000943E-3</v>
      </c>
      <c r="N6" s="10">
        <f t="shared" si="0"/>
        <v>19.895800000000236</v>
      </c>
      <c r="O6">
        <v>0.88109999999999999</v>
      </c>
      <c r="P6">
        <f t="shared" si="7"/>
        <v>267.03669000000036</v>
      </c>
      <c r="Q6">
        <f t="shared" si="1"/>
        <v>6.5999999999999392E-3</v>
      </c>
      <c r="R6" s="10">
        <f t="shared" si="1"/>
        <v>20.908140000000003</v>
      </c>
      <c r="S6">
        <v>0.82789999999999997</v>
      </c>
      <c r="T6">
        <f t="shared" si="8"/>
        <v>122.99447999999984</v>
      </c>
      <c r="U6">
        <f t="shared" si="9"/>
        <v>3.0000000000000027E-3</v>
      </c>
      <c r="V6" s="10">
        <f t="shared" si="9"/>
        <v>9.5736000000001695</v>
      </c>
      <c r="W6" s="11">
        <f t="shared" si="2"/>
        <v>0.48118698418762029</v>
      </c>
    </row>
    <row r="7" spans="1:23" x14ac:dyDescent="0.25">
      <c r="A7" s="1">
        <v>42627</v>
      </c>
      <c r="B7" s="2">
        <v>0.85</v>
      </c>
      <c r="C7" s="10">
        <v>6</v>
      </c>
      <c r="D7" s="10">
        <v>2.1</v>
      </c>
      <c r="E7">
        <v>0.86299999999999999</v>
      </c>
      <c r="F7" s="10">
        <f t="shared" si="3"/>
        <v>250.9670000000001</v>
      </c>
      <c r="G7" s="12">
        <v>0.87450000000000006</v>
      </c>
      <c r="H7" s="10">
        <f t="shared" si="4"/>
        <v>246.12855000000036</v>
      </c>
      <c r="I7" s="26">
        <v>0.8246</v>
      </c>
      <c r="J7" s="10">
        <f t="shared" si="5"/>
        <v>112.46351999999979</v>
      </c>
      <c r="K7">
        <v>0.86960000000000004</v>
      </c>
      <c r="L7">
        <f t="shared" si="6"/>
        <v>272.14640000000009</v>
      </c>
      <c r="M7">
        <f t="shared" si="0"/>
        <v>6.6000000000000503E-3</v>
      </c>
      <c r="N7" s="10">
        <f t="shared" si="0"/>
        <v>21.179399999999987</v>
      </c>
      <c r="O7">
        <v>0.88109999999999999</v>
      </c>
      <c r="P7">
        <f t="shared" si="7"/>
        <v>267.03669000000036</v>
      </c>
      <c r="Q7">
        <f t="shared" si="1"/>
        <v>6.5999999999999392E-3</v>
      </c>
      <c r="R7" s="10">
        <f t="shared" si="1"/>
        <v>20.908140000000003</v>
      </c>
      <c r="S7">
        <v>0.82740000000000002</v>
      </c>
      <c r="T7">
        <f t="shared" si="8"/>
        <v>121.39887999999974</v>
      </c>
      <c r="U7">
        <f t="shared" si="9"/>
        <v>2.8000000000000247E-3</v>
      </c>
      <c r="V7" s="10">
        <f t="shared" si="9"/>
        <v>8.935359999999946</v>
      </c>
      <c r="W7" s="11">
        <f t="shared" si="2"/>
        <v>0.42736274006200192</v>
      </c>
    </row>
    <row r="8" spans="1:23" x14ac:dyDescent="0.25">
      <c r="A8" s="1">
        <v>42631</v>
      </c>
      <c r="B8" s="2">
        <v>0.85</v>
      </c>
      <c r="C8" s="10">
        <v>7</v>
      </c>
      <c r="D8" s="10">
        <v>2.1</v>
      </c>
      <c r="E8">
        <v>0.86309999999999998</v>
      </c>
      <c r="F8" s="10">
        <f t="shared" si="3"/>
        <v>251.28789999999981</v>
      </c>
      <c r="G8" s="12">
        <v>0.87450000000000006</v>
      </c>
      <c r="H8" s="10">
        <f t="shared" si="4"/>
        <v>246.12855000000036</v>
      </c>
      <c r="I8" s="12">
        <v>0.82479999999999998</v>
      </c>
      <c r="J8" s="10">
        <f t="shared" si="5"/>
        <v>113.10175999999956</v>
      </c>
      <c r="K8">
        <v>0.86939999999999995</v>
      </c>
      <c r="L8">
        <f t="shared" si="6"/>
        <v>271.50459999999975</v>
      </c>
      <c r="M8">
        <f t="shared" si="0"/>
        <v>6.2999999999999723E-3</v>
      </c>
      <c r="N8" s="10">
        <f t="shared" si="0"/>
        <v>20.216699999999946</v>
      </c>
      <c r="O8">
        <v>0.88090000000000002</v>
      </c>
      <c r="P8">
        <f t="shared" si="7"/>
        <v>266.4031100000002</v>
      </c>
      <c r="Q8">
        <f t="shared" si="1"/>
        <v>6.3999999999999613E-3</v>
      </c>
      <c r="R8" s="10">
        <f t="shared" si="1"/>
        <v>20.274559999999838</v>
      </c>
      <c r="S8">
        <v>0.82789999999999997</v>
      </c>
      <c r="T8">
        <f t="shared" si="8"/>
        <v>122.99447999999984</v>
      </c>
      <c r="U8">
        <f t="shared" si="9"/>
        <v>3.0999999999999917E-3</v>
      </c>
      <c r="V8" s="10">
        <f t="shared" si="9"/>
        <v>9.8927200000002813</v>
      </c>
      <c r="W8" s="11">
        <f t="shared" si="2"/>
        <v>0.48933406540139129</v>
      </c>
    </row>
    <row r="9" spans="1:23" x14ac:dyDescent="0.25">
      <c r="A9" s="1">
        <v>42632</v>
      </c>
      <c r="B9" s="2">
        <v>0.78680555555555554</v>
      </c>
      <c r="C9" s="10">
        <v>8</v>
      </c>
      <c r="D9" s="10">
        <v>2.4</v>
      </c>
      <c r="E9">
        <v>0.86380000000000001</v>
      </c>
      <c r="F9" s="10">
        <f t="shared" si="3"/>
        <v>253.53420000000006</v>
      </c>
      <c r="G9" s="12">
        <v>0.87539999999999996</v>
      </c>
      <c r="H9" s="10">
        <f t="shared" si="4"/>
        <v>248.97965999999997</v>
      </c>
      <c r="I9" s="12">
        <v>0.83020000000000005</v>
      </c>
      <c r="J9" s="10">
        <f t="shared" si="5"/>
        <v>130.33424000000014</v>
      </c>
      <c r="K9">
        <v>0.86650000000000005</v>
      </c>
      <c r="L9">
        <f t="shared" si="6"/>
        <v>262.19849999999997</v>
      </c>
      <c r="M9">
        <f t="shared" si="0"/>
        <v>2.7000000000000357E-3</v>
      </c>
      <c r="N9" s="10">
        <f t="shared" si="0"/>
        <v>8.664299999999912</v>
      </c>
      <c r="O9">
        <v>0.878</v>
      </c>
      <c r="P9">
        <f t="shared" si="7"/>
        <v>257.2162000000003</v>
      </c>
      <c r="Q9">
        <f t="shared" si="1"/>
        <v>2.6000000000000467E-3</v>
      </c>
      <c r="R9" s="10">
        <f t="shared" si="1"/>
        <v>8.2365400000003319</v>
      </c>
      <c r="S9">
        <v>0.83130000000000004</v>
      </c>
      <c r="T9">
        <f t="shared" si="8"/>
        <v>133.84456</v>
      </c>
      <c r="U9">
        <f t="shared" si="9"/>
        <v>1.0999999999999899E-3</v>
      </c>
      <c r="V9" s="10">
        <f t="shared" si="9"/>
        <v>3.5103199999998651</v>
      </c>
      <c r="W9" s="11">
        <f t="shared" si="2"/>
        <v>0.42618866660026222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M2" sqref="M2"/>
    </sheetView>
  </sheetViews>
  <sheetFormatPr defaultRowHeight="15" x14ac:dyDescent="0.25"/>
  <cols>
    <col min="2" max="2" width="13.5" bestFit="1" customWidth="1"/>
  </cols>
  <sheetData>
    <row r="1" spans="1:14" x14ac:dyDescent="0.25">
      <c r="A1" t="s">
        <v>2</v>
      </c>
      <c r="B1" t="s">
        <v>62</v>
      </c>
      <c r="C1" t="s">
        <v>60</v>
      </c>
      <c r="D1" t="s">
        <v>61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Experimental Plan</vt:lpstr>
      <vt:lpstr>Core Details</vt:lpstr>
      <vt:lpstr>Experimental data</vt:lpstr>
      <vt:lpstr>k tests</vt:lpstr>
      <vt:lpstr>Initialization Parameters</vt:lpstr>
      <vt:lpstr>Btests</vt:lpstr>
      <vt:lpstr>TT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2016-08-31T22:35:53Z</dcterms:created>
  <dcterms:modified xsi:type="dcterms:W3CDTF">2016-10-06T15:11:01Z</dcterms:modified>
</cp:coreProperties>
</file>