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rsh\Desktop\"/>
    </mc:Choice>
  </mc:AlternateContent>
  <bookViews>
    <workbookView xWindow="0" yWindow="0" windowWidth="7785" windowHeight="2760" activeTab="1"/>
  </bookViews>
  <sheets>
    <sheet name="Experimental Plan" sheetId="6" r:id="rId1"/>
    <sheet name="Experimental data" sheetId="3" r:id="rId2"/>
    <sheet name="k tests" sheetId="7" r:id="rId3"/>
    <sheet name="Btests" sheetId="5" r:id="rId4"/>
    <sheet name="Core Details" sheetId="1" r:id="rId5"/>
    <sheet name="Initialization Parameters" sheetId="2" r:id="rId6"/>
    <sheet name="TT calculations" sheetId="4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" i="3" l="1"/>
  <c r="J6" i="6" l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4" i="6"/>
  <c r="J5" i="6" s="1"/>
  <c r="E8" i="6"/>
  <c r="I9" i="6"/>
  <c r="I20" i="6"/>
  <c r="H20" i="6"/>
  <c r="G20" i="6"/>
  <c r="N19" i="6"/>
  <c r="M19" i="6"/>
  <c r="L19" i="6"/>
  <c r="H19" i="6"/>
  <c r="G19" i="6"/>
  <c r="E19" i="6"/>
  <c r="C19" i="6"/>
  <c r="N18" i="6"/>
  <c r="M18" i="6"/>
  <c r="L18" i="6"/>
  <c r="K18" i="6"/>
  <c r="I18" i="6"/>
  <c r="D18" i="6"/>
  <c r="H18" i="6" s="1"/>
  <c r="C18" i="6"/>
  <c r="H17" i="6"/>
  <c r="G17" i="6"/>
  <c r="F17" i="6"/>
  <c r="M16" i="6"/>
  <c r="M15" i="6" s="1"/>
  <c r="I15" i="6" s="1"/>
  <c r="G16" i="6"/>
  <c r="F16" i="6"/>
  <c r="L16" i="6" s="1"/>
  <c r="L15" i="6" s="1"/>
  <c r="C16" i="6"/>
  <c r="E16" i="6" s="1"/>
  <c r="K15" i="6"/>
  <c r="F15" i="6"/>
  <c r="G15" i="6" s="1"/>
  <c r="E15" i="6"/>
  <c r="D15" i="6"/>
  <c r="H15" i="6" s="1"/>
  <c r="C15" i="6"/>
  <c r="I14" i="6"/>
  <c r="H14" i="6"/>
  <c r="G14" i="6"/>
  <c r="N13" i="6"/>
  <c r="N12" i="6" s="1"/>
  <c r="M13" i="6"/>
  <c r="M12" i="6" s="1"/>
  <c r="I12" i="6" s="1"/>
  <c r="K13" i="6"/>
  <c r="L13" i="6" s="1"/>
  <c r="L12" i="6" s="1"/>
  <c r="H13" i="6"/>
  <c r="G13" i="6"/>
  <c r="C13" i="6"/>
  <c r="E13" i="6" s="1"/>
  <c r="K12" i="6"/>
  <c r="G12" i="6"/>
  <c r="F12" i="6"/>
  <c r="D12" i="6"/>
  <c r="E12" i="6" s="1"/>
  <c r="C12" i="6"/>
  <c r="H11" i="6"/>
  <c r="G11" i="6"/>
  <c r="E11" i="6"/>
  <c r="C11" i="6"/>
  <c r="I11" i="6" s="1"/>
  <c r="I10" i="6"/>
  <c r="H10" i="6"/>
  <c r="F10" i="6"/>
  <c r="G10" i="6" s="1"/>
  <c r="E10" i="6"/>
  <c r="G9" i="6"/>
  <c r="F9" i="6"/>
  <c r="H9" i="6" s="1"/>
  <c r="E9" i="6"/>
  <c r="H12" i="6" l="1"/>
  <c r="H16" i="6"/>
  <c r="N16" i="6"/>
  <c r="N15" i="6" s="1"/>
  <c r="I17" i="6"/>
  <c r="E18" i="6"/>
  <c r="G18" i="6"/>
  <c r="I22" i="6" l="1"/>
  <c r="I21" i="6"/>
  <c r="B19" i="1" l="1"/>
  <c r="U40" i="3" l="1"/>
  <c r="I79" i="6" l="1"/>
  <c r="H79" i="6"/>
  <c r="G79" i="6"/>
  <c r="N78" i="6"/>
  <c r="N77" i="6" s="1"/>
  <c r="M78" i="6"/>
  <c r="L78" i="6"/>
  <c r="L77" i="6" s="1"/>
  <c r="H78" i="6"/>
  <c r="G78" i="6"/>
  <c r="E78" i="6"/>
  <c r="M77" i="6"/>
  <c r="K77" i="6"/>
  <c r="F77" i="6"/>
  <c r="I77" i="6" s="1"/>
  <c r="D77" i="6"/>
  <c r="C77" i="6"/>
  <c r="I76" i="6"/>
  <c r="H76" i="6"/>
  <c r="G76" i="6"/>
  <c r="N75" i="6"/>
  <c r="N74" i="6" s="1"/>
  <c r="M75" i="6"/>
  <c r="L75" i="6"/>
  <c r="L74" i="6" s="1"/>
  <c r="H75" i="6"/>
  <c r="G75" i="6"/>
  <c r="E75" i="6"/>
  <c r="M74" i="6"/>
  <c r="K74" i="6"/>
  <c r="F74" i="6"/>
  <c r="D74" i="6"/>
  <c r="H74" i="6" s="1"/>
  <c r="C74" i="6"/>
  <c r="F73" i="6"/>
  <c r="H73" i="6" s="1"/>
  <c r="N72" i="6"/>
  <c r="N71" i="6" s="1"/>
  <c r="M72" i="6"/>
  <c r="M71" i="6" s="1"/>
  <c r="L72" i="6"/>
  <c r="H72" i="6"/>
  <c r="G72" i="6"/>
  <c r="E72" i="6"/>
  <c r="L71" i="6"/>
  <c r="K71" i="6"/>
  <c r="F71" i="6"/>
  <c r="G71" i="6" s="1"/>
  <c r="D71" i="6"/>
  <c r="C71" i="6"/>
  <c r="E71" i="6" s="1"/>
  <c r="F70" i="6"/>
  <c r="H70" i="6" s="1"/>
  <c r="K69" i="6"/>
  <c r="M69" i="6" s="1"/>
  <c r="M68" i="6" s="1"/>
  <c r="H69" i="6"/>
  <c r="G69" i="6"/>
  <c r="E69" i="6"/>
  <c r="K68" i="6"/>
  <c r="F68" i="6"/>
  <c r="G68" i="6" s="1"/>
  <c r="D68" i="6"/>
  <c r="C68" i="6"/>
  <c r="E68" i="6" s="1"/>
  <c r="H67" i="6"/>
  <c r="G67" i="6"/>
  <c r="C67" i="6"/>
  <c r="I67" i="6" s="1"/>
  <c r="I66" i="6"/>
  <c r="H66" i="6"/>
  <c r="F66" i="6"/>
  <c r="G66" i="6" s="1"/>
  <c r="E66" i="6"/>
  <c r="I65" i="6"/>
  <c r="F65" i="6"/>
  <c r="H65" i="6" s="1"/>
  <c r="E65" i="6"/>
  <c r="I64" i="6"/>
  <c r="H64" i="6"/>
  <c r="G64" i="6"/>
  <c r="N63" i="6"/>
  <c r="M63" i="6"/>
  <c r="M62" i="6" s="1"/>
  <c r="L63" i="6"/>
  <c r="H63" i="6"/>
  <c r="G63" i="6"/>
  <c r="E63" i="6"/>
  <c r="N62" i="6"/>
  <c r="L62" i="6"/>
  <c r="K62" i="6"/>
  <c r="F62" i="6"/>
  <c r="D62" i="6"/>
  <c r="C62" i="6"/>
  <c r="F61" i="6"/>
  <c r="I61" i="6" s="1"/>
  <c r="N60" i="6"/>
  <c r="N59" i="6" s="1"/>
  <c r="M60" i="6"/>
  <c r="M59" i="6" s="1"/>
  <c r="L60" i="6"/>
  <c r="L59" i="6" s="1"/>
  <c r="H60" i="6"/>
  <c r="G60" i="6"/>
  <c r="E60" i="6"/>
  <c r="K59" i="6"/>
  <c r="F59" i="6"/>
  <c r="D59" i="6"/>
  <c r="E59" i="6" s="1"/>
  <c r="C59" i="6"/>
  <c r="F58" i="6"/>
  <c r="I58" i="6" s="1"/>
  <c r="N57" i="6"/>
  <c r="N56" i="6" s="1"/>
  <c r="M57" i="6"/>
  <c r="M56" i="6" s="1"/>
  <c r="L57" i="6"/>
  <c r="H57" i="6"/>
  <c r="G57" i="6"/>
  <c r="E57" i="6"/>
  <c r="L56" i="6"/>
  <c r="K56" i="6"/>
  <c r="F56" i="6"/>
  <c r="D56" i="6"/>
  <c r="C56" i="6"/>
  <c r="F55" i="6"/>
  <c r="I55" i="6" s="1"/>
  <c r="K54" i="6"/>
  <c r="N54" i="6" s="1"/>
  <c r="N53" i="6" s="1"/>
  <c r="H54" i="6"/>
  <c r="G54" i="6"/>
  <c r="E54" i="6"/>
  <c r="K53" i="6"/>
  <c r="F53" i="6"/>
  <c r="D53" i="6"/>
  <c r="H53" i="6" s="1"/>
  <c r="C53" i="6"/>
  <c r="H52" i="6"/>
  <c r="G52" i="6"/>
  <c r="C52" i="6"/>
  <c r="E52" i="6" s="1"/>
  <c r="I51" i="6"/>
  <c r="F51" i="6"/>
  <c r="H51" i="6" s="1"/>
  <c r="E51" i="6"/>
  <c r="I50" i="6"/>
  <c r="F50" i="6"/>
  <c r="H50" i="6" s="1"/>
  <c r="E50" i="6"/>
  <c r="I49" i="6"/>
  <c r="H49" i="6"/>
  <c r="G49" i="6"/>
  <c r="C49" i="6"/>
  <c r="N48" i="6"/>
  <c r="N47" i="6" s="1"/>
  <c r="M48" i="6"/>
  <c r="L48" i="6"/>
  <c r="L47" i="6" s="1"/>
  <c r="H48" i="6"/>
  <c r="G48" i="6"/>
  <c r="E48" i="6"/>
  <c r="M47" i="6"/>
  <c r="K47" i="6"/>
  <c r="F47" i="6"/>
  <c r="D47" i="6"/>
  <c r="C47" i="6"/>
  <c r="E47" i="6" s="1"/>
  <c r="F46" i="6"/>
  <c r="I46" i="6" s="1"/>
  <c r="N45" i="6"/>
  <c r="M45" i="6"/>
  <c r="L45" i="6"/>
  <c r="L44" i="6" s="1"/>
  <c r="H45" i="6"/>
  <c r="G45" i="6"/>
  <c r="E45" i="6"/>
  <c r="N44" i="6"/>
  <c r="M44" i="6"/>
  <c r="K44" i="6"/>
  <c r="F44" i="6"/>
  <c r="D44" i="6"/>
  <c r="H44" i="6" s="1"/>
  <c r="C44" i="6"/>
  <c r="F43" i="6"/>
  <c r="I43" i="6" s="1"/>
  <c r="C43" i="6"/>
  <c r="N42" i="6"/>
  <c r="N41" i="6" s="1"/>
  <c r="M42" i="6"/>
  <c r="M41" i="6" s="1"/>
  <c r="L42" i="6"/>
  <c r="L41" i="6" s="1"/>
  <c r="H42" i="6"/>
  <c r="G42" i="6"/>
  <c r="E42" i="6"/>
  <c r="K41" i="6"/>
  <c r="F41" i="6"/>
  <c r="D41" i="6"/>
  <c r="C41" i="6"/>
  <c r="F40" i="6"/>
  <c r="I40" i="6" s="1"/>
  <c r="C40" i="6"/>
  <c r="N39" i="6"/>
  <c r="N38" i="6" s="1"/>
  <c r="K39" i="6"/>
  <c r="M39" i="6" s="1"/>
  <c r="M38" i="6" s="1"/>
  <c r="H39" i="6"/>
  <c r="G39" i="6"/>
  <c r="E39" i="6"/>
  <c r="K38" i="6"/>
  <c r="F38" i="6"/>
  <c r="D38" i="6"/>
  <c r="C38" i="6"/>
  <c r="H37" i="6"/>
  <c r="G37" i="6"/>
  <c r="C37" i="6"/>
  <c r="I37" i="6" s="1"/>
  <c r="I36" i="6"/>
  <c r="F36" i="6"/>
  <c r="G36" i="6" s="1"/>
  <c r="E36" i="6"/>
  <c r="I35" i="6"/>
  <c r="F35" i="6"/>
  <c r="H35" i="6" s="1"/>
  <c r="E35" i="6"/>
  <c r="I34" i="6"/>
  <c r="H34" i="6"/>
  <c r="G34" i="6"/>
  <c r="N33" i="6"/>
  <c r="N32" i="6" s="1"/>
  <c r="M33" i="6"/>
  <c r="L33" i="6"/>
  <c r="L32" i="6" s="1"/>
  <c r="H33" i="6"/>
  <c r="G33" i="6"/>
  <c r="E33" i="6"/>
  <c r="M32" i="6"/>
  <c r="I32" i="6" s="1"/>
  <c r="F32" i="6"/>
  <c r="D32" i="6"/>
  <c r="H32" i="6" s="1"/>
  <c r="C32" i="6"/>
  <c r="F31" i="6"/>
  <c r="H31" i="6" s="1"/>
  <c r="N30" i="6"/>
  <c r="N29" i="6" s="1"/>
  <c r="M30" i="6"/>
  <c r="M29" i="6" s="1"/>
  <c r="L30" i="6"/>
  <c r="H30" i="6"/>
  <c r="G30" i="6"/>
  <c r="E30" i="6"/>
  <c r="L29" i="6"/>
  <c r="K29" i="6"/>
  <c r="F29" i="6"/>
  <c r="D29" i="6"/>
  <c r="C29" i="6"/>
  <c r="F28" i="6"/>
  <c r="H28" i="6" s="1"/>
  <c r="N27" i="6"/>
  <c r="N26" i="6" s="1"/>
  <c r="M27" i="6"/>
  <c r="M26" i="6" s="1"/>
  <c r="L27" i="6"/>
  <c r="L26" i="6" s="1"/>
  <c r="H27" i="6"/>
  <c r="G27" i="6"/>
  <c r="E27" i="6"/>
  <c r="K26" i="6"/>
  <c r="F26" i="6"/>
  <c r="G26" i="6" s="1"/>
  <c r="D26" i="6"/>
  <c r="C26" i="6"/>
  <c r="F25" i="6"/>
  <c r="H25" i="6" s="1"/>
  <c r="K24" i="6"/>
  <c r="M24" i="6" s="1"/>
  <c r="M23" i="6" s="1"/>
  <c r="I23" i="6" s="1"/>
  <c r="H24" i="6"/>
  <c r="G24" i="6"/>
  <c r="E24" i="6"/>
  <c r="F23" i="6"/>
  <c r="D23" i="6"/>
  <c r="C23" i="6"/>
  <c r="H22" i="6"/>
  <c r="G22" i="6"/>
  <c r="C22" i="6"/>
  <c r="F21" i="6"/>
  <c r="H21" i="6" s="1"/>
  <c r="E21" i="6"/>
  <c r="F7" i="6"/>
  <c r="H7" i="6" s="1"/>
  <c r="E7" i="6"/>
  <c r="H6" i="6"/>
  <c r="E6" i="6"/>
  <c r="L5" i="6"/>
  <c r="H5" i="6"/>
  <c r="G5" i="6"/>
  <c r="E5" i="6"/>
  <c r="I4" i="6"/>
  <c r="H4" i="6"/>
  <c r="G4" i="6"/>
  <c r="E4" i="6"/>
  <c r="H3" i="6"/>
  <c r="G3" i="6"/>
  <c r="E3" i="6"/>
  <c r="J2" i="6"/>
  <c r="J3" i="6" s="1"/>
  <c r="H2" i="6"/>
  <c r="E2" i="6"/>
  <c r="E23" i="6" l="1"/>
  <c r="G29" i="6"/>
  <c r="I38" i="6"/>
  <c r="G55" i="6"/>
  <c r="G51" i="6"/>
  <c r="H55" i="6"/>
  <c r="I62" i="6"/>
  <c r="K23" i="6"/>
  <c r="G23" i="6"/>
  <c r="E37" i="6"/>
  <c r="H38" i="6"/>
  <c r="G41" i="6"/>
  <c r="G43" i="6"/>
  <c r="I47" i="6"/>
  <c r="M54" i="6"/>
  <c r="M53" i="6" s="1"/>
  <c r="I53" i="6" s="1"/>
  <c r="G61" i="6"/>
  <c r="H71" i="6"/>
  <c r="H23" i="6"/>
  <c r="H29" i="6"/>
  <c r="E41" i="6"/>
  <c r="I44" i="6"/>
  <c r="G46" i="6"/>
  <c r="G47" i="6"/>
  <c r="G50" i="6"/>
  <c r="E53" i="6"/>
  <c r="E56" i="6"/>
  <c r="G58" i="6"/>
  <c r="I59" i="6"/>
  <c r="H61" i="6"/>
  <c r="E74" i="6"/>
  <c r="E77" i="6"/>
  <c r="I29" i="6"/>
  <c r="I41" i="6"/>
  <c r="G44" i="6"/>
  <c r="G53" i="6"/>
  <c r="I56" i="6"/>
  <c r="H58" i="6"/>
  <c r="I68" i="6"/>
  <c r="G74" i="6"/>
  <c r="G21" i="6"/>
  <c r="H26" i="6"/>
  <c r="G32" i="6"/>
  <c r="H36" i="6"/>
  <c r="G38" i="6"/>
  <c r="L39" i="6"/>
  <c r="L38" i="6" s="1"/>
  <c r="H40" i="6"/>
  <c r="E44" i="6"/>
  <c r="H47" i="6"/>
  <c r="L54" i="6"/>
  <c r="L53" i="6" s="1"/>
  <c r="E62" i="6"/>
  <c r="G65" i="6"/>
  <c r="E67" i="6"/>
  <c r="H68" i="6"/>
  <c r="G77" i="6"/>
  <c r="E22" i="6"/>
  <c r="N24" i="6"/>
  <c r="N23" i="6" s="1"/>
  <c r="I25" i="6"/>
  <c r="E26" i="6"/>
  <c r="I26" i="6"/>
  <c r="I28" i="6"/>
  <c r="E29" i="6"/>
  <c r="I31" i="6"/>
  <c r="E32" i="6"/>
  <c r="E38" i="6"/>
  <c r="G40" i="6"/>
  <c r="G56" i="6"/>
  <c r="G59" i="6"/>
  <c r="G62" i="6"/>
  <c r="N69" i="6"/>
  <c r="N68" i="6" s="1"/>
  <c r="I70" i="6"/>
  <c r="I71" i="6"/>
  <c r="I73" i="6"/>
  <c r="I74" i="6"/>
  <c r="H41" i="6"/>
  <c r="I52" i="6"/>
  <c r="H56" i="6"/>
  <c r="H59" i="6"/>
  <c r="H62" i="6"/>
  <c r="G7" i="6"/>
  <c r="L24" i="6"/>
  <c r="L23" i="6" s="1"/>
  <c r="G25" i="6"/>
  <c r="G28" i="6"/>
  <c r="G31" i="6"/>
  <c r="G35" i="6"/>
  <c r="H43" i="6"/>
  <c r="H46" i="6"/>
  <c r="L69" i="6"/>
  <c r="L68" i="6" s="1"/>
  <c r="G70" i="6"/>
  <c r="G73" i="6"/>
  <c r="H77" i="6"/>
  <c r="B22" i="2" l="1"/>
  <c r="B8" i="1"/>
  <c r="B7" i="1"/>
  <c r="B9" i="1" s="1"/>
  <c r="C4" i="1"/>
  <c r="C5" i="1"/>
  <c r="C3" i="1"/>
  <c r="C12" i="1"/>
  <c r="C13" i="1"/>
  <c r="C14" i="1"/>
  <c r="B16" i="1" l="1"/>
</calcChain>
</file>

<file path=xl/sharedStrings.xml><?xml version="1.0" encoding="utf-8"?>
<sst xmlns="http://schemas.openxmlformats.org/spreadsheetml/2006/main" count="366" uniqueCount="182">
  <si>
    <t>Initial Core Dimensions</t>
  </si>
  <si>
    <t>IODP Core Details</t>
  </si>
  <si>
    <t>Step</t>
  </si>
  <si>
    <t>Date</t>
  </si>
  <si>
    <t xml:space="preserve">Time </t>
  </si>
  <si>
    <t>Potentiometer reading</t>
  </si>
  <si>
    <t>P wave TT</t>
  </si>
  <si>
    <t>S1 wave TT</t>
  </si>
  <si>
    <t>S2 wave TT</t>
  </si>
  <si>
    <t>Permeability (sq m)</t>
  </si>
  <si>
    <t>Permeability (mD)</t>
  </si>
  <si>
    <t>Pressure Sensors</t>
  </si>
  <si>
    <t>Pump</t>
  </si>
  <si>
    <t>Gain</t>
  </si>
  <si>
    <t>Damping</t>
  </si>
  <si>
    <t>Waveform Trigger</t>
  </si>
  <si>
    <t>Porosity (calculated)</t>
  </si>
  <si>
    <t>Length (mm)</t>
  </si>
  <si>
    <t>Before (g)</t>
  </si>
  <si>
    <t>After (g)</t>
  </si>
  <si>
    <t>Net (g)</t>
  </si>
  <si>
    <t>Diameter (inch)</t>
  </si>
  <si>
    <t>Initial  Dry Weight of core</t>
  </si>
  <si>
    <t>Average length (m)</t>
  </si>
  <si>
    <t>Dia (m)</t>
  </si>
  <si>
    <t>Initial Volume (m3)</t>
  </si>
  <si>
    <t>Dry Weight (g)</t>
  </si>
  <si>
    <t>Liner</t>
  </si>
  <si>
    <t>Length (m)</t>
  </si>
  <si>
    <t>Constant Voltage across Axial Transducer (V)</t>
  </si>
  <si>
    <t>Constant Voltage across Radial Transducer (V)</t>
  </si>
  <si>
    <t>Constant Voltage across Pore Transducer (V)</t>
  </si>
  <si>
    <t>PRF (Hz)</t>
  </si>
  <si>
    <t>Energy</t>
  </si>
  <si>
    <t>Proportional Servo Gain  - Open</t>
  </si>
  <si>
    <t>Differential Servo Gain - Open</t>
  </si>
  <si>
    <t>Proportional Servo Gain - Closed</t>
  </si>
  <si>
    <t>Differential Servo Gain - Closed</t>
  </si>
  <si>
    <t>HPF</t>
  </si>
  <si>
    <t>LPF</t>
  </si>
  <si>
    <t>out</t>
  </si>
  <si>
    <t>Full BW</t>
  </si>
  <si>
    <t>Length (inch)</t>
  </si>
  <si>
    <t>Axial Pressure (V)</t>
  </si>
  <si>
    <t>Axial Pressure (psi)</t>
  </si>
  <si>
    <t>Radial Pressure (V)</t>
  </si>
  <si>
    <t>Radial Pressure (psi)</t>
  </si>
  <si>
    <t>Pore Pressure (V)</t>
  </si>
  <si>
    <t>Pore Pressure (psi)</t>
  </si>
  <si>
    <t>Initial Length (mm)</t>
  </si>
  <si>
    <t>Shortening (mm)</t>
  </si>
  <si>
    <t>Length of sample (mm)</t>
  </si>
  <si>
    <t xml:space="preserve">C.S.A (m2) </t>
  </si>
  <si>
    <t>Initial C.S.Area (m2)</t>
  </si>
  <si>
    <t>k test - Upstream Pressure (psi)</t>
  </si>
  <si>
    <t>k test - Downstream pressure (psi)</t>
  </si>
  <si>
    <t>k test - Upstream volume (ml)</t>
  </si>
  <si>
    <t>Downstream volume (ml)</t>
  </si>
  <si>
    <t>Potentiometer Voltage (V)</t>
  </si>
  <si>
    <t>P_1</t>
  </si>
  <si>
    <t>P_2</t>
  </si>
  <si>
    <t>length of sample</t>
  </si>
  <si>
    <t>P_3</t>
  </si>
  <si>
    <t>S_2_P</t>
  </si>
  <si>
    <t>S1_1</t>
  </si>
  <si>
    <t>S1_2</t>
  </si>
  <si>
    <t>S1_3</t>
  </si>
  <si>
    <t>P_2_S1</t>
  </si>
  <si>
    <t>S2_1</t>
  </si>
  <si>
    <t>S2_2</t>
  </si>
  <si>
    <t>S2_3</t>
  </si>
  <si>
    <t>P_2_S2</t>
  </si>
  <si>
    <t>Step description</t>
  </si>
  <si>
    <t>Axial Ramp</t>
  </si>
  <si>
    <t>K test time (s)</t>
  </si>
  <si>
    <t>Pore Pressure during test (V)</t>
  </si>
  <si>
    <t>Pore Pressure during test (psi)</t>
  </si>
  <si>
    <t xml:space="preserve"> Pore pressure after pulse (V)</t>
  </si>
  <si>
    <t>Change in Pore Pressure (V)</t>
  </si>
  <si>
    <t>B</t>
  </si>
  <si>
    <t xml:space="preserve"> Pore pressure after pulse (psi)</t>
  </si>
  <si>
    <t>Change in Pore Pressure (psi)</t>
  </si>
  <si>
    <t>Comments</t>
  </si>
  <si>
    <t>Y</t>
  </si>
  <si>
    <t>Pore fluid zeroed before step(Y/N)</t>
  </si>
  <si>
    <t>Time</t>
  </si>
  <si>
    <t>Axial Pressure after pulse (V)</t>
  </si>
  <si>
    <t>Axial Pressure after pulse (psi)</t>
  </si>
  <si>
    <t>Change in Axial Pressure (V)</t>
  </si>
  <si>
    <t>Radial Pressure after pulse (V)</t>
  </si>
  <si>
    <t>Radial Pressure after pulse (psi)</t>
  </si>
  <si>
    <t>Change in Radial Pressure (V)</t>
  </si>
  <si>
    <t>Pore pressure (psi)</t>
  </si>
  <si>
    <t>Change in Axial Pressure (psi)</t>
  </si>
  <si>
    <t>Change in radial pressure (psi)</t>
  </si>
  <si>
    <t>Injected fluid volume (ml)</t>
  </si>
  <si>
    <t>Step Description</t>
  </si>
  <si>
    <t>S3/S1 (=0.8)</t>
  </si>
  <si>
    <t>P/S3 (=0.5)</t>
  </si>
  <si>
    <t>Effective Stress (psi)</t>
  </si>
  <si>
    <t>Time (hrs)</t>
  </si>
  <si>
    <t>Cumulative Time (hrs)</t>
  </si>
  <si>
    <t>Delta P for flow</t>
  </si>
  <si>
    <t>Delta P/P</t>
  </si>
  <si>
    <t>k test - Downstream Pressure (psi)</t>
  </si>
  <si>
    <t>Measurements</t>
  </si>
  <si>
    <t>Notes</t>
  </si>
  <si>
    <t>Apply axial load</t>
  </si>
  <si>
    <t>Apply radial load</t>
  </si>
  <si>
    <t>sealing should be achieved at this pressure</t>
  </si>
  <si>
    <t>Raise Pore Pressure</t>
  </si>
  <si>
    <t>check for sealing - connection between pore and radial pressures</t>
  </si>
  <si>
    <t>k</t>
  </si>
  <si>
    <t>wait for flowrate to become constant to end step</t>
  </si>
  <si>
    <t>Back pressure of 125 psi</t>
  </si>
  <si>
    <t>Potentiometer, Vp, Vs</t>
  </si>
  <si>
    <t>Maintain constant effective stress, keep drains closed</t>
  </si>
  <si>
    <t>Achieve anisotropic stress state, ramp axial</t>
  </si>
  <si>
    <t>Permeability test ramp</t>
  </si>
  <si>
    <t>Make flow input/output pressure = pore pressure, then setup ramps</t>
  </si>
  <si>
    <t>Permeability test</t>
  </si>
  <si>
    <t>Initial Permeability test, Delta P/ P =0.5</t>
  </si>
  <si>
    <t>Unloading</t>
  </si>
  <si>
    <t>Pore pressure increased, reduce Delta P for k test</t>
  </si>
  <si>
    <t>Draining</t>
  </si>
  <si>
    <t>Make isotropic stress state for loading</t>
  </si>
  <si>
    <t>Attain isotropic stress state for loading</t>
  </si>
  <si>
    <t>Loading - Isotropic</t>
  </si>
  <si>
    <t>Axial and Radial Ramping</t>
  </si>
  <si>
    <t>Loading - Anisotropic</t>
  </si>
  <si>
    <t>Upstream Flowrate (ml/min)</t>
  </si>
  <si>
    <t>Intended Axial (psi)</t>
  </si>
  <si>
    <t>Axial During Test (V)</t>
  </si>
  <si>
    <t>Axial during test (psi)</t>
  </si>
  <si>
    <t>Axial during test (Pa)</t>
  </si>
  <si>
    <t>Intended Radial (psi)</t>
  </si>
  <si>
    <t>Radial during test (V)</t>
  </si>
  <si>
    <t>Radial During Test (psi)</t>
  </si>
  <si>
    <t>Radial During Test (Pa)</t>
  </si>
  <si>
    <t>Intended Pore (psi)</t>
  </si>
  <si>
    <t>Pore during test (psi)</t>
  </si>
  <si>
    <t>Pore during test (V)</t>
  </si>
  <si>
    <t>Pore during test (Pa)</t>
  </si>
  <si>
    <t>Effective Stress (Pa)</t>
  </si>
  <si>
    <t>Differential Stress (psi)</t>
  </si>
  <si>
    <t>Differential Stress (Pa)</t>
  </si>
  <si>
    <t>Upstream Pressure (psi)</t>
  </si>
  <si>
    <t>Upstream Pressure (Pa)</t>
  </si>
  <si>
    <t>Downstream Pressure (psi)</t>
  </si>
  <si>
    <t>Downstream Pressure (Pa)</t>
  </si>
  <si>
    <t>Upstream volume (ml)</t>
  </si>
  <si>
    <t>Upstream Volume (m3)</t>
  </si>
  <si>
    <t>Downstream Volume (m3)</t>
  </si>
  <si>
    <t>Time elapsed (s)</t>
  </si>
  <si>
    <t>Time elapsed (hh:mm:ss)</t>
  </si>
  <si>
    <t>viscosity (Pa.s)</t>
  </si>
  <si>
    <t>length of sample (mm)</t>
  </si>
  <si>
    <t>length of sampe (m)</t>
  </si>
  <si>
    <t>CSA (m2)</t>
  </si>
  <si>
    <t>k (m2)</t>
  </si>
  <si>
    <t>k (Darcy)</t>
  </si>
  <si>
    <t>Hole</t>
  </si>
  <si>
    <t>Expedition</t>
  </si>
  <si>
    <t>Depth</t>
  </si>
  <si>
    <t>Porosity</t>
  </si>
  <si>
    <t>kh</t>
  </si>
  <si>
    <t>kv</t>
  </si>
  <si>
    <t>Grain Size Distribution</t>
  </si>
  <si>
    <t>Weight of weighing flask (g)</t>
  </si>
  <si>
    <t>Wet Weight after experiment (g)</t>
  </si>
  <si>
    <t>Radial Ramp</t>
  </si>
  <si>
    <t>ZEROED</t>
  </si>
  <si>
    <t>y</t>
  </si>
  <si>
    <t>k test</t>
  </si>
  <si>
    <t>Flush core + B tests</t>
  </si>
  <si>
    <t>Attain desired effective stress for saturation + B tests</t>
  </si>
  <si>
    <t>Back Pressure saturation ramp + Btests</t>
  </si>
  <si>
    <t>Pore Ramp</t>
  </si>
  <si>
    <t>Flush core</t>
  </si>
  <si>
    <t>Effective Stress ramp</t>
  </si>
  <si>
    <t>Backpressure Ramp</t>
  </si>
  <si>
    <t>10.5 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</si>
</sst>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3" applyNumberFormat="0" applyFill="0" applyAlignment="0" applyProtection="0"/>
  </cellStyleXfs>
  <cellXfs count="4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1" fillId="0" borderId="3" xfId="1" applyAlignment="1">
      <alignment horizontal="center"/>
    </xf>
    <xf numFmtId="0" fontId="0" fillId="0" borderId="0" xfId="0" applyBorder="1"/>
    <xf numFmtId="0" fontId="0" fillId="4" borderId="0" xfId="0" applyFill="1"/>
    <xf numFmtId="0" fontId="0" fillId="5" borderId="0" xfId="0" applyFill="1" applyBorder="1"/>
    <xf numFmtId="0" fontId="0" fillId="5" borderId="0" xfId="0" applyFill="1"/>
    <xf numFmtId="0" fontId="0" fillId="4" borderId="0" xfId="0" applyFill="1" applyBorder="1"/>
    <xf numFmtId="0" fontId="0" fillId="0" borderId="4" xfId="0" applyBorder="1"/>
    <xf numFmtId="0" fontId="0" fillId="0" borderId="4" xfId="0" applyFill="1" applyBorder="1"/>
    <xf numFmtId="2" fontId="0" fillId="5" borderId="0" xfId="0" applyNumberFormat="1" applyFill="1" applyBorder="1"/>
    <xf numFmtId="0" fontId="0" fillId="2" borderId="0" xfId="0" applyFill="1" applyBorder="1"/>
    <xf numFmtId="0" fontId="0" fillId="6" borderId="0" xfId="0" applyFill="1"/>
    <xf numFmtId="0" fontId="0" fillId="0" borderId="1" xfId="0" applyFill="1" applyBorder="1"/>
    <xf numFmtId="21" fontId="0" fillId="0" borderId="0" xfId="0" applyNumberFormat="1"/>
    <xf numFmtId="0" fontId="0" fillId="0" borderId="1" xfId="0" applyBorder="1" applyAlignment="1">
      <alignment horizontal="center"/>
    </xf>
    <xf numFmtId="0" fontId="0" fillId="0" borderId="5" xfId="0" applyBorder="1"/>
    <xf numFmtId="0" fontId="0" fillId="3" borderId="0" xfId="0" applyFill="1" applyBorder="1"/>
    <xf numFmtId="21" fontId="0" fillId="0" borderId="4" xfId="0" applyNumberFormat="1" applyBorder="1"/>
    <xf numFmtId="0" fontId="0" fillId="0" borderId="6" xfId="0" applyBorder="1"/>
    <xf numFmtId="0" fontId="0" fillId="5" borderId="4" xfId="0" applyFill="1" applyBorder="1"/>
    <xf numFmtId="0" fontId="1" fillId="0" borderId="7" xfId="1" applyFont="1" applyBorder="1" applyAlignment="1">
      <alignment horizontal="center"/>
    </xf>
    <xf numFmtId="0" fontId="2" fillId="0" borderId="1" xfId="0" applyFont="1" applyBorder="1"/>
    <xf numFmtId="0" fontId="2" fillId="0" borderId="5" xfId="0" applyFont="1" applyBorder="1"/>
    <xf numFmtId="0" fontId="2" fillId="5" borderId="1" xfId="0" applyFont="1" applyFill="1" applyBorder="1"/>
    <xf numFmtId="0" fontId="2" fillId="5" borderId="5" xfId="0" applyFont="1" applyFill="1" applyBorder="1"/>
    <xf numFmtId="0" fontId="2" fillId="4" borderId="1" xfId="0" applyFont="1" applyFill="1" applyBorder="1"/>
    <xf numFmtId="0" fontId="0" fillId="0" borderId="0" xfId="0" applyAlignment="1">
      <alignment horizontal="center"/>
    </xf>
    <xf numFmtId="16" fontId="0" fillId="0" borderId="4" xfId="0" applyNumberFormat="1" applyBorder="1"/>
    <xf numFmtId="20" fontId="0" fillId="0" borderId="4" xfId="0" applyNumberFormat="1" applyBorder="1"/>
    <xf numFmtId="11" fontId="0" fillId="0" borderId="4" xfId="0" applyNumberFormat="1" applyBorder="1"/>
    <xf numFmtId="16" fontId="0" fillId="3" borderId="0" xfId="0" applyNumberFormat="1" applyFill="1"/>
    <xf numFmtId="0" fontId="0" fillId="3" borderId="1" xfId="0" applyFill="1" applyBorder="1"/>
    <xf numFmtId="0" fontId="0" fillId="3" borderId="2" xfId="0" applyFill="1" applyBorder="1"/>
    <xf numFmtId="20" fontId="0" fillId="3" borderId="0" xfId="0" applyNumberFormat="1" applyFill="1"/>
    <xf numFmtId="0" fontId="0" fillId="7" borderId="4" xfId="0" applyFill="1" applyBorder="1"/>
    <xf numFmtId="0" fontId="0" fillId="7" borderId="0" xfId="0" applyFill="1"/>
    <xf numFmtId="0" fontId="0" fillId="8" borderId="0" xfId="0" applyFill="1"/>
    <xf numFmtId="11" fontId="0" fillId="0" borderId="0" xfId="0" applyNumberFormat="1"/>
    <xf numFmtId="0" fontId="3" fillId="3" borderId="0" xfId="0" applyFont="1" applyFill="1"/>
    <xf numFmtId="0" fontId="3" fillId="3" borderId="1" xfId="0" applyFont="1" applyFill="1" applyBorder="1"/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topLeftCell="C1" zoomScale="70" zoomScaleNormal="70" workbookViewId="0">
      <selection activeCell="O8" sqref="O8"/>
    </sheetView>
  </sheetViews>
  <sheetFormatPr defaultRowHeight="15" x14ac:dyDescent="0.25"/>
  <cols>
    <col min="1" max="1" width="7.25" bestFit="1" customWidth="1"/>
    <col min="2" max="2" width="53.875" bestFit="1" customWidth="1"/>
    <col min="3" max="3" width="24.5" bestFit="1" customWidth="1"/>
    <col min="4" max="4" width="26.125" bestFit="1" customWidth="1"/>
    <col min="5" max="5" width="16.125" bestFit="1" customWidth="1"/>
    <col min="6" max="6" width="24.25" bestFit="1" customWidth="1"/>
    <col min="7" max="7" width="15.125" bestFit="1" customWidth="1"/>
    <col min="8" max="8" width="26.125" bestFit="1" customWidth="1"/>
    <col min="9" max="9" width="13" style="27" bestFit="1" customWidth="1"/>
    <col min="10" max="10" width="27" bestFit="1" customWidth="1"/>
    <col min="11" max="11" width="19.5" bestFit="1" customWidth="1"/>
    <col min="12" max="12" width="12.875" bestFit="1" customWidth="1"/>
    <col min="13" max="13" width="39.125" bestFit="1" customWidth="1"/>
    <col min="14" max="14" width="42.375" bestFit="1" customWidth="1"/>
    <col min="15" max="15" width="20.75" bestFit="1" customWidth="1"/>
    <col min="16" max="16" width="60.75" bestFit="1" customWidth="1"/>
  </cols>
  <sheetData>
    <row r="1" spans="1:16" ht="18" thickBot="1" x14ac:dyDescent="0.35">
      <c r="A1" s="7" t="s">
        <v>2</v>
      </c>
      <c r="B1" s="7" t="s">
        <v>96</v>
      </c>
      <c r="C1" s="7" t="s">
        <v>44</v>
      </c>
      <c r="D1" s="7" t="s">
        <v>46</v>
      </c>
      <c r="E1" s="7" t="s">
        <v>97</v>
      </c>
      <c r="F1" s="7" t="s">
        <v>48</v>
      </c>
      <c r="G1" s="7" t="s">
        <v>98</v>
      </c>
      <c r="H1" s="7" t="s">
        <v>99</v>
      </c>
      <c r="I1" s="26" t="s">
        <v>100</v>
      </c>
      <c r="J1" s="7" t="s">
        <v>101</v>
      </c>
      <c r="K1" s="7" t="s">
        <v>102</v>
      </c>
      <c r="L1" s="7" t="s">
        <v>103</v>
      </c>
      <c r="M1" s="7" t="s">
        <v>54</v>
      </c>
      <c r="N1" s="7" t="s">
        <v>104</v>
      </c>
      <c r="O1" s="7" t="s">
        <v>105</v>
      </c>
      <c r="P1" s="7" t="s">
        <v>106</v>
      </c>
    </row>
    <row r="2" spans="1:16" ht="15.75" thickTop="1" x14ac:dyDescent="0.25">
      <c r="A2">
        <v>1.1000000000000001</v>
      </c>
      <c r="B2" t="s">
        <v>107</v>
      </c>
      <c r="C2">
        <v>75</v>
      </c>
      <c r="D2">
        <v>0</v>
      </c>
      <c r="E2">
        <f>D2/C2</f>
        <v>0</v>
      </c>
      <c r="F2">
        <v>0</v>
      </c>
      <c r="H2">
        <f t="shared" ref="H2:H7" si="0">D2-F2</f>
        <v>0</v>
      </c>
      <c r="I2" s="27">
        <v>24</v>
      </c>
      <c r="J2">
        <f>I2</f>
        <v>24</v>
      </c>
    </row>
    <row r="3" spans="1:16" x14ac:dyDescent="0.25">
      <c r="A3">
        <v>1.2</v>
      </c>
      <c r="B3" t="s">
        <v>108</v>
      </c>
      <c r="C3">
        <v>75</v>
      </c>
      <c r="D3">
        <v>75</v>
      </c>
      <c r="E3">
        <f t="shared" ref="E3:E8" si="1">D3/C3</f>
        <v>1</v>
      </c>
      <c r="F3">
        <v>0</v>
      </c>
      <c r="G3">
        <f>F3/D3</f>
        <v>0</v>
      </c>
      <c r="H3">
        <f t="shared" si="0"/>
        <v>75</v>
      </c>
      <c r="I3" s="27">
        <v>24</v>
      </c>
      <c r="J3">
        <f>I3+J2</f>
        <v>48</v>
      </c>
      <c r="P3" t="s">
        <v>109</v>
      </c>
    </row>
    <row r="4" spans="1:16" s="13" customFormat="1" x14ac:dyDescent="0.25">
      <c r="A4" s="40">
        <v>1.3</v>
      </c>
      <c r="B4" s="13" t="s">
        <v>110</v>
      </c>
      <c r="C4" s="13">
        <v>75</v>
      </c>
      <c r="D4" s="13">
        <v>75</v>
      </c>
      <c r="E4" s="13">
        <f t="shared" si="1"/>
        <v>1</v>
      </c>
      <c r="F4" s="13">
        <v>25</v>
      </c>
      <c r="G4" s="13">
        <f>F4/D4</f>
        <v>0.33333333333333331</v>
      </c>
      <c r="H4" s="13">
        <f t="shared" si="0"/>
        <v>50</v>
      </c>
      <c r="I4" s="28">
        <f>(F4-F3)/25</f>
        <v>1</v>
      </c>
      <c r="J4">
        <f t="shared" ref="J4:J67" si="2">I4+J3</f>
        <v>49</v>
      </c>
      <c r="P4" s="13" t="s">
        <v>111</v>
      </c>
    </row>
    <row r="5" spans="1:16" s="11" customFormat="1" x14ac:dyDescent="0.25">
      <c r="A5" s="11">
        <v>2.1</v>
      </c>
      <c r="B5" s="11" t="s">
        <v>174</v>
      </c>
      <c r="C5" s="11">
        <v>75</v>
      </c>
      <c r="D5" s="11">
        <v>75</v>
      </c>
      <c r="E5" s="11">
        <f t="shared" si="1"/>
        <v>1</v>
      </c>
      <c r="F5" s="11">
        <v>25</v>
      </c>
      <c r="G5" s="11">
        <f>F5/D5</f>
        <v>0.33333333333333331</v>
      </c>
      <c r="H5" s="11">
        <f t="shared" si="0"/>
        <v>50</v>
      </c>
      <c r="I5" s="29">
        <v>3</v>
      </c>
      <c r="J5">
        <f t="shared" si="2"/>
        <v>52</v>
      </c>
      <c r="K5" s="11">
        <v>15</v>
      </c>
      <c r="L5" s="11">
        <f>K5/F5</f>
        <v>0.6</v>
      </c>
      <c r="M5" s="11">
        <v>32.5</v>
      </c>
      <c r="N5" s="11">
        <v>17.5</v>
      </c>
      <c r="O5" s="11" t="s">
        <v>112</v>
      </c>
      <c r="P5" s="11" t="s">
        <v>113</v>
      </c>
    </row>
    <row r="6" spans="1:16" x14ac:dyDescent="0.25">
      <c r="A6" s="41">
        <v>2.2000000000000002</v>
      </c>
      <c r="B6" t="s">
        <v>175</v>
      </c>
      <c r="C6">
        <v>150</v>
      </c>
      <c r="D6">
        <v>150</v>
      </c>
      <c r="E6">
        <f t="shared" si="1"/>
        <v>1</v>
      </c>
      <c r="F6">
        <v>25</v>
      </c>
      <c r="H6">
        <f t="shared" si="0"/>
        <v>125</v>
      </c>
      <c r="I6" s="27">
        <v>3</v>
      </c>
      <c r="J6">
        <f t="shared" si="2"/>
        <v>55</v>
      </c>
      <c r="P6" t="s">
        <v>114</v>
      </c>
    </row>
    <row r="7" spans="1:16" x14ac:dyDescent="0.25">
      <c r="A7" s="42">
        <v>2.2999999999999998</v>
      </c>
      <c r="B7" t="s">
        <v>176</v>
      </c>
      <c r="C7">
        <v>250</v>
      </c>
      <c r="D7">
        <v>250</v>
      </c>
      <c r="E7">
        <f t="shared" si="1"/>
        <v>1</v>
      </c>
      <c r="F7">
        <f>0.5*C7</f>
        <v>125</v>
      </c>
      <c r="G7">
        <f>F7/D7</f>
        <v>0.5</v>
      </c>
      <c r="H7">
        <f t="shared" si="0"/>
        <v>125</v>
      </c>
      <c r="I7" s="27">
        <v>4</v>
      </c>
      <c r="J7">
        <f t="shared" si="2"/>
        <v>59</v>
      </c>
      <c r="O7" t="s">
        <v>115</v>
      </c>
      <c r="P7" t="s">
        <v>116</v>
      </c>
    </row>
    <row r="8" spans="1:16" s="25" customFormat="1" x14ac:dyDescent="0.25">
      <c r="A8" s="25">
        <v>2.4</v>
      </c>
      <c r="B8" s="25" t="s">
        <v>173</v>
      </c>
      <c r="C8" s="25">
        <v>250</v>
      </c>
      <c r="D8" s="25">
        <v>250</v>
      </c>
      <c r="E8" s="25">
        <f t="shared" si="1"/>
        <v>1</v>
      </c>
      <c r="F8" s="25">
        <v>125</v>
      </c>
      <c r="G8" s="25">
        <v>0.5</v>
      </c>
      <c r="H8" s="25">
        <v>125</v>
      </c>
      <c r="I8" s="30">
        <v>8</v>
      </c>
      <c r="J8">
        <f t="shared" si="2"/>
        <v>67</v>
      </c>
      <c r="K8" s="25">
        <v>15</v>
      </c>
      <c r="M8" s="25">
        <v>132.5</v>
      </c>
      <c r="N8" s="25">
        <v>117.5</v>
      </c>
    </row>
    <row r="9" spans="1:16" x14ac:dyDescent="0.25">
      <c r="A9">
        <v>3.1</v>
      </c>
      <c r="B9" t="s">
        <v>125</v>
      </c>
      <c r="C9">
        <v>312.5</v>
      </c>
      <c r="D9">
        <v>312.5</v>
      </c>
      <c r="E9">
        <f>D9/C9</f>
        <v>1</v>
      </c>
      <c r="F9">
        <f>0.5*C9</f>
        <v>156.25</v>
      </c>
      <c r="G9">
        <f>F9/D9</f>
        <v>0.5</v>
      </c>
      <c r="H9">
        <f>D9-F9</f>
        <v>156.25</v>
      </c>
      <c r="I9" s="27">
        <f>(C9-C7)/25</f>
        <v>2.5</v>
      </c>
      <c r="J9">
        <f t="shared" si="2"/>
        <v>69.5</v>
      </c>
      <c r="O9" t="s">
        <v>115</v>
      </c>
      <c r="P9" t="s">
        <v>126</v>
      </c>
    </row>
    <row r="10" spans="1:16" x14ac:dyDescent="0.25">
      <c r="A10">
        <v>3.2</v>
      </c>
      <c r="B10" t="s">
        <v>127</v>
      </c>
      <c r="C10">
        <v>750</v>
      </c>
      <c r="D10">
        <v>750</v>
      </c>
      <c r="E10">
        <f>D10/C10</f>
        <v>1</v>
      </c>
      <c r="F10">
        <f>D10*0.5</f>
        <v>375</v>
      </c>
      <c r="G10">
        <f>F10/D10</f>
        <v>0.5</v>
      </c>
      <c r="H10">
        <f>D10-F10</f>
        <v>375</v>
      </c>
      <c r="I10" s="27">
        <f>(C10-C9)/25</f>
        <v>17.5</v>
      </c>
      <c r="J10">
        <f t="shared" si="2"/>
        <v>87</v>
      </c>
      <c r="O10" t="s">
        <v>115</v>
      </c>
      <c r="P10" t="s">
        <v>128</v>
      </c>
    </row>
    <row r="11" spans="1:16" x14ac:dyDescent="0.25">
      <c r="A11">
        <v>3.3</v>
      </c>
      <c r="B11" t="s">
        <v>129</v>
      </c>
      <c r="C11">
        <f>D11/0.8</f>
        <v>937.5</v>
      </c>
      <c r="D11">
        <v>750</v>
      </c>
      <c r="E11">
        <f>D11/C11</f>
        <v>0.8</v>
      </c>
      <c r="F11">
        <v>375</v>
      </c>
      <c r="G11">
        <f>F11/D11</f>
        <v>0.5</v>
      </c>
      <c r="H11">
        <f>D11-F11</f>
        <v>375</v>
      </c>
      <c r="I11" s="27">
        <f>(C11-C10)/25</f>
        <v>7.5</v>
      </c>
      <c r="J11">
        <f t="shared" si="2"/>
        <v>94.5</v>
      </c>
      <c r="O11" t="s">
        <v>115</v>
      </c>
      <c r="P11" t="s">
        <v>117</v>
      </c>
    </row>
    <row r="12" spans="1:16" s="9" customFormat="1" x14ac:dyDescent="0.25">
      <c r="A12" s="9">
        <v>3.4</v>
      </c>
      <c r="B12" s="9" t="s">
        <v>118</v>
      </c>
      <c r="C12" s="9">
        <f>C13</f>
        <v>937.5</v>
      </c>
      <c r="D12" s="9">
        <f>D13</f>
        <v>750</v>
      </c>
      <c r="E12" s="9">
        <f t="shared" ref="E12:E13" si="3">D12/C12</f>
        <v>0.8</v>
      </c>
      <c r="F12" s="9">
        <f>F13</f>
        <v>375</v>
      </c>
      <c r="G12" s="9">
        <f t="shared" ref="G12:G20" si="4">F12/D12</f>
        <v>0.5</v>
      </c>
      <c r="H12" s="12">
        <f t="shared" ref="H12:H16" si="5">D12-F12</f>
        <v>375</v>
      </c>
      <c r="I12" s="31">
        <f>(M12-F12)/25</f>
        <v>1.5</v>
      </c>
      <c r="J12">
        <f t="shared" si="2"/>
        <v>96</v>
      </c>
      <c r="K12" s="9">
        <f>K13</f>
        <v>75</v>
      </c>
      <c r="L12" s="9">
        <f>L13</f>
        <v>0.2</v>
      </c>
      <c r="M12" s="9">
        <f>M13</f>
        <v>412.5</v>
      </c>
      <c r="N12" s="9">
        <f>N13</f>
        <v>337.5</v>
      </c>
      <c r="P12" s="9" t="s">
        <v>119</v>
      </c>
    </row>
    <row r="13" spans="1:16" s="10" customFormat="1" x14ac:dyDescent="0.25">
      <c r="A13" s="10">
        <v>3.5</v>
      </c>
      <c r="B13" s="10" t="s">
        <v>120</v>
      </c>
      <c r="C13" s="10">
        <f>D13/0.8</f>
        <v>937.5</v>
      </c>
      <c r="D13" s="10">
        <v>750</v>
      </c>
      <c r="E13" s="10">
        <f t="shared" si="3"/>
        <v>0.8</v>
      </c>
      <c r="F13" s="10">
        <v>375</v>
      </c>
      <c r="G13" s="11">
        <f t="shared" si="4"/>
        <v>0.5</v>
      </c>
      <c r="H13" s="10">
        <f t="shared" si="5"/>
        <v>375</v>
      </c>
      <c r="I13" s="29">
        <v>8</v>
      </c>
      <c r="J13">
        <f t="shared" si="2"/>
        <v>104</v>
      </c>
      <c r="K13" s="11">
        <f>0.2*F13</f>
        <v>75</v>
      </c>
      <c r="L13" s="11">
        <f>K13/F13</f>
        <v>0.2</v>
      </c>
      <c r="M13" s="10">
        <f>F13+K13/2</f>
        <v>412.5</v>
      </c>
      <c r="N13" s="10">
        <f>F13-K13/2</f>
        <v>337.5</v>
      </c>
      <c r="O13" s="10" t="s">
        <v>112</v>
      </c>
      <c r="P13" s="10" t="s">
        <v>121</v>
      </c>
    </row>
    <row r="14" spans="1:16" x14ac:dyDescent="0.25">
      <c r="A14">
        <v>3.6</v>
      </c>
      <c r="B14" t="s">
        <v>122</v>
      </c>
      <c r="C14">
        <v>937.5</v>
      </c>
      <c r="D14">
        <v>750</v>
      </c>
      <c r="E14">
        <v>0.8</v>
      </c>
      <c r="F14">
        <v>525</v>
      </c>
      <c r="G14">
        <f t="shared" si="4"/>
        <v>0.7</v>
      </c>
      <c r="H14">
        <f t="shared" si="5"/>
        <v>225</v>
      </c>
      <c r="I14" s="27">
        <f>(F14-F13)/25</f>
        <v>6</v>
      </c>
      <c r="J14">
        <f t="shared" si="2"/>
        <v>110</v>
      </c>
      <c r="O14" t="s">
        <v>115</v>
      </c>
    </row>
    <row r="15" spans="1:16" s="9" customFormat="1" x14ac:dyDescent="0.25">
      <c r="A15" s="9">
        <v>3.7</v>
      </c>
      <c r="B15" s="9" t="s">
        <v>118</v>
      </c>
      <c r="C15" s="9">
        <f>C16</f>
        <v>937.5</v>
      </c>
      <c r="D15" s="9">
        <f>D16</f>
        <v>750</v>
      </c>
      <c r="E15" s="9">
        <f t="shared" ref="E15:E16" si="6">D15/C15</f>
        <v>0.8</v>
      </c>
      <c r="F15" s="9">
        <f>F16</f>
        <v>525</v>
      </c>
      <c r="G15" s="9">
        <f t="shared" si="4"/>
        <v>0.7</v>
      </c>
      <c r="H15" s="12">
        <f t="shared" si="5"/>
        <v>225</v>
      </c>
      <c r="I15" s="31">
        <f>(M15-F15)/25</f>
        <v>1.5</v>
      </c>
      <c r="J15">
        <f t="shared" si="2"/>
        <v>111.5</v>
      </c>
      <c r="K15" s="9">
        <f>K16</f>
        <v>75</v>
      </c>
      <c r="L15" s="9">
        <f>L16</f>
        <v>0.14285714285714285</v>
      </c>
      <c r="M15" s="9">
        <f>M16</f>
        <v>562.5</v>
      </c>
      <c r="N15" s="9">
        <f>N16</f>
        <v>487.5</v>
      </c>
      <c r="P15" s="9" t="s">
        <v>119</v>
      </c>
    </row>
    <row r="16" spans="1:16" s="10" customFormat="1" x14ac:dyDescent="0.25">
      <c r="A16" s="10">
        <v>3.8</v>
      </c>
      <c r="B16" s="10" t="s">
        <v>120</v>
      </c>
      <c r="C16" s="10">
        <f>D16/0.8</f>
        <v>937.5</v>
      </c>
      <c r="D16" s="10">
        <v>750</v>
      </c>
      <c r="E16" s="10">
        <f t="shared" si="6"/>
        <v>0.8</v>
      </c>
      <c r="F16" s="10">
        <f>0.7*D16</f>
        <v>525</v>
      </c>
      <c r="G16" s="11">
        <f t="shared" si="4"/>
        <v>0.7</v>
      </c>
      <c r="H16" s="10">
        <f t="shared" si="5"/>
        <v>225</v>
      </c>
      <c r="I16" s="29">
        <v>8</v>
      </c>
      <c r="J16">
        <f t="shared" si="2"/>
        <v>119.5</v>
      </c>
      <c r="K16" s="11">
        <v>75</v>
      </c>
      <c r="L16" s="11">
        <f>K16/F16</f>
        <v>0.14285714285714285</v>
      </c>
      <c r="M16" s="10">
        <f>F16+K16/2</f>
        <v>562.5</v>
      </c>
      <c r="N16" s="10">
        <f>F16-K16/2</f>
        <v>487.5</v>
      </c>
      <c r="O16" s="10" t="s">
        <v>112</v>
      </c>
      <c r="P16" s="11" t="s">
        <v>123</v>
      </c>
    </row>
    <row r="17" spans="1:16" x14ac:dyDescent="0.25">
      <c r="A17">
        <v>3.9</v>
      </c>
      <c r="B17" t="s">
        <v>122</v>
      </c>
      <c r="C17">
        <v>937.5</v>
      </c>
      <c r="D17">
        <v>750</v>
      </c>
      <c r="E17">
        <v>0.8</v>
      </c>
      <c r="F17">
        <f>0.8*D17</f>
        <v>600</v>
      </c>
      <c r="G17">
        <f t="shared" si="4"/>
        <v>0.8</v>
      </c>
      <c r="H17">
        <f>D17-F17</f>
        <v>150</v>
      </c>
      <c r="I17" s="27">
        <f>(F17-F16)/25</f>
        <v>3</v>
      </c>
      <c r="J17">
        <f t="shared" si="2"/>
        <v>122.5</v>
      </c>
      <c r="O17" t="s">
        <v>115</v>
      </c>
    </row>
    <row r="18" spans="1:16" s="9" customFormat="1" x14ac:dyDescent="0.25">
      <c r="A18" s="9">
        <v>3.1</v>
      </c>
      <c r="B18" s="9" t="s">
        <v>118</v>
      </c>
      <c r="C18" s="9">
        <f>C19</f>
        <v>937.5</v>
      </c>
      <c r="D18" s="9">
        <f>D19</f>
        <v>750</v>
      </c>
      <c r="E18" s="9">
        <f t="shared" ref="E18:E19" si="7">D18/C18</f>
        <v>0.8</v>
      </c>
      <c r="F18" s="9">
        <v>600</v>
      </c>
      <c r="G18" s="9">
        <f t="shared" si="4"/>
        <v>0.8</v>
      </c>
      <c r="H18" s="12">
        <f t="shared" ref="H18:H20" si="8">D18-F18</f>
        <v>150</v>
      </c>
      <c r="I18" s="31">
        <f>(M18-F18)/25</f>
        <v>1.5</v>
      </c>
      <c r="J18">
        <f t="shared" si="2"/>
        <v>124</v>
      </c>
      <c r="K18" s="9">
        <f>K19</f>
        <v>75</v>
      </c>
      <c r="L18" s="9">
        <f>L19</f>
        <v>0.125</v>
      </c>
      <c r="M18" s="9">
        <f>M19</f>
        <v>637.5</v>
      </c>
      <c r="N18" s="9">
        <f>N19</f>
        <v>562.5</v>
      </c>
      <c r="P18" s="9" t="s">
        <v>119</v>
      </c>
    </row>
    <row r="19" spans="1:16" s="10" customFormat="1" x14ac:dyDescent="0.25">
      <c r="A19" s="10">
        <v>3.11</v>
      </c>
      <c r="B19" s="10" t="s">
        <v>120</v>
      </c>
      <c r="C19" s="10">
        <f>D19/0.8</f>
        <v>937.5</v>
      </c>
      <c r="D19" s="10">
        <v>750</v>
      </c>
      <c r="E19" s="10">
        <f t="shared" si="7"/>
        <v>0.8</v>
      </c>
      <c r="F19" s="10">
        <v>600</v>
      </c>
      <c r="G19" s="11">
        <f t="shared" si="4"/>
        <v>0.8</v>
      </c>
      <c r="H19" s="10">
        <f t="shared" si="8"/>
        <v>150</v>
      </c>
      <c r="I19" s="29">
        <v>8</v>
      </c>
      <c r="J19">
        <f t="shared" si="2"/>
        <v>132</v>
      </c>
      <c r="K19" s="11">
        <v>75</v>
      </c>
      <c r="L19" s="11">
        <f>K19/F19</f>
        <v>0.125</v>
      </c>
      <c r="M19" s="10">
        <f>F19+K19/2</f>
        <v>637.5</v>
      </c>
      <c r="N19" s="10">
        <f>F19-K19/2</f>
        <v>562.5</v>
      </c>
      <c r="O19" s="10" t="s">
        <v>112</v>
      </c>
      <c r="P19" s="11" t="s">
        <v>123</v>
      </c>
    </row>
    <row r="20" spans="1:16" s="13" customFormat="1" x14ac:dyDescent="0.25">
      <c r="A20" s="13">
        <v>3.12</v>
      </c>
      <c r="B20" s="13" t="s">
        <v>124</v>
      </c>
      <c r="C20" s="13">
        <v>937.5</v>
      </c>
      <c r="D20" s="13">
        <v>750</v>
      </c>
      <c r="F20" s="13">
        <v>375</v>
      </c>
      <c r="G20" s="13">
        <f t="shared" si="4"/>
        <v>0.5</v>
      </c>
      <c r="H20" s="13">
        <f t="shared" si="8"/>
        <v>375</v>
      </c>
      <c r="I20" s="28">
        <f>(F19-F20)/25</f>
        <v>9</v>
      </c>
      <c r="J20">
        <f t="shared" si="2"/>
        <v>141</v>
      </c>
      <c r="O20" t="s">
        <v>115</v>
      </c>
    </row>
    <row r="21" spans="1:16" x14ac:dyDescent="0.25">
      <c r="A21">
        <v>4.2</v>
      </c>
      <c r="B21" t="s">
        <v>125</v>
      </c>
      <c r="C21">
        <v>1500</v>
      </c>
      <c r="D21">
        <v>1500</v>
      </c>
      <c r="E21">
        <f>D21/C21</f>
        <v>1</v>
      </c>
      <c r="F21">
        <f>0.5*C21</f>
        <v>750</v>
      </c>
      <c r="G21">
        <f>F21/D21</f>
        <v>0.5</v>
      </c>
      <c r="H21">
        <f t="shared" ref="H21:H22" si="9">D21-F21</f>
        <v>750</v>
      </c>
      <c r="I21" s="27">
        <f>(D21-D7)/25</f>
        <v>50</v>
      </c>
      <c r="J21">
        <f t="shared" si="2"/>
        <v>191</v>
      </c>
      <c r="O21" t="s">
        <v>115</v>
      </c>
      <c r="P21" t="s">
        <v>126</v>
      </c>
    </row>
    <row r="22" spans="1:16" x14ac:dyDescent="0.25">
      <c r="A22">
        <v>4.3</v>
      </c>
      <c r="B22" t="s">
        <v>129</v>
      </c>
      <c r="C22">
        <f>1500/0.8</f>
        <v>1875</v>
      </c>
      <c r="D22">
        <v>1500</v>
      </c>
      <c r="E22">
        <f>D22/C22</f>
        <v>0.8</v>
      </c>
      <c r="F22">
        <v>750</v>
      </c>
      <c r="G22">
        <f>F22/D22</f>
        <v>0.5</v>
      </c>
      <c r="H22">
        <f t="shared" si="9"/>
        <v>750</v>
      </c>
      <c r="I22" s="27">
        <f>(C22-C21)/25</f>
        <v>15</v>
      </c>
      <c r="J22">
        <f t="shared" si="2"/>
        <v>206</v>
      </c>
      <c r="O22" t="s">
        <v>115</v>
      </c>
      <c r="P22" t="s">
        <v>117</v>
      </c>
    </row>
    <row r="23" spans="1:16" x14ac:dyDescent="0.25">
      <c r="A23" s="9">
        <v>4.4000000000000004</v>
      </c>
      <c r="B23" s="9" t="s">
        <v>118</v>
      </c>
      <c r="C23" s="9">
        <f>C24</f>
        <v>1875</v>
      </c>
      <c r="D23" s="9">
        <f>D24</f>
        <v>1500</v>
      </c>
      <c r="E23" s="9">
        <f>D23/C23</f>
        <v>0.8</v>
      </c>
      <c r="F23" s="9">
        <f>F24</f>
        <v>750</v>
      </c>
      <c r="G23" s="9">
        <f t="shared" ref="G23:G34" si="10">F23/D23</f>
        <v>0.5</v>
      </c>
      <c r="H23" s="12">
        <f t="shared" ref="H23:H34" si="11">D23-F23</f>
        <v>750</v>
      </c>
      <c r="I23" s="31">
        <f>(M23-F23)/25</f>
        <v>3</v>
      </c>
      <c r="J23">
        <f t="shared" si="2"/>
        <v>209</v>
      </c>
      <c r="K23" s="9">
        <f>K24</f>
        <v>150</v>
      </c>
      <c r="L23" s="9">
        <f>L24</f>
        <v>0.2</v>
      </c>
      <c r="M23" s="9">
        <f>M24</f>
        <v>825</v>
      </c>
      <c r="N23" s="9">
        <f>N24</f>
        <v>675</v>
      </c>
      <c r="O23" s="9"/>
      <c r="P23" s="9" t="s">
        <v>119</v>
      </c>
    </row>
    <row r="24" spans="1:16" x14ac:dyDescent="0.25">
      <c r="A24" s="10">
        <v>4.5</v>
      </c>
      <c r="B24" s="10" t="s">
        <v>120</v>
      </c>
      <c r="C24" s="10">
        <v>1875</v>
      </c>
      <c r="D24" s="10">
        <v>1500</v>
      </c>
      <c r="E24" s="10">
        <f>D24/C24</f>
        <v>0.8</v>
      </c>
      <c r="F24" s="10">
        <v>750</v>
      </c>
      <c r="G24" s="11">
        <f t="shared" si="10"/>
        <v>0.5</v>
      </c>
      <c r="H24" s="10">
        <f t="shared" si="11"/>
        <v>750</v>
      </c>
      <c r="I24" s="29">
        <v>8</v>
      </c>
      <c r="J24">
        <f t="shared" si="2"/>
        <v>217</v>
      </c>
      <c r="K24" s="11">
        <f>0.2*F24</f>
        <v>150</v>
      </c>
      <c r="L24" s="11">
        <f>K24/F24</f>
        <v>0.2</v>
      </c>
      <c r="M24" s="10">
        <f>F24+K24/2</f>
        <v>825</v>
      </c>
      <c r="N24" s="10">
        <f>F24-K24/2</f>
        <v>675</v>
      </c>
      <c r="O24" s="10" t="s">
        <v>112</v>
      </c>
      <c r="P24" s="10" t="s">
        <v>121</v>
      </c>
    </row>
    <row r="25" spans="1:16" x14ac:dyDescent="0.25">
      <c r="A25">
        <v>4.5999999999999996</v>
      </c>
      <c r="B25" t="s">
        <v>122</v>
      </c>
      <c r="C25">
        <v>1875</v>
      </c>
      <c r="D25">
        <v>1500</v>
      </c>
      <c r="E25">
        <v>0.8</v>
      </c>
      <c r="F25">
        <f>0.65*D25</f>
        <v>975</v>
      </c>
      <c r="G25">
        <f t="shared" si="10"/>
        <v>0.65</v>
      </c>
      <c r="H25">
        <f t="shared" si="11"/>
        <v>525</v>
      </c>
      <c r="I25" s="27">
        <f>(F25-F24)/25</f>
        <v>9</v>
      </c>
      <c r="J25">
        <f t="shared" si="2"/>
        <v>226</v>
      </c>
      <c r="O25" t="s">
        <v>115</v>
      </c>
    </row>
    <row r="26" spans="1:16" x14ac:dyDescent="0.25">
      <c r="A26" s="9">
        <v>4.7</v>
      </c>
      <c r="B26" s="9" t="s">
        <v>118</v>
      </c>
      <c r="C26" s="9">
        <f>C27</f>
        <v>1875</v>
      </c>
      <c r="D26" s="9">
        <f>D27</f>
        <v>1500</v>
      </c>
      <c r="E26" s="9">
        <f>D26/C26</f>
        <v>0.8</v>
      </c>
      <c r="F26" s="9">
        <f>F27</f>
        <v>975</v>
      </c>
      <c r="G26" s="9">
        <f t="shared" si="10"/>
        <v>0.65</v>
      </c>
      <c r="H26" s="12">
        <f t="shared" si="11"/>
        <v>525</v>
      </c>
      <c r="I26" s="31">
        <f>(M26-F26)/25</f>
        <v>3</v>
      </c>
      <c r="J26">
        <f t="shared" si="2"/>
        <v>229</v>
      </c>
      <c r="K26" s="9">
        <f>K27</f>
        <v>150</v>
      </c>
      <c r="L26" s="9">
        <f>L27</f>
        <v>0.15384615384615385</v>
      </c>
      <c r="M26" s="9">
        <f>M27</f>
        <v>1050</v>
      </c>
      <c r="N26" s="9">
        <f>N27</f>
        <v>900</v>
      </c>
      <c r="O26" s="9"/>
      <c r="P26" s="9" t="s">
        <v>119</v>
      </c>
    </row>
    <row r="27" spans="1:16" x14ac:dyDescent="0.25">
      <c r="A27" s="10">
        <v>4.8</v>
      </c>
      <c r="B27" s="10" t="s">
        <v>120</v>
      </c>
      <c r="C27" s="10">
        <v>1875</v>
      </c>
      <c r="D27" s="10">
        <v>1500</v>
      </c>
      <c r="E27" s="10">
        <f>D27/C27</f>
        <v>0.8</v>
      </c>
      <c r="F27" s="10">
        <v>975</v>
      </c>
      <c r="G27" s="11">
        <f t="shared" si="10"/>
        <v>0.65</v>
      </c>
      <c r="H27" s="10">
        <f t="shared" si="11"/>
        <v>525</v>
      </c>
      <c r="I27" s="29">
        <v>8</v>
      </c>
      <c r="J27">
        <f t="shared" si="2"/>
        <v>237</v>
      </c>
      <c r="K27" s="11">
        <v>150</v>
      </c>
      <c r="L27" s="11">
        <f>K27/F27</f>
        <v>0.15384615384615385</v>
      </c>
      <c r="M27" s="10">
        <f>F27+K27/2</f>
        <v>1050</v>
      </c>
      <c r="N27" s="10">
        <f>F27-K27/2</f>
        <v>900</v>
      </c>
      <c r="O27" s="10" t="s">
        <v>112</v>
      </c>
      <c r="P27" s="11" t="s">
        <v>123</v>
      </c>
    </row>
    <row r="28" spans="1:16" x14ac:dyDescent="0.25">
      <c r="A28">
        <v>4.9000000000000004</v>
      </c>
      <c r="B28" t="s">
        <v>122</v>
      </c>
      <c r="C28">
        <v>1875</v>
      </c>
      <c r="D28">
        <v>1500</v>
      </c>
      <c r="E28">
        <v>0.8</v>
      </c>
      <c r="F28">
        <f>0.8*D28</f>
        <v>1200</v>
      </c>
      <c r="G28">
        <f t="shared" si="10"/>
        <v>0.8</v>
      </c>
      <c r="H28">
        <f t="shared" si="11"/>
        <v>300</v>
      </c>
      <c r="I28" s="27">
        <f>(F28-F27)/25</f>
        <v>9</v>
      </c>
      <c r="J28">
        <f t="shared" si="2"/>
        <v>246</v>
      </c>
      <c r="O28" t="s">
        <v>115</v>
      </c>
    </row>
    <row r="29" spans="1:16" x14ac:dyDescent="0.25">
      <c r="A29" s="9">
        <v>4.0999999999999996</v>
      </c>
      <c r="B29" s="9" t="s">
        <v>118</v>
      </c>
      <c r="C29" s="9">
        <f>C30</f>
        <v>1875</v>
      </c>
      <c r="D29" s="9">
        <f>D30</f>
        <v>1500</v>
      </c>
      <c r="E29" s="9">
        <f>D29/C29</f>
        <v>0.8</v>
      </c>
      <c r="F29" s="9">
        <f>F30</f>
        <v>1200</v>
      </c>
      <c r="G29" s="9">
        <f t="shared" si="10"/>
        <v>0.8</v>
      </c>
      <c r="H29" s="12">
        <f t="shared" si="11"/>
        <v>300</v>
      </c>
      <c r="I29" s="31">
        <f>(M29-F29)/25</f>
        <v>3</v>
      </c>
      <c r="J29">
        <f t="shared" si="2"/>
        <v>249</v>
      </c>
      <c r="K29" s="9">
        <f>K30</f>
        <v>150</v>
      </c>
      <c r="L29" s="9">
        <f>L30</f>
        <v>0.125</v>
      </c>
      <c r="M29" s="9">
        <f>M30</f>
        <v>1275</v>
      </c>
      <c r="N29" s="9">
        <f>N30</f>
        <v>1125</v>
      </c>
      <c r="O29" s="9"/>
      <c r="P29" s="9" t="s">
        <v>119</v>
      </c>
    </row>
    <row r="30" spans="1:16" x14ac:dyDescent="0.25">
      <c r="A30" s="10">
        <v>4.1100000000000003</v>
      </c>
      <c r="B30" s="10" t="s">
        <v>120</v>
      </c>
      <c r="C30" s="10">
        <v>1875</v>
      </c>
      <c r="D30" s="10">
        <v>1500</v>
      </c>
      <c r="E30" s="10">
        <f>D30/C30</f>
        <v>0.8</v>
      </c>
      <c r="F30" s="10">
        <v>1200</v>
      </c>
      <c r="G30" s="11">
        <f t="shared" si="10"/>
        <v>0.8</v>
      </c>
      <c r="H30" s="10">
        <f t="shared" si="11"/>
        <v>300</v>
      </c>
      <c r="I30" s="29">
        <v>8</v>
      </c>
      <c r="J30">
        <f t="shared" si="2"/>
        <v>257</v>
      </c>
      <c r="K30" s="11">
        <v>150</v>
      </c>
      <c r="L30" s="11">
        <f>K30/F30</f>
        <v>0.125</v>
      </c>
      <c r="M30" s="10">
        <f>F30+K30/2</f>
        <v>1275</v>
      </c>
      <c r="N30" s="10">
        <f>F30-K30/2</f>
        <v>1125</v>
      </c>
      <c r="O30" s="10" t="s">
        <v>112</v>
      </c>
      <c r="P30" s="11" t="s">
        <v>123</v>
      </c>
    </row>
    <row r="31" spans="1:16" x14ac:dyDescent="0.25">
      <c r="A31">
        <v>4.12</v>
      </c>
      <c r="B31" t="s">
        <v>122</v>
      </c>
      <c r="C31">
        <v>1875</v>
      </c>
      <c r="D31">
        <v>1500</v>
      </c>
      <c r="E31">
        <v>0.8</v>
      </c>
      <c r="F31">
        <f>0.9*D31</f>
        <v>1350</v>
      </c>
      <c r="G31">
        <f t="shared" si="10"/>
        <v>0.9</v>
      </c>
      <c r="H31">
        <f t="shared" si="11"/>
        <v>150</v>
      </c>
      <c r="I31" s="27">
        <f>(F31-F30)/25</f>
        <v>6</v>
      </c>
      <c r="J31">
        <f t="shared" si="2"/>
        <v>263</v>
      </c>
      <c r="O31" t="s">
        <v>115</v>
      </c>
    </row>
    <row r="32" spans="1:16" x14ac:dyDescent="0.25">
      <c r="A32" s="9">
        <v>4.13</v>
      </c>
      <c r="B32" s="9" t="s">
        <v>118</v>
      </c>
      <c r="C32" s="9">
        <f>C33</f>
        <v>1875</v>
      </c>
      <c r="D32" s="9">
        <f>D33</f>
        <v>1500</v>
      </c>
      <c r="E32" s="9">
        <f>D32/C32</f>
        <v>0.8</v>
      </c>
      <c r="F32" s="9">
        <f>F33</f>
        <v>1350</v>
      </c>
      <c r="G32" s="9">
        <f t="shared" si="10"/>
        <v>0.9</v>
      </c>
      <c r="H32" s="12">
        <f t="shared" si="11"/>
        <v>150</v>
      </c>
      <c r="I32" s="31">
        <f>(M32-F32)/25</f>
        <v>3</v>
      </c>
      <c r="J32">
        <f t="shared" si="2"/>
        <v>266</v>
      </c>
      <c r="K32" s="9">
        <v>150</v>
      </c>
      <c r="L32" s="9">
        <f>L33</f>
        <v>0.1111111111111111</v>
      </c>
      <c r="M32" s="9">
        <f>M33</f>
        <v>1425</v>
      </c>
      <c r="N32" s="9">
        <f>N33</f>
        <v>1275</v>
      </c>
      <c r="O32" s="9"/>
      <c r="P32" s="9" t="s">
        <v>119</v>
      </c>
    </row>
    <row r="33" spans="1:16" x14ac:dyDescent="0.25">
      <c r="A33" s="15">
        <v>4.1399999999999997</v>
      </c>
      <c r="B33" s="10" t="s">
        <v>120</v>
      </c>
      <c r="C33" s="10">
        <v>1875</v>
      </c>
      <c r="D33" s="10">
        <v>1500</v>
      </c>
      <c r="E33" s="10">
        <f>D33/C33</f>
        <v>0.8</v>
      </c>
      <c r="F33" s="10">
        <v>1350</v>
      </c>
      <c r="G33" s="11">
        <f t="shared" si="10"/>
        <v>0.9</v>
      </c>
      <c r="H33" s="10">
        <f t="shared" si="11"/>
        <v>150</v>
      </c>
      <c r="I33" s="29">
        <v>8</v>
      </c>
      <c r="J33">
        <f t="shared" si="2"/>
        <v>274</v>
      </c>
      <c r="K33" s="11">
        <v>150</v>
      </c>
      <c r="L33" s="11">
        <f>K33/F33</f>
        <v>0.1111111111111111</v>
      </c>
      <c r="M33" s="10">
        <f>F33+K33/2</f>
        <v>1425</v>
      </c>
      <c r="N33" s="10">
        <f>F33-K33/2</f>
        <v>1275</v>
      </c>
      <c r="O33" s="10" t="s">
        <v>112</v>
      </c>
      <c r="P33" s="11" t="s">
        <v>123</v>
      </c>
    </row>
    <row r="34" spans="1:16" x14ac:dyDescent="0.25">
      <c r="A34" s="13">
        <v>4.1500000000000004</v>
      </c>
      <c r="B34" s="13" t="s">
        <v>124</v>
      </c>
      <c r="C34" s="13">
        <v>1875</v>
      </c>
      <c r="D34" s="13">
        <v>1500</v>
      </c>
      <c r="E34" s="13"/>
      <c r="F34" s="13">
        <v>750</v>
      </c>
      <c r="G34" s="13">
        <f t="shared" si="10"/>
        <v>0.5</v>
      </c>
      <c r="H34" s="13">
        <f t="shared" si="11"/>
        <v>750</v>
      </c>
      <c r="I34" s="28">
        <f>(F33-F34)/25</f>
        <v>24</v>
      </c>
      <c r="J34">
        <f t="shared" si="2"/>
        <v>298</v>
      </c>
      <c r="K34" s="13"/>
      <c r="L34" s="13"/>
      <c r="M34" s="13"/>
      <c r="N34" s="13"/>
      <c r="O34" t="s">
        <v>115</v>
      </c>
      <c r="P34" s="13"/>
    </row>
    <row r="35" spans="1:16" x14ac:dyDescent="0.25">
      <c r="A35">
        <v>5.0999999999999996</v>
      </c>
      <c r="B35" t="s">
        <v>125</v>
      </c>
      <c r="C35">
        <v>1875</v>
      </c>
      <c r="D35">
        <v>1875</v>
      </c>
      <c r="E35">
        <f>D35/C35</f>
        <v>1</v>
      </c>
      <c r="F35">
        <f>0.5*C35</f>
        <v>937.5</v>
      </c>
      <c r="G35">
        <f>F35/D35</f>
        <v>0.5</v>
      </c>
      <c r="H35">
        <f>D35-F35</f>
        <v>937.5</v>
      </c>
      <c r="I35" s="27">
        <f>(D35-D34)/25</f>
        <v>15</v>
      </c>
      <c r="J35">
        <f t="shared" si="2"/>
        <v>313</v>
      </c>
      <c r="O35" t="s">
        <v>115</v>
      </c>
      <c r="P35" t="s">
        <v>126</v>
      </c>
    </row>
    <row r="36" spans="1:16" x14ac:dyDescent="0.25">
      <c r="A36">
        <v>5.2</v>
      </c>
      <c r="B36" t="s">
        <v>127</v>
      </c>
      <c r="C36">
        <v>2500</v>
      </c>
      <c r="D36">
        <v>2500</v>
      </c>
      <c r="E36">
        <f>D36/C36</f>
        <v>1</v>
      </c>
      <c r="F36">
        <f>D36*0.5</f>
        <v>1250</v>
      </c>
      <c r="G36">
        <f>F36/D36</f>
        <v>0.5</v>
      </c>
      <c r="H36">
        <f>D36-F36</f>
        <v>1250</v>
      </c>
      <c r="I36" s="27">
        <f>(C36-C35)/25</f>
        <v>25</v>
      </c>
      <c r="J36">
        <f t="shared" si="2"/>
        <v>338</v>
      </c>
      <c r="O36" t="s">
        <v>115</v>
      </c>
      <c r="P36" t="s">
        <v>128</v>
      </c>
    </row>
    <row r="37" spans="1:16" x14ac:dyDescent="0.25">
      <c r="A37">
        <v>5.3</v>
      </c>
      <c r="B37" t="s">
        <v>129</v>
      </c>
      <c r="C37">
        <f>2500/0.8</f>
        <v>3125</v>
      </c>
      <c r="D37">
        <v>2500</v>
      </c>
      <c r="E37">
        <f>D37/C37</f>
        <v>0.8</v>
      </c>
      <c r="F37">
        <v>1250</v>
      </c>
      <c r="G37">
        <f>F37/D37</f>
        <v>0.5</v>
      </c>
      <c r="H37">
        <f>D37-F37</f>
        <v>1250</v>
      </c>
      <c r="I37" s="27">
        <f>(C37-C36)/25</f>
        <v>25</v>
      </c>
      <c r="J37">
        <f t="shared" si="2"/>
        <v>363</v>
      </c>
      <c r="O37" t="s">
        <v>115</v>
      </c>
      <c r="P37" t="s">
        <v>117</v>
      </c>
    </row>
    <row r="38" spans="1:16" x14ac:dyDescent="0.25">
      <c r="A38" s="9">
        <v>5.4</v>
      </c>
      <c r="B38" s="9" t="s">
        <v>118</v>
      </c>
      <c r="C38" s="9">
        <f>C39</f>
        <v>3125</v>
      </c>
      <c r="D38" s="9">
        <f>D39</f>
        <v>2500</v>
      </c>
      <c r="E38" s="9">
        <f>D38/C38</f>
        <v>0.8</v>
      </c>
      <c r="F38" s="9">
        <f>F39</f>
        <v>1250</v>
      </c>
      <c r="G38" s="9">
        <f t="shared" ref="G38:G49" si="12">F38/D38</f>
        <v>0.5</v>
      </c>
      <c r="H38" s="12">
        <f t="shared" ref="H38:H49" si="13">D38-F38</f>
        <v>1250</v>
      </c>
      <c r="I38" s="31">
        <f>(M38-F38)/25</f>
        <v>5</v>
      </c>
      <c r="J38">
        <f t="shared" si="2"/>
        <v>368</v>
      </c>
      <c r="K38" s="9">
        <f>K39</f>
        <v>250</v>
      </c>
      <c r="L38" s="9">
        <f>L39</f>
        <v>0.2</v>
      </c>
      <c r="M38" s="9">
        <f>M39</f>
        <v>1375</v>
      </c>
      <c r="N38" s="9">
        <f>N39</f>
        <v>1125</v>
      </c>
      <c r="O38" s="9"/>
      <c r="P38" s="9" t="s">
        <v>119</v>
      </c>
    </row>
    <row r="39" spans="1:16" x14ac:dyDescent="0.25">
      <c r="A39" s="10">
        <v>5.5</v>
      </c>
      <c r="B39" s="10" t="s">
        <v>120</v>
      </c>
      <c r="C39" s="10">
        <v>3125</v>
      </c>
      <c r="D39" s="10">
        <v>2500</v>
      </c>
      <c r="E39" s="10">
        <f>D39/C39</f>
        <v>0.8</v>
      </c>
      <c r="F39" s="10">
        <v>1250</v>
      </c>
      <c r="G39" s="11">
        <f t="shared" si="12"/>
        <v>0.5</v>
      </c>
      <c r="H39" s="10">
        <f t="shared" si="13"/>
        <v>1250</v>
      </c>
      <c r="I39" s="29">
        <v>8</v>
      </c>
      <c r="J39">
        <f t="shared" si="2"/>
        <v>376</v>
      </c>
      <c r="K39" s="11">
        <f>0.2*F39</f>
        <v>250</v>
      </c>
      <c r="L39" s="11">
        <f>K39/F39</f>
        <v>0.2</v>
      </c>
      <c r="M39" s="10">
        <f>F39+K39/2</f>
        <v>1375</v>
      </c>
      <c r="N39" s="10">
        <f>F39-K39/2</f>
        <v>1125</v>
      </c>
      <c r="O39" s="10" t="s">
        <v>112</v>
      </c>
      <c r="P39" s="10" t="s">
        <v>121</v>
      </c>
    </row>
    <row r="40" spans="1:16" x14ac:dyDescent="0.25">
      <c r="A40">
        <v>5.6</v>
      </c>
      <c r="B40" t="s">
        <v>122</v>
      </c>
      <c r="C40">
        <f>2500/0.8</f>
        <v>3125</v>
      </c>
      <c r="D40">
        <v>2500</v>
      </c>
      <c r="E40">
        <v>0.8</v>
      </c>
      <c r="F40">
        <f>0.65*D40</f>
        <v>1625</v>
      </c>
      <c r="G40">
        <f t="shared" si="12"/>
        <v>0.65</v>
      </c>
      <c r="H40">
        <f t="shared" si="13"/>
        <v>875</v>
      </c>
      <c r="I40" s="27">
        <f>(F40-F39)/25</f>
        <v>15</v>
      </c>
      <c r="J40">
        <f t="shared" si="2"/>
        <v>391</v>
      </c>
      <c r="O40" t="s">
        <v>115</v>
      </c>
    </row>
    <row r="41" spans="1:16" x14ac:dyDescent="0.25">
      <c r="A41" s="9">
        <v>5.7</v>
      </c>
      <c r="B41" s="9" t="s">
        <v>118</v>
      </c>
      <c r="C41" s="9">
        <f>C42</f>
        <v>3125</v>
      </c>
      <c r="D41" s="9">
        <f>D42</f>
        <v>2500</v>
      </c>
      <c r="E41" s="9">
        <f>D41/C41</f>
        <v>0.8</v>
      </c>
      <c r="F41" s="9">
        <f>F42</f>
        <v>1625</v>
      </c>
      <c r="G41" s="9">
        <f t="shared" si="12"/>
        <v>0.65</v>
      </c>
      <c r="H41" s="12">
        <f t="shared" si="13"/>
        <v>875</v>
      </c>
      <c r="I41" s="31">
        <f>(M41-F41)/25</f>
        <v>5</v>
      </c>
      <c r="J41">
        <f t="shared" si="2"/>
        <v>396</v>
      </c>
      <c r="K41" s="9">
        <f>K42</f>
        <v>250</v>
      </c>
      <c r="L41" s="9">
        <f>L42</f>
        <v>0.15384615384615385</v>
      </c>
      <c r="M41" s="9">
        <f>M42</f>
        <v>1750</v>
      </c>
      <c r="N41" s="9">
        <f>N42</f>
        <v>1500</v>
      </c>
      <c r="O41" s="9"/>
      <c r="P41" s="9" t="s">
        <v>119</v>
      </c>
    </row>
    <row r="42" spans="1:16" x14ac:dyDescent="0.25">
      <c r="A42" s="10">
        <v>5.8</v>
      </c>
      <c r="B42" s="10" t="s">
        <v>120</v>
      </c>
      <c r="C42" s="10">
        <v>3125</v>
      </c>
      <c r="D42" s="10">
        <v>2500</v>
      </c>
      <c r="E42" s="10">
        <f>D42/C42</f>
        <v>0.8</v>
      </c>
      <c r="F42" s="10">
        <v>1625</v>
      </c>
      <c r="G42" s="11">
        <f t="shared" si="12"/>
        <v>0.65</v>
      </c>
      <c r="H42" s="10">
        <f t="shared" si="13"/>
        <v>875</v>
      </c>
      <c r="I42" s="29">
        <v>8</v>
      </c>
      <c r="J42">
        <f t="shared" si="2"/>
        <v>404</v>
      </c>
      <c r="K42" s="11">
        <v>250</v>
      </c>
      <c r="L42" s="11">
        <f>K42/F42</f>
        <v>0.15384615384615385</v>
      </c>
      <c r="M42" s="10">
        <f>F42+K42/2</f>
        <v>1750</v>
      </c>
      <c r="N42" s="10">
        <f>F42-K42/2</f>
        <v>1500</v>
      </c>
      <c r="O42" s="10" t="s">
        <v>112</v>
      </c>
      <c r="P42" s="11" t="s">
        <v>123</v>
      </c>
    </row>
    <row r="43" spans="1:16" x14ac:dyDescent="0.25">
      <c r="A43">
        <v>5.9</v>
      </c>
      <c r="B43" t="s">
        <v>122</v>
      </c>
      <c r="C43">
        <f>2500/0.8</f>
        <v>3125</v>
      </c>
      <c r="D43">
        <v>2500</v>
      </c>
      <c r="E43">
        <v>0.8</v>
      </c>
      <c r="F43">
        <f>0.8*D43</f>
        <v>2000</v>
      </c>
      <c r="G43">
        <f t="shared" si="12"/>
        <v>0.8</v>
      </c>
      <c r="H43">
        <f t="shared" si="13"/>
        <v>500</v>
      </c>
      <c r="I43" s="27">
        <f>(F43-F42)/25</f>
        <v>15</v>
      </c>
      <c r="J43">
        <f t="shared" si="2"/>
        <v>419</v>
      </c>
      <c r="O43" t="s">
        <v>115</v>
      </c>
    </row>
    <row r="44" spans="1:16" x14ac:dyDescent="0.25">
      <c r="A44" s="9">
        <v>5.0999999999999996</v>
      </c>
      <c r="B44" s="9" t="s">
        <v>118</v>
      </c>
      <c r="C44" s="9">
        <f>C45</f>
        <v>3125</v>
      </c>
      <c r="D44" s="9">
        <f>D45</f>
        <v>2500</v>
      </c>
      <c r="E44" s="9">
        <f>D44/C44</f>
        <v>0.8</v>
      </c>
      <c r="F44" s="9">
        <f>F45</f>
        <v>2000</v>
      </c>
      <c r="G44" s="9">
        <f t="shared" si="12"/>
        <v>0.8</v>
      </c>
      <c r="H44" s="12">
        <f t="shared" si="13"/>
        <v>500</v>
      </c>
      <c r="I44" s="31">
        <f>(M44-F44)/25</f>
        <v>5</v>
      </c>
      <c r="J44">
        <f t="shared" si="2"/>
        <v>424</v>
      </c>
      <c r="K44" s="9">
        <f>K45</f>
        <v>250</v>
      </c>
      <c r="L44" s="9">
        <f>L45</f>
        <v>0.125</v>
      </c>
      <c r="M44" s="9">
        <f>M45</f>
        <v>2125</v>
      </c>
      <c r="N44" s="9">
        <f>N45</f>
        <v>1875</v>
      </c>
      <c r="O44" s="9"/>
      <c r="P44" s="9" t="s">
        <v>119</v>
      </c>
    </row>
    <row r="45" spans="1:16" x14ac:dyDescent="0.25">
      <c r="A45" s="10">
        <v>5.1100000000000003</v>
      </c>
      <c r="B45" s="10" t="s">
        <v>120</v>
      </c>
      <c r="C45" s="10">
        <v>3125</v>
      </c>
      <c r="D45" s="10">
        <v>2500</v>
      </c>
      <c r="E45" s="10">
        <f>D45/C45</f>
        <v>0.8</v>
      </c>
      <c r="F45" s="10">
        <v>2000</v>
      </c>
      <c r="G45" s="11">
        <f t="shared" si="12"/>
        <v>0.8</v>
      </c>
      <c r="H45" s="10">
        <f t="shared" si="13"/>
        <v>500</v>
      </c>
      <c r="I45" s="29">
        <v>8</v>
      </c>
      <c r="J45">
        <f t="shared" si="2"/>
        <v>432</v>
      </c>
      <c r="K45" s="11">
        <v>250</v>
      </c>
      <c r="L45" s="11">
        <f>K45/F45</f>
        <v>0.125</v>
      </c>
      <c r="M45" s="10">
        <f>F45+K45/2</f>
        <v>2125</v>
      </c>
      <c r="N45" s="10">
        <f>F45-K45/2</f>
        <v>1875</v>
      </c>
      <c r="O45" s="10" t="s">
        <v>112</v>
      </c>
      <c r="P45" s="11" t="s">
        <v>123</v>
      </c>
    </row>
    <row r="46" spans="1:16" x14ac:dyDescent="0.25">
      <c r="A46">
        <v>5.12</v>
      </c>
      <c r="B46" t="s">
        <v>122</v>
      </c>
      <c r="C46">
        <v>3125</v>
      </c>
      <c r="D46">
        <v>2500</v>
      </c>
      <c r="E46">
        <v>0.8</v>
      </c>
      <c r="F46">
        <f>0.9*D46</f>
        <v>2250</v>
      </c>
      <c r="G46">
        <f t="shared" si="12"/>
        <v>0.9</v>
      </c>
      <c r="H46">
        <f t="shared" si="13"/>
        <v>250</v>
      </c>
      <c r="I46" s="27">
        <f>(F46-F45)/25</f>
        <v>10</v>
      </c>
      <c r="J46">
        <f t="shared" si="2"/>
        <v>442</v>
      </c>
      <c r="O46" t="s">
        <v>115</v>
      </c>
    </row>
    <row r="47" spans="1:16" x14ac:dyDescent="0.25">
      <c r="A47" s="9">
        <v>5.13</v>
      </c>
      <c r="B47" s="9" t="s">
        <v>118</v>
      </c>
      <c r="C47" s="9">
        <f>C48</f>
        <v>3125</v>
      </c>
      <c r="D47" s="9">
        <f>D48</f>
        <v>2500</v>
      </c>
      <c r="E47" s="9">
        <f>D47/C47</f>
        <v>0.8</v>
      </c>
      <c r="F47" s="9">
        <f>F48</f>
        <v>2250</v>
      </c>
      <c r="G47" s="9">
        <f t="shared" si="12"/>
        <v>0.9</v>
      </c>
      <c r="H47" s="12">
        <f t="shared" si="13"/>
        <v>250</v>
      </c>
      <c r="I47" s="31">
        <f>(M47-F47)/25</f>
        <v>5</v>
      </c>
      <c r="J47">
        <f t="shared" si="2"/>
        <v>447</v>
      </c>
      <c r="K47" s="9">
        <f>K48</f>
        <v>250</v>
      </c>
      <c r="L47" s="9">
        <f>L48</f>
        <v>0.1111111111111111</v>
      </c>
      <c r="M47" s="9">
        <f>M48</f>
        <v>2375</v>
      </c>
      <c r="N47" s="9">
        <f>N48</f>
        <v>2125</v>
      </c>
      <c r="O47" s="9"/>
      <c r="P47" s="9" t="s">
        <v>119</v>
      </c>
    </row>
    <row r="48" spans="1:16" x14ac:dyDescent="0.25">
      <c r="A48" s="15">
        <v>5.14</v>
      </c>
      <c r="B48" s="10" t="s">
        <v>120</v>
      </c>
      <c r="C48" s="10">
        <v>3125</v>
      </c>
      <c r="D48" s="10">
        <v>2500</v>
      </c>
      <c r="E48" s="10">
        <f>D48/C48</f>
        <v>0.8</v>
      </c>
      <c r="F48" s="10">
        <v>2250</v>
      </c>
      <c r="G48" s="11">
        <f t="shared" si="12"/>
        <v>0.9</v>
      </c>
      <c r="H48" s="10">
        <f t="shared" si="13"/>
        <v>250</v>
      </c>
      <c r="I48" s="29">
        <v>8</v>
      </c>
      <c r="J48">
        <f t="shared" si="2"/>
        <v>455</v>
      </c>
      <c r="K48" s="11">
        <v>250</v>
      </c>
      <c r="L48" s="11">
        <f>K48/F48</f>
        <v>0.1111111111111111</v>
      </c>
      <c r="M48" s="10">
        <f>F48+K48/2</f>
        <v>2375</v>
      </c>
      <c r="N48" s="10">
        <f>F48-K48/2</f>
        <v>2125</v>
      </c>
      <c r="O48" s="10" t="s">
        <v>112</v>
      </c>
      <c r="P48" s="11" t="s">
        <v>123</v>
      </c>
    </row>
    <row r="49" spans="1:16" x14ac:dyDescent="0.25">
      <c r="A49" s="13">
        <v>5.15</v>
      </c>
      <c r="B49" s="13" t="s">
        <v>124</v>
      </c>
      <c r="C49" s="13">
        <f>2500/0.8</f>
        <v>3125</v>
      </c>
      <c r="D49" s="13">
        <v>2500</v>
      </c>
      <c r="E49" s="13">
        <v>0.8</v>
      </c>
      <c r="F49" s="13">
        <v>1250</v>
      </c>
      <c r="G49" s="13">
        <f t="shared" si="12"/>
        <v>0.5</v>
      </c>
      <c r="H49" s="13">
        <f t="shared" si="13"/>
        <v>1250</v>
      </c>
      <c r="I49" s="28">
        <f>(F48-F49)/25</f>
        <v>40</v>
      </c>
      <c r="J49">
        <f t="shared" si="2"/>
        <v>495</v>
      </c>
      <c r="K49" s="13"/>
      <c r="L49" s="13"/>
      <c r="M49" s="13"/>
      <c r="N49" s="13"/>
      <c r="O49" t="s">
        <v>115</v>
      </c>
      <c r="P49" s="13"/>
    </row>
    <row r="50" spans="1:16" x14ac:dyDescent="0.25">
      <c r="A50">
        <v>6.1</v>
      </c>
      <c r="B50" t="s">
        <v>125</v>
      </c>
      <c r="C50">
        <v>3125</v>
      </c>
      <c r="D50">
        <v>3125</v>
      </c>
      <c r="E50">
        <f>D50/C50</f>
        <v>1</v>
      </c>
      <c r="F50">
        <f>0.5*C50</f>
        <v>1562.5</v>
      </c>
      <c r="G50">
        <f>F50/D50</f>
        <v>0.5</v>
      </c>
      <c r="H50">
        <f>D50-F50</f>
        <v>1562.5</v>
      </c>
      <c r="I50" s="27">
        <f>(D50-D49)/25</f>
        <v>25</v>
      </c>
      <c r="J50">
        <f t="shared" si="2"/>
        <v>520</v>
      </c>
      <c r="O50" t="s">
        <v>115</v>
      </c>
      <c r="P50" t="s">
        <v>126</v>
      </c>
    </row>
    <row r="51" spans="1:16" x14ac:dyDescent="0.25">
      <c r="A51">
        <v>6.2</v>
      </c>
      <c r="B51" t="s">
        <v>127</v>
      </c>
      <c r="C51">
        <v>3500</v>
      </c>
      <c r="D51">
        <v>3500</v>
      </c>
      <c r="E51">
        <f>D51/C51</f>
        <v>1</v>
      </c>
      <c r="F51">
        <f>D51*0.5</f>
        <v>1750</v>
      </c>
      <c r="G51">
        <f>F51/D51</f>
        <v>0.5</v>
      </c>
      <c r="H51">
        <f>D51-F51</f>
        <v>1750</v>
      </c>
      <c r="I51" s="27">
        <f>(C51-C50)/25</f>
        <v>15</v>
      </c>
      <c r="J51">
        <f t="shared" si="2"/>
        <v>535</v>
      </c>
      <c r="O51" t="s">
        <v>115</v>
      </c>
      <c r="P51" t="s">
        <v>128</v>
      </c>
    </row>
    <row r="52" spans="1:16" x14ac:dyDescent="0.25">
      <c r="A52">
        <v>6.3</v>
      </c>
      <c r="B52" t="s">
        <v>129</v>
      </c>
      <c r="C52">
        <f>3500/0.8</f>
        <v>4375</v>
      </c>
      <c r="D52">
        <v>3500</v>
      </c>
      <c r="E52">
        <f>D52/C52</f>
        <v>0.8</v>
      </c>
      <c r="F52">
        <v>1750</v>
      </c>
      <c r="G52">
        <f>F52/D52</f>
        <v>0.5</v>
      </c>
      <c r="H52">
        <f>D52-F52</f>
        <v>1750</v>
      </c>
      <c r="I52" s="27">
        <f>(C52-C51)/25</f>
        <v>35</v>
      </c>
      <c r="J52">
        <f t="shared" si="2"/>
        <v>570</v>
      </c>
      <c r="O52" t="s">
        <v>115</v>
      </c>
      <c r="P52" t="s">
        <v>117</v>
      </c>
    </row>
    <row r="53" spans="1:16" x14ac:dyDescent="0.25">
      <c r="A53" s="9">
        <v>6.4</v>
      </c>
      <c r="B53" s="9" t="s">
        <v>118</v>
      </c>
      <c r="C53" s="9">
        <f>C54</f>
        <v>4375</v>
      </c>
      <c r="D53" s="9">
        <f>D54</f>
        <v>3500</v>
      </c>
      <c r="E53" s="9">
        <f>D53/C53</f>
        <v>0.8</v>
      </c>
      <c r="F53" s="9">
        <f>F54</f>
        <v>1750</v>
      </c>
      <c r="G53" s="9">
        <f t="shared" ref="G53:G64" si="14">F53/D53</f>
        <v>0.5</v>
      </c>
      <c r="H53" s="12">
        <f t="shared" ref="H53:H64" si="15">D53-F53</f>
        <v>1750</v>
      </c>
      <c r="I53" s="31">
        <f>(M53-F53)/25</f>
        <v>7</v>
      </c>
      <c r="J53">
        <f t="shared" si="2"/>
        <v>577</v>
      </c>
      <c r="K53" s="9">
        <f>K54</f>
        <v>350</v>
      </c>
      <c r="L53" s="9">
        <f>L54</f>
        <v>0.2</v>
      </c>
      <c r="M53" s="9">
        <f>M54</f>
        <v>1925</v>
      </c>
      <c r="N53" s="9">
        <f>N54</f>
        <v>1575</v>
      </c>
      <c r="O53" s="9"/>
      <c r="P53" s="9" t="s">
        <v>119</v>
      </c>
    </row>
    <row r="54" spans="1:16" x14ac:dyDescent="0.25">
      <c r="A54" s="10">
        <v>6.5</v>
      </c>
      <c r="B54" s="10" t="s">
        <v>120</v>
      </c>
      <c r="C54" s="10">
        <v>4375</v>
      </c>
      <c r="D54" s="10">
        <v>3500</v>
      </c>
      <c r="E54" s="10">
        <f>D54/C54</f>
        <v>0.8</v>
      </c>
      <c r="F54" s="10">
        <v>1750</v>
      </c>
      <c r="G54" s="11">
        <f t="shared" si="14"/>
        <v>0.5</v>
      </c>
      <c r="H54" s="10">
        <f t="shared" si="15"/>
        <v>1750</v>
      </c>
      <c r="I54" s="29">
        <v>8</v>
      </c>
      <c r="J54">
        <f t="shared" si="2"/>
        <v>585</v>
      </c>
      <c r="K54" s="11">
        <f>0.2*F54</f>
        <v>350</v>
      </c>
      <c r="L54" s="11">
        <f>K54/F54</f>
        <v>0.2</v>
      </c>
      <c r="M54" s="10">
        <f>F54+K54/2</f>
        <v>1925</v>
      </c>
      <c r="N54" s="10">
        <f>F54-K54/2</f>
        <v>1575</v>
      </c>
      <c r="O54" s="10" t="s">
        <v>112</v>
      </c>
      <c r="P54" s="10" t="s">
        <v>121</v>
      </c>
    </row>
    <row r="55" spans="1:16" x14ac:dyDescent="0.25">
      <c r="A55">
        <v>6.6</v>
      </c>
      <c r="B55" t="s">
        <v>122</v>
      </c>
      <c r="C55">
        <v>4375</v>
      </c>
      <c r="D55">
        <v>3500</v>
      </c>
      <c r="E55">
        <v>0.8</v>
      </c>
      <c r="F55">
        <f>0.65*D55</f>
        <v>2275</v>
      </c>
      <c r="G55">
        <f t="shared" si="14"/>
        <v>0.65</v>
      </c>
      <c r="H55">
        <f t="shared" si="15"/>
        <v>1225</v>
      </c>
      <c r="I55" s="27">
        <f>(F55-F54)/25</f>
        <v>21</v>
      </c>
      <c r="J55">
        <f t="shared" si="2"/>
        <v>606</v>
      </c>
      <c r="O55" t="s">
        <v>115</v>
      </c>
    </row>
    <row r="56" spans="1:16" x14ac:dyDescent="0.25">
      <c r="A56" s="9">
        <v>6.7</v>
      </c>
      <c r="B56" s="9" t="s">
        <v>118</v>
      </c>
      <c r="C56" s="9">
        <f>C57</f>
        <v>4375</v>
      </c>
      <c r="D56" s="9">
        <f>D57</f>
        <v>3500</v>
      </c>
      <c r="E56" s="9">
        <f>D56/C56</f>
        <v>0.8</v>
      </c>
      <c r="F56" s="9">
        <f>F57</f>
        <v>2275</v>
      </c>
      <c r="G56" s="9">
        <f t="shared" si="14"/>
        <v>0.65</v>
      </c>
      <c r="H56" s="12">
        <f t="shared" si="15"/>
        <v>1225</v>
      </c>
      <c r="I56" s="31">
        <f>(M56-F56)/25</f>
        <v>7</v>
      </c>
      <c r="J56">
        <f t="shared" si="2"/>
        <v>613</v>
      </c>
      <c r="K56" s="9">
        <f>K57</f>
        <v>350</v>
      </c>
      <c r="L56" s="9">
        <f>L57</f>
        <v>0.15384615384615385</v>
      </c>
      <c r="M56" s="9">
        <f>M57</f>
        <v>2450</v>
      </c>
      <c r="N56" s="9">
        <f>N57</f>
        <v>2100</v>
      </c>
      <c r="O56" s="9"/>
      <c r="P56" s="9" t="s">
        <v>119</v>
      </c>
    </row>
    <row r="57" spans="1:16" x14ac:dyDescent="0.25">
      <c r="A57" s="10">
        <v>6.8</v>
      </c>
      <c r="B57" s="10" t="s">
        <v>120</v>
      </c>
      <c r="C57" s="10">
        <v>4375</v>
      </c>
      <c r="D57" s="10">
        <v>3500</v>
      </c>
      <c r="E57" s="10">
        <f>D57/C57</f>
        <v>0.8</v>
      </c>
      <c r="F57" s="10">
        <v>2275</v>
      </c>
      <c r="G57" s="11">
        <f t="shared" si="14"/>
        <v>0.65</v>
      </c>
      <c r="H57" s="10">
        <f t="shared" si="15"/>
        <v>1225</v>
      </c>
      <c r="I57" s="29">
        <v>8</v>
      </c>
      <c r="J57">
        <f t="shared" si="2"/>
        <v>621</v>
      </c>
      <c r="K57" s="11">
        <v>350</v>
      </c>
      <c r="L57" s="11">
        <f>K57/F57</f>
        <v>0.15384615384615385</v>
      </c>
      <c r="M57" s="10">
        <f>F57+K57/2</f>
        <v>2450</v>
      </c>
      <c r="N57" s="10">
        <f>F57-K57/2</f>
        <v>2100</v>
      </c>
      <c r="O57" s="10" t="s">
        <v>112</v>
      </c>
      <c r="P57" s="11" t="s">
        <v>123</v>
      </c>
    </row>
    <row r="58" spans="1:16" x14ac:dyDescent="0.25">
      <c r="A58">
        <v>6.9</v>
      </c>
      <c r="B58" t="s">
        <v>122</v>
      </c>
      <c r="C58">
        <v>4375</v>
      </c>
      <c r="D58">
        <v>3500</v>
      </c>
      <c r="E58">
        <v>0.8</v>
      </c>
      <c r="F58">
        <f>0.8*D58</f>
        <v>2800</v>
      </c>
      <c r="G58">
        <f t="shared" si="14"/>
        <v>0.8</v>
      </c>
      <c r="H58">
        <f t="shared" si="15"/>
        <v>700</v>
      </c>
      <c r="I58" s="27">
        <f>(F58-F57)/25</f>
        <v>21</v>
      </c>
      <c r="J58">
        <f t="shared" si="2"/>
        <v>642</v>
      </c>
      <c r="O58" t="s">
        <v>115</v>
      </c>
    </row>
    <row r="59" spans="1:16" x14ac:dyDescent="0.25">
      <c r="A59" s="9">
        <v>6.1</v>
      </c>
      <c r="B59" s="9" t="s">
        <v>118</v>
      </c>
      <c r="C59" s="9">
        <f>C60</f>
        <v>4375</v>
      </c>
      <c r="D59" s="9">
        <f>D60</f>
        <v>3500</v>
      </c>
      <c r="E59" s="9">
        <f>D59/C59</f>
        <v>0.8</v>
      </c>
      <c r="F59" s="9">
        <f>F60</f>
        <v>2800</v>
      </c>
      <c r="G59" s="9">
        <f t="shared" si="14"/>
        <v>0.8</v>
      </c>
      <c r="H59" s="12">
        <f t="shared" si="15"/>
        <v>700</v>
      </c>
      <c r="I59" s="31">
        <f>(M59-F59)/25</f>
        <v>7</v>
      </c>
      <c r="J59">
        <f t="shared" si="2"/>
        <v>649</v>
      </c>
      <c r="K59" s="9">
        <f>K60</f>
        <v>350</v>
      </c>
      <c r="L59" s="9">
        <f>L60</f>
        <v>0.125</v>
      </c>
      <c r="M59" s="9">
        <f>M60</f>
        <v>2975</v>
      </c>
      <c r="N59" s="9">
        <f>N60</f>
        <v>2625</v>
      </c>
      <c r="O59" s="9"/>
      <c r="P59" s="9" t="s">
        <v>119</v>
      </c>
    </row>
    <row r="60" spans="1:16" x14ac:dyDescent="0.25">
      <c r="A60" s="10">
        <v>6.11</v>
      </c>
      <c r="B60" s="10" t="s">
        <v>120</v>
      </c>
      <c r="C60" s="10">
        <v>4375</v>
      </c>
      <c r="D60" s="10">
        <v>3500</v>
      </c>
      <c r="E60" s="10">
        <f>D60/C60</f>
        <v>0.8</v>
      </c>
      <c r="F60" s="10">
        <v>2800</v>
      </c>
      <c r="G60" s="11">
        <f t="shared" si="14"/>
        <v>0.8</v>
      </c>
      <c r="H60" s="10">
        <f t="shared" si="15"/>
        <v>700</v>
      </c>
      <c r="I60" s="29">
        <v>8</v>
      </c>
      <c r="J60">
        <f t="shared" si="2"/>
        <v>657</v>
      </c>
      <c r="K60" s="11">
        <v>350</v>
      </c>
      <c r="L60" s="11">
        <f>K60/F60</f>
        <v>0.125</v>
      </c>
      <c r="M60" s="10">
        <f>F60+K60/2</f>
        <v>2975</v>
      </c>
      <c r="N60" s="10">
        <f>F60-K60/2</f>
        <v>2625</v>
      </c>
      <c r="O60" s="10" t="s">
        <v>112</v>
      </c>
      <c r="P60" s="11" t="s">
        <v>123</v>
      </c>
    </row>
    <row r="61" spans="1:16" x14ac:dyDescent="0.25">
      <c r="A61">
        <v>6.12</v>
      </c>
      <c r="B61" t="s">
        <v>122</v>
      </c>
      <c r="C61">
        <v>4375</v>
      </c>
      <c r="D61">
        <v>3500</v>
      </c>
      <c r="E61">
        <v>0.8</v>
      </c>
      <c r="F61">
        <f>0.9*D61</f>
        <v>3150</v>
      </c>
      <c r="G61">
        <f t="shared" si="14"/>
        <v>0.9</v>
      </c>
      <c r="H61">
        <f t="shared" si="15"/>
        <v>350</v>
      </c>
      <c r="I61" s="27">
        <f>(F61-F60)/25</f>
        <v>14</v>
      </c>
      <c r="J61">
        <f t="shared" si="2"/>
        <v>671</v>
      </c>
      <c r="O61" t="s">
        <v>115</v>
      </c>
    </row>
    <row r="62" spans="1:16" x14ac:dyDescent="0.25">
      <c r="A62" s="9">
        <v>6.13</v>
      </c>
      <c r="B62" s="9" t="s">
        <v>118</v>
      </c>
      <c r="C62" s="9">
        <f>C63</f>
        <v>4375</v>
      </c>
      <c r="D62" s="9">
        <f>D63</f>
        <v>3500</v>
      </c>
      <c r="E62" s="9">
        <f>D62/C62</f>
        <v>0.8</v>
      </c>
      <c r="F62" s="9">
        <f>F63</f>
        <v>3150</v>
      </c>
      <c r="G62" s="9">
        <f t="shared" si="14"/>
        <v>0.9</v>
      </c>
      <c r="H62" s="12">
        <f t="shared" si="15"/>
        <v>350</v>
      </c>
      <c r="I62" s="31">
        <f>(M62-F62)/25</f>
        <v>7</v>
      </c>
      <c r="J62">
        <f t="shared" si="2"/>
        <v>678</v>
      </c>
      <c r="K62" s="9">
        <f>K63</f>
        <v>350</v>
      </c>
      <c r="L62" s="9">
        <f>L63</f>
        <v>0.1111111111111111</v>
      </c>
      <c r="M62" s="9">
        <f>M63</f>
        <v>3325</v>
      </c>
      <c r="N62" s="9">
        <f>N63</f>
        <v>2975</v>
      </c>
      <c r="O62" s="9"/>
      <c r="P62" s="9" t="s">
        <v>119</v>
      </c>
    </row>
    <row r="63" spans="1:16" x14ac:dyDescent="0.25">
      <c r="A63" s="15">
        <v>6.14</v>
      </c>
      <c r="B63" s="10" t="s">
        <v>120</v>
      </c>
      <c r="C63" s="10">
        <v>4375</v>
      </c>
      <c r="D63" s="10">
        <v>3500</v>
      </c>
      <c r="E63" s="10">
        <f>D63/C63</f>
        <v>0.8</v>
      </c>
      <c r="F63" s="10">
        <v>3150</v>
      </c>
      <c r="G63" s="11">
        <f t="shared" si="14"/>
        <v>0.9</v>
      </c>
      <c r="H63" s="10">
        <f t="shared" si="15"/>
        <v>350</v>
      </c>
      <c r="I63" s="29">
        <v>8</v>
      </c>
      <c r="J63">
        <f t="shared" si="2"/>
        <v>686</v>
      </c>
      <c r="K63" s="11">
        <v>350</v>
      </c>
      <c r="L63" s="11">
        <f>K63/F63</f>
        <v>0.1111111111111111</v>
      </c>
      <c r="M63" s="10">
        <f>F63+K63/2</f>
        <v>3325</v>
      </c>
      <c r="N63" s="10">
        <f>F63-K63/2</f>
        <v>2975</v>
      </c>
      <c r="O63" s="10" t="s">
        <v>112</v>
      </c>
      <c r="P63" s="11" t="s">
        <v>123</v>
      </c>
    </row>
    <row r="64" spans="1:16" x14ac:dyDescent="0.25">
      <c r="A64" s="13">
        <v>6.15</v>
      </c>
      <c r="B64" s="13" t="s">
        <v>124</v>
      </c>
      <c r="C64" s="13">
        <v>4375</v>
      </c>
      <c r="D64" s="13">
        <v>3500</v>
      </c>
      <c r="E64" s="13">
        <v>0.8</v>
      </c>
      <c r="F64" s="13">
        <v>1750</v>
      </c>
      <c r="G64" s="13">
        <f t="shared" si="14"/>
        <v>0.5</v>
      </c>
      <c r="H64" s="13">
        <f t="shared" si="15"/>
        <v>1750</v>
      </c>
      <c r="I64" s="28">
        <f>(F63-F64)/25</f>
        <v>56</v>
      </c>
      <c r="J64">
        <f t="shared" si="2"/>
        <v>742</v>
      </c>
      <c r="K64" s="13"/>
      <c r="L64" s="13"/>
      <c r="M64" s="13"/>
      <c r="N64" s="13"/>
      <c r="O64" s="13" t="s">
        <v>115</v>
      </c>
      <c r="P64" s="13"/>
    </row>
    <row r="65" spans="1:16" x14ac:dyDescent="0.25">
      <c r="A65">
        <v>7.1</v>
      </c>
      <c r="B65" t="s">
        <v>125</v>
      </c>
      <c r="C65">
        <v>4375</v>
      </c>
      <c r="D65">
        <v>4375</v>
      </c>
      <c r="E65">
        <f>D65/C65</f>
        <v>1</v>
      </c>
      <c r="F65">
        <f>0.5*C65</f>
        <v>2187.5</v>
      </c>
      <c r="G65">
        <f>F65/D65</f>
        <v>0.5</v>
      </c>
      <c r="H65">
        <f>D65-F65</f>
        <v>2187.5</v>
      </c>
      <c r="I65" s="27">
        <f>(D65-D64)/25</f>
        <v>35</v>
      </c>
      <c r="J65">
        <f t="shared" si="2"/>
        <v>777</v>
      </c>
      <c r="O65" t="s">
        <v>115</v>
      </c>
      <c r="P65" t="s">
        <v>126</v>
      </c>
    </row>
    <row r="66" spans="1:16" x14ac:dyDescent="0.25">
      <c r="A66">
        <v>7.2</v>
      </c>
      <c r="B66" t="s">
        <v>127</v>
      </c>
      <c r="C66">
        <v>4800</v>
      </c>
      <c r="D66">
        <v>4800</v>
      </c>
      <c r="E66">
        <f>D66/C66</f>
        <v>1</v>
      </c>
      <c r="F66">
        <f>D66*0.5</f>
        <v>2400</v>
      </c>
      <c r="G66">
        <f>F66/D66</f>
        <v>0.5</v>
      </c>
      <c r="H66">
        <f>D66-F66</f>
        <v>2400</v>
      </c>
      <c r="I66" s="27">
        <f>(C66-C65)/25</f>
        <v>17</v>
      </c>
      <c r="J66">
        <f t="shared" si="2"/>
        <v>794</v>
      </c>
      <c r="O66" t="s">
        <v>115</v>
      </c>
      <c r="P66" t="s">
        <v>128</v>
      </c>
    </row>
    <row r="67" spans="1:16" x14ac:dyDescent="0.25">
      <c r="A67">
        <v>7.3</v>
      </c>
      <c r="B67" t="s">
        <v>129</v>
      </c>
      <c r="C67">
        <f>4800/0.8</f>
        <v>6000</v>
      </c>
      <c r="D67">
        <v>4800</v>
      </c>
      <c r="E67">
        <f>D67/C67</f>
        <v>0.8</v>
      </c>
      <c r="F67">
        <v>2400</v>
      </c>
      <c r="G67">
        <f>F67/D67</f>
        <v>0.5</v>
      </c>
      <c r="H67">
        <f>D67-F67</f>
        <v>2400</v>
      </c>
      <c r="I67" s="27">
        <f>(C67-C66)/25</f>
        <v>48</v>
      </c>
      <c r="J67">
        <f t="shared" si="2"/>
        <v>842</v>
      </c>
      <c r="O67" t="s">
        <v>115</v>
      </c>
      <c r="P67" t="s">
        <v>117</v>
      </c>
    </row>
    <row r="68" spans="1:16" x14ac:dyDescent="0.25">
      <c r="A68" s="9">
        <v>7.4</v>
      </c>
      <c r="B68" s="9" t="s">
        <v>118</v>
      </c>
      <c r="C68" s="9">
        <f>C69</f>
        <v>6000</v>
      </c>
      <c r="D68" s="9">
        <f>D69</f>
        <v>4800</v>
      </c>
      <c r="E68" s="9">
        <f>D68/C68</f>
        <v>0.8</v>
      </c>
      <c r="F68" s="9">
        <f>F69</f>
        <v>2400</v>
      </c>
      <c r="G68" s="9">
        <f t="shared" ref="G68:G79" si="16">F68/D68</f>
        <v>0.5</v>
      </c>
      <c r="H68" s="12">
        <f t="shared" ref="H68:H79" si="17">D68-F68</f>
        <v>2400</v>
      </c>
      <c r="I68" s="31">
        <f>(M68-F68)/25</f>
        <v>9.6</v>
      </c>
      <c r="J68">
        <f t="shared" ref="J68:J79" si="18">I68+J67</f>
        <v>851.6</v>
      </c>
      <c r="K68" s="9">
        <f>K69</f>
        <v>480</v>
      </c>
      <c r="L68" s="9">
        <f>L69</f>
        <v>0.2</v>
      </c>
      <c r="M68" s="9">
        <f>M69</f>
        <v>2640</v>
      </c>
      <c r="N68" s="9">
        <f>N69</f>
        <v>2160</v>
      </c>
      <c r="O68" s="9"/>
      <c r="P68" s="9" t="s">
        <v>119</v>
      </c>
    </row>
    <row r="69" spans="1:16" x14ac:dyDescent="0.25">
      <c r="A69" s="10">
        <v>7.5</v>
      </c>
      <c r="B69" s="10" t="s">
        <v>120</v>
      </c>
      <c r="C69" s="10">
        <v>6000</v>
      </c>
      <c r="D69" s="10">
        <v>4800</v>
      </c>
      <c r="E69" s="10">
        <f>D69/C69</f>
        <v>0.8</v>
      </c>
      <c r="F69" s="10">
        <v>2400</v>
      </c>
      <c r="G69" s="11">
        <f t="shared" si="16"/>
        <v>0.5</v>
      </c>
      <c r="H69" s="10">
        <f t="shared" si="17"/>
        <v>2400</v>
      </c>
      <c r="I69" s="29">
        <v>8</v>
      </c>
      <c r="J69">
        <f t="shared" si="18"/>
        <v>859.6</v>
      </c>
      <c r="K69" s="11">
        <f>0.2*F69</f>
        <v>480</v>
      </c>
      <c r="L69" s="11">
        <f>K69/F69</f>
        <v>0.2</v>
      </c>
      <c r="M69" s="10">
        <f>F69+K69/2</f>
        <v>2640</v>
      </c>
      <c r="N69" s="10">
        <f>F69-K69/2</f>
        <v>2160</v>
      </c>
      <c r="O69" s="10" t="s">
        <v>112</v>
      </c>
      <c r="P69" s="10" t="s">
        <v>121</v>
      </c>
    </row>
    <row r="70" spans="1:16" x14ac:dyDescent="0.25">
      <c r="A70">
        <v>7.6</v>
      </c>
      <c r="B70" t="s">
        <v>122</v>
      </c>
      <c r="C70">
        <v>6000</v>
      </c>
      <c r="D70">
        <v>4800</v>
      </c>
      <c r="E70">
        <v>0.8</v>
      </c>
      <c r="F70">
        <f>0.65*D70</f>
        <v>3120</v>
      </c>
      <c r="G70">
        <f t="shared" si="16"/>
        <v>0.65</v>
      </c>
      <c r="H70">
        <f t="shared" si="17"/>
        <v>1680</v>
      </c>
      <c r="I70" s="27">
        <f>(F70-F69)/25</f>
        <v>28.8</v>
      </c>
      <c r="J70">
        <f t="shared" si="18"/>
        <v>888.4</v>
      </c>
      <c r="O70" t="s">
        <v>115</v>
      </c>
    </row>
    <row r="71" spans="1:16" x14ac:dyDescent="0.25">
      <c r="A71" s="9">
        <v>7.7</v>
      </c>
      <c r="B71" s="9" t="s">
        <v>118</v>
      </c>
      <c r="C71" s="9">
        <f>C72</f>
        <v>6000</v>
      </c>
      <c r="D71" s="9">
        <f>D72</f>
        <v>4800</v>
      </c>
      <c r="E71" s="9">
        <f>D71/C71</f>
        <v>0.8</v>
      </c>
      <c r="F71" s="9">
        <f>F72</f>
        <v>3120</v>
      </c>
      <c r="G71" s="9">
        <f t="shared" si="16"/>
        <v>0.65</v>
      </c>
      <c r="H71" s="12">
        <f t="shared" si="17"/>
        <v>1680</v>
      </c>
      <c r="I71" s="31">
        <f>(M71-F71)/25</f>
        <v>9.6</v>
      </c>
      <c r="J71">
        <f t="shared" si="18"/>
        <v>898</v>
      </c>
      <c r="K71" s="9">
        <f>K72</f>
        <v>480</v>
      </c>
      <c r="L71" s="9">
        <f>L72</f>
        <v>0.15384615384615385</v>
      </c>
      <c r="M71" s="9">
        <f>M72</f>
        <v>3360</v>
      </c>
      <c r="N71" s="9">
        <f>N72</f>
        <v>2880</v>
      </c>
      <c r="O71" s="9"/>
      <c r="P71" s="9" t="s">
        <v>119</v>
      </c>
    </row>
    <row r="72" spans="1:16" x14ac:dyDescent="0.25">
      <c r="A72" s="10">
        <v>7.8</v>
      </c>
      <c r="B72" s="10" t="s">
        <v>120</v>
      </c>
      <c r="C72" s="10">
        <v>6000</v>
      </c>
      <c r="D72" s="10">
        <v>4800</v>
      </c>
      <c r="E72" s="10">
        <f>D72/C72</f>
        <v>0.8</v>
      </c>
      <c r="F72" s="10">
        <v>3120</v>
      </c>
      <c r="G72" s="11">
        <f t="shared" si="16"/>
        <v>0.65</v>
      </c>
      <c r="H72" s="10">
        <f t="shared" si="17"/>
        <v>1680</v>
      </c>
      <c r="I72" s="29">
        <v>8</v>
      </c>
      <c r="J72">
        <f t="shared" si="18"/>
        <v>906</v>
      </c>
      <c r="K72" s="11">
        <v>480</v>
      </c>
      <c r="L72" s="11">
        <f>K72/F72</f>
        <v>0.15384615384615385</v>
      </c>
      <c r="M72" s="10">
        <f>F72+K72/2</f>
        <v>3360</v>
      </c>
      <c r="N72" s="10">
        <f>F72-K72/2</f>
        <v>2880</v>
      </c>
      <c r="O72" s="10" t="s">
        <v>112</v>
      </c>
      <c r="P72" s="11" t="s">
        <v>123</v>
      </c>
    </row>
    <row r="73" spans="1:16" x14ac:dyDescent="0.25">
      <c r="A73">
        <v>7.9</v>
      </c>
      <c r="B73" t="s">
        <v>122</v>
      </c>
      <c r="C73">
        <v>6000</v>
      </c>
      <c r="D73">
        <v>4800</v>
      </c>
      <c r="E73">
        <v>0.8</v>
      </c>
      <c r="F73">
        <f>0.8*D73</f>
        <v>3840</v>
      </c>
      <c r="G73">
        <f t="shared" si="16"/>
        <v>0.8</v>
      </c>
      <c r="H73">
        <f t="shared" si="17"/>
        <v>960</v>
      </c>
      <c r="I73" s="27">
        <f>(F73-F72)/25</f>
        <v>28.8</v>
      </c>
      <c r="J73">
        <f t="shared" si="18"/>
        <v>934.8</v>
      </c>
      <c r="O73" t="s">
        <v>115</v>
      </c>
    </row>
    <row r="74" spans="1:16" x14ac:dyDescent="0.25">
      <c r="A74" s="9">
        <v>7.1</v>
      </c>
      <c r="B74" s="9" t="s">
        <v>118</v>
      </c>
      <c r="C74" s="9">
        <f>C75</f>
        <v>6000</v>
      </c>
      <c r="D74" s="9">
        <f>D75</f>
        <v>4800</v>
      </c>
      <c r="E74" s="9">
        <f>D74/C74</f>
        <v>0.8</v>
      </c>
      <c r="F74" s="9">
        <f>F75</f>
        <v>3840</v>
      </c>
      <c r="G74" s="9">
        <f t="shared" si="16"/>
        <v>0.8</v>
      </c>
      <c r="H74" s="12">
        <f t="shared" si="17"/>
        <v>960</v>
      </c>
      <c r="I74" s="31">
        <f>(M74-F74)/25</f>
        <v>9.6</v>
      </c>
      <c r="J74">
        <f t="shared" si="18"/>
        <v>944.4</v>
      </c>
      <c r="K74" s="9">
        <f>K75</f>
        <v>480</v>
      </c>
      <c r="L74" s="9">
        <f>L75</f>
        <v>0.125</v>
      </c>
      <c r="M74" s="9">
        <f>M75</f>
        <v>4080</v>
      </c>
      <c r="N74" s="9">
        <f>N75</f>
        <v>3600</v>
      </c>
      <c r="O74" s="9"/>
      <c r="P74" s="9" t="s">
        <v>119</v>
      </c>
    </row>
    <row r="75" spans="1:16" x14ac:dyDescent="0.25">
      <c r="A75" s="10">
        <v>7.11</v>
      </c>
      <c r="B75" s="10" t="s">
        <v>120</v>
      </c>
      <c r="C75" s="10">
        <v>6000</v>
      </c>
      <c r="D75" s="10">
        <v>4800</v>
      </c>
      <c r="E75" s="10">
        <f>D75/C75</f>
        <v>0.8</v>
      </c>
      <c r="F75" s="10">
        <v>3840</v>
      </c>
      <c r="G75" s="11">
        <f t="shared" si="16"/>
        <v>0.8</v>
      </c>
      <c r="H75" s="10">
        <f t="shared" si="17"/>
        <v>960</v>
      </c>
      <c r="I75" s="29">
        <v>8</v>
      </c>
      <c r="J75">
        <f t="shared" si="18"/>
        <v>952.4</v>
      </c>
      <c r="K75" s="11">
        <v>480</v>
      </c>
      <c r="L75" s="11">
        <f>K75/F75</f>
        <v>0.125</v>
      </c>
      <c r="M75" s="10">
        <f>F75+K75/2</f>
        <v>4080</v>
      </c>
      <c r="N75" s="10">
        <f>F75-K75/2</f>
        <v>3600</v>
      </c>
      <c r="O75" s="10" t="s">
        <v>112</v>
      </c>
      <c r="P75" s="11" t="s">
        <v>123</v>
      </c>
    </row>
    <row r="76" spans="1:16" x14ac:dyDescent="0.25">
      <c r="A76">
        <v>7.12</v>
      </c>
      <c r="B76" t="s">
        <v>122</v>
      </c>
      <c r="C76">
        <v>6000</v>
      </c>
      <c r="D76">
        <v>4800</v>
      </c>
      <c r="E76">
        <v>0.8</v>
      </c>
      <c r="F76">
        <v>4320</v>
      </c>
      <c r="G76">
        <f t="shared" si="16"/>
        <v>0.9</v>
      </c>
      <c r="H76">
        <f t="shared" si="17"/>
        <v>480</v>
      </c>
      <c r="I76" s="27">
        <f>(F76-F75)/25</f>
        <v>19.2</v>
      </c>
      <c r="J76">
        <f t="shared" si="18"/>
        <v>971.6</v>
      </c>
      <c r="O76" t="s">
        <v>115</v>
      </c>
    </row>
    <row r="77" spans="1:16" x14ac:dyDescent="0.25">
      <c r="A77" s="9">
        <v>7.13</v>
      </c>
      <c r="B77" s="9" t="s">
        <v>118</v>
      </c>
      <c r="C77" s="9">
        <f>C78</f>
        <v>6000</v>
      </c>
      <c r="D77" s="9">
        <f>D78</f>
        <v>4800</v>
      </c>
      <c r="E77" s="9">
        <f>D77/C77</f>
        <v>0.8</v>
      </c>
      <c r="F77" s="9">
        <f>F78</f>
        <v>4320</v>
      </c>
      <c r="G77" s="9">
        <f t="shared" si="16"/>
        <v>0.9</v>
      </c>
      <c r="H77" s="12">
        <f t="shared" si="17"/>
        <v>480</v>
      </c>
      <c r="I77" s="31">
        <f>(M77-F77)/25</f>
        <v>9.6</v>
      </c>
      <c r="J77">
        <f t="shared" si="18"/>
        <v>981.2</v>
      </c>
      <c r="K77" s="9">
        <f>K78</f>
        <v>480</v>
      </c>
      <c r="L77" s="9">
        <f>L78</f>
        <v>0.1111111111111111</v>
      </c>
      <c r="M77" s="9">
        <f>M78</f>
        <v>4560</v>
      </c>
      <c r="N77" s="9">
        <f>N78</f>
        <v>4080</v>
      </c>
      <c r="O77" s="9"/>
      <c r="P77" s="9" t="s">
        <v>119</v>
      </c>
    </row>
    <row r="78" spans="1:16" x14ac:dyDescent="0.25">
      <c r="A78" s="15">
        <v>7.14</v>
      </c>
      <c r="B78" s="10" t="s">
        <v>120</v>
      </c>
      <c r="C78" s="10">
        <v>6000</v>
      </c>
      <c r="D78" s="10">
        <v>4800</v>
      </c>
      <c r="E78" s="10">
        <f>D78/C78</f>
        <v>0.8</v>
      </c>
      <c r="F78" s="10">
        <v>4320</v>
      </c>
      <c r="G78" s="11">
        <f t="shared" si="16"/>
        <v>0.9</v>
      </c>
      <c r="H78" s="10">
        <f t="shared" si="17"/>
        <v>480</v>
      </c>
      <c r="I78" s="29">
        <v>8</v>
      </c>
      <c r="J78">
        <f t="shared" si="18"/>
        <v>989.2</v>
      </c>
      <c r="K78" s="11">
        <v>480</v>
      </c>
      <c r="L78" s="11">
        <f>K78/F78</f>
        <v>0.1111111111111111</v>
      </c>
      <c r="M78" s="10">
        <f>F78+K78/2</f>
        <v>4560</v>
      </c>
      <c r="N78" s="10">
        <f>F78-K78/2</f>
        <v>4080</v>
      </c>
      <c r="O78" s="10" t="s">
        <v>112</v>
      </c>
      <c r="P78" s="11" t="s">
        <v>123</v>
      </c>
    </row>
    <row r="79" spans="1:16" x14ac:dyDescent="0.25">
      <c r="A79" s="13">
        <v>7.15</v>
      </c>
      <c r="B79" s="13" t="s">
        <v>124</v>
      </c>
      <c r="C79" s="13">
        <v>6000</v>
      </c>
      <c r="D79" s="13">
        <v>4800</v>
      </c>
      <c r="E79" s="13">
        <v>0.8</v>
      </c>
      <c r="F79" s="13">
        <v>2400</v>
      </c>
      <c r="G79" s="13">
        <f t="shared" si="16"/>
        <v>0.5</v>
      </c>
      <c r="H79" s="13">
        <f t="shared" si="17"/>
        <v>2400</v>
      </c>
      <c r="I79" s="28">
        <f>(F78-F79)/25</f>
        <v>76.8</v>
      </c>
      <c r="J79">
        <f t="shared" si="18"/>
        <v>1066</v>
      </c>
      <c r="K79" s="13"/>
      <c r="L79" s="13"/>
      <c r="M79" s="13"/>
      <c r="N79" s="13"/>
      <c r="O79" s="13" t="s">
        <v>115</v>
      </c>
      <c r="P79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0"/>
  <sheetViews>
    <sheetView tabSelected="1" topLeftCell="V1" workbookViewId="0">
      <selection activeCell="AC6" sqref="AC6"/>
    </sheetView>
  </sheetViews>
  <sheetFormatPr defaultRowHeight="15" x14ac:dyDescent="0.25"/>
  <cols>
    <col min="1" max="1" width="8.375" bestFit="1" customWidth="1"/>
    <col min="2" max="2" width="5.375" bestFit="1" customWidth="1"/>
    <col min="3" max="3" width="4.25" bestFit="1" customWidth="1"/>
    <col min="4" max="4" width="24" style="4" bestFit="1" customWidth="1"/>
    <col min="5" max="5" width="18.125" bestFit="1" customWidth="1"/>
    <col min="6" max="6" width="21" bestFit="1" customWidth="1"/>
    <col min="7" max="7" width="13.25" bestFit="1" customWidth="1"/>
    <col min="8" max="8" width="15.25" bestFit="1" customWidth="1"/>
    <col min="9" max="9" width="18.625" style="4" bestFit="1" customWidth="1"/>
    <col min="10" max="10" width="9.375" style="5" bestFit="1" customWidth="1"/>
    <col min="11" max="11" width="8.375" bestFit="1" customWidth="1"/>
    <col min="12" max="12" width="9.25" bestFit="1" customWidth="1"/>
    <col min="13" max="13" width="9.25" style="4" bestFit="1" customWidth="1"/>
    <col min="14" max="14" width="14.125" bestFit="1" customWidth="1"/>
    <col min="15" max="16" width="15.125" bestFit="1" customWidth="1"/>
    <col min="17" max="17" width="16.125" bestFit="1" customWidth="1"/>
    <col min="18" max="18" width="14.125" bestFit="1" customWidth="1"/>
    <col min="19" max="19" width="15.125" bestFit="1" customWidth="1"/>
    <col min="20" max="20" width="20.5" bestFit="1" customWidth="1"/>
    <col min="21" max="21" width="27.25" style="20" bestFit="1" customWidth="1"/>
    <col min="22" max="22" width="22.625" customWidth="1"/>
    <col min="23" max="23" width="23.875" bestFit="1" customWidth="1"/>
    <col min="24" max="24" width="22.625" customWidth="1"/>
    <col min="25" max="25" width="24.25" bestFit="1" customWidth="1"/>
    <col min="26" max="26" width="26.625" bestFit="1" customWidth="1"/>
    <col min="27" max="27" width="23.75" bestFit="1" customWidth="1"/>
    <col min="28" max="28" width="20.375" bestFit="1" customWidth="1"/>
    <col min="29" max="29" width="20.375" style="4" customWidth="1"/>
    <col min="30" max="30" width="14.625" bestFit="1" customWidth="1"/>
    <col min="31" max="31" width="15.625" style="4" bestFit="1" customWidth="1"/>
    <col min="32" max="32" width="16.375" style="5" bestFit="1" customWidth="1"/>
    <col min="33" max="33" width="49.25" bestFit="1" customWidth="1"/>
  </cols>
  <sheetData>
    <row r="1" spans="1:33" x14ac:dyDescent="0.25">
      <c r="A1" t="s">
        <v>3</v>
      </c>
      <c r="B1" t="s">
        <v>4</v>
      </c>
      <c r="C1" t="s">
        <v>2</v>
      </c>
      <c r="D1" s="4" t="s">
        <v>72</v>
      </c>
      <c r="E1" t="s">
        <v>5</v>
      </c>
      <c r="F1" t="s">
        <v>58</v>
      </c>
      <c r="G1" t="s">
        <v>50</v>
      </c>
      <c r="H1" t="s">
        <v>49</v>
      </c>
      <c r="I1" s="4" t="s">
        <v>51</v>
      </c>
      <c r="J1" s="5" t="s">
        <v>52</v>
      </c>
      <c r="K1" t="s">
        <v>6</v>
      </c>
      <c r="L1" t="s">
        <v>7</v>
      </c>
      <c r="M1" s="4" t="s">
        <v>8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95</v>
      </c>
      <c r="U1" s="20" t="s">
        <v>84</v>
      </c>
      <c r="V1" t="s">
        <v>75</v>
      </c>
      <c r="W1" t="s">
        <v>76</v>
      </c>
      <c r="X1" t="s">
        <v>130</v>
      </c>
      <c r="Y1" t="s">
        <v>54</v>
      </c>
      <c r="Z1" t="s">
        <v>55</v>
      </c>
      <c r="AA1" t="s">
        <v>56</v>
      </c>
      <c r="AB1" t="s">
        <v>57</v>
      </c>
      <c r="AC1" s="4" t="s">
        <v>74</v>
      </c>
      <c r="AD1" t="s">
        <v>10</v>
      </c>
      <c r="AE1" s="4" t="s">
        <v>9</v>
      </c>
      <c r="AF1" s="5" t="s">
        <v>16</v>
      </c>
      <c r="AG1" t="s">
        <v>82</v>
      </c>
    </row>
    <row r="2" spans="1:33" x14ac:dyDescent="0.25">
      <c r="A2" s="1">
        <v>42644</v>
      </c>
      <c r="B2" s="2">
        <v>0.76944444444444438</v>
      </c>
      <c r="C2">
        <v>1.1000000000000001</v>
      </c>
      <c r="D2" s="4" t="s">
        <v>73</v>
      </c>
      <c r="N2">
        <v>0.8095</v>
      </c>
      <c r="P2">
        <v>0.79969999999999997</v>
      </c>
      <c r="R2">
        <v>0.79120000000000001</v>
      </c>
      <c r="T2">
        <v>0</v>
      </c>
      <c r="U2" s="4" t="s">
        <v>83</v>
      </c>
    </row>
    <row r="3" spans="1:33" x14ac:dyDescent="0.25">
      <c r="A3" s="1">
        <v>42645</v>
      </c>
      <c r="B3" s="2">
        <v>0.75277777777777777</v>
      </c>
      <c r="C3">
        <v>1.2</v>
      </c>
      <c r="D3" s="4" t="s">
        <v>170</v>
      </c>
      <c r="E3" t="s">
        <v>171</v>
      </c>
      <c r="N3">
        <v>0.80610000000000004</v>
      </c>
      <c r="P3">
        <v>0.81940000000000002</v>
      </c>
      <c r="R3">
        <v>0.78879999999999995</v>
      </c>
      <c r="T3">
        <v>0</v>
      </c>
      <c r="U3" s="4" t="s">
        <v>172</v>
      </c>
    </row>
    <row r="4" spans="1:33" s="13" customFormat="1" x14ac:dyDescent="0.25">
      <c r="A4" s="33">
        <v>42645</v>
      </c>
      <c r="B4" s="34">
        <v>0.90694444444444444</v>
      </c>
      <c r="C4" s="13">
        <v>1.3</v>
      </c>
      <c r="D4" s="21" t="s">
        <v>177</v>
      </c>
      <c r="E4" s="13">
        <v>0</v>
      </c>
      <c r="F4" s="35">
        <v>-1.0356E-3</v>
      </c>
      <c r="I4" s="21"/>
      <c r="J4" s="24"/>
      <c r="M4" s="21"/>
      <c r="N4" s="13">
        <v>0.80820000000000003</v>
      </c>
      <c r="P4" s="13">
        <v>0.81950000000000001</v>
      </c>
      <c r="R4" s="13">
        <v>0.79890000000000005</v>
      </c>
      <c r="T4" s="13">
        <v>12.053000000000001</v>
      </c>
      <c r="U4" s="21" t="s">
        <v>83</v>
      </c>
      <c r="AC4" s="21"/>
      <c r="AE4" s="21"/>
      <c r="AF4" s="24"/>
    </row>
    <row r="5" spans="1:33" s="3" customFormat="1" x14ac:dyDescent="0.25">
      <c r="A5" s="36">
        <v>42645</v>
      </c>
      <c r="B5" s="39">
        <v>0.96805555555555556</v>
      </c>
      <c r="C5" s="3">
        <v>2.1</v>
      </c>
      <c r="D5" s="37" t="s">
        <v>178</v>
      </c>
      <c r="I5" s="37"/>
      <c r="J5" s="38"/>
      <c r="M5" s="37"/>
      <c r="N5" s="3">
        <v>0.80789999999999995</v>
      </c>
      <c r="P5" s="3">
        <v>0.8196</v>
      </c>
      <c r="R5" s="3">
        <v>0.79890000000000005</v>
      </c>
      <c r="T5" s="3">
        <v>0</v>
      </c>
      <c r="U5" s="37" t="s">
        <v>172</v>
      </c>
      <c r="V5" s="3">
        <v>0.7974</v>
      </c>
      <c r="Y5" s="3">
        <v>32.5</v>
      </c>
      <c r="Z5" s="3">
        <v>17.5</v>
      </c>
      <c r="AA5" s="44">
        <v>7</v>
      </c>
      <c r="AB5" s="44">
        <v>7</v>
      </c>
      <c r="AC5" s="45">
        <v>3500</v>
      </c>
      <c r="AE5" s="37"/>
      <c r="AF5" s="38"/>
    </row>
    <row r="6" spans="1:33" ht="14.25" customHeight="1" x14ac:dyDescent="0.25">
      <c r="A6" s="1">
        <v>42646</v>
      </c>
      <c r="B6" s="2">
        <v>0.50277777777777777</v>
      </c>
      <c r="C6" s="6">
        <v>2.2000000000000002</v>
      </c>
      <c r="D6" s="4" t="s">
        <v>179</v>
      </c>
      <c r="E6">
        <v>0</v>
      </c>
      <c r="F6" s="43">
        <v>-5.6280000000000002E-3</v>
      </c>
      <c r="N6" s="6">
        <v>0.83189999999999997</v>
      </c>
      <c r="P6" s="6">
        <v>0.84299999999999997</v>
      </c>
      <c r="R6" s="6">
        <v>0.79910000000000003</v>
      </c>
      <c r="T6" s="6">
        <v>7.9000000000000001E-2</v>
      </c>
      <c r="U6" s="4" t="s">
        <v>83</v>
      </c>
    </row>
    <row r="7" spans="1:33" s="3" customFormat="1" x14ac:dyDescent="0.25">
      <c r="A7" s="1">
        <v>42646</v>
      </c>
      <c r="B7" s="2">
        <v>0.70000000000000007</v>
      </c>
      <c r="C7" s="6">
        <v>2.2999999999999998</v>
      </c>
      <c r="D7" s="4" t="s">
        <v>180</v>
      </c>
      <c r="E7">
        <v>0</v>
      </c>
      <c r="F7" s="43">
        <v>-5.7499999999999999E-3</v>
      </c>
      <c r="G7"/>
      <c r="H7"/>
      <c r="I7" s="4"/>
      <c r="J7" s="5"/>
      <c r="K7"/>
      <c r="L7"/>
      <c r="M7" s="4"/>
      <c r="N7" s="6">
        <v>0.86429999999999996</v>
      </c>
      <c r="O7"/>
      <c r="P7" s="6">
        <v>0.87580000000000002</v>
      </c>
      <c r="Q7"/>
      <c r="R7" s="6">
        <v>0.83050000000000002</v>
      </c>
      <c r="S7"/>
      <c r="T7">
        <v>2.5539999999999998</v>
      </c>
      <c r="U7" s="4" t="s">
        <v>83</v>
      </c>
      <c r="V7"/>
      <c r="W7"/>
      <c r="X7"/>
      <c r="Y7"/>
      <c r="Z7"/>
      <c r="AA7"/>
      <c r="AB7"/>
      <c r="AC7" s="4"/>
      <c r="AD7"/>
      <c r="AE7" s="4"/>
      <c r="AF7" s="5"/>
      <c r="AG7"/>
    </row>
    <row r="8" spans="1:33" s="3" customFormat="1" x14ac:dyDescent="0.25">
      <c r="C8" s="22">
        <v>2.4</v>
      </c>
      <c r="D8" s="37" t="s">
        <v>120</v>
      </c>
      <c r="I8" s="37"/>
      <c r="J8" s="38"/>
      <c r="M8" s="37"/>
      <c r="N8" s="22">
        <v>0.86939999999999995</v>
      </c>
      <c r="P8" s="22">
        <v>0.88060000000000005</v>
      </c>
      <c r="R8" s="22">
        <v>0.83030000000000004</v>
      </c>
      <c r="T8" s="44">
        <f>0.057+0.029</f>
        <v>8.6000000000000007E-2</v>
      </c>
      <c r="U8" s="37" t="s">
        <v>83</v>
      </c>
      <c r="V8" s="3">
        <v>0.83260000000000001</v>
      </c>
      <c r="X8" s="3">
        <v>5.0000000000000001E-4</v>
      </c>
      <c r="AC8" s="37" t="s">
        <v>181</v>
      </c>
      <c r="AE8" s="37"/>
      <c r="AF8" s="38"/>
    </row>
    <row r="9" spans="1:33" x14ac:dyDescent="0.25">
      <c r="U9" s="4"/>
    </row>
    <row r="10" spans="1:33" x14ac:dyDescent="0.25">
      <c r="U10" s="4"/>
    </row>
    <row r="11" spans="1:33" s="17" customFormat="1" x14ac:dyDescent="0.25">
      <c r="A11"/>
      <c r="B11"/>
      <c r="C11"/>
      <c r="D11" s="4"/>
      <c r="E11"/>
      <c r="F11"/>
      <c r="G11"/>
      <c r="H11"/>
      <c r="I11" s="4"/>
      <c r="J11" s="5"/>
      <c r="K11"/>
      <c r="L11"/>
      <c r="M11" s="4"/>
      <c r="N11"/>
      <c r="O11"/>
      <c r="P11"/>
      <c r="Q11"/>
      <c r="R11"/>
      <c r="S11"/>
      <c r="T11"/>
      <c r="U11" s="4"/>
      <c r="V11"/>
      <c r="W11"/>
      <c r="X11"/>
      <c r="Y11"/>
      <c r="Z11"/>
      <c r="AA11"/>
      <c r="AB11"/>
      <c r="AC11" s="4"/>
      <c r="AD11"/>
      <c r="AE11" s="4"/>
      <c r="AF11" s="5"/>
      <c r="AG11"/>
    </row>
    <row r="12" spans="1:33" s="3" customFormat="1" ht="14.25" customHeight="1" x14ac:dyDescent="0.25">
      <c r="A12"/>
      <c r="B12"/>
      <c r="C12"/>
      <c r="D12" s="4"/>
      <c r="E12"/>
      <c r="F12"/>
      <c r="G12"/>
      <c r="H12"/>
      <c r="I12" s="4"/>
      <c r="J12" s="5"/>
      <c r="K12"/>
      <c r="L12"/>
      <c r="M12" s="4"/>
      <c r="N12"/>
      <c r="O12"/>
      <c r="P12"/>
      <c r="Q12"/>
      <c r="R12"/>
      <c r="S12"/>
      <c r="T12"/>
      <c r="U12" s="4"/>
      <c r="V12"/>
      <c r="W12"/>
      <c r="X12"/>
      <c r="Y12"/>
      <c r="Z12"/>
      <c r="AA12"/>
      <c r="AB12"/>
      <c r="AC12" s="4"/>
      <c r="AD12"/>
      <c r="AE12" s="4"/>
      <c r="AF12" s="5"/>
      <c r="AG12"/>
    </row>
    <row r="13" spans="1:33" x14ac:dyDescent="0.25">
      <c r="U13" s="4"/>
    </row>
    <row r="14" spans="1:33" s="3" customFormat="1" x14ac:dyDescent="0.25">
      <c r="A14"/>
      <c r="B14"/>
      <c r="C14"/>
      <c r="D14" s="4"/>
      <c r="E14"/>
      <c r="F14"/>
      <c r="G14"/>
      <c r="H14"/>
      <c r="I14" s="4"/>
      <c r="J14" s="5"/>
      <c r="K14"/>
      <c r="L14"/>
      <c r="M14" s="4"/>
      <c r="N14"/>
      <c r="O14"/>
      <c r="P14"/>
      <c r="Q14"/>
      <c r="R14"/>
      <c r="S14"/>
      <c r="T14"/>
      <c r="U14" s="4"/>
      <c r="V14"/>
      <c r="W14"/>
      <c r="X14"/>
      <c r="Y14"/>
      <c r="Z14"/>
      <c r="AA14"/>
      <c r="AB14"/>
      <c r="AC14" s="4"/>
      <c r="AD14"/>
      <c r="AE14" s="4"/>
      <c r="AF14" s="5"/>
      <c r="AG14"/>
    </row>
    <row r="15" spans="1:33" x14ac:dyDescent="0.25">
      <c r="U15" s="4"/>
    </row>
    <row r="16" spans="1:33" s="22" customFormat="1" x14ac:dyDescent="0.25">
      <c r="A16"/>
      <c r="B16"/>
      <c r="C16"/>
      <c r="D16" s="4"/>
      <c r="E16"/>
      <c r="F16"/>
      <c r="G16"/>
      <c r="H16"/>
      <c r="I16" s="4"/>
      <c r="J16" s="5"/>
      <c r="K16"/>
      <c r="L16"/>
      <c r="M16" s="4"/>
      <c r="N16"/>
      <c r="O16"/>
      <c r="P16"/>
      <c r="Q16"/>
      <c r="R16"/>
      <c r="S16"/>
      <c r="T16"/>
      <c r="U16" s="4"/>
      <c r="V16"/>
      <c r="W16"/>
      <c r="X16"/>
      <c r="Y16"/>
      <c r="Z16"/>
      <c r="AA16"/>
      <c r="AB16"/>
      <c r="AC16" s="4"/>
      <c r="AD16"/>
      <c r="AE16" s="4"/>
      <c r="AF16" s="5"/>
      <c r="AG16"/>
    </row>
    <row r="17" spans="1:33" s="13" customFormat="1" x14ac:dyDescent="0.25">
      <c r="A17"/>
      <c r="B17"/>
      <c r="C17"/>
      <c r="D17" s="4"/>
      <c r="E17"/>
      <c r="F17"/>
      <c r="G17"/>
      <c r="H17"/>
      <c r="I17" s="4"/>
      <c r="J17" s="5"/>
      <c r="K17"/>
      <c r="L17"/>
      <c r="M17" s="4"/>
      <c r="N17"/>
      <c r="O17"/>
      <c r="P17"/>
      <c r="Q17"/>
      <c r="R17"/>
      <c r="S17"/>
      <c r="T17"/>
      <c r="U17" s="4"/>
      <c r="V17"/>
      <c r="W17"/>
      <c r="X17"/>
      <c r="Y17"/>
      <c r="Z17"/>
      <c r="AA17"/>
      <c r="AB17"/>
      <c r="AC17" s="4"/>
      <c r="AD17"/>
      <c r="AE17" s="4"/>
      <c r="AF17" s="5"/>
      <c r="AG17"/>
    </row>
    <row r="18" spans="1:33" x14ac:dyDescent="0.25">
      <c r="U18" s="4"/>
    </row>
    <row r="19" spans="1:33" x14ac:dyDescent="0.25">
      <c r="U19" s="4"/>
    </row>
    <row r="20" spans="1:33" x14ac:dyDescent="0.25">
      <c r="U20" s="4"/>
    </row>
    <row r="21" spans="1:33" s="3" customFormat="1" x14ac:dyDescent="0.25">
      <c r="A21"/>
      <c r="B21"/>
      <c r="C21"/>
      <c r="D21" s="4"/>
      <c r="E21"/>
      <c r="F21"/>
      <c r="G21"/>
      <c r="H21"/>
      <c r="I21" s="4"/>
      <c r="J21" s="5"/>
      <c r="K21"/>
      <c r="L21"/>
      <c r="M21" s="4"/>
      <c r="N21"/>
      <c r="O21"/>
      <c r="P21"/>
      <c r="Q21"/>
      <c r="R21"/>
      <c r="S21"/>
      <c r="T21"/>
      <c r="U21" s="4"/>
      <c r="V21"/>
      <c r="W21"/>
      <c r="X21"/>
      <c r="Y21"/>
      <c r="Z21"/>
      <c r="AA21"/>
      <c r="AB21"/>
      <c r="AC21" s="4"/>
      <c r="AD21"/>
      <c r="AE21" s="4"/>
      <c r="AF21" s="5"/>
      <c r="AG21"/>
    </row>
    <row r="22" spans="1:33" x14ac:dyDescent="0.25">
      <c r="U22" s="4"/>
    </row>
    <row r="23" spans="1:33" s="3" customFormat="1" x14ac:dyDescent="0.25">
      <c r="A23"/>
      <c r="B23"/>
      <c r="C23"/>
      <c r="D23" s="4"/>
      <c r="E23"/>
      <c r="F23"/>
      <c r="G23"/>
      <c r="H23"/>
      <c r="I23" s="4"/>
      <c r="J23" s="5"/>
      <c r="K23"/>
      <c r="L23"/>
      <c r="M23" s="4"/>
      <c r="N23"/>
      <c r="O23"/>
      <c r="P23"/>
      <c r="Q23"/>
      <c r="R23"/>
      <c r="S23"/>
      <c r="T23"/>
      <c r="U23" s="4"/>
      <c r="V23"/>
      <c r="W23"/>
      <c r="X23"/>
      <c r="Y23"/>
      <c r="Z23"/>
      <c r="AA23"/>
      <c r="AB23"/>
      <c r="AC23" s="4"/>
      <c r="AD23"/>
      <c r="AE23" s="4"/>
      <c r="AF23" s="5"/>
      <c r="AG23"/>
    </row>
    <row r="40" spans="21:21" x14ac:dyDescent="0.25">
      <c r="U40" s="20">
        <f>+U41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"/>
  <sheetViews>
    <sheetView workbookViewId="0">
      <selection activeCell="B3" sqref="B3"/>
    </sheetView>
  </sheetViews>
  <sheetFormatPr defaultRowHeight="15" x14ac:dyDescent="0.25"/>
  <cols>
    <col min="1" max="1" width="4.25" style="4" bestFit="1" customWidth="1"/>
    <col min="2" max="2" width="15.5" bestFit="1" customWidth="1"/>
    <col min="3" max="3" width="20" bestFit="1" customWidth="1"/>
    <col min="4" max="4" width="16.75" bestFit="1" customWidth="1"/>
    <col min="5" max="5" width="20.625" style="4" bestFit="1" customWidth="1"/>
    <col min="6" max="6" width="16.5" bestFit="1" customWidth="1"/>
    <col min="7" max="7" width="16.75" bestFit="1" customWidth="1"/>
    <col min="8" max="8" width="18.25" bestFit="1" customWidth="1"/>
    <col min="9" max="9" width="18.25" style="4" customWidth="1"/>
    <col min="10" max="10" width="15.5" bestFit="1" customWidth="1"/>
    <col min="11" max="11" width="15.75" bestFit="1" customWidth="1"/>
    <col min="12" max="12" width="16.75" bestFit="1" customWidth="1"/>
    <col min="13" max="13" width="16.5" style="4" bestFit="1" customWidth="1"/>
    <col min="14" max="14" width="16.5" style="8" customWidth="1"/>
    <col min="15" max="15" width="16.5" style="4" customWidth="1"/>
    <col min="16" max="16" width="18.125" style="8" bestFit="1" customWidth="1"/>
    <col min="17" max="17" width="17.875" style="4" bestFit="1" customWidth="1"/>
    <col min="18" max="18" width="19.25" bestFit="1" customWidth="1"/>
    <col min="19" max="19" width="19" style="4" bestFit="1" customWidth="1"/>
    <col min="20" max="20" width="21.625" bestFit="1" customWidth="1"/>
    <col min="21" max="21" width="21.375" style="4" bestFit="1" customWidth="1"/>
    <col min="22" max="22" width="18.125" bestFit="1" customWidth="1"/>
    <col min="23" max="23" width="19" style="4" bestFit="1" customWidth="1"/>
    <col min="24" max="24" width="20.375" bestFit="1" customWidth="1"/>
    <col min="25" max="25" width="21.375" style="4" bestFit="1" customWidth="1"/>
    <col min="26" max="26" width="20" bestFit="1" customWidth="1"/>
    <col min="27" max="27" width="13.125" style="4" bestFit="1" customWidth="1"/>
    <col min="28" max="28" width="12" bestFit="1" customWidth="1"/>
    <col min="29" max="29" width="18.25" bestFit="1" customWidth="1"/>
    <col min="30" max="30" width="16.25" style="4" bestFit="1" customWidth="1"/>
    <col min="31" max="31" width="9" style="5"/>
    <col min="33" max="33" width="9" style="4"/>
  </cols>
  <sheetData>
    <row r="1" spans="1:33" x14ac:dyDescent="0.25">
      <c r="A1" s="4" t="s">
        <v>2</v>
      </c>
      <c r="B1" t="s">
        <v>131</v>
      </c>
      <c r="C1" t="s">
        <v>132</v>
      </c>
      <c r="D1" t="s">
        <v>133</v>
      </c>
      <c r="E1" s="4" t="s">
        <v>134</v>
      </c>
      <c r="F1" t="s">
        <v>135</v>
      </c>
      <c r="G1" t="s">
        <v>136</v>
      </c>
      <c r="H1" t="s">
        <v>137</v>
      </c>
      <c r="I1" s="4" t="s">
        <v>138</v>
      </c>
      <c r="J1" t="s">
        <v>139</v>
      </c>
      <c r="K1" t="s">
        <v>141</v>
      </c>
      <c r="L1" t="s">
        <v>140</v>
      </c>
      <c r="M1" s="4" t="s">
        <v>142</v>
      </c>
      <c r="N1" s="6" t="s">
        <v>99</v>
      </c>
      <c r="O1" s="18" t="s">
        <v>143</v>
      </c>
      <c r="P1" s="6" t="s">
        <v>144</v>
      </c>
      <c r="Q1" s="18" t="s">
        <v>145</v>
      </c>
      <c r="R1" t="s">
        <v>146</v>
      </c>
      <c r="S1" s="4" t="s">
        <v>147</v>
      </c>
      <c r="T1" t="s">
        <v>148</v>
      </c>
      <c r="U1" s="4" t="s">
        <v>149</v>
      </c>
      <c r="V1" t="s">
        <v>150</v>
      </c>
      <c r="W1" s="4" t="s">
        <v>151</v>
      </c>
      <c r="X1" t="s">
        <v>57</v>
      </c>
      <c r="Y1" s="4" t="s">
        <v>152</v>
      </c>
      <c r="Z1" t="s">
        <v>154</v>
      </c>
      <c r="AA1" s="4" t="s">
        <v>153</v>
      </c>
      <c r="AB1" t="s">
        <v>155</v>
      </c>
      <c r="AC1" t="s">
        <v>156</v>
      </c>
      <c r="AD1" s="4" t="s">
        <v>157</v>
      </c>
      <c r="AE1" s="5" t="s">
        <v>158</v>
      </c>
      <c r="AF1" s="6" t="s">
        <v>159</v>
      </c>
      <c r="AG1" s="18" t="s">
        <v>160</v>
      </c>
    </row>
    <row r="2" spans="1:33" x14ac:dyDescent="0.25">
      <c r="A2" s="4">
        <v>2.1</v>
      </c>
      <c r="B2">
        <v>75</v>
      </c>
      <c r="F2" s="6">
        <v>75</v>
      </c>
      <c r="G2" s="6"/>
      <c r="J2">
        <v>25</v>
      </c>
      <c r="R2">
        <v>32.5</v>
      </c>
      <c r="T2">
        <v>17.5</v>
      </c>
      <c r="Z2" s="19"/>
      <c r="AB2">
        <v>8.8999999999999999E-3</v>
      </c>
    </row>
    <row r="3" spans="1:33" x14ac:dyDescent="0.25">
      <c r="A3" s="4">
        <v>2.2000000000000002</v>
      </c>
      <c r="F3" s="6"/>
      <c r="G3" s="6"/>
      <c r="Z3" s="19"/>
    </row>
    <row r="4" spans="1:33" s="13" customFormat="1" x14ac:dyDescent="0.25">
      <c r="A4" s="21"/>
      <c r="E4" s="21"/>
      <c r="F4" s="14"/>
      <c r="G4" s="14"/>
      <c r="I4" s="21"/>
      <c r="M4" s="21"/>
      <c r="O4" s="21"/>
      <c r="Q4" s="21"/>
      <c r="S4" s="21"/>
      <c r="U4" s="21"/>
      <c r="W4" s="21"/>
      <c r="Y4" s="21"/>
      <c r="Z4" s="23"/>
      <c r="AA4" s="21"/>
      <c r="AD4" s="21"/>
      <c r="AE4" s="24"/>
      <c r="AG4" s="21"/>
    </row>
    <row r="5" spans="1:33" x14ac:dyDescent="0.25">
      <c r="B5" s="6"/>
      <c r="C5" s="6"/>
      <c r="F5" s="6"/>
      <c r="G5" s="6"/>
      <c r="J5" s="6"/>
      <c r="K5" s="6"/>
      <c r="R5" s="6"/>
      <c r="T5" s="6"/>
      <c r="V5" s="6"/>
      <c r="X5" s="6"/>
      <c r="Z5" s="19"/>
    </row>
    <row r="6" spans="1:33" x14ac:dyDescent="0.25">
      <c r="B6" s="6"/>
      <c r="C6" s="6"/>
      <c r="F6" s="6"/>
      <c r="G6" s="6"/>
      <c r="J6" s="6"/>
      <c r="K6" s="6"/>
      <c r="R6" s="6"/>
      <c r="T6" s="6"/>
      <c r="V6" s="6"/>
      <c r="X6" s="6"/>
      <c r="Z6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opLeftCell="N1" workbookViewId="0">
      <selection activeCell="W4" sqref="W4"/>
    </sheetView>
  </sheetViews>
  <sheetFormatPr defaultRowHeight="15" x14ac:dyDescent="0.25"/>
  <cols>
    <col min="3" max="3" width="9" style="4"/>
    <col min="4" max="4" width="14.125" bestFit="1" customWidth="1"/>
    <col min="5" max="5" width="15.125" style="4" bestFit="1" customWidth="1"/>
    <col min="6" max="6" width="14.5" bestFit="1" customWidth="1"/>
    <col min="7" max="7" width="16.125" style="4" bestFit="1" customWidth="1"/>
    <col min="8" max="8" width="14.125" bestFit="1" customWidth="1"/>
    <col min="9" max="9" width="15.125" style="4" bestFit="1" customWidth="1"/>
    <col min="10" max="10" width="27" bestFit="1" customWidth="1"/>
    <col min="11" max="11" width="28" bestFit="1" customWidth="1"/>
    <col min="12" max="12" width="25.375" bestFit="1" customWidth="1"/>
    <col min="13" max="13" width="25.375" style="4" customWidth="1"/>
    <col min="14" max="15" width="25.375" customWidth="1"/>
    <col min="16" max="16" width="26" bestFit="1" customWidth="1"/>
    <col min="17" max="17" width="23.75" style="4" bestFit="1" customWidth="1"/>
    <col min="18" max="18" width="22.875" bestFit="1" customWidth="1"/>
    <col min="19" max="19" width="24.125" bestFit="1" customWidth="1"/>
    <col min="20" max="20" width="26" bestFit="1" customWidth="1"/>
    <col min="21" max="21" width="23.125" style="4" bestFit="1" customWidth="1"/>
    <col min="22" max="22" width="9" style="5"/>
  </cols>
  <sheetData>
    <row r="1" spans="1:22" x14ac:dyDescent="0.25">
      <c r="A1" t="s">
        <v>3</v>
      </c>
      <c r="B1" t="s">
        <v>85</v>
      </c>
      <c r="C1" s="4" t="s">
        <v>2</v>
      </c>
      <c r="D1" t="s">
        <v>43</v>
      </c>
      <c r="E1" s="4" t="s">
        <v>44</v>
      </c>
      <c r="F1" t="s">
        <v>45</v>
      </c>
      <c r="G1" s="4" t="s">
        <v>46</v>
      </c>
      <c r="H1" t="s">
        <v>47</v>
      </c>
      <c r="I1" s="4" t="s">
        <v>92</v>
      </c>
      <c r="J1" t="s">
        <v>86</v>
      </c>
      <c r="K1" t="s">
        <v>87</v>
      </c>
      <c r="L1" t="s">
        <v>88</v>
      </c>
      <c r="M1" s="4" t="s">
        <v>93</v>
      </c>
      <c r="N1" t="s">
        <v>89</v>
      </c>
      <c r="O1" t="s">
        <v>90</v>
      </c>
      <c r="P1" t="s">
        <v>91</v>
      </c>
      <c r="Q1" s="4" t="s">
        <v>94</v>
      </c>
      <c r="R1" t="s">
        <v>77</v>
      </c>
      <c r="S1" t="s">
        <v>80</v>
      </c>
      <c r="T1" t="s">
        <v>78</v>
      </c>
      <c r="U1" s="4" t="s">
        <v>81</v>
      </c>
      <c r="V1" s="5" t="s">
        <v>79</v>
      </c>
    </row>
    <row r="2" spans="1:22" x14ac:dyDescent="0.25">
      <c r="A2" s="1">
        <v>42646</v>
      </c>
      <c r="B2" s="2">
        <v>0.43888888888888888</v>
      </c>
      <c r="C2" s="4">
        <v>2.2000000000000002</v>
      </c>
      <c r="D2">
        <v>0.83140000000000003</v>
      </c>
      <c r="F2" s="6">
        <v>0.84250000000000003</v>
      </c>
      <c r="H2" s="6">
        <v>0.79910000000000003</v>
      </c>
      <c r="J2">
        <v>0.83620000000000005</v>
      </c>
      <c r="N2">
        <v>0.84740000000000004</v>
      </c>
      <c r="R2">
        <v>0.79947999999999997</v>
      </c>
    </row>
    <row r="3" spans="1:22" x14ac:dyDescent="0.25">
      <c r="A3" s="1">
        <v>42646</v>
      </c>
      <c r="B3" s="2">
        <v>0.69791666666666663</v>
      </c>
      <c r="C3" s="4">
        <v>2.2999999999999998</v>
      </c>
      <c r="D3">
        <v>0.86439999999999995</v>
      </c>
      <c r="F3" s="6">
        <v>0.87590000000000001</v>
      </c>
      <c r="H3" s="6">
        <v>0.83050000000000002</v>
      </c>
      <c r="J3">
        <v>0.86839999999999995</v>
      </c>
      <c r="N3">
        <v>0.88</v>
      </c>
      <c r="R3">
        <v>0.83209999999999995</v>
      </c>
    </row>
    <row r="4" spans="1:22" x14ac:dyDescent="0.25">
      <c r="A4" s="1"/>
      <c r="B4" s="2"/>
      <c r="C4" s="4">
        <v>2.2999999999999998</v>
      </c>
      <c r="D4">
        <v>0.86450000000000005</v>
      </c>
      <c r="F4" s="6">
        <v>0.876</v>
      </c>
      <c r="H4" s="6">
        <v>0.83179999999999998</v>
      </c>
      <c r="J4">
        <v>0.86850000000000005</v>
      </c>
      <c r="N4">
        <v>0.88009999999999999</v>
      </c>
      <c r="R4">
        <v>0.83209999999999995</v>
      </c>
    </row>
    <row r="5" spans="1:22" x14ac:dyDescent="0.25">
      <c r="A5" s="1"/>
      <c r="B5" s="2"/>
      <c r="F5" s="6"/>
      <c r="H5" s="6"/>
    </row>
    <row r="6" spans="1:22" x14ac:dyDescent="0.25">
      <c r="A6" s="1"/>
      <c r="B6" s="2"/>
      <c r="F6" s="6"/>
      <c r="H6" s="6"/>
    </row>
    <row r="7" spans="1:22" x14ac:dyDescent="0.25">
      <c r="A7" s="1"/>
      <c r="B7" s="2"/>
      <c r="F7" s="6"/>
      <c r="H7" s="16"/>
    </row>
    <row r="8" spans="1:22" x14ac:dyDescent="0.25">
      <c r="A8" s="1"/>
      <c r="B8" s="2"/>
      <c r="F8" s="6"/>
      <c r="H8" s="6"/>
    </row>
    <row r="9" spans="1:22" x14ac:dyDescent="0.25">
      <c r="A9" s="1"/>
      <c r="B9" s="2"/>
      <c r="F9" s="6"/>
      <c r="H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18" sqref="B18:C19"/>
    </sheetView>
  </sheetViews>
  <sheetFormatPr defaultRowHeight="15" x14ac:dyDescent="0.25"/>
  <cols>
    <col min="1" max="1" width="25.625" bestFit="1" customWidth="1"/>
    <col min="2" max="2" width="12.375" bestFit="1" customWidth="1"/>
  </cols>
  <sheetData>
    <row r="1" spans="1:8" x14ac:dyDescent="0.25">
      <c r="A1" s="32" t="s">
        <v>0</v>
      </c>
      <c r="B1" s="32"/>
      <c r="G1" s="32" t="s">
        <v>1</v>
      </c>
      <c r="H1" s="32"/>
    </row>
    <row r="2" spans="1:8" x14ac:dyDescent="0.25">
      <c r="A2" t="s">
        <v>17</v>
      </c>
      <c r="B2" t="s">
        <v>21</v>
      </c>
      <c r="C2" t="s">
        <v>24</v>
      </c>
    </row>
    <row r="3" spans="1:8" x14ac:dyDescent="0.25">
      <c r="A3">
        <v>32</v>
      </c>
      <c r="B3">
        <v>1</v>
      </c>
      <c r="C3">
        <f>B3*0.0254</f>
        <v>2.5399999999999999E-2</v>
      </c>
      <c r="F3" t="s">
        <v>162</v>
      </c>
    </row>
    <row r="4" spans="1:8" x14ac:dyDescent="0.25">
      <c r="A4">
        <v>33</v>
      </c>
      <c r="B4">
        <v>1</v>
      </c>
      <c r="C4">
        <f>B4*0.0254</f>
        <v>2.5399999999999999E-2</v>
      </c>
      <c r="F4" t="s">
        <v>161</v>
      </c>
    </row>
    <row r="5" spans="1:8" x14ac:dyDescent="0.25">
      <c r="A5">
        <v>33.5</v>
      </c>
      <c r="B5">
        <v>1</v>
      </c>
      <c r="C5">
        <f>B5*0.0254</f>
        <v>2.5399999999999999E-2</v>
      </c>
    </row>
    <row r="6" spans="1:8" x14ac:dyDescent="0.25">
      <c r="F6" t="s">
        <v>163</v>
      </c>
    </row>
    <row r="7" spans="1:8" x14ac:dyDescent="0.25">
      <c r="A7" t="s">
        <v>23</v>
      </c>
      <c r="B7">
        <f>AVERAGE(A3:A5)/1000</f>
        <v>3.2833333333333332E-2</v>
      </c>
    </row>
    <row r="8" spans="1:8" x14ac:dyDescent="0.25">
      <c r="A8" t="s">
        <v>53</v>
      </c>
      <c r="B8">
        <f>(3.14*AVERAGE(C3:C5)^2)/4</f>
        <v>5.0645059999999986E-4</v>
      </c>
      <c r="F8" t="s">
        <v>164</v>
      </c>
    </row>
    <row r="9" spans="1:8" x14ac:dyDescent="0.25">
      <c r="A9" t="s">
        <v>25</v>
      </c>
      <c r="B9">
        <f>B8*B7</f>
        <v>1.6628461366666663E-5</v>
      </c>
      <c r="F9" t="s">
        <v>165</v>
      </c>
    </row>
    <row r="10" spans="1:8" x14ac:dyDescent="0.25">
      <c r="A10" s="32" t="s">
        <v>22</v>
      </c>
      <c r="B10" s="32"/>
      <c r="C10" s="32"/>
      <c r="F10" t="s">
        <v>166</v>
      </c>
    </row>
    <row r="11" spans="1:8" x14ac:dyDescent="0.25">
      <c r="A11" t="s">
        <v>18</v>
      </c>
      <c r="B11" t="s">
        <v>19</v>
      </c>
      <c r="C11" t="s">
        <v>20</v>
      </c>
    </row>
    <row r="12" spans="1:8" x14ac:dyDescent="0.25">
      <c r="A12">
        <v>-0.28999999999999998</v>
      </c>
      <c r="B12">
        <v>24.97</v>
      </c>
      <c r="C12">
        <f>B12+A12</f>
        <v>24.68</v>
      </c>
      <c r="F12" t="s">
        <v>167</v>
      </c>
    </row>
    <row r="13" spans="1:8" x14ac:dyDescent="0.25">
      <c r="A13">
        <v>-0.28999999999999998</v>
      </c>
      <c r="B13">
        <v>24.96</v>
      </c>
      <c r="C13">
        <f>B13+A13</f>
        <v>24.67</v>
      </c>
    </row>
    <row r="14" spans="1:8" x14ac:dyDescent="0.25">
      <c r="A14">
        <v>-0.3</v>
      </c>
      <c r="B14">
        <v>24.97</v>
      </c>
      <c r="C14">
        <f>B14+A14</f>
        <v>24.669999999999998</v>
      </c>
    </row>
    <row r="16" spans="1:8" x14ac:dyDescent="0.25">
      <c r="A16" t="s">
        <v>26</v>
      </c>
      <c r="B16">
        <f>AVERAGE(C12:C14)</f>
        <v>24.673333333333332</v>
      </c>
    </row>
    <row r="18" spans="1:3" x14ac:dyDescent="0.25">
      <c r="A18" t="s">
        <v>168</v>
      </c>
      <c r="B18">
        <v>50.56</v>
      </c>
    </row>
    <row r="19" spans="1:3" x14ac:dyDescent="0.25">
      <c r="A19" t="s">
        <v>169</v>
      </c>
      <c r="B19">
        <f>C19-B18</f>
        <v>34.47</v>
      </c>
      <c r="C19">
        <v>85.03</v>
      </c>
    </row>
  </sheetData>
  <mergeCells count="3">
    <mergeCell ref="A1:B1"/>
    <mergeCell ref="G1:H1"/>
    <mergeCell ref="A10:C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C7" sqref="C7"/>
    </sheetView>
  </sheetViews>
  <sheetFormatPr defaultRowHeight="15" x14ac:dyDescent="0.25"/>
  <cols>
    <col min="1" max="1" width="36.125" bestFit="1" customWidth="1"/>
  </cols>
  <sheetData>
    <row r="1" spans="1:2" x14ac:dyDescent="0.25">
      <c r="A1" s="32" t="s">
        <v>11</v>
      </c>
      <c r="B1" s="32"/>
    </row>
    <row r="2" spans="1:2" x14ac:dyDescent="0.25">
      <c r="A2" t="s">
        <v>29</v>
      </c>
      <c r="B2">
        <v>23.3</v>
      </c>
    </row>
    <row r="3" spans="1:2" x14ac:dyDescent="0.25">
      <c r="A3" t="s">
        <v>30</v>
      </c>
      <c r="B3">
        <v>24.5</v>
      </c>
    </row>
    <row r="4" spans="1:2" x14ac:dyDescent="0.25">
      <c r="A4" t="s">
        <v>31</v>
      </c>
      <c r="B4">
        <v>23.9</v>
      </c>
    </row>
    <row r="6" spans="1:2" x14ac:dyDescent="0.25">
      <c r="A6" s="32" t="s">
        <v>12</v>
      </c>
      <c r="B6" s="32"/>
    </row>
    <row r="7" spans="1:2" x14ac:dyDescent="0.25">
      <c r="A7" t="s">
        <v>34</v>
      </c>
      <c r="B7">
        <v>2500</v>
      </c>
    </row>
    <row r="8" spans="1:2" x14ac:dyDescent="0.25">
      <c r="A8" t="s">
        <v>35</v>
      </c>
      <c r="B8">
        <v>8000</v>
      </c>
    </row>
    <row r="9" spans="1:2" x14ac:dyDescent="0.25">
      <c r="A9" t="s">
        <v>36</v>
      </c>
      <c r="B9">
        <v>4000</v>
      </c>
    </row>
    <row r="10" spans="1:2" x14ac:dyDescent="0.25">
      <c r="A10" t="s">
        <v>37</v>
      </c>
      <c r="B10">
        <v>3000</v>
      </c>
    </row>
    <row r="12" spans="1:2" x14ac:dyDescent="0.25">
      <c r="A12" s="32" t="s">
        <v>15</v>
      </c>
      <c r="B12" s="32"/>
    </row>
    <row r="13" spans="1:2" x14ac:dyDescent="0.25">
      <c r="A13" t="s">
        <v>32</v>
      </c>
      <c r="B13">
        <v>200</v>
      </c>
    </row>
    <row r="14" spans="1:2" x14ac:dyDescent="0.25">
      <c r="A14" t="s">
        <v>33</v>
      </c>
      <c r="B14">
        <v>4</v>
      </c>
    </row>
    <row r="15" spans="1:2" x14ac:dyDescent="0.25">
      <c r="A15" t="s">
        <v>14</v>
      </c>
      <c r="B15">
        <v>1</v>
      </c>
    </row>
    <row r="16" spans="1:2" x14ac:dyDescent="0.25">
      <c r="A16" t="s">
        <v>13</v>
      </c>
      <c r="B16">
        <v>30</v>
      </c>
    </row>
    <row r="17" spans="1:2" x14ac:dyDescent="0.25">
      <c r="A17" t="s">
        <v>38</v>
      </c>
      <c r="B17" t="s">
        <v>40</v>
      </c>
    </row>
    <row r="18" spans="1:2" x14ac:dyDescent="0.25">
      <c r="A18" t="s">
        <v>39</v>
      </c>
      <c r="B18" t="s">
        <v>41</v>
      </c>
    </row>
    <row r="20" spans="1:2" x14ac:dyDescent="0.25">
      <c r="A20" s="32" t="s">
        <v>27</v>
      </c>
      <c r="B20" s="32"/>
    </row>
    <row r="21" spans="1:2" x14ac:dyDescent="0.25">
      <c r="A21" t="s">
        <v>42</v>
      </c>
      <c r="B21">
        <v>3</v>
      </c>
    </row>
    <row r="22" spans="1:2" x14ac:dyDescent="0.25">
      <c r="A22" t="s">
        <v>28</v>
      </c>
      <c r="B22">
        <f>B21*0.0254</f>
        <v>7.619999999999999E-2</v>
      </c>
    </row>
  </sheetData>
  <mergeCells count="4">
    <mergeCell ref="A1:B1"/>
    <mergeCell ref="A6:B6"/>
    <mergeCell ref="A12:B12"/>
    <mergeCell ref="A20:B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activeCell="M2" sqref="M2"/>
    </sheetView>
  </sheetViews>
  <sheetFormatPr defaultRowHeight="15" x14ac:dyDescent="0.25"/>
  <cols>
    <col min="2" max="2" width="13.5" bestFit="1" customWidth="1"/>
  </cols>
  <sheetData>
    <row r="1" spans="1:14" x14ac:dyDescent="0.25">
      <c r="A1" t="s">
        <v>2</v>
      </c>
      <c r="B1" t="s">
        <v>61</v>
      </c>
      <c r="C1" t="s">
        <v>59</v>
      </c>
      <c r="D1" t="s">
        <v>60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Experimental Plan</vt:lpstr>
      <vt:lpstr>Experimental data</vt:lpstr>
      <vt:lpstr>k tests</vt:lpstr>
      <vt:lpstr>Btests</vt:lpstr>
      <vt:lpstr>Core Details</vt:lpstr>
      <vt:lpstr>Initialization Parameters</vt:lpstr>
      <vt:lpstr>TT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Vora</dc:creator>
  <cp:lastModifiedBy>Harsh Vora</cp:lastModifiedBy>
  <dcterms:created xsi:type="dcterms:W3CDTF">2016-08-31T22:35:53Z</dcterms:created>
  <dcterms:modified xsi:type="dcterms:W3CDTF">2016-10-03T23:01:59Z</dcterms:modified>
</cp:coreProperties>
</file>