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sh\Desktop\analyzed\"/>
    </mc:Choice>
  </mc:AlternateContent>
  <bookViews>
    <workbookView xWindow="0" yWindow="0" windowWidth="7785" windowHeight="2760" activeTab="2"/>
  </bookViews>
  <sheets>
    <sheet name="Experimental Plan" sheetId="6" r:id="rId1"/>
    <sheet name="Experimental data" sheetId="3" r:id="rId2"/>
    <sheet name="k tests" sheetId="7" r:id="rId3"/>
    <sheet name="Btests" sheetId="5" r:id="rId4"/>
    <sheet name="Core Details" sheetId="1" r:id="rId5"/>
    <sheet name="TT calculations" sheetId="4" r:id="rId6"/>
    <sheet name="to do" sheetId="8" r:id="rId7"/>
    <sheet name="Initialization Parameters" sheetId="2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0" i="7" l="1"/>
  <c r="Z19" i="7"/>
  <c r="Z17" i="7"/>
  <c r="H31" i="2"/>
  <c r="H30" i="2"/>
  <c r="I35" i="6" l="1"/>
  <c r="Y9" i="7" l="1"/>
  <c r="W9" i="7"/>
  <c r="U9" i="7"/>
  <c r="S9" i="7"/>
  <c r="Y8" i="7" l="1"/>
  <c r="W8" i="7"/>
  <c r="U8" i="7" l="1"/>
  <c r="S8" i="7"/>
  <c r="L8" i="7"/>
  <c r="M8" i="7" s="1"/>
  <c r="H8" i="7"/>
  <c r="I8" i="7" s="1"/>
  <c r="Y7" i="7" l="1"/>
  <c r="W7" i="7"/>
  <c r="L7" i="7"/>
  <c r="M7" i="7" s="1"/>
  <c r="N7" i="7"/>
  <c r="O7" i="7" s="1"/>
  <c r="H7" i="7"/>
  <c r="I7" i="7" s="1"/>
  <c r="D7" i="7"/>
  <c r="E7" i="7" s="1"/>
  <c r="U7" i="7"/>
  <c r="S7" i="7"/>
  <c r="R20" i="3"/>
  <c r="P20" i="3"/>
  <c r="F20" i="3"/>
  <c r="AE3" i="7"/>
  <c r="AE4" i="7"/>
  <c r="AE5" i="7"/>
  <c r="AE6" i="7"/>
  <c r="AF6" i="7" s="1"/>
  <c r="AE2" i="7"/>
  <c r="AF2" i="7" s="1"/>
  <c r="AH2" i="7" s="1"/>
  <c r="AF3" i="7"/>
  <c r="AG3" i="7" s="1"/>
  <c r="AF4" i="7"/>
  <c r="AG4" i="7" s="1"/>
  <c r="AF5" i="7"/>
  <c r="AG5" i="7" s="1"/>
  <c r="AA6" i="7"/>
  <c r="AA5" i="7"/>
  <c r="AA4" i="7"/>
  <c r="AA3" i="7"/>
  <c r="Y3" i="7"/>
  <c r="Y4" i="7"/>
  <c r="Y5" i="7"/>
  <c r="Y6" i="7"/>
  <c r="Y2" i="7"/>
  <c r="W3" i="7"/>
  <c r="W4" i="7"/>
  <c r="W5" i="7"/>
  <c r="W6" i="7"/>
  <c r="W2" i="7"/>
  <c r="U3" i="7"/>
  <c r="U4" i="7"/>
  <c r="U5" i="7"/>
  <c r="U6" i="7"/>
  <c r="U2" i="7"/>
  <c r="S3" i="7"/>
  <c r="S4" i="7"/>
  <c r="S5" i="7"/>
  <c r="S6" i="7"/>
  <c r="S2" i="7"/>
  <c r="P3" i="7"/>
  <c r="Q3" i="7"/>
  <c r="P4" i="7"/>
  <c r="Q4" i="7"/>
  <c r="P5" i="7"/>
  <c r="Q5" i="7"/>
  <c r="P6" i="7"/>
  <c r="Q6" i="7"/>
  <c r="P2" i="7"/>
  <c r="Q2" i="7" s="1"/>
  <c r="N3" i="7"/>
  <c r="O3" i="7" s="1"/>
  <c r="N4" i="7"/>
  <c r="O4" i="7"/>
  <c r="N5" i="7"/>
  <c r="O5" i="7" s="1"/>
  <c r="N6" i="7"/>
  <c r="O6" i="7"/>
  <c r="O2" i="7"/>
  <c r="N2" i="7"/>
  <c r="L3" i="7"/>
  <c r="M3" i="7"/>
  <c r="L4" i="7"/>
  <c r="M4" i="7"/>
  <c r="L5" i="7"/>
  <c r="M5" i="7"/>
  <c r="L6" i="7"/>
  <c r="M6" i="7"/>
  <c r="L2" i="7"/>
  <c r="M2" i="7" s="1"/>
  <c r="H3" i="7"/>
  <c r="I3" i="7"/>
  <c r="H4" i="7"/>
  <c r="I4" i="7"/>
  <c r="H5" i="7"/>
  <c r="I5" i="7"/>
  <c r="H6" i="7"/>
  <c r="I6" i="7"/>
  <c r="H2" i="7"/>
  <c r="I2" i="7" s="1"/>
  <c r="D3" i="7"/>
  <c r="E3" i="7"/>
  <c r="D4" i="7"/>
  <c r="E4" i="7"/>
  <c r="D5" i="7"/>
  <c r="E5" i="7"/>
  <c r="D6" i="7"/>
  <c r="E6" i="7"/>
  <c r="D2" i="7"/>
  <c r="E2" i="7" s="1"/>
  <c r="S3" i="5"/>
  <c r="T3" i="5"/>
  <c r="S4" i="5"/>
  <c r="T4" i="5"/>
  <c r="S5" i="5"/>
  <c r="U5" i="5" s="1"/>
  <c r="T5" i="5"/>
  <c r="S6" i="5"/>
  <c r="U6" i="5" s="1"/>
  <c r="T6" i="5"/>
  <c r="T2" i="5"/>
  <c r="S2" i="5"/>
  <c r="U2" i="5" s="1"/>
  <c r="O3" i="5"/>
  <c r="Q3" i="5" s="1"/>
  <c r="P3" i="5"/>
  <c r="O4" i="5"/>
  <c r="P4" i="5"/>
  <c r="Q4" i="5"/>
  <c r="O5" i="5"/>
  <c r="Q5" i="5" s="1"/>
  <c r="P5" i="5"/>
  <c r="O6" i="5"/>
  <c r="P6" i="5"/>
  <c r="P2" i="5"/>
  <c r="O2" i="5"/>
  <c r="K3" i="5"/>
  <c r="M3" i="5" s="1"/>
  <c r="L3" i="5"/>
  <c r="K4" i="5"/>
  <c r="L4" i="5"/>
  <c r="M4" i="5"/>
  <c r="K5" i="5"/>
  <c r="M5" i="5" s="1"/>
  <c r="L5" i="5"/>
  <c r="K6" i="5"/>
  <c r="M6" i="5" s="1"/>
  <c r="L6" i="5"/>
  <c r="L2" i="5"/>
  <c r="K2" i="5"/>
  <c r="I3" i="5"/>
  <c r="U3" i="5" s="1"/>
  <c r="V3" i="5" s="1"/>
  <c r="I4" i="5"/>
  <c r="I5" i="5"/>
  <c r="I6" i="5"/>
  <c r="I2" i="5"/>
  <c r="G3" i="5"/>
  <c r="G4" i="5"/>
  <c r="G5" i="5"/>
  <c r="G6" i="5"/>
  <c r="G2" i="5"/>
  <c r="E3" i="5"/>
  <c r="E4" i="5"/>
  <c r="E5" i="5"/>
  <c r="E6" i="5"/>
  <c r="E2" i="5"/>
  <c r="T20" i="3"/>
  <c r="S4" i="3"/>
  <c r="S5" i="3"/>
  <c r="S8" i="3"/>
  <c r="S9" i="3"/>
  <c r="S12" i="3"/>
  <c r="S13" i="3"/>
  <c r="S16" i="3"/>
  <c r="S17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" i="3"/>
  <c r="P3" i="3"/>
  <c r="P4" i="3"/>
  <c r="T4" i="3" s="1"/>
  <c r="P5" i="3"/>
  <c r="P6" i="3"/>
  <c r="P7" i="3"/>
  <c r="P8" i="3"/>
  <c r="T8" i="3" s="1"/>
  <c r="P9" i="3"/>
  <c r="P10" i="3"/>
  <c r="P11" i="3"/>
  <c r="X11" i="3" s="1"/>
  <c r="P12" i="3"/>
  <c r="T12" i="3" s="1"/>
  <c r="P13" i="3"/>
  <c r="P14" i="3"/>
  <c r="P15" i="3"/>
  <c r="P16" i="3"/>
  <c r="T16" i="3" s="1"/>
  <c r="P17" i="3"/>
  <c r="P18" i="3"/>
  <c r="P19" i="3"/>
  <c r="P2" i="3"/>
  <c r="N3" i="3"/>
  <c r="S3" i="3" s="1"/>
  <c r="N4" i="3"/>
  <c r="N5" i="3"/>
  <c r="T5" i="3" s="1"/>
  <c r="N6" i="3"/>
  <c r="S6" i="3" s="1"/>
  <c r="N7" i="3"/>
  <c r="T7" i="3" s="1"/>
  <c r="N8" i="3"/>
  <c r="N9" i="3"/>
  <c r="T9" i="3" s="1"/>
  <c r="N10" i="3"/>
  <c r="S10" i="3" s="1"/>
  <c r="N11" i="3"/>
  <c r="S11" i="3" s="1"/>
  <c r="N12" i="3"/>
  <c r="N13" i="3"/>
  <c r="T13" i="3" s="1"/>
  <c r="N14" i="3"/>
  <c r="S14" i="3" s="1"/>
  <c r="N15" i="3"/>
  <c r="T15" i="3" s="1"/>
  <c r="N16" i="3"/>
  <c r="N17" i="3"/>
  <c r="T17" i="3" s="1"/>
  <c r="N18" i="3"/>
  <c r="S18" i="3" s="1"/>
  <c r="N19" i="3"/>
  <c r="S19" i="3" s="1"/>
  <c r="N20" i="3"/>
  <c r="N2" i="3"/>
  <c r="T2" i="3" s="1"/>
  <c r="I3" i="3"/>
  <c r="J3" i="3" s="1"/>
  <c r="I4" i="3"/>
  <c r="J4" i="3" s="1"/>
  <c r="I7" i="3"/>
  <c r="J7" i="3" s="1"/>
  <c r="I8" i="3"/>
  <c r="J8" i="3" s="1"/>
  <c r="I11" i="3"/>
  <c r="J11" i="3" s="1"/>
  <c r="I12" i="3"/>
  <c r="J12" i="3" s="1"/>
  <c r="I16" i="3"/>
  <c r="J16" i="3" s="1"/>
  <c r="H18" i="3"/>
  <c r="L18" i="3" s="1"/>
  <c r="E17" i="3"/>
  <c r="F17" i="3" s="1"/>
  <c r="I17" i="3" s="1"/>
  <c r="J17" i="3" s="1"/>
  <c r="E15" i="3"/>
  <c r="F15" i="3" s="1"/>
  <c r="H15" i="3" s="1"/>
  <c r="L15" i="3" s="1"/>
  <c r="F3" i="3"/>
  <c r="H3" i="3" s="1"/>
  <c r="L3" i="3" s="1"/>
  <c r="F4" i="3"/>
  <c r="H4" i="3" s="1"/>
  <c r="L4" i="3" s="1"/>
  <c r="F5" i="3"/>
  <c r="I5" i="3" s="1"/>
  <c r="J5" i="3" s="1"/>
  <c r="F6" i="3"/>
  <c r="H6" i="3" s="1"/>
  <c r="L6" i="3" s="1"/>
  <c r="F7" i="3"/>
  <c r="H7" i="3" s="1"/>
  <c r="L7" i="3" s="1"/>
  <c r="F8" i="3"/>
  <c r="H8" i="3" s="1"/>
  <c r="L8" i="3" s="1"/>
  <c r="F9" i="3"/>
  <c r="I9" i="3" s="1"/>
  <c r="J9" i="3" s="1"/>
  <c r="F10" i="3"/>
  <c r="I10" i="3" s="1"/>
  <c r="J10" i="3" s="1"/>
  <c r="F11" i="3"/>
  <c r="H11" i="3" s="1"/>
  <c r="L11" i="3" s="1"/>
  <c r="F12" i="3"/>
  <c r="H12" i="3" s="1"/>
  <c r="L12" i="3" s="1"/>
  <c r="F13" i="3"/>
  <c r="I13" i="3" s="1"/>
  <c r="J13" i="3" s="1"/>
  <c r="F14" i="3"/>
  <c r="H14" i="3" s="1"/>
  <c r="L14" i="3" s="1"/>
  <c r="F16" i="3"/>
  <c r="H16" i="3" s="1"/>
  <c r="L16" i="3" s="1"/>
  <c r="F18" i="3"/>
  <c r="I18" i="3" s="1"/>
  <c r="J18" i="3" s="1"/>
  <c r="F19" i="3"/>
  <c r="H19" i="3" s="1"/>
  <c r="L19" i="3" s="1"/>
  <c r="F2" i="3"/>
  <c r="I2" i="3" s="1"/>
  <c r="J2" i="3" s="1"/>
  <c r="H10" i="3" l="1"/>
  <c r="L10" i="3" s="1"/>
  <c r="H17" i="3"/>
  <c r="L17" i="3" s="1"/>
  <c r="I19" i="3"/>
  <c r="J19" i="3" s="1"/>
  <c r="T11" i="3"/>
  <c r="H13" i="3"/>
  <c r="L13" i="3" s="1"/>
  <c r="H5" i="3"/>
  <c r="L5" i="3" s="1"/>
  <c r="T19" i="3"/>
  <c r="T3" i="3"/>
  <c r="H2" i="3"/>
  <c r="L2" i="3" s="1"/>
  <c r="I14" i="3"/>
  <c r="J14" i="3" s="1"/>
  <c r="I6" i="3"/>
  <c r="J6" i="3" s="1"/>
  <c r="S15" i="3"/>
  <c r="S7" i="3"/>
  <c r="T18" i="3"/>
  <c r="T14" i="3"/>
  <c r="T10" i="3"/>
  <c r="T6" i="3"/>
  <c r="H9" i="3"/>
  <c r="L9" i="3" s="1"/>
  <c r="I15" i="3"/>
  <c r="J15" i="3" s="1"/>
  <c r="X20" i="3"/>
  <c r="P7" i="7"/>
  <c r="Q7" i="7" s="1"/>
  <c r="S20" i="3"/>
  <c r="AG6" i="7"/>
  <c r="AH6" i="7"/>
  <c r="AH5" i="7"/>
  <c r="AH3" i="7"/>
  <c r="AH4" i="7"/>
  <c r="AG2" i="7"/>
  <c r="V5" i="5"/>
  <c r="M2" i="5"/>
  <c r="Q2" i="5"/>
  <c r="V2" i="5" s="1"/>
  <c r="Q6" i="5"/>
  <c r="V6" i="5" s="1"/>
  <c r="U4" i="5"/>
  <c r="V4" i="5" s="1"/>
  <c r="I20" i="6"/>
  <c r="I9" i="6" l="1"/>
  <c r="E8" i="6" l="1"/>
  <c r="I19" i="6"/>
  <c r="H19" i="6"/>
  <c r="G19" i="6"/>
  <c r="N18" i="6"/>
  <c r="M18" i="6"/>
  <c r="L18" i="6"/>
  <c r="L17" i="6" s="1"/>
  <c r="H18" i="6"/>
  <c r="G18" i="6"/>
  <c r="C18" i="6"/>
  <c r="E18" i="6" s="1"/>
  <c r="N17" i="6"/>
  <c r="M17" i="6"/>
  <c r="I17" i="6" s="1"/>
  <c r="K17" i="6"/>
  <c r="D17" i="6"/>
  <c r="H17" i="6" s="1"/>
  <c r="F16" i="6"/>
  <c r="H16" i="6" s="1"/>
  <c r="F15" i="6"/>
  <c r="L15" i="6" s="1"/>
  <c r="L14" i="6" s="1"/>
  <c r="C15" i="6"/>
  <c r="E15" i="6" s="1"/>
  <c r="K14" i="6"/>
  <c r="D14" i="6"/>
  <c r="I13" i="6"/>
  <c r="H13" i="6"/>
  <c r="G13" i="6"/>
  <c r="L12" i="6"/>
  <c r="L11" i="6" s="1"/>
  <c r="H12" i="6"/>
  <c r="G12" i="6"/>
  <c r="C12" i="6"/>
  <c r="E12" i="6" s="1"/>
  <c r="F11" i="6"/>
  <c r="D11" i="6"/>
  <c r="H10" i="6"/>
  <c r="G10" i="6"/>
  <c r="C10" i="6"/>
  <c r="I10" i="6" s="1"/>
  <c r="F9" i="6"/>
  <c r="G9" i="6" s="1"/>
  <c r="E9" i="6"/>
  <c r="G11" i="6" l="1"/>
  <c r="C11" i="6"/>
  <c r="E11" i="6" s="1"/>
  <c r="C17" i="6"/>
  <c r="E10" i="6"/>
  <c r="H9" i="6"/>
  <c r="N12" i="6"/>
  <c r="N11" i="6" s="1"/>
  <c r="C14" i="6"/>
  <c r="E14" i="6" s="1"/>
  <c r="M15" i="6"/>
  <c r="M14" i="6" s="1"/>
  <c r="G16" i="6"/>
  <c r="M12" i="6"/>
  <c r="M11" i="6" s="1"/>
  <c r="I11" i="6" s="1"/>
  <c r="F14" i="6"/>
  <c r="G14" i="6" s="1"/>
  <c r="G15" i="6"/>
  <c r="H11" i="6"/>
  <c r="H15" i="6"/>
  <c r="N15" i="6"/>
  <c r="N14" i="6" s="1"/>
  <c r="I16" i="6"/>
  <c r="E17" i="6"/>
  <c r="G17" i="6"/>
  <c r="I14" i="6" l="1"/>
  <c r="H14" i="6"/>
  <c r="B19" i="1" l="1"/>
  <c r="V39" i="3" l="1"/>
  <c r="I78" i="6" l="1"/>
  <c r="H78" i="6"/>
  <c r="G78" i="6"/>
  <c r="N77" i="6"/>
  <c r="N76" i="6" s="1"/>
  <c r="M77" i="6"/>
  <c r="M76" i="6" s="1"/>
  <c r="L77" i="6"/>
  <c r="L76" i="6" s="1"/>
  <c r="H77" i="6"/>
  <c r="G77" i="6"/>
  <c r="E77" i="6"/>
  <c r="K76" i="6"/>
  <c r="F76" i="6"/>
  <c r="D76" i="6"/>
  <c r="C76" i="6"/>
  <c r="I75" i="6"/>
  <c r="H75" i="6"/>
  <c r="G75" i="6"/>
  <c r="N74" i="6"/>
  <c r="N73" i="6" s="1"/>
  <c r="M74" i="6"/>
  <c r="M73" i="6" s="1"/>
  <c r="L74" i="6"/>
  <c r="L73" i="6" s="1"/>
  <c r="H74" i="6"/>
  <c r="G74" i="6"/>
  <c r="E74" i="6"/>
  <c r="K73" i="6"/>
  <c r="F73" i="6"/>
  <c r="D73" i="6"/>
  <c r="C73" i="6"/>
  <c r="F72" i="6"/>
  <c r="H72" i="6" s="1"/>
  <c r="N71" i="6"/>
  <c r="N70" i="6" s="1"/>
  <c r="M71" i="6"/>
  <c r="M70" i="6" s="1"/>
  <c r="L71" i="6"/>
  <c r="H71" i="6"/>
  <c r="G71" i="6"/>
  <c r="E71" i="6"/>
  <c r="L70" i="6"/>
  <c r="K70" i="6"/>
  <c r="F70" i="6"/>
  <c r="D70" i="6"/>
  <c r="C70" i="6"/>
  <c r="F69" i="6"/>
  <c r="H69" i="6" s="1"/>
  <c r="K68" i="6"/>
  <c r="M68" i="6" s="1"/>
  <c r="M67" i="6" s="1"/>
  <c r="H68" i="6"/>
  <c r="G68" i="6"/>
  <c r="E68" i="6"/>
  <c r="F67" i="6"/>
  <c r="D67" i="6"/>
  <c r="C67" i="6"/>
  <c r="H66" i="6"/>
  <c r="G66" i="6"/>
  <c r="C66" i="6"/>
  <c r="I66" i="6" s="1"/>
  <c r="I65" i="6"/>
  <c r="F65" i="6"/>
  <c r="G65" i="6" s="1"/>
  <c r="E65" i="6"/>
  <c r="I64" i="6"/>
  <c r="F64" i="6"/>
  <c r="H64" i="6" s="1"/>
  <c r="E64" i="6"/>
  <c r="I63" i="6"/>
  <c r="H63" i="6"/>
  <c r="G63" i="6"/>
  <c r="N62" i="6"/>
  <c r="N61" i="6" s="1"/>
  <c r="M62" i="6"/>
  <c r="M61" i="6" s="1"/>
  <c r="L62" i="6"/>
  <c r="H62" i="6"/>
  <c r="G62" i="6"/>
  <c r="E62" i="6"/>
  <c r="L61" i="6"/>
  <c r="K61" i="6"/>
  <c r="F61" i="6"/>
  <c r="D61" i="6"/>
  <c r="C61" i="6"/>
  <c r="F60" i="6"/>
  <c r="I60" i="6" s="1"/>
  <c r="N59" i="6"/>
  <c r="N58" i="6" s="1"/>
  <c r="M59" i="6"/>
  <c r="M58" i="6" s="1"/>
  <c r="L59" i="6"/>
  <c r="L58" i="6" s="1"/>
  <c r="H59" i="6"/>
  <c r="G59" i="6"/>
  <c r="E59" i="6"/>
  <c r="K58" i="6"/>
  <c r="F58" i="6"/>
  <c r="D58" i="6"/>
  <c r="C58" i="6"/>
  <c r="F57" i="6"/>
  <c r="I57" i="6" s="1"/>
  <c r="N56" i="6"/>
  <c r="N55" i="6" s="1"/>
  <c r="M56" i="6"/>
  <c r="M55" i="6" s="1"/>
  <c r="L56" i="6"/>
  <c r="L55" i="6" s="1"/>
  <c r="H56" i="6"/>
  <c r="G56" i="6"/>
  <c r="E56" i="6"/>
  <c r="K55" i="6"/>
  <c r="F55" i="6"/>
  <c r="D55" i="6"/>
  <c r="C55" i="6"/>
  <c r="F54" i="6"/>
  <c r="I54" i="6" s="1"/>
  <c r="K53" i="6"/>
  <c r="N53" i="6" s="1"/>
  <c r="N52" i="6" s="1"/>
  <c r="H53" i="6"/>
  <c r="G53" i="6"/>
  <c r="E53" i="6"/>
  <c r="K52" i="6"/>
  <c r="F52" i="6"/>
  <c r="D52" i="6"/>
  <c r="C52" i="6"/>
  <c r="H51" i="6"/>
  <c r="G51" i="6"/>
  <c r="C51" i="6"/>
  <c r="E51" i="6" s="1"/>
  <c r="I50" i="6"/>
  <c r="F50" i="6"/>
  <c r="H50" i="6" s="1"/>
  <c r="E50" i="6"/>
  <c r="I49" i="6"/>
  <c r="F49" i="6"/>
  <c r="H49" i="6" s="1"/>
  <c r="E49" i="6"/>
  <c r="I48" i="6"/>
  <c r="H48" i="6"/>
  <c r="G48" i="6"/>
  <c r="C48" i="6"/>
  <c r="N47" i="6"/>
  <c r="N46" i="6" s="1"/>
  <c r="M47" i="6"/>
  <c r="M46" i="6" s="1"/>
  <c r="L47" i="6"/>
  <c r="L46" i="6" s="1"/>
  <c r="H47" i="6"/>
  <c r="G47" i="6"/>
  <c r="E47" i="6"/>
  <c r="K46" i="6"/>
  <c r="F46" i="6"/>
  <c r="D46" i="6"/>
  <c r="C46" i="6"/>
  <c r="F45" i="6"/>
  <c r="I45" i="6" s="1"/>
  <c r="N44" i="6"/>
  <c r="N43" i="6" s="1"/>
  <c r="M44" i="6"/>
  <c r="M43" i="6" s="1"/>
  <c r="L44" i="6"/>
  <c r="L43" i="6" s="1"/>
  <c r="H44" i="6"/>
  <c r="G44" i="6"/>
  <c r="E44" i="6"/>
  <c r="K43" i="6"/>
  <c r="F43" i="6"/>
  <c r="D43" i="6"/>
  <c r="C43" i="6"/>
  <c r="F42" i="6"/>
  <c r="I42" i="6" s="1"/>
  <c r="C42" i="6"/>
  <c r="N41" i="6"/>
  <c r="N40" i="6" s="1"/>
  <c r="M41" i="6"/>
  <c r="M40" i="6" s="1"/>
  <c r="L41" i="6"/>
  <c r="L40" i="6" s="1"/>
  <c r="H41" i="6"/>
  <c r="G41" i="6"/>
  <c r="E41" i="6"/>
  <c r="K40" i="6"/>
  <c r="F40" i="6"/>
  <c r="D40" i="6"/>
  <c r="C40" i="6"/>
  <c r="F39" i="6"/>
  <c r="I39" i="6" s="1"/>
  <c r="C39" i="6"/>
  <c r="K38" i="6"/>
  <c r="M38" i="6" s="1"/>
  <c r="M37" i="6" s="1"/>
  <c r="H38" i="6"/>
  <c r="G38" i="6"/>
  <c r="E38" i="6"/>
  <c r="F37" i="6"/>
  <c r="D37" i="6"/>
  <c r="C37" i="6"/>
  <c r="H36" i="6"/>
  <c r="G36" i="6"/>
  <c r="C36" i="6"/>
  <c r="I36" i="6" s="1"/>
  <c r="F35" i="6"/>
  <c r="G35" i="6" s="1"/>
  <c r="E35" i="6"/>
  <c r="I34" i="6"/>
  <c r="F34" i="6"/>
  <c r="H34" i="6" s="1"/>
  <c r="E34" i="6"/>
  <c r="I33" i="6"/>
  <c r="H33" i="6"/>
  <c r="G33" i="6"/>
  <c r="N32" i="6"/>
  <c r="N31" i="6" s="1"/>
  <c r="M32" i="6"/>
  <c r="M31" i="6" s="1"/>
  <c r="L32" i="6"/>
  <c r="L31" i="6" s="1"/>
  <c r="H32" i="6"/>
  <c r="G32" i="6"/>
  <c r="E32" i="6"/>
  <c r="F31" i="6"/>
  <c r="D31" i="6"/>
  <c r="C31" i="6"/>
  <c r="F30" i="6"/>
  <c r="H30" i="6" s="1"/>
  <c r="N29" i="6"/>
  <c r="N28" i="6" s="1"/>
  <c r="M29" i="6"/>
  <c r="M28" i="6" s="1"/>
  <c r="L29" i="6"/>
  <c r="H29" i="6"/>
  <c r="G29" i="6"/>
  <c r="E29" i="6"/>
  <c r="L28" i="6"/>
  <c r="K28" i="6"/>
  <c r="F28" i="6"/>
  <c r="D28" i="6"/>
  <c r="C28" i="6"/>
  <c r="F27" i="6"/>
  <c r="H27" i="6" s="1"/>
  <c r="N26" i="6"/>
  <c r="N25" i="6" s="1"/>
  <c r="M26" i="6"/>
  <c r="M25" i="6" s="1"/>
  <c r="L26" i="6"/>
  <c r="L25" i="6" s="1"/>
  <c r="H26" i="6"/>
  <c r="G26" i="6"/>
  <c r="E26" i="6"/>
  <c r="K25" i="6"/>
  <c r="F25" i="6"/>
  <c r="D25" i="6"/>
  <c r="C25" i="6"/>
  <c r="F24" i="6"/>
  <c r="H24" i="6" s="1"/>
  <c r="K23" i="6"/>
  <c r="M23" i="6" s="1"/>
  <c r="M22" i="6" s="1"/>
  <c r="H23" i="6"/>
  <c r="G23" i="6"/>
  <c r="E23" i="6"/>
  <c r="F22" i="6"/>
  <c r="D22" i="6"/>
  <c r="C22" i="6"/>
  <c r="H21" i="6"/>
  <c r="G21" i="6"/>
  <c r="C21" i="6"/>
  <c r="I21" i="6" s="1"/>
  <c r="F20" i="6"/>
  <c r="H20" i="6" s="1"/>
  <c r="E20" i="6"/>
  <c r="F7" i="6"/>
  <c r="H7" i="6" s="1"/>
  <c r="E7" i="6"/>
  <c r="H6" i="6"/>
  <c r="E6" i="6"/>
  <c r="L5" i="6"/>
  <c r="H5" i="6"/>
  <c r="G5" i="6"/>
  <c r="E5" i="6"/>
  <c r="I4" i="6"/>
  <c r="H4" i="6"/>
  <c r="G4" i="6"/>
  <c r="E4" i="6"/>
  <c r="H3" i="6"/>
  <c r="G3" i="6"/>
  <c r="E3" i="6"/>
  <c r="J2" i="6"/>
  <c r="J3" i="6" s="1"/>
  <c r="H2" i="6"/>
  <c r="E2" i="6"/>
  <c r="K67" i="6" l="1"/>
  <c r="H31" i="6"/>
  <c r="K37" i="6"/>
  <c r="E58" i="6"/>
  <c r="G67" i="6"/>
  <c r="I31" i="6"/>
  <c r="H65" i="6"/>
  <c r="G70" i="6"/>
  <c r="H43" i="6"/>
  <c r="E46" i="6"/>
  <c r="E67" i="6"/>
  <c r="E70" i="6"/>
  <c r="I76" i="6"/>
  <c r="H73" i="6"/>
  <c r="N38" i="6"/>
  <c r="N37" i="6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I22" i="6"/>
  <c r="G25" i="6"/>
  <c r="H52" i="6"/>
  <c r="E22" i="6"/>
  <c r="G28" i="6"/>
  <c r="I37" i="6"/>
  <c r="G54" i="6"/>
  <c r="G50" i="6"/>
  <c r="H54" i="6"/>
  <c r="I61" i="6"/>
  <c r="K22" i="6"/>
  <c r="G22" i="6"/>
  <c r="E36" i="6"/>
  <c r="H37" i="6"/>
  <c r="G40" i="6"/>
  <c r="G42" i="6"/>
  <c r="I46" i="6"/>
  <c r="M53" i="6"/>
  <c r="M52" i="6" s="1"/>
  <c r="I52" i="6" s="1"/>
  <c r="G60" i="6"/>
  <c r="H70" i="6"/>
  <c r="H22" i="6"/>
  <c r="H28" i="6"/>
  <c r="E40" i="6"/>
  <c r="I43" i="6"/>
  <c r="G45" i="6"/>
  <c r="G46" i="6"/>
  <c r="G49" i="6"/>
  <c r="E52" i="6"/>
  <c r="E55" i="6"/>
  <c r="G57" i="6"/>
  <c r="I58" i="6"/>
  <c r="H60" i="6"/>
  <c r="E73" i="6"/>
  <c r="E76" i="6"/>
  <c r="I28" i="6"/>
  <c r="I40" i="6"/>
  <c r="G43" i="6"/>
  <c r="G52" i="6"/>
  <c r="I55" i="6"/>
  <c r="H57" i="6"/>
  <c r="I67" i="6"/>
  <c r="G73" i="6"/>
  <c r="G20" i="6"/>
  <c r="H25" i="6"/>
  <c r="G31" i="6"/>
  <c r="H35" i="6"/>
  <c r="G37" i="6"/>
  <c r="L38" i="6"/>
  <c r="L37" i="6" s="1"/>
  <c r="H39" i="6"/>
  <c r="E43" i="6"/>
  <c r="H46" i="6"/>
  <c r="L53" i="6"/>
  <c r="L52" i="6" s="1"/>
  <c r="E61" i="6"/>
  <c r="G64" i="6"/>
  <c r="E66" i="6"/>
  <c r="H67" i="6"/>
  <c r="G76" i="6"/>
  <c r="E21" i="6"/>
  <c r="N23" i="6"/>
  <c r="N22" i="6" s="1"/>
  <c r="I24" i="6"/>
  <c r="E25" i="6"/>
  <c r="I25" i="6"/>
  <c r="I27" i="6"/>
  <c r="E28" i="6"/>
  <c r="I30" i="6"/>
  <c r="E31" i="6"/>
  <c r="E37" i="6"/>
  <c r="G39" i="6"/>
  <c r="G55" i="6"/>
  <c r="G58" i="6"/>
  <c r="G61" i="6"/>
  <c r="N68" i="6"/>
  <c r="N67" i="6" s="1"/>
  <c r="I69" i="6"/>
  <c r="I70" i="6"/>
  <c r="I72" i="6"/>
  <c r="I73" i="6"/>
  <c r="H40" i="6"/>
  <c r="I51" i="6"/>
  <c r="H55" i="6"/>
  <c r="H58" i="6"/>
  <c r="H61" i="6"/>
  <c r="G7" i="6"/>
  <c r="L23" i="6"/>
  <c r="L22" i="6" s="1"/>
  <c r="G24" i="6"/>
  <c r="G27" i="6"/>
  <c r="G30" i="6"/>
  <c r="G34" i="6"/>
  <c r="H42" i="6"/>
  <c r="H45" i="6"/>
  <c r="L68" i="6"/>
  <c r="L67" i="6" s="1"/>
  <c r="G69" i="6"/>
  <c r="G72" i="6"/>
  <c r="H76" i="6"/>
  <c r="J22" i="6" l="1"/>
  <c r="J23" i="6" s="1"/>
  <c r="J24" i="6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B22" i="2"/>
  <c r="B8" i="1"/>
  <c r="B7" i="1"/>
  <c r="B9" i="1" s="1"/>
  <c r="C4" i="1"/>
  <c r="C5" i="1"/>
  <c r="C3" i="1"/>
  <c r="C12" i="1"/>
  <c r="C13" i="1"/>
  <c r="C14" i="1"/>
  <c r="B16" i="1" l="1"/>
</calcChain>
</file>

<file path=xl/sharedStrings.xml><?xml version="1.0" encoding="utf-8"?>
<sst xmlns="http://schemas.openxmlformats.org/spreadsheetml/2006/main" count="418" uniqueCount="194">
  <si>
    <t>Initial Core Dimensions</t>
  </si>
  <si>
    <t>IODP Core Details</t>
  </si>
  <si>
    <t>Step</t>
  </si>
  <si>
    <t>Date</t>
  </si>
  <si>
    <t xml:space="preserve">Time </t>
  </si>
  <si>
    <t>Potentiometer reading</t>
  </si>
  <si>
    <t>P wave TT</t>
  </si>
  <si>
    <t>S1 wave TT</t>
  </si>
  <si>
    <t>S2 wave TT</t>
  </si>
  <si>
    <t>Pressure Sensors</t>
  </si>
  <si>
    <t>Pump</t>
  </si>
  <si>
    <t>Gain</t>
  </si>
  <si>
    <t>Damping</t>
  </si>
  <si>
    <t>Waveform Trigger</t>
  </si>
  <si>
    <t>Porosity (calculated)</t>
  </si>
  <si>
    <t>Length (mm)</t>
  </si>
  <si>
    <t>Before (g)</t>
  </si>
  <si>
    <t>After (g)</t>
  </si>
  <si>
    <t>Net (g)</t>
  </si>
  <si>
    <t>Diameter (inch)</t>
  </si>
  <si>
    <t>Initial  Dry Weight of core</t>
  </si>
  <si>
    <t>Average length (m)</t>
  </si>
  <si>
    <t>Dia (m)</t>
  </si>
  <si>
    <t>Initial Volume (m3)</t>
  </si>
  <si>
    <t>Dry Weight (g)</t>
  </si>
  <si>
    <t>Liner</t>
  </si>
  <si>
    <t>Length (m)</t>
  </si>
  <si>
    <t>Constant Voltage across Axial Transducer (V)</t>
  </si>
  <si>
    <t>Constant Voltage across Radial Transducer (V)</t>
  </si>
  <si>
    <t>Constant Voltage across Pore Transducer (V)</t>
  </si>
  <si>
    <t>PRF (Hz)</t>
  </si>
  <si>
    <t>Energy</t>
  </si>
  <si>
    <t>Proportional Servo Gain  - Open</t>
  </si>
  <si>
    <t>Differential Servo Gain - Open</t>
  </si>
  <si>
    <t>Proportional Servo Gain - Closed</t>
  </si>
  <si>
    <t>Differential Servo Gain - Closed</t>
  </si>
  <si>
    <t>HPF</t>
  </si>
  <si>
    <t>LPF</t>
  </si>
  <si>
    <t>out</t>
  </si>
  <si>
    <t>Full BW</t>
  </si>
  <si>
    <t>Length (inch)</t>
  </si>
  <si>
    <t>Axial Pressure (V)</t>
  </si>
  <si>
    <t>Axial Pressure (psi)</t>
  </si>
  <si>
    <t>Radial Pressure (V)</t>
  </si>
  <si>
    <t>Radial Pressure (psi)</t>
  </si>
  <si>
    <t>Pore Pressure (V)</t>
  </si>
  <si>
    <t>Pore Pressure (psi)</t>
  </si>
  <si>
    <t>Initial Length (mm)</t>
  </si>
  <si>
    <t>Shortening (mm)</t>
  </si>
  <si>
    <t>Length of sample (mm)</t>
  </si>
  <si>
    <t>Initial C.S.Area (m2)</t>
  </si>
  <si>
    <t>k test - Upstream Pressure (psi)</t>
  </si>
  <si>
    <t>Downstream volume (ml)</t>
  </si>
  <si>
    <t>P_1</t>
  </si>
  <si>
    <t>P_2</t>
  </si>
  <si>
    <t>length of sample</t>
  </si>
  <si>
    <t>P_3</t>
  </si>
  <si>
    <t>S_2_P</t>
  </si>
  <si>
    <t>S1_1</t>
  </si>
  <si>
    <t>S1_2</t>
  </si>
  <si>
    <t>S1_3</t>
  </si>
  <si>
    <t>P_2_S1</t>
  </si>
  <si>
    <t>S2_1</t>
  </si>
  <si>
    <t>S2_2</t>
  </si>
  <si>
    <t>S2_3</t>
  </si>
  <si>
    <t>P_2_S2</t>
  </si>
  <si>
    <t>Step description</t>
  </si>
  <si>
    <t>Axial Ramp</t>
  </si>
  <si>
    <t>Pore Pressure during test (V)</t>
  </si>
  <si>
    <t xml:space="preserve"> Pore pressure after pulse (V)</t>
  </si>
  <si>
    <t>Change in Pore Pressure (V)</t>
  </si>
  <si>
    <t>B</t>
  </si>
  <si>
    <t xml:space="preserve"> Pore pressure after pulse (psi)</t>
  </si>
  <si>
    <t>Change in Pore Pressure (psi)</t>
  </si>
  <si>
    <t>Y</t>
  </si>
  <si>
    <t>Pore fluid zeroed before step(Y/N)</t>
  </si>
  <si>
    <t>Time</t>
  </si>
  <si>
    <t>Axial Pressure after pulse (V)</t>
  </si>
  <si>
    <t>Axial Pressure after pulse (psi)</t>
  </si>
  <si>
    <t>Change in Axial Pressure (V)</t>
  </si>
  <si>
    <t>Radial Pressure after pulse (V)</t>
  </si>
  <si>
    <t>Radial Pressure after pulse (psi)</t>
  </si>
  <si>
    <t>Change in Radial Pressure (V)</t>
  </si>
  <si>
    <t>Pore pressure (psi)</t>
  </si>
  <si>
    <t>Change in Axial Pressure (psi)</t>
  </si>
  <si>
    <t>Change in radial pressure (psi)</t>
  </si>
  <si>
    <t>Injected fluid volume (ml)</t>
  </si>
  <si>
    <t>Step Description</t>
  </si>
  <si>
    <t>S3/S1 (=0.8)</t>
  </si>
  <si>
    <t>P/S3 (=0.5)</t>
  </si>
  <si>
    <t>Effective Stress (psi)</t>
  </si>
  <si>
    <t>Time (hrs)</t>
  </si>
  <si>
    <t>Cumulative Time (hrs)</t>
  </si>
  <si>
    <t>Delta P for flow</t>
  </si>
  <si>
    <t>Delta P/P</t>
  </si>
  <si>
    <t>k test - Downstream Pressure (psi)</t>
  </si>
  <si>
    <t>Measurements</t>
  </si>
  <si>
    <t>Notes</t>
  </si>
  <si>
    <t>Apply axial load</t>
  </si>
  <si>
    <t>Apply radial load</t>
  </si>
  <si>
    <t>sealing should be achieved at this pressure</t>
  </si>
  <si>
    <t>Raise Pore Pressure</t>
  </si>
  <si>
    <t>check for sealing - connection between pore and radial pressures</t>
  </si>
  <si>
    <t>k</t>
  </si>
  <si>
    <t>wait for flowrate to become constant to end step</t>
  </si>
  <si>
    <t>Back pressure of 125 psi</t>
  </si>
  <si>
    <t>Potentiometer, Vp, Vs</t>
  </si>
  <si>
    <t>Maintain constant effective stress, keep drains closed</t>
  </si>
  <si>
    <t>Achieve anisotropic stress state, ramp axial</t>
  </si>
  <si>
    <t>Permeability test ramp</t>
  </si>
  <si>
    <t>Make flow input/output pressure = pore pressure, then setup ramps</t>
  </si>
  <si>
    <t>Permeability test</t>
  </si>
  <si>
    <t>Initial Permeability test, Delta P/ P =0.5</t>
  </si>
  <si>
    <t>Unloading</t>
  </si>
  <si>
    <t>Pore pressure increased, reduce Delta P for k test</t>
  </si>
  <si>
    <t>Draining</t>
  </si>
  <si>
    <t>Make isotropic stress state for loading</t>
  </si>
  <si>
    <t>Attain isotropic stress state for loading</t>
  </si>
  <si>
    <t>Loading - Isotropic</t>
  </si>
  <si>
    <t>Axial and Radial Ramping</t>
  </si>
  <si>
    <t>Loading - Anisotropic</t>
  </si>
  <si>
    <t>Intended Axial (psi)</t>
  </si>
  <si>
    <t>Axial During Test (V)</t>
  </si>
  <si>
    <t>Axial during test (psi)</t>
  </si>
  <si>
    <t>Axial during test (Pa)</t>
  </si>
  <si>
    <t>Intended Radial (psi)</t>
  </si>
  <si>
    <t>Radial during test (V)</t>
  </si>
  <si>
    <t>Radial During Test (psi)</t>
  </si>
  <si>
    <t>Radial During Test (Pa)</t>
  </si>
  <si>
    <t>Intended Pore (psi)</t>
  </si>
  <si>
    <t>Pore during test (psi)</t>
  </si>
  <si>
    <t>Pore during test (V)</t>
  </si>
  <si>
    <t>Pore during test (Pa)</t>
  </si>
  <si>
    <t>Effective Stress (Pa)</t>
  </si>
  <si>
    <t>Differential Stress (psi)</t>
  </si>
  <si>
    <t>Differential Stress (Pa)</t>
  </si>
  <si>
    <t>Upstream Pressure (psi)</t>
  </si>
  <si>
    <t>Upstream Pressure (Pa)</t>
  </si>
  <si>
    <t>Downstream Pressure (psi)</t>
  </si>
  <si>
    <t>Downstream Pressure (Pa)</t>
  </si>
  <si>
    <t>Upstream volume (ml)</t>
  </si>
  <si>
    <t>Upstream Volume (m3)</t>
  </si>
  <si>
    <t>Downstream Volume (m3)</t>
  </si>
  <si>
    <t>Time elapsed (s)</t>
  </si>
  <si>
    <t>Time elapsed (hh:mm:ss)</t>
  </si>
  <si>
    <t>viscosity (Pa.s)</t>
  </si>
  <si>
    <t>CSA (m2)</t>
  </si>
  <si>
    <t>k (m2)</t>
  </si>
  <si>
    <t>k (Darcy)</t>
  </si>
  <si>
    <t>Hole</t>
  </si>
  <si>
    <t>Expedition</t>
  </si>
  <si>
    <t>Porosity</t>
  </si>
  <si>
    <t>Grain Size Distribution</t>
  </si>
  <si>
    <t>Weight of weighing flask (g)</t>
  </si>
  <si>
    <t>Wet Weight after experiment (g)</t>
  </si>
  <si>
    <t>Radial Ramp</t>
  </si>
  <si>
    <t>y</t>
  </si>
  <si>
    <t>k test</t>
  </si>
  <si>
    <t>Flush core + B tests</t>
  </si>
  <si>
    <t>Attain desired effective stress for saturation + B tests</t>
  </si>
  <si>
    <t>Back Pressure saturation ramp + Btests</t>
  </si>
  <si>
    <t>Pore Ramp</t>
  </si>
  <si>
    <t>Flush core</t>
  </si>
  <si>
    <t>Effective Stress ramp</t>
  </si>
  <si>
    <t>Backpressure Ramp</t>
  </si>
  <si>
    <t>Return to  Stress state in 2.3</t>
  </si>
  <si>
    <t>Isotropic loading</t>
  </si>
  <si>
    <t>Anisotropic loading</t>
  </si>
  <si>
    <t>Return to  Stress state in 3.3</t>
  </si>
  <si>
    <t>3.3A</t>
  </si>
  <si>
    <t>2.4A</t>
  </si>
  <si>
    <t>Length of sample (m)</t>
  </si>
  <si>
    <t>Initial CSA (m2)</t>
  </si>
  <si>
    <t>Strain</t>
  </si>
  <si>
    <t>Ko</t>
  </si>
  <si>
    <t>Permeability (m2)</t>
  </si>
  <si>
    <t>log (k)</t>
  </si>
  <si>
    <t>Permeability (Darcy)</t>
  </si>
  <si>
    <t>Volume of Pores (m3)</t>
  </si>
  <si>
    <t>Pore Volume from Injection (m3)</t>
  </si>
  <si>
    <t>Volume of Sample (m3)</t>
  </si>
  <si>
    <t>length of sample (m)</t>
  </si>
  <si>
    <t>Core</t>
  </si>
  <si>
    <t>Depth (mbsf)</t>
  </si>
  <si>
    <t>Initial Volume of Pores (m3)</t>
  </si>
  <si>
    <t>Sand (%)</t>
  </si>
  <si>
    <t>Silt (%)</t>
  </si>
  <si>
    <t>Clay (%)</t>
  </si>
  <si>
    <t>Flowrate (m3/s)</t>
  </si>
  <si>
    <t>check k</t>
  </si>
  <si>
    <t>porosity</t>
  </si>
  <si>
    <t>velocity</t>
  </si>
  <si>
    <t>plots</t>
  </si>
  <si>
    <t>core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</si>
</sst>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3" applyNumberFormat="0" applyFill="0" applyAlignment="0" applyProtection="0"/>
    <xf numFmtId="0" fontId="3" fillId="5" borderId="0" applyNumberFormat="0" applyBorder="0" applyAlignment="0" applyProtection="0"/>
    <xf numFmtId="0" fontId="4" fillId="6" borderId="8" applyNumberFormat="0" applyAlignment="0" applyProtection="0"/>
  </cellStyleXfs>
  <cellXfs count="8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1" fillId="0" borderId="3" xfId="1" applyAlignment="1">
      <alignment horizontal="center"/>
    </xf>
    <xf numFmtId="0" fontId="0" fillId="0" borderId="0" xfId="0" applyBorder="1"/>
    <xf numFmtId="0" fontId="0" fillId="3" borderId="0" xfId="0" applyFill="1"/>
    <xf numFmtId="0" fontId="0" fillId="4" borderId="0" xfId="0" applyFill="1" applyBorder="1"/>
    <xf numFmtId="0" fontId="0" fillId="4" borderId="0" xfId="0" applyFill="1"/>
    <xf numFmtId="0" fontId="0" fillId="3" borderId="0" xfId="0" applyFill="1" applyBorder="1"/>
    <xf numFmtId="0" fontId="0" fillId="0" borderId="4" xfId="0" applyBorder="1"/>
    <xf numFmtId="2" fontId="0" fillId="4" borderId="0" xfId="0" applyNumberFormat="1" applyFill="1" applyBorder="1"/>
    <xf numFmtId="0" fontId="0" fillId="0" borderId="1" xfId="0" applyBorder="1" applyAlignment="1">
      <alignment horizontal="center"/>
    </xf>
    <xf numFmtId="0" fontId="0" fillId="4" borderId="4" xfId="0" applyFill="1" applyBorder="1"/>
    <xf numFmtId="0" fontId="1" fillId="0" borderId="7" xfId="1" applyFont="1" applyBorder="1" applyAlignment="1">
      <alignment horizontal="center"/>
    </xf>
    <xf numFmtId="0" fontId="2" fillId="0" borderId="1" xfId="0" applyFont="1" applyBorder="1"/>
    <xf numFmtId="0" fontId="2" fillId="0" borderId="5" xfId="0" applyFont="1" applyBorder="1"/>
    <xf numFmtId="0" fontId="2" fillId="4" borderId="1" xfId="0" applyFont="1" applyFill="1" applyBorder="1"/>
    <xf numFmtId="0" fontId="2" fillId="4" borderId="5" xfId="0" applyFont="1" applyFill="1" applyBorder="1"/>
    <xf numFmtId="0" fontId="2" fillId="3" borderId="1" xfId="0" applyFont="1" applyFill="1" applyBorder="1"/>
    <xf numFmtId="0" fontId="3" fillId="5" borderId="0" xfId="2"/>
    <xf numFmtId="0" fontId="3" fillId="5" borderId="0" xfId="2" applyBorder="1"/>
    <xf numFmtId="0" fontId="3" fillId="5" borderId="4" xfId="2" applyBorder="1"/>
    <xf numFmtId="0" fontId="3" fillId="5" borderId="3" xfId="2" applyBorder="1" applyAlignment="1">
      <alignment horizontal="center"/>
    </xf>
    <xf numFmtId="0" fontId="3" fillId="5" borderId="8" xfId="2" applyBorder="1"/>
    <xf numFmtId="0" fontId="0" fillId="0" borderId="0" xfId="0" applyAlignment="1">
      <alignment horizontal="center"/>
    </xf>
    <xf numFmtId="0" fontId="4" fillId="6" borderId="8" xfId="3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" fontId="0" fillId="0" borderId="4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Fill="1" applyBorder="1" applyAlignment="1">
      <alignment horizontal="center"/>
    </xf>
    <xf numFmtId="21" fontId="0" fillId="0" borderId="0" xfId="0" applyNumberFormat="1" applyAlignment="1">
      <alignment horizontal="center"/>
    </xf>
    <xf numFmtId="21" fontId="0" fillId="0" borderId="4" xfId="0" applyNumberFormat="1" applyBorder="1" applyAlignment="1">
      <alignment horizontal="center"/>
    </xf>
    <xf numFmtId="21" fontId="0" fillId="0" borderId="0" xfId="0" applyNumberFormat="1" applyBorder="1" applyAlignment="1">
      <alignment horizontal="center"/>
    </xf>
    <xf numFmtId="16" fontId="0" fillId="7" borderId="0" xfId="0" applyNumberFormat="1" applyFill="1" applyAlignment="1">
      <alignment horizontal="center"/>
    </xf>
    <xf numFmtId="20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/>
    <xf numFmtId="16" fontId="0" fillId="3" borderId="0" xfId="0" applyNumberFormat="1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16" fontId="0" fillId="4" borderId="0" xfId="0" applyNumberFormat="1" applyFill="1" applyAlignment="1">
      <alignment horizontal="center"/>
    </xf>
    <xf numFmtId="20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20" fontId="0" fillId="0" borderId="1" xfId="0" applyNumberFormat="1" applyBorder="1"/>
    <xf numFmtId="16" fontId="0" fillId="4" borderId="0" xfId="0" applyNumberFormat="1" applyFill="1"/>
    <xf numFmtId="20" fontId="0" fillId="4" borderId="0" xfId="0" applyNumberFormat="1" applyFill="1"/>
    <xf numFmtId="0" fontId="0" fillId="4" borderId="1" xfId="0" applyFill="1" applyBorder="1"/>
    <xf numFmtId="0" fontId="0" fillId="4" borderId="2" xfId="0" applyFill="1" applyBorder="1"/>
    <xf numFmtId="46" fontId="0" fillId="0" borderId="0" xfId="0" applyNumberFormat="1"/>
    <xf numFmtId="20" fontId="0" fillId="0" borderId="0" xfId="0" applyNumberFormat="1"/>
    <xf numFmtId="21" fontId="0" fillId="0" borderId="0" xfId="0" applyNumberFormat="1"/>
    <xf numFmtId="0" fontId="6" fillId="0" borderId="1" xfId="0" applyFont="1" applyBorder="1"/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21" fontId="6" fillId="0" borderId="0" xfId="0" applyNumberFormat="1" applyFont="1"/>
    <xf numFmtId="0" fontId="6" fillId="0" borderId="2" xfId="0" applyFont="1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Calculation" xfId="3" builtinId="22"/>
    <cellStyle name="Good" xfId="2" builtinId="26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zoomScale="70" zoomScaleNormal="70" workbookViewId="0">
      <selection activeCell="B33" sqref="B33"/>
    </sheetView>
  </sheetViews>
  <sheetFormatPr defaultRowHeight="15" x14ac:dyDescent="0.25"/>
  <cols>
    <col min="1" max="1" width="7.25" bestFit="1" customWidth="1"/>
    <col min="2" max="2" width="53.875" bestFit="1" customWidth="1"/>
    <col min="3" max="3" width="24.5" bestFit="1" customWidth="1"/>
    <col min="4" max="4" width="26.125" bestFit="1" customWidth="1"/>
    <col min="5" max="5" width="16.125" bestFit="1" customWidth="1"/>
    <col min="6" max="6" width="24.25" bestFit="1" customWidth="1"/>
    <col min="7" max="7" width="15.125" bestFit="1" customWidth="1"/>
    <col min="8" max="8" width="26.125" bestFit="1" customWidth="1"/>
    <col min="9" max="9" width="13" style="17" bestFit="1" customWidth="1"/>
    <col min="10" max="10" width="27" bestFit="1" customWidth="1"/>
    <col min="11" max="11" width="19.5" bestFit="1" customWidth="1"/>
    <col min="12" max="12" width="12.875" bestFit="1" customWidth="1"/>
    <col min="13" max="13" width="39.125" bestFit="1" customWidth="1"/>
    <col min="14" max="14" width="42.375" bestFit="1" customWidth="1"/>
    <col min="15" max="15" width="20.75" bestFit="1" customWidth="1"/>
    <col min="16" max="16" width="60.75" bestFit="1" customWidth="1"/>
  </cols>
  <sheetData>
    <row r="1" spans="1:16" ht="18" thickBot="1" x14ac:dyDescent="0.35">
      <c r="A1" s="25" t="s">
        <v>2</v>
      </c>
      <c r="B1" s="6" t="s">
        <v>87</v>
      </c>
      <c r="C1" s="6" t="s">
        <v>42</v>
      </c>
      <c r="D1" s="6" t="s">
        <v>44</v>
      </c>
      <c r="E1" s="6" t="s">
        <v>88</v>
      </c>
      <c r="F1" s="6" t="s">
        <v>46</v>
      </c>
      <c r="G1" s="6" t="s">
        <v>89</v>
      </c>
      <c r="H1" s="6" t="s">
        <v>90</v>
      </c>
      <c r="I1" s="16" t="s">
        <v>91</v>
      </c>
      <c r="J1" s="6" t="s">
        <v>92</v>
      </c>
      <c r="K1" s="6" t="s">
        <v>93</v>
      </c>
      <c r="L1" s="6" t="s">
        <v>94</v>
      </c>
      <c r="M1" s="6" t="s">
        <v>51</v>
      </c>
      <c r="N1" s="6" t="s">
        <v>95</v>
      </c>
      <c r="O1" s="6" t="s">
        <v>96</v>
      </c>
      <c r="P1" s="6" t="s">
        <v>97</v>
      </c>
    </row>
    <row r="2" spans="1:16" ht="15.75" thickTop="1" x14ac:dyDescent="0.25">
      <c r="A2" s="22">
        <v>1.1000000000000001</v>
      </c>
      <c r="B2" t="s">
        <v>98</v>
      </c>
      <c r="C2">
        <v>75</v>
      </c>
      <c r="D2">
        <v>0</v>
      </c>
      <c r="E2">
        <f>D2/C2</f>
        <v>0</v>
      </c>
      <c r="F2">
        <v>0</v>
      </c>
      <c r="H2">
        <f t="shared" ref="H2:H7" si="0">D2-F2</f>
        <v>0</v>
      </c>
      <c r="I2" s="17">
        <v>24</v>
      </c>
      <c r="J2">
        <f>I2</f>
        <v>24</v>
      </c>
    </row>
    <row r="3" spans="1:16" x14ac:dyDescent="0.25">
      <c r="A3" s="22">
        <v>1.2</v>
      </c>
      <c r="B3" t="s">
        <v>99</v>
      </c>
      <c r="C3">
        <v>75</v>
      </c>
      <c r="D3">
        <v>75</v>
      </c>
      <c r="E3">
        <f t="shared" ref="E3:E8" si="1">D3/C3</f>
        <v>1</v>
      </c>
      <c r="F3">
        <v>0</v>
      </c>
      <c r="G3">
        <f>F3/D3</f>
        <v>0</v>
      </c>
      <c r="H3">
        <f t="shared" si="0"/>
        <v>75</v>
      </c>
      <c r="I3" s="17">
        <v>24</v>
      </c>
      <c r="J3">
        <f>I3+J2</f>
        <v>48</v>
      </c>
      <c r="P3" t="s">
        <v>100</v>
      </c>
    </row>
    <row r="4" spans="1:16" s="12" customFormat="1" x14ac:dyDescent="0.25">
      <c r="A4" s="24">
        <v>1.3</v>
      </c>
      <c r="B4" s="12" t="s">
        <v>101</v>
      </c>
      <c r="C4" s="12">
        <v>75</v>
      </c>
      <c r="D4" s="12">
        <v>75</v>
      </c>
      <c r="E4" s="12">
        <f t="shared" si="1"/>
        <v>1</v>
      </c>
      <c r="F4" s="12">
        <v>25</v>
      </c>
      <c r="G4" s="12">
        <f>F4/D4</f>
        <v>0.33333333333333331</v>
      </c>
      <c r="H4" s="12">
        <f t="shared" si="0"/>
        <v>50</v>
      </c>
      <c r="I4" s="18">
        <f>(F4-F3)/25</f>
        <v>1</v>
      </c>
      <c r="J4">
        <f t="shared" ref="J4:J67" si="2">I4+J3</f>
        <v>49</v>
      </c>
      <c r="P4" s="12" t="s">
        <v>102</v>
      </c>
    </row>
    <row r="5" spans="1:16" s="10" customFormat="1" x14ac:dyDescent="0.25">
      <c r="A5" s="22">
        <v>2.1</v>
      </c>
      <c r="B5" s="10" t="s">
        <v>158</v>
      </c>
      <c r="C5" s="10">
        <v>75</v>
      </c>
      <c r="D5" s="10">
        <v>75</v>
      </c>
      <c r="E5" s="10">
        <f t="shared" si="1"/>
        <v>1</v>
      </c>
      <c r="F5" s="10">
        <v>25</v>
      </c>
      <c r="G5" s="10">
        <f>F5/D5</f>
        <v>0.33333333333333331</v>
      </c>
      <c r="H5" s="10">
        <f t="shared" si="0"/>
        <v>50</v>
      </c>
      <c r="I5" s="19">
        <v>3</v>
      </c>
      <c r="J5">
        <f t="shared" si="2"/>
        <v>52</v>
      </c>
      <c r="K5" s="10">
        <v>15</v>
      </c>
      <c r="L5" s="10">
        <f>K5/F5</f>
        <v>0.6</v>
      </c>
      <c r="M5" s="10">
        <v>32.5</v>
      </c>
      <c r="N5" s="10">
        <v>17.5</v>
      </c>
      <c r="O5" s="10" t="s">
        <v>103</v>
      </c>
      <c r="P5" s="10" t="s">
        <v>104</v>
      </c>
    </row>
    <row r="6" spans="1:16" x14ac:dyDescent="0.25">
      <c r="A6" s="22">
        <v>2.2000000000000002</v>
      </c>
      <c r="B6" t="s">
        <v>159</v>
      </c>
      <c r="C6">
        <v>150</v>
      </c>
      <c r="D6">
        <v>150</v>
      </c>
      <c r="E6">
        <f t="shared" si="1"/>
        <v>1</v>
      </c>
      <c r="F6">
        <v>25</v>
      </c>
      <c r="H6">
        <f t="shared" si="0"/>
        <v>125</v>
      </c>
      <c r="I6" s="17">
        <v>3</v>
      </c>
      <c r="J6">
        <f t="shared" si="2"/>
        <v>55</v>
      </c>
      <c r="P6" t="s">
        <v>105</v>
      </c>
    </row>
    <row r="7" spans="1:16" x14ac:dyDescent="0.25">
      <c r="A7" s="22">
        <v>2.2999999999999998</v>
      </c>
      <c r="B7" t="s">
        <v>160</v>
      </c>
      <c r="C7">
        <v>250</v>
      </c>
      <c r="D7">
        <v>250</v>
      </c>
      <c r="E7">
        <f t="shared" si="1"/>
        <v>1</v>
      </c>
      <c r="F7">
        <f>0.5*C7</f>
        <v>125</v>
      </c>
      <c r="G7">
        <f>F7/D7</f>
        <v>0.5</v>
      </c>
      <c r="H7">
        <f t="shared" si="0"/>
        <v>125</v>
      </c>
      <c r="I7" s="17">
        <v>4</v>
      </c>
      <c r="J7">
        <f t="shared" si="2"/>
        <v>59</v>
      </c>
      <c r="O7" t="s">
        <v>106</v>
      </c>
      <c r="P7" t="s">
        <v>107</v>
      </c>
    </row>
    <row r="8" spans="1:16" s="15" customFormat="1" x14ac:dyDescent="0.25">
      <c r="A8" s="24">
        <v>2.4</v>
      </c>
      <c r="B8" s="15" t="s">
        <v>157</v>
      </c>
      <c r="C8" s="15">
        <v>250</v>
      </c>
      <c r="D8" s="15">
        <v>250</v>
      </c>
      <c r="E8" s="15">
        <f t="shared" si="1"/>
        <v>1</v>
      </c>
      <c r="F8" s="15">
        <v>125</v>
      </c>
      <c r="G8" s="15">
        <v>0.5</v>
      </c>
      <c r="H8" s="15">
        <v>125</v>
      </c>
      <c r="I8" s="20">
        <v>8</v>
      </c>
      <c r="J8">
        <f t="shared" si="2"/>
        <v>67</v>
      </c>
      <c r="K8" s="15">
        <v>15</v>
      </c>
      <c r="M8" s="15">
        <v>132.5</v>
      </c>
      <c r="N8" s="15">
        <v>117.5</v>
      </c>
    </row>
    <row r="9" spans="1:16" x14ac:dyDescent="0.25">
      <c r="A9" s="22">
        <v>3.2</v>
      </c>
      <c r="B9" t="s">
        <v>118</v>
      </c>
      <c r="C9">
        <v>750</v>
      </c>
      <c r="D9">
        <v>750</v>
      </c>
      <c r="E9">
        <f>D9/C9</f>
        <v>1</v>
      </c>
      <c r="F9">
        <f>D9*0.5</f>
        <v>375</v>
      </c>
      <c r="G9">
        <f>F9/D9</f>
        <v>0.5</v>
      </c>
      <c r="H9">
        <f t="shared" ref="H9:H21" si="3">D9-F9</f>
        <v>375</v>
      </c>
      <c r="I9" s="17">
        <f>(C9-C8)/25</f>
        <v>20</v>
      </c>
      <c r="J9">
        <f t="shared" si="2"/>
        <v>87</v>
      </c>
      <c r="O9" t="s">
        <v>106</v>
      </c>
      <c r="P9" t="s">
        <v>119</v>
      </c>
    </row>
    <row r="10" spans="1:16" x14ac:dyDescent="0.25">
      <c r="A10" s="22">
        <v>3.3</v>
      </c>
      <c r="B10" t="s">
        <v>120</v>
      </c>
      <c r="C10">
        <f>D10/0.8</f>
        <v>937.5</v>
      </c>
      <c r="D10">
        <v>750</v>
      </c>
      <c r="E10">
        <f>D10/C10</f>
        <v>0.8</v>
      </c>
      <c r="F10">
        <v>375</v>
      </c>
      <c r="G10">
        <f>F10/D10</f>
        <v>0.5</v>
      </c>
      <c r="H10">
        <f t="shared" si="3"/>
        <v>375</v>
      </c>
      <c r="I10" s="17">
        <f>(C10-C9)/25</f>
        <v>7.5</v>
      </c>
      <c r="J10">
        <f t="shared" si="2"/>
        <v>94.5</v>
      </c>
      <c r="O10" t="s">
        <v>106</v>
      </c>
      <c r="P10" t="s">
        <v>108</v>
      </c>
    </row>
    <row r="11" spans="1:16" s="8" customFormat="1" x14ac:dyDescent="0.25">
      <c r="A11" s="22">
        <v>3.4</v>
      </c>
      <c r="B11" s="8" t="s">
        <v>109</v>
      </c>
      <c r="C11" s="8">
        <f>C12</f>
        <v>937.5</v>
      </c>
      <c r="D11" s="8">
        <f>D12</f>
        <v>750</v>
      </c>
      <c r="E11" s="8">
        <f>D11/C11</f>
        <v>0.8</v>
      </c>
      <c r="F11" s="8">
        <f>F12</f>
        <v>375</v>
      </c>
      <c r="G11" s="8">
        <f t="shared" ref="G11:G19" si="4">F11/D11</f>
        <v>0.5</v>
      </c>
      <c r="H11" s="11">
        <f t="shared" si="3"/>
        <v>375</v>
      </c>
      <c r="I11" s="21">
        <f>(M11-F11)/25</f>
        <v>1</v>
      </c>
      <c r="J11">
        <f t="shared" si="2"/>
        <v>95.5</v>
      </c>
      <c r="K11" s="8">
        <v>50</v>
      </c>
      <c r="L11" s="8">
        <f>L12</f>
        <v>0.13333333333333333</v>
      </c>
      <c r="M11" s="8">
        <f>M12</f>
        <v>400</v>
      </c>
      <c r="N11" s="8">
        <f>N12</f>
        <v>350</v>
      </c>
      <c r="P11" s="8" t="s">
        <v>110</v>
      </c>
    </row>
    <row r="12" spans="1:16" s="9" customFormat="1" x14ac:dyDescent="0.25">
      <c r="A12" s="22">
        <v>3.5</v>
      </c>
      <c r="B12" s="9" t="s">
        <v>111</v>
      </c>
      <c r="C12" s="9">
        <f>D12/0.8</f>
        <v>937.5</v>
      </c>
      <c r="D12" s="9">
        <v>750</v>
      </c>
      <c r="E12" s="9">
        <f>D12/C12</f>
        <v>0.8</v>
      </c>
      <c r="F12" s="9">
        <v>375</v>
      </c>
      <c r="G12" s="10">
        <f t="shared" si="4"/>
        <v>0.5</v>
      </c>
      <c r="H12" s="9">
        <f t="shared" si="3"/>
        <v>375</v>
      </c>
      <c r="I12" s="19">
        <v>8</v>
      </c>
      <c r="J12">
        <f t="shared" si="2"/>
        <v>103.5</v>
      </c>
      <c r="K12" s="10">
        <v>50</v>
      </c>
      <c r="L12" s="10">
        <f>K12/F12</f>
        <v>0.13333333333333333</v>
      </c>
      <c r="M12" s="9">
        <f>F12+K12/2</f>
        <v>400</v>
      </c>
      <c r="N12" s="9">
        <f>F12-K12/2</f>
        <v>350</v>
      </c>
      <c r="O12" s="9" t="s">
        <v>103</v>
      </c>
      <c r="P12" s="9" t="s">
        <v>112</v>
      </c>
    </row>
    <row r="13" spans="1:16" x14ac:dyDescent="0.25">
      <c r="A13" s="22">
        <v>3.6</v>
      </c>
      <c r="B13" t="s">
        <v>113</v>
      </c>
      <c r="C13">
        <v>937.5</v>
      </c>
      <c r="D13">
        <v>750</v>
      </c>
      <c r="E13">
        <v>0.8</v>
      </c>
      <c r="F13">
        <v>525</v>
      </c>
      <c r="G13">
        <f t="shared" si="4"/>
        <v>0.7</v>
      </c>
      <c r="H13">
        <f t="shared" si="3"/>
        <v>225</v>
      </c>
      <c r="I13" s="17">
        <f>(F13-F12)/25</f>
        <v>6</v>
      </c>
      <c r="J13">
        <f t="shared" si="2"/>
        <v>109.5</v>
      </c>
      <c r="O13" t="s">
        <v>106</v>
      </c>
    </row>
    <row r="14" spans="1:16" s="8" customFormat="1" x14ac:dyDescent="0.25">
      <c r="A14" s="22">
        <v>3.7</v>
      </c>
      <c r="B14" s="8" t="s">
        <v>109</v>
      </c>
      <c r="C14" s="8">
        <f>C15</f>
        <v>937.5</v>
      </c>
      <c r="D14" s="8">
        <f>D15</f>
        <v>750</v>
      </c>
      <c r="E14" s="8">
        <f>D14/C14</f>
        <v>0.8</v>
      </c>
      <c r="F14" s="8">
        <f>F15</f>
        <v>525</v>
      </c>
      <c r="G14" s="8">
        <f t="shared" si="4"/>
        <v>0.7</v>
      </c>
      <c r="H14" s="11">
        <f t="shared" si="3"/>
        <v>225</v>
      </c>
      <c r="I14" s="21">
        <f>(M14-F14)/25</f>
        <v>1.5</v>
      </c>
      <c r="J14">
        <f t="shared" si="2"/>
        <v>111</v>
      </c>
      <c r="K14" s="8">
        <f>K15</f>
        <v>75</v>
      </c>
      <c r="L14" s="8">
        <f>L15</f>
        <v>0.14285714285714285</v>
      </c>
      <c r="M14" s="8">
        <f>M15</f>
        <v>562.5</v>
      </c>
      <c r="N14" s="8">
        <f>N15</f>
        <v>487.5</v>
      </c>
      <c r="P14" s="8" t="s">
        <v>110</v>
      </c>
    </row>
    <row r="15" spans="1:16" s="9" customFormat="1" x14ac:dyDescent="0.25">
      <c r="A15" s="23">
        <v>3.8</v>
      </c>
      <c r="B15" s="9" t="s">
        <v>111</v>
      </c>
      <c r="C15" s="9">
        <f>D15/0.8</f>
        <v>937.5</v>
      </c>
      <c r="D15" s="9">
        <v>750</v>
      </c>
      <c r="E15" s="9">
        <f>D15/C15</f>
        <v>0.8</v>
      </c>
      <c r="F15" s="9">
        <f>0.7*D15</f>
        <v>525</v>
      </c>
      <c r="G15" s="10">
        <f t="shared" si="4"/>
        <v>0.7</v>
      </c>
      <c r="H15" s="9">
        <f t="shared" si="3"/>
        <v>225</v>
      </c>
      <c r="I15" s="19">
        <v>8</v>
      </c>
      <c r="J15">
        <f t="shared" si="2"/>
        <v>119</v>
      </c>
      <c r="K15" s="10">
        <v>75</v>
      </c>
      <c r="L15" s="10">
        <f>K15/F15</f>
        <v>0.14285714285714285</v>
      </c>
      <c r="M15" s="9">
        <f>F15+K15/2</f>
        <v>562.5</v>
      </c>
      <c r="N15" s="9">
        <f>F15-K15/2</f>
        <v>487.5</v>
      </c>
      <c r="O15" s="9" t="s">
        <v>103</v>
      </c>
      <c r="P15" s="10" t="s">
        <v>114</v>
      </c>
    </row>
    <row r="16" spans="1:16" x14ac:dyDescent="0.25">
      <c r="A16" s="22">
        <v>3.9</v>
      </c>
      <c r="B16" t="s">
        <v>113</v>
      </c>
      <c r="C16">
        <v>937.5</v>
      </c>
      <c r="D16">
        <v>750</v>
      </c>
      <c r="E16">
        <v>0.8</v>
      </c>
      <c r="F16">
        <f>0.8*D16</f>
        <v>600</v>
      </c>
      <c r="G16">
        <f t="shared" si="4"/>
        <v>0.8</v>
      </c>
      <c r="H16">
        <f t="shared" si="3"/>
        <v>150</v>
      </c>
      <c r="I16" s="17">
        <f>(F16-F15)/25</f>
        <v>3</v>
      </c>
      <c r="J16">
        <f t="shared" si="2"/>
        <v>122</v>
      </c>
      <c r="O16" t="s">
        <v>106</v>
      </c>
    </row>
    <row r="17" spans="1:16" s="8" customFormat="1" x14ac:dyDescent="0.25">
      <c r="A17" s="22">
        <v>3.1</v>
      </c>
      <c r="B17" s="8" t="s">
        <v>109</v>
      </c>
      <c r="C17" s="8">
        <f>C18</f>
        <v>937.5</v>
      </c>
      <c r="D17" s="8">
        <f>D18</f>
        <v>750</v>
      </c>
      <c r="E17" s="8">
        <f>D17/C17</f>
        <v>0.8</v>
      </c>
      <c r="F17" s="8">
        <v>600</v>
      </c>
      <c r="G17" s="8">
        <f t="shared" si="4"/>
        <v>0.8</v>
      </c>
      <c r="H17" s="11">
        <f t="shared" si="3"/>
        <v>150</v>
      </c>
      <c r="I17" s="21">
        <f>(M17-F17)/25</f>
        <v>1.5</v>
      </c>
      <c r="J17">
        <f t="shared" si="2"/>
        <v>123.5</v>
      </c>
      <c r="K17" s="8">
        <f>K18</f>
        <v>75</v>
      </c>
      <c r="L17" s="8">
        <f>L18</f>
        <v>0.125</v>
      </c>
      <c r="M17" s="8">
        <f>M18</f>
        <v>637.5</v>
      </c>
      <c r="N17" s="8">
        <f>N18</f>
        <v>562.5</v>
      </c>
      <c r="P17" s="8" t="s">
        <v>110</v>
      </c>
    </row>
    <row r="18" spans="1:16" s="9" customFormat="1" x14ac:dyDescent="0.25">
      <c r="A18" s="23">
        <v>3.11</v>
      </c>
      <c r="B18" s="9" t="s">
        <v>111</v>
      </c>
      <c r="C18" s="9">
        <f>D18/0.8</f>
        <v>937.5</v>
      </c>
      <c r="D18" s="9">
        <v>750</v>
      </c>
      <c r="E18" s="9">
        <f>D18/C18</f>
        <v>0.8</v>
      </c>
      <c r="F18" s="9">
        <v>600</v>
      </c>
      <c r="G18" s="10">
        <f t="shared" si="4"/>
        <v>0.8</v>
      </c>
      <c r="H18" s="9">
        <f t="shared" si="3"/>
        <v>150</v>
      </c>
      <c r="I18" s="19">
        <v>8</v>
      </c>
      <c r="J18">
        <f t="shared" si="2"/>
        <v>131.5</v>
      </c>
      <c r="K18" s="10">
        <v>75</v>
      </c>
      <c r="L18" s="10">
        <f>K18/F18</f>
        <v>0.125</v>
      </c>
      <c r="M18" s="9">
        <f>F18+K18/2</f>
        <v>637.5</v>
      </c>
      <c r="N18" s="9">
        <f>F18-K18/2</f>
        <v>562.5</v>
      </c>
      <c r="O18" s="9" t="s">
        <v>103</v>
      </c>
      <c r="P18" s="10" t="s">
        <v>114</v>
      </c>
    </row>
    <row r="19" spans="1:16" s="12" customFormat="1" x14ac:dyDescent="0.25">
      <c r="A19" s="26">
        <v>3.12</v>
      </c>
      <c r="B19" s="12" t="s">
        <v>115</v>
      </c>
      <c r="C19" s="12">
        <v>937.5</v>
      </c>
      <c r="D19" s="12">
        <v>750</v>
      </c>
      <c r="F19" s="12">
        <v>375</v>
      </c>
      <c r="G19" s="12">
        <f t="shared" si="4"/>
        <v>0.5</v>
      </c>
      <c r="H19" s="12">
        <f t="shared" si="3"/>
        <v>375</v>
      </c>
      <c r="I19" s="18">
        <f>(F18-F19)/25</f>
        <v>9</v>
      </c>
      <c r="J19">
        <f t="shared" si="2"/>
        <v>140.5</v>
      </c>
      <c r="O19" t="s">
        <v>106</v>
      </c>
    </row>
    <row r="20" spans="1:16" x14ac:dyDescent="0.25">
      <c r="A20" s="22">
        <v>4.2</v>
      </c>
      <c r="B20" t="s">
        <v>116</v>
      </c>
      <c r="C20">
        <v>1500</v>
      </c>
      <c r="D20">
        <v>1500</v>
      </c>
      <c r="E20">
        <f>D20/C20</f>
        <v>1</v>
      </c>
      <c r="F20">
        <f>0.5*C20</f>
        <v>750</v>
      </c>
      <c r="G20">
        <f>F20/D20</f>
        <v>0.5</v>
      </c>
      <c r="H20">
        <f t="shared" si="3"/>
        <v>750</v>
      </c>
      <c r="I20" s="17">
        <f>(D20-D19)/25</f>
        <v>30</v>
      </c>
      <c r="J20">
        <f t="shared" si="2"/>
        <v>170.5</v>
      </c>
      <c r="O20" t="s">
        <v>106</v>
      </c>
      <c r="P20" t="s">
        <v>117</v>
      </c>
    </row>
    <row r="21" spans="1:16" x14ac:dyDescent="0.25">
      <c r="A21" s="26">
        <v>4.2</v>
      </c>
      <c r="B21" t="s">
        <v>120</v>
      </c>
      <c r="C21">
        <f>1500/0.8</f>
        <v>1875</v>
      </c>
      <c r="D21">
        <v>1500</v>
      </c>
      <c r="E21">
        <f>D21/C21</f>
        <v>0.8</v>
      </c>
      <c r="F21">
        <v>750</v>
      </c>
      <c r="G21">
        <f>F21/D21</f>
        <v>0.5</v>
      </c>
      <c r="H21">
        <f t="shared" si="3"/>
        <v>750</v>
      </c>
      <c r="I21" s="17">
        <f>(C21-C20)/25</f>
        <v>15</v>
      </c>
      <c r="J21">
        <f t="shared" si="2"/>
        <v>185.5</v>
      </c>
      <c r="O21" t="s">
        <v>106</v>
      </c>
      <c r="P21" t="s">
        <v>108</v>
      </c>
    </row>
    <row r="22" spans="1:16" x14ac:dyDescent="0.25">
      <c r="A22" s="26">
        <v>4.4000000000000004</v>
      </c>
      <c r="B22" s="8" t="s">
        <v>109</v>
      </c>
      <c r="C22" s="8">
        <f>C23</f>
        <v>1875</v>
      </c>
      <c r="D22" s="8">
        <f>D23</f>
        <v>1500</v>
      </c>
      <c r="E22" s="8">
        <f>D22/C22</f>
        <v>0.8</v>
      </c>
      <c r="F22" s="8">
        <f>F23</f>
        <v>750</v>
      </c>
      <c r="G22" s="8">
        <f t="shared" ref="G22:G32" si="5">F22/D22</f>
        <v>0.5</v>
      </c>
      <c r="H22" s="11">
        <f t="shared" ref="H22:H32" si="6">D22-F22</f>
        <v>750</v>
      </c>
      <c r="I22" s="21">
        <f>(M22-F22)/25</f>
        <v>3</v>
      </c>
      <c r="J22">
        <f t="shared" si="2"/>
        <v>188.5</v>
      </c>
      <c r="K22" s="8">
        <f>K23</f>
        <v>150</v>
      </c>
      <c r="L22" s="8">
        <f>L23</f>
        <v>0.2</v>
      </c>
      <c r="M22" s="8">
        <f>M23</f>
        <v>825</v>
      </c>
      <c r="N22" s="8">
        <f>N23</f>
        <v>675</v>
      </c>
      <c r="O22" s="8"/>
      <c r="P22" s="8" t="s">
        <v>110</v>
      </c>
    </row>
    <row r="23" spans="1:16" x14ac:dyDescent="0.25">
      <c r="A23" s="23">
        <v>4.5</v>
      </c>
      <c r="B23" s="9" t="s">
        <v>111</v>
      </c>
      <c r="C23" s="9">
        <v>1875</v>
      </c>
      <c r="D23" s="9">
        <v>1500</v>
      </c>
      <c r="E23" s="9">
        <f>D23/C23</f>
        <v>0.8</v>
      </c>
      <c r="F23" s="9">
        <v>750</v>
      </c>
      <c r="G23" s="10">
        <f t="shared" si="5"/>
        <v>0.5</v>
      </c>
      <c r="H23" s="9">
        <f t="shared" si="6"/>
        <v>750</v>
      </c>
      <c r="I23" s="19">
        <v>8</v>
      </c>
      <c r="J23">
        <f t="shared" si="2"/>
        <v>196.5</v>
      </c>
      <c r="K23" s="10">
        <f>0.2*F23</f>
        <v>150</v>
      </c>
      <c r="L23" s="10">
        <f>K23/F23</f>
        <v>0.2</v>
      </c>
      <c r="M23" s="9">
        <f>F23+K23/2</f>
        <v>825</v>
      </c>
      <c r="N23" s="9">
        <f>F23-K23/2</f>
        <v>675</v>
      </c>
      <c r="O23" s="9" t="s">
        <v>103</v>
      </c>
      <c r="P23" s="9" t="s">
        <v>112</v>
      </c>
    </row>
    <row r="24" spans="1:16" x14ac:dyDescent="0.25">
      <c r="A24" s="26">
        <v>4.5999999999999996</v>
      </c>
      <c r="B24" t="s">
        <v>113</v>
      </c>
      <c r="C24">
        <v>1875</v>
      </c>
      <c r="D24">
        <v>1500</v>
      </c>
      <c r="E24">
        <v>0.8</v>
      </c>
      <c r="F24">
        <f>0.65*D24</f>
        <v>975</v>
      </c>
      <c r="G24">
        <f t="shared" si="5"/>
        <v>0.65</v>
      </c>
      <c r="H24">
        <f t="shared" si="6"/>
        <v>525</v>
      </c>
      <c r="I24" s="17">
        <f>(F24-F23)/25</f>
        <v>9</v>
      </c>
      <c r="J24">
        <f t="shared" si="2"/>
        <v>205.5</v>
      </c>
      <c r="O24" t="s">
        <v>106</v>
      </c>
    </row>
    <row r="25" spans="1:16" x14ac:dyDescent="0.25">
      <c r="A25" s="22">
        <v>4.7</v>
      </c>
      <c r="B25" s="8" t="s">
        <v>109</v>
      </c>
      <c r="C25" s="8">
        <f>C26</f>
        <v>1875</v>
      </c>
      <c r="D25" s="8">
        <f>D26</f>
        <v>1500</v>
      </c>
      <c r="E25" s="8">
        <f>D25/C25</f>
        <v>0.8</v>
      </c>
      <c r="F25" s="8">
        <f>F26</f>
        <v>975</v>
      </c>
      <c r="G25" s="8">
        <f t="shared" si="5"/>
        <v>0.65</v>
      </c>
      <c r="H25" s="11">
        <f t="shared" si="6"/>
        <v>525</v>
      </c>
      <c r="I25" s="21">
        <f>(M25-F25)/25</f>
        <v>3</v>
      </c>
      <c r="J25">
        <f t="shared" si="2"/>
        <v>208.5</v>
      </c>
      <c r="K25" s="8">
        <f>K26</f>
        <v>150</v>
      </c>
      <c r="L25" s="8">
        <f>L26</f>
        <v>0.15384615384615385</v>
      </c>
      <c r="M25" s="8">
        <f>M26</f>
        <v>1050</v>
      </c>
      <c r="N25" s="8">
        <f>N26</f>
        <v>900</v>
      </c>
      <c r="O25" s="8"/>
      <c r="P25" s="8" t="s">
        <v>110</v>
      </c>
    </row>
    <row r="26" spans="1:16" x14ac:dyDescent="0.25">
      <c r="A26" s="23">
        <v>4.8</v>
      </c>
      <c r="B26" s="9" t="s">
        <v>111</v>
      </c>
      <c r="C26" s="9">
        <v>1875</v>
      </c>
      <c r="D26" s="9">
        <v>1500</v>
      </c>
      <c r="E26" s="9">
        <f>D26/C26</f>
        <v>0.8</v>
      </c>
      <c r="F26" s="9">
        <v>975</v>
      </c>
      <c r="G26" s="10">
        <f t="shared" si="5"/>
        <v>0.65</v>
      </c>
      <c r="H26" s="9">
        <f t="shared" si="6"/>
        <v>525</v>
      </c>
      <c r="I26" s="19">
        <v>8</v>
      </c>
      <c r="J26">
        <f t="shared" si="2"/>
        <v>216.5</v>
      </c>
      <c r="K26" s="10">
        <v>150</v>
      </c>
      <c r="L26" s="10">
        <f>K26/F26</f>
        <v>0.15384615384615385</v>
      </c>
      <c r="M26" s="9">
        <f>F26+K26/2</f>
        <v>1050</v>
      </c>
      <c r="N26" s="9">
        <f>F26-K26/2</f>
        <v>900</v>
      </c>
      <c r="O26" s="9" t="s">
        <v>103</v>
      </c>
      <c r="P26" s="10" t="s">
        <v>114</v>
      </c>
    </row>
    <row r="27" spans="1:16" x14ac:dyDescent="0.25">
      <c r="A27" s="26">
        <v>4.9000000000000004</v>
      </c>
      <c r="B27" t="s">
        <v>113</v>
      </c>
      <c r="C27">
        <v>1875</v>
      </c>
      <c r="D27">
        <v>1500</v>
      </c>
      <c r="E27">
        <v>0.8</v>
      </c>
      <c r="F27">
        <f>0.8*D27</f>
        <v>1200</v>
      </c>
      <c r="G27">
        <f t="shared" si="5"/>
        <v>0.8</v>
      </c>
      <c r="H27">
        <f t="shared" si="6"/>
        <v>300</v>
      </c>
      <c r="I27" s="17">
        <f>(F27-F26)/25</f>
        <v>9</v>
      </c>
      <c r="J27">
        <f t="shared" si="2"/>
        <v>225.5</v>
      </c>
      <c r="O27" t="s">
        <v>106</v>
      </c>
    </row>
    <row r="28" spans="1:16" x14ac:dyDescent="0.25">
      <c r="A28" s="22">
        <v>4.0999999999999996</v>
      </c>
      <c r="B28" s="8" t="s">
        <v>109</v>
      </c>
      <c r="C28" s="8">
        <f>C29</f>
        <v>1875</v>
      </c>
      <c r="D28" s="8">
        <f>D29</f>
        <v>1500</v>
      </c>
      <c r="E28" s="8">
        <f>D28/C28</f>
        <v>0.8</v>
      </c>
      <c r="F28" s="8">
        <f>F29</f>
        <v>1200</v>
      </c>
      <c r="G28" s="8">
        <f t="shared" si="5"/>
        <v>0.8</v>
      </c>
      <c r="H28" s="11">
        <f t="shared" si="6"/>
        <v>300</v>
      </c>
      <c r="I28" s="21">
        <f>(M28-F28)/25</f>
        <v>3</v>
      </c>
      <c r="J28">
        <f t="shared" si="2"/>
        <v>228.5</v>
      </c>
      <c r="K28" s="8">
        <f>K29</f>
        <v>150</v>
      </c>
      <c r="L28" s="8">
        <f>L29</f>
        <v>0.125</v>
      </c>
      <c r="M28" s="8">
        <f>M29</f>
        <v>1275</v>
      </c>
      <c r="N28" s="8">
        <f>N29</f>
        <v>1125</v>
      </c>
      <c r="O28" s="8"/>
      <c r="P28" s="8" t="s">
        <v>110</v>
      </c>
    </row>
    <row r="29" spans="1:16" x14ac:dyDescent="0.25">
      <c r="A29" s="23">
        <v>4.1100000000000003</v>
      </c>
      <c r="B29" s="9" t="s">
        <v>111</v>
      </c>
      <c r="C29" s="9">
        <v>1875</v>
      </c>
      <c r="D29" s="9">
        <v>1500</v>
      </c>
      <c r="E29" s="9">
        <f>D29/C29</f>
        <v>0.8</v>
      </c>
      <c r="F29" s="9">
        <v>1200</v>
      </c>
      <c r="G29" s="10">
        <f t="shared" si="5"/>
        <v>0.8</v>
      </c>
      <c r="H29" s="9">
        <f t="shared" si="6"/>
        <v>300</v>
      </c>
      <c r="I29" s="19">
        <v>8</v>
      </c>
      <c r="J29">
        <f t="shared" si="2"/>
        <v>236.5</v>
      </c>
      <c r="K29" s="10">
        <v>150</v>
      </c>
      <c r="L29" s="10">
        <f>K29/F29</f>
        <v>0.125</v>
      </c>
      <c r="M29" s="9">
        <f>F29+K29/2</f>
        <v>1275</v>
      </c>
      <c r="N29" s="9">
        <f>F29-K29/2</f>
        <v>1125</v>
      </c>
      <c r="O29" s="9" t="s">
        <v>103</v>
      </c>
      <c r="P29" s="10" t="s">
        <v>114</v>
      </c>
    </row>
    <row r="30" spans="1:16" x14ac:dyDescent="0.25">
      <c r="A30" s="28">
        <v>4.12</v>
      </c>
      <c r="B30" t="s">
        <v>113</v>
      </c>
      <c r="C30">
        <v>1875</v>
      </c>
      <c r="D30">
        <v>1500</v>
      </c>
      <c r="E30">
        <v>0.8</v>
      </c>
      <c r="F30">
        <f>0.9*D30</f>
        <v>1350</v>
      </c>
      <c r="G30">
        <f t="shared" si="5"/>
        <v>0.9</v>
      </c>
      <c r="H30">
        <f t="shared" si="6"/>
        <v>150</v>
      </c>
      <c r="I30" s="17">
        <f>(F30-F29)/25</f>
        <v>6</v>
      </c>
      <c r="J30">
        <f t="shared" si="2"/>
        <v>242.5</v>
      </c>
      <c r="O30" t="s">
        <v>106</v>
      </c>
    </row>
    <row r="31" spans="1:16" x14ac:dyDescent="0.25">
      <c r="A31" s="8">
        <v>4.13</v>
      </c>
      <c r="B31" s="8" t="s">
        <v>109</v>
      </c>
      <c r="C31" s="8">
        <f>C32</f>
        <v>1875</v>
      </c>
      <c r="D31" s="8">
        <f>D32</f>
        <v>1500</v>
      </c>
      <c r="E31" s="8">
        <f>D31/C31</f>
        <v>0.8</v>
      </c>
      <c r="F31" s="8">
        <f>F32</f>
        <v>1350</v>
      </c>
      <c r="G31" s="8">
        <f t="shared" si="5"/>
        <v>0.9</v>
      </c>
      <c r="H31" s="11">
        <f t="shared" si="6"/>
        <v>150</v>
      </c>
      <c r="I31" s="21">
        <f>(M31-F31)/25</f>
        <v>3</v>
      </c>
      <c r="J31">
        <f t="shared" si="2"/>
        <v>245.5</v>
      </c>
      <c r="K31" s="8">
        <v>150</v>
      </c>
      <c r="L31" s="8">
        <f>L32</f>
        <v>0.1111111111111111</v>
      </c>
      <c r="M31" s="8">
        <f>M32</f>
        <v>1425</v>
      </c>
      <c r="N31" s="8">
        <f>N32</f>
        <v>1275</v>
      </c>
      <c r="O31" s="8"/>
      <c r="P31" s="8" t="s">
        <v>110</v>
      </c>
    </row>
    <row r="32" spans="1:16" x14ac:dyDescent="0.25">
      <c r="A32" s="13">
        <v>4.1399999999999997</v>
      </c>
      <c r="B32" s="9" t="s">
        <v>111</v>
      </c>
      <c r="C32" s="9">
        <v>1875</v>
      </c>
      <c r="D32" s="9">
        <v>1500</v>
      </c>
      <c r="E32" s="9">
        <f>D32/C32</f>
        <v>0.8</v>
      </c>
      <c r="F32" s="9">
        <v>1350</v>
      </c>
      <c r="G32" s="10">
        <f t="shared" si="5"/>
        <v>0.9</v>
      </c>
      <c r="H32" s="9">
        <f t="shared" si="6"/>
        <v>150</v>
      </c>
      <c r="I32" s="19">
        <v>8</v>
      </c>
      <c r="J32">
        <f t="shared" si="2"/>
        <v>253.5</v>
      </c>
      <c r="K32" s="10">
        <v>150</v>
      </c>
      <c r="L32" s="10">
        <f>K32/F32</f>
        <v>0.1111111111111111</v>
      </c>
      <c r="M32" s="9">
        <f>F32+K32/2</f>
        <v>1425</v>
      </c>
      <c r="N32" s="9">
        <f>F32-K32/2</f>
        <v>1275</v>
      </c>
      <c r="O32" s="9" t="s">
        <v>103</v>
      </c>
      <c r="P32" s="10" t="s">
        <v>114</v>
      </c>
    </row>
    <row r="33" spans="1:16" x14ac:dyDescent="0.25">
      <c r="A33" s="12">
        <v>4.1500000000000004</v>
      </c>
      <c r="B33" s="12" t="s">
        <v>115</v>
      </c>
      <c r="C33" s="12">
        <v>1875</v>
      </c>
      <c r="D33" s="12">
        <v>1500</v>
      </c>
      <c r="E33" s="12"/>
      <c r="F33" s="12">
        <v>750</v>
      </c>
      <c r="G33" s="12">
        <f>F33/D33</f>
        <v>0.5</v>
      </c>
      <c r="H33" s="12">
        <f>D33-F33</f>
        <v>750</v>
      </c>
      <c r="I33" s="18">
        <f>(F32-F33)/25</f>
        <v>24</v>
      </c>
      <c r="J33">
        <f>I33+J32</f>
        <v>277.5</v>
      </c>
      <c r="K33" s="12"/>
      <c r="L33" s="12"/>
      <c r="M33" s="12"/>
      <c r="N33" s="12"/>
      <c r="O33" t="s">
        <v>106</v>
      </c>
      <c r="P33" s="12"/>
    </row>
    <row r="34" spans="1:16" x14ac:dyDescent="0.25">
      <c r="A34">
        <v>5.0999999999999996</v>
      </c>
      <c r="B34" t="s">
        <v>116</v>
      </c>
      <c r="C34">
        <v>1875</v>
      </c>
      <c r="D34">
        <v>1875</v>
      </c>
      <c r="E34">
        <f>D34/C34</f>
        <v>1</v>
      </c>
      <c r="F34">
        <f>0.5*C34</f>
        <v>937.5</v>
      </c>
      <c r="G34">
        <f>F34/D34</f>
        <v>0.5</v>
      </c>
      <c r="H34">
        <f>D34-F34</f>
        <v>937.5</v>
      </c>
      <c r="I34" s="17">
        <f>(D34-D33)/25</f>
        <v>15</v>
      </c>
      <c r="J34">
        <f>I34+J33</f>
        <v>292.5</v>
      </c>
      <c r="O34" t="s">
        <v>106</v>
      </c>
      <c r="P34" t="s">
        <v>117</v>
      </c>
    </row>
    <row r="35" spans="1:16" x14ac:dyDescent="0.25">
      <c r="A35">
        <v>5.2</v>
      </c>
      <c r="B35" t="s">
        <v>118</v>
      </c>
      <c r="C35">
        <v>2500</v>
      </c>
      <c r="D35">
        <v>2500</v>
      </c>
      <c r="E35">
        <f>D35/C35</f>
        <v>1</v>
      </c>
      <c r="F35">
        <f>D35*0.5</f>
        <v>1250</v>
      </c>
      <c r="G35">
        <f>F35/D35</f>
        <v>0.5</v>
      </c>
      <c r="H35">
        <f>D35-F35</f>
        <v>1250</v>
      </c>
      <c r="I35" s="17">
        <f>(C35-C34)/25</f>
        <v>25</v>
      </c>
      <c r="J35">
        <f t="shared" si="2"/>
        <v>317.5</v>
      </c>
      <c r="O35" t="s">
        <v>106</v>
      </c>
      <c r="P35" t="s">
        <v>119</v>
      </c>
    </row>
    <row r="36" spans="1:16" x14ac:dyDescent="0.25">
      <c r="A36">
        <v>5.3</v>
      </c>
      <c r="B36" t="s">
        <v>120</v>
      </c>
      <c r="C36">
        <f>2500/0.8</f>
        <v>3125</v>
      </c>
      <c r="D36">
        <v>2500</v>
      </c>
      <c r="E36">
        <f>D36/C36</f>
        <v>0.8</v>
      </c>
      <c r="F36">
        <v>1250</v>
      </c>
      <c r="G36">
        <f>F36/D36</f>
        <v>0.5</v>
      </c>
      <c r="H36">
        <f>D36-F36</f>
        <v>1250</v>
      </c>
      <c r="I36" s="17">
        <f>(C36-C35)/25</f>
        <v>25</v>
      </c>
      <c r="J36">
        <f t="shared" si="2"/>
        <v>342.5</v>
      </c>
      <c r="O36" t="s">
        <v>106</v>
      </c>
      <c r="P36" t="s">
        <v>108</v>
      </c>
    </row>
    <row r="37" spans="1:16" x14ac:dyDescent="0.25">
      <c r="A37" s="8">
        <v>5.4</v>
      </c>
      <c r="B37" s="8" t="s">
        <v>109</v>
      </c>
      <c r="C37" s="8">
        <f>C38</f>
        <v>3125</v>
      </c>
      <c r="D37" s="8">
        <f>D38</f>
        <v>2500</v>
      </c>
      <c r="E37" s="8">
        <f>D37/C37</f>
        <v>0.8</v>
      </c>
      <c r="F37" s="8">
        <f>F38</f>
        <v>1250</v>
      </c>
      <c r="G37" s="8">
        <f t="shared" ref="G37:G48" si="7">F37/D37</f>
        <v>0.5</v>
      </c>
      <c r="H37" s="11">
        <f t="shared" ref="H37:H48" si="8">D37-F37</f>
        <v>1250</v>
      </c>
      <c r="I37" s="21">
        <f>(M37-F37)/25</f>
        <v>5</v>
      </c>
      <c r="J37">
        <f t="shared" si="2"/>
        <v>347.5</v>
      </c>
      <c r="K37" s="8">
        <f>K38</f>
        <v>250</v>
      </c>
      <c r="L37" s="8">
        <f>L38</f>
        <v>0.2</v>
      </c>
      <c r="M37" s="8">
        <f>M38</f>
        <v>1375</v>
      </c>
      <c r="N37" s="8">
        <f>N38</f>
        <v>1125</v>
      </c>
      <c r="O37" s="8"/>
      <c r="P37" s="8" t="s">
        <v>110</v>
      </c>
    </row>
    <row r="38" spans="1:16" x14ac:dyDescent="0.25">
      <c r="A38" s="9">
        <v>5.5</v>
      </c>
      <c r="B38" s="9" t="s">
        <v>111</v>
      </c>
      <c r="C38" s="9">
        <v>3125</v>
      </c>
      <c r="D38" s="9">
        <v>2500</v>
      </c>
      <c r="E38" s="9">
        <f>D38/C38</f>
        <v>0.8</v>
      </c>
      <c r="F38" s="9">
        <v>1250</v>
      </c>
      <c r="G38" s="10">
        <f t="shared" si="7"/>
        <v>0.5</v>
      </c>
      <c r="H38" s="9">
        <f t="shared" si="8"/>
        <v>1250</v>
      </c>
      <c r="I38" s="19">
        <v>8</v>
      </c>
      <c r="J38">
        <f t="shared" si="2"/>
        <v>355.5</v>
      </c>
      <c r="K38" s="10">
        <f>0.2*F38</f>
        <v>250</v>
      </c>
      <c r="L38" s="10">
        <f>K38/F38</f>
        <v>0.2</v>
      </c>
      <c r="M38" s="9">
        <f>F38+K38/2</f>
        <v>1375</v>
      </c>
      <c r="N38" s="9">
        <f>F38-K38/2</f>
        <v>1125</v>
      </c>
      <c r="O38" s="9" t="s">
        <v>103</v>
      </c>
      <c r="P38" s="9" t="s">
        <v>112</v>
      </c>
    </row>
    <row r="39" spans="1:16" x14ac:dyDescent="0.25">
      <c r="A39">
        <v>5.6</v>
      </c>
      <c r="B39" t="s">
        <v>113</v>
      </c>
      <c r="C39">
        <f>2500/0.8</f>
        <v>3125</v>
      </c>
      <c r="D39">
        <v>2500</v>
      </c>
      <c r="E39">
        <v>0.8</v>
      </c>
      <c r="F39">
        <f>0.65*D39</f>
        <v>1625</v>
      </c>
      <c r="G39">
        <f t="shared" si="7"/>
        <v>0.65</v>
      </c>
      <c r="H39">
        <f t="shared" si="8"/>
        <v>875</v>
      </c>
      <c r="I39" s="17">
        <f>(F39-F38)/25</f>
        <v>15</v>
      </c>
      <c r="J39">
        <f t="shared" si="2"/>
        <v>370.5</v>
      </c>
      <c r="O39" t="s">
        <v>106</v>
      </c>
    </row>
    <row r="40" spans="1:16" x14ac:dyDescent="0.25">
      <c r="A40" s="8">
        <v>5.7</v>
      </c>
      <c r="B40" s="8" t="s">
        <v>109</v>
      </c>
      <c r="C40" s="8">
        <f>C41</f>
        <v>3125</v>
      </c>
      <c r="D40" s="8">
        <f>D41</f>
        <v>2500</v>
      </c>
      <c r="E40" s="8">
        <f>D40/C40</f>
        <v>0.8</v>
      </c>
      <c r="F40" s="8">
        <f>F41</f>
        <v>1625</v>
      </c>
      <c r="G40" s="8">
        <f t="shared" si="7"/>
        <v>0.65</v>
      </c>
      <c r="H40" s="11">
        <f t="shared" si="8"/>
        <v>875</v>
      </c>
      <c r="I40" s="21">
        <f>(M40-F40)/25</f>
        <v>5</v>
      </c>
      <c r="J40">
        <f t="shared" si="2"/>
        <v>375.5</v>
      </c>
      <c r="K40" s="8">
        <f>K41</f>
        <v>250</v>
      </c>
      <c r="L40" s="8">
        <f>L41</f>
        <v>0.15384615384615385</v>
      </c>
      <c r="M40" s="8">
        <f>M41</f>
        <v>1750</v>
      </c>
      <c r="N40" s="8">
        <f>N41</f>
        <v>1500</v>
      </c>
      <c r="O40" s="8"/>
      <c r="P40" s="8" t="s">
        <v>110</v>
      </c>
    </row>
    <row r="41" spans="1:16" x14ac:dyDescent="0.25">
      <c r="A41" s="9">
        <v>5.8</v>
      </c>
      <c r="B41" s="9" t="s">
        <v>111</v>
      </c>
      <c r="C41" s="9">
        <v>3125</v>
      </c>
      <c r="D41" s="9">
        <v>2500</v>
      </c>
      <c r="E41" s="9">
        <f>D41/C41</f>
        <v>0.8</v>
      </c>
      <c r="F41" s="9">
        <v>1625</v>
      </c>
      <c r="G41" s="10">
        <f t="shared" si="7"/>
        <v>0.65</v>
      </c>
      <c r="H41" s="9">
        <f t="shared" si="8"/>
        <v>875</v>
      </c>
      <c r="I41" s="19">
        <v>8</v>
      </c>
      <c r="J41">
        <f t="shared" si="2"/>
        <v>383.5</v>
      </c>
      <c r="K41" s="10">
        <v>250</v>
      </c>
      <c r="L41" s="10">
        <f>K41/F41</f>
        <v>0.15384615384615385</v>
      </c>
      <c r="M41" s="9">
        <f>F41+K41/2</f>
        <v>1750</v>
      </c>
      <c r="N41" s="9">
        <f>F41-K41/2</f>
        <v>1500</v>
      </c>
      <c r="O41" s="9" t="s">
        <v>103</v>
      </c>
      <c r="P41" s="10" t="s">
        <v>114</v>
      </c>
    </row>
    <row r="42" spans="1:16" x14ac:dyDescent="0.25">
      <c r="A42">
        <v>5.9</v>
      </c>
      <c r="B42" t="s">
        <v>113</v>
      </c>
      <c r="C42">
        <f>2500/0.8</f>
        <v>3125</v>
      </c>
      <c r="D42">
        <v>2500</v>
      </c>
      <c r="E42">
        <v>0.8</v>
      </c>
      <c r="F42">
        <f>0.8*D42</f>
        <v>2000</v>
      </c>
      <c r="G42">
        <f t="shared" si="7"/>
        <v>0.8</v>
      </c>
      <c r="H42">
        <f t="shared" si="8"/>
        <v>500</v>
      </c>
      <c r="I42" s="17">
        <f>(F42-F41)/25</f>
        <v>15</v>
      </c>
      <c r="J42">
        <f t="shared" si="2"/>
        <v>398.5</v>
      </c>
      <c r="O42" t="s">
        <v>106</v>
      </c>
    </row>
    <row r="43" spans="1:16" x14ac:dyDescent="0.25">
      <c r="A43" s="8">
        <v>5.0999999999999996</v>
      </c>
      <c r="B43" s="8" t="s">
        <v>109</v>
      </c>
      <c r="C43" s="8">
        <f>C44</f>
        <v>3125</v>
      </c>
      <c r="D43" s="8">
        <f>D44</f>
        <v>2500</v>
      </c>
      <c r="E43" s="8">
        <f>D43/C43</f>
        <v>0.8</v>
      </c>
      <c r="F43" s="8">
        <f>F44</f>
        <v>2000</v>
      </c>
      <c r="G43" s="8">
        <f t="shared" si="7"/>
        <v>0.8</v>
      </c>
      <c r="H43" s="11">
        <f t="shared" si="8"/>
        <v>500</v>
      </c>
      <c r="I43" s="21">
        <f>(M43-F43)/25</f>
        <v>5</v>
      </c>
      <c r="J43">
        <f t="shared" si="2"/>
        <v>403.5</v>
      </c>
      <c r="K43" s="8">
        <f>K44</f>
        <v>250</v>
      </c>
      <c r="L43" s="8">
        <f>L44</f>
        <v>0.125</v>
      </c>
      <c r="M43" s="8">
        <f>M44</f>
        <v>2125</v>
      </c>
      <c r="N43" s="8">
        <f>N44</f>
        <v>1875</v>
      </c>
      <c r="O43" s="8"/>
      <c r="P43" s="8" t="s">
        <v>110</v>
      </c>
    </row>
    <row r="44" spans="1:16" x14ac:dyDescent="0.25">
      <c r="A44" s="9">
        <v>5.1100000000000003</v>
      </c>
      <c r="B44" s="9" t="s">
        <v>111</v>
      </c>
      <c r="C44" s="9">
        <v>3125</v>
      </c>
      <c r="D44" s="9">
        <v>2500</v>
      </c>
      <c r="E44" s="9">
        <f>D44/C44</f>
        <v>0.8</v>
      </c>
      <c r="F44" s="9">
        <v>2000</v>
      </c>
      <c r="G44" s="10">
        <f t="shared" si="7"/>
        <v>0.8</v>
      </c>
      <c r="H44" s="9">
        <f t="shared" si="8"/>
        <v>500</v>
      </c>
      <c r="I44" s="19">
        <v>8</v>
      </c>
      <c r="J44">
        <f t="shared" si="2"/>
        <v>411.5</v>
      </c>
      <c r="K44" s="10">
        <v>250</v>
      </c>
      <c r="L44" s="10">
        <f>K44/F44</f>
        <v>0.125</v>
      </c>
      <c r="M44" s="9">
        <f>F44+K44/2</f>
        <v>2125</v>
      </c>
      <c r="N44" s="9">
        <f>F44-K44/2</f>
        <v>1875</v>
      </c>
      <c r="O44" s="9" t="s">
        <v>103</v>
      </c>
      <c r="P44" s="10" t="s">
        <v>114</v>
      </c>
    </row>
    <row r="45" spans="1:16" x14ac:dyDescent="0.25">
      <c r="A45">
        <v>5.12</v>
      </c>
      <c r="B45" t="s">
        <v>113</v>
      </c>
      <c r="C45">
        <v>3125</v>
      </c>
      <c r="D45">
        <v>2500</v>
      </c>
      <c r="E45">
        <v>0.8</v>
      </c>
      <c r="F45">
        <f>0.9*D45</f>
        <v>2250</v>
      </c>
      <c r="G45">
        <f t="shared" si="7"/>
        <v>0.9</v>
      </c>
      <c r="H45">
        <f t="shared" si="8"/>
        <v>250</v>
      </c>
      <c r="I45" s="17">
        <f>(F45-F44)/25</f>
        <v>10</v>
      </c>
      <c r="J45">
        <f t="shared" si="2"/>
        <v>421.5</v>
      </c>
      <c r="O45" t="s">
        <v>106</v>
      </c>
    </row>
    <row r="46" spans="1:16" x14ac:dyDescent="0.25">
      <c r="A46" s="8">
        <v>5.13</v>
      </c>
      <c r="B46" s="8" t="s">
        <v>109</v>
      </c>
      <c r="C46" s="8">
        <f>C47</f>
        <v>3125</v>
      </c>
      <c r="D46" s="8">
        <f>D47</f>
        <v>2500</v>
      </c>
      <c r="E46" s="8">
        <f>D46/C46</f>
        <v>0.8</v>
      </c>
      <c r="F46" s="8">
        <f>F47</f>
        <v>2250</v>
      </c>
      <c r="G46" s="8">
        <f t="shared" si="7"/>
        <v>0.9</v>
      </c>
      <c r="H46" s="11">
        <f t="shared" si="8"/>
        <v>250</v>
      </c>
      <c r="I46" s="21">
        <f>(M46-F46)/25</f>
        <v>5</v>
      </c>
      <c r="J46">
        <f t="shared" si="2"/>
        <v>426.5</v>
      </c>
      <c r="K46" s="8">
        <f>K47</f>
        <v>250</v>
      </c>
      <c r="L46" s="8">
        <f>L47</f>
        <v>0.1111111111111111</v>
      </c>
      <c r="M46" s="8">
        <f>M47</f>
        <v>2375</v>
      </c>
      <c r="N46" s="8">
        <f>N47</f>
        <v>2125</v>
      </c>
      <c r="O46" s="8"/>
      <c r="P46" s="8" t="s">
        <v>110</v>
      </c>
    </row>
    <row r="47" spans="1:16" x14ac:dyDescent="0.25">
      <c r="A47" s="13">
        <v>5.14</v>
      </c>
      <c r="B47" s="9" t="s">
        <v>111</v>
      </c>
      <c r="C47" s="9">
        <v>3125</v>
      </c>
      <c r="D47" s="9">
        <v>2500</v>
      </c>
      <c r="E47" s="9">
        <f>D47/C47</f>
        <v>0.8</v>
      </c>
      <c r="F47" s="9">
        <v>2250</v>
      </c>
      <c r="G47" s="10">
        <f t="shared" si="7"/>
        <v>0.9</v>
      </c>
      <c r="H47" s="9">
        <f t="shared" si="8"/>
        <v>250</v>
      </c>
      <c r="I47" s="19">
        <v>8</v>
      </c>
      <c r="J47">
        <f t="shared" si="2"/>
        <v>434.5</v>
      </c>
      <c r="K47" s="10">
        <v>250</v>
      </c>
      <c r="L47" s="10">
        <f>K47/F47</f>
        <v>0.1111111111111111</v>
      </c>
      <c r="M47" s="9">
        <f>F47+K47/2</f>
        <v>2375</v>
      </c>
      <c r="N47" s="9">
        <f>F47-K47/2</f>
        <v>2125</v>
      </c>
      <c r="O47" s="9" t="s">
        <v>103</v>
      </c>
      <c r="P47" s="10" t="s">
        <v>114</v>
      </c>
    </row>
    <row r="48" spans="1:16" x14ac:dyDescent="0.25">
      <c r="A48" s="12">
        <v>5.15</v>
      </c>
      <c r="B48" s="12" t="s">
        <v>115</v>
      </c>
      <c r="C48" s="12">
        <f>2500/0.8</f>
        <v>3125</v>
      </c>
      <c r="D48" s="12">
        <v>2500</v>
      </c>
      <c r="E48" s="12">
        <v>0.8</v>
      </c>
      <c r="F48" s="12">
        <v>1250</v>
      </c>
      <c r="G48" s="12">
        <f t="shared" si="7"/>
        <v>0.5</v>
      </c>
      <c r="H48" s="12">
        <f t="shared" si="8"/>
        <v>1250</v>
      </c>
      <c r="I48" s="18">
        <f>(F47-F48)/25</f>
        <v>40</v>
      </c>
      <c r="J48">
        <f t="shared" si="2"/>
        <v>474.5</v>
      </c>
      <c r="K48" s="12"/>
      <c r="L48" s="12"/>
      <c r="M48" s="12"/>
      <c r="N48" s="12"/>
      <c r="O48" t="s">
        <v>106</v>
      </c>
      <c r="P48" s="12"/>
    </row>
    <row r="49" spans="1:16" x14ac:dyDescent="0.25">
      <c r="A49">
        <v>6.1</v>
      </c>
      <c r="B49" t="s">
        <v>116</v>
      </c>
      <c r="C49">
        <v>3125</v>
      </c>
      <c r="D49">
        <v>3125</v>
      </c>
      <c r="E49">
        <f>D49/C49</f>
        <v>1</v>
      </c>
      <c r="F49">
        <f>0.5*C49</f>
        <v>1562.5</v>
      </c>
      <c r="G49">
        <f>F49/D49</f>
        <v>0.5</v>
      </c>
      <c r="H49">
        <f>D49-F49</f>
        <v>1562.5</v>
      </c>
      <c r="I49" s="17">
        <f>(D49-D48)/25</f>
        <v>25</v>
      </c>
      <c r="J49">
        <f t="shared" si="2"/>
        <v>499.5</v>
      </c>
      <c r="O49" t="s">
        <v>106</v>
      </c>
      <c r="P49" t="s">
        <v>117</v>
      </c>
    </row>
    <row r="50" spans="1:16" x14ac:dyDescent="0.25">
      <c r="A50">
        <v>6.2</v>
      </c>
      <c r="B50" t="s">
        <v>118</v>
      </c>
      <c r="C50">
        <v>3500</v>
      </c>
      <c r="D50">
        <v>3500</v>
      </c>
      <c r="E50">
        <f>D50/C50</f>
        <v>1</v>
      </c>
      <c r="F50">
        <f>D50*0.5</f>
        <v>1750</v>
      </c>
      <c r="G50">
        <f>F50/D50</f>
        <v>0.5</v>
      </c>
      <c r="H50">
        <f>D50-F50</f>
        <v>1750</v>
      </c>
      <c r="I50" s="17">
        <f>(C50-C49)/25</f>
        <v>15</v>
      </c>
      <c r="J50">
        <f t="shared" si="2"/>
        <v>514.5</v>
      </c>
      <c r="O50" t="s">
        <v>106</v>
      </c>
      <c r="P50" t="s">
        <v>119</v>
      </c>
    </row>
    <row r="51" spans="1:16" x14ac:dyDescent="0.25">
      <c r="A51">
        <v>6.3</v>
      </c>
      <c r="B51" t="s">
        <v>120</v>
      </c>
      <c r="C51">
        <f>3500/0.8</f>
        <v>4375</v>
      </c>
      <c r="D51">
        <v>3500</v>
      </c>
      <c r="E51">
        <f>D51/C51</f>
        <v>0.8</v>
      </c>
      <c r="F51">
        <v>1750</v>
      </c>
      <c r="G51">
        <f>F51/D51</f>
        <v>0.5</v>
      </c>
      <c r="H51">
        <f>D51-F51</f>
        <v>1750</v>
      </c>
      <c r="I51" s="17">
        <f>(C51-C50)/25</f>
        <v>35</v>
      </c>
      <c r="J51">
        <f t="shared" si="2"/>
        <v>549.5</v>
      </c>
      <c r="O51" t="s">
        <v>106</v>
      </c>
      <c r="P51" t="s">
        <v>108</v>
      </c>
    </row>
    <row r="52" spans="1:16" x14ac:dyDescent="0.25">
      <c r="A52" s="8">
        <v>6.4</v>
      </c>
      <c r="B52" s="8" t="s">
        <v>109</v>
      </c>
      <c r="C52" s="8">
        <f>C53</f>
        <v>4375</v>
      </c>
      <c r="D52" s="8">
        <f>D53</f>
        <v>3500</v>
      </c>
      <c r="E52" s="8">
        <f>D52/C52</f>
        <v>0.8</v>
      </c>
      <c r="F52" s="8">
        <f>F53</f>
        <v>1750</v>
      </c>
      <c r="G52" s="8">
        <f t="shared" ref="G52:G63" si="9">F52/D52</f>
        <v>0.5</v>
      </c>
      <c r="H52" s="11">
        <f t="shared" ref="H52:H63" si="10">D52-F52</f>
        <v>1750</v>
      </c>
      <c r="I52" s="21">
        <f>(M52-F52)/25</f>
        <v>7</v>
      </c>
      <c r="J52">
        <f t="shared" si="2"/>
        <v>556.5</v>
      </c>
      <c r="K52" s="8">
        <f>K53</f>
        <v>350</v>
      </c>
      <c r="L52" s="8">
        <f>L53</f>
        <v>0.2</v>
      </c>
      <c r="M52" s="8">
        <f>M53</f>
        <v>1925</v>
      </c>
      <c r="N52" s="8">
        <f>N53</f>
        <v>1575</v>
      </c>
      <c r="O52" s="8"/>
      <c r="P52" s="8" t="s">
        <v>110</v>
      </c>
    </row>
    <row r="53" spans="1:16" x14ac:dyDescent="0.25">
      <c r="A53" s="9">
        <v>6.5</v>
      </c>
      <c r="B53" s="9" t="s">
        <v>111</v>
      </c>
      <c r="C53" s="9">
        <v>4375</v>
      </c>
      <c r="D53" s="9">
        <v>3500</v>
      </c>
      <c r="E53" s="9">
        <f>D53/C53</f>
        <v>0.8</v>
      </c>
      <c r="F53" s="9">
        <v>1750</v>
      </c>
      <c r="G53" s="10">
        <f t="shared" si="9"/>
        <v>0.5</v>
      </c>
      <c r="H53" s="9">
        <f t="shared" si="10"/>
        <v>1750</v>
      </c>
      <c r="I53" s="19">
        <v>8</v>
      </c>
      <c r="J53">
        <f t="shared" si="2"/>
        <v>564.5</v>
      </c>
      <c r="K53" s="10">
        <f>0.2*F53</f>
        <v>350</v>
      </c>
      <c r="L53" s="10">
        <f>K53/F53</f>
        <v>0.2</v>
      </c>
      <c r="M53" s="9">
        <f>F53+K53/2</f>
        <v>1925</v>
      </c>
      <c r="N53" s="9">
        <f>F53-K53/2</f>
        <v>1575</v>
      </c>
      <c r="O53" s="9" t="s">
        <v>103</v>
      </c>
      <c r="P53" s="9" t="s">
        <v>112</v>
      </c>
    </row>
    <row r="54" spans="1:16" x14ac:dyDescent="0.25">
      <c r="A54">
        <v>6.6</v>
      </c>
      <c r="B54" t="s">
        <v>113</v>
      </c>
      <c r="C54">
        <v>4375</v>
      </c>
      <c r="D54">
        <v>3500</v>
      </c>
      <c r="E54">
        <v>0.8</v>
      </c>
      <c r="F54">
        <f>0.65*D54</f>
        <v>2275</v>
      </c>
      <c r="G54">
        <f t="shared" si="9"/>
        <v>0.65</v>
      </c>
      <c r="H54">
        <f t="shared" si="10"/>
        <v>1225</v>
      </c>
      <c r="I54" s="17">
        <f>(F54-F53)/25</f>
        <v>21</v>
      </c>
      <c r="J54">
        <f t="shared" si="2"/>
        <v>585.5</v>
      </c>
      <c r="O54" t="s">
        <v>106</v>
      </c>
    </row>
    <row r="55" spans="1:16" x14ac:dyDescent="0.25">
      <c r="A55" s="8">
        <v>6.7</v>
      </c>
      <c r="B55" s="8" t="s">
        <v>109</v>
      </c>
      <c r="C55" s="8">
        <f>C56</f>
        <v>4375</v>
      </c>
      <c r="D55" s="8">
        <f>D56</f>
        <v>3500</v>
      </c>
      <c r="E55" s="8">
        <f>D55/C55</f>
        <v>0.8</v>
      </c>
      <c r="F55" s="8">
        <f>F56</f>
        <v>2275</v>
      </c>
      <c r="G55" s="8">
        <f t="shared" si="9"/>
        <v>0.65</v>
      </c>
      <c r="H55" s="11">
        <f t="shared" si="10"/>
        <v>1225</v>
      </c>
      <c r="I55" s="21">
        <f>(M55-F55)/25</f>
        <v>7</v>
      </c>
      <c r="J55">
        <f t="shared" si="2"/>
        <v>592.5</v>
      </c>
      <c r="K55" s="8">
        <f>K56</f>
        <v>350</v>
      </c>
      <c r="L55" s="8">
        <f>L56</f>
        <v>0.15384615384615385</v>
      </c>
      <c r="M55" s="8">
        <f>M56</f>
        <v>2450</v>
      </c>
      <c r="N55" s="8">
        <f>N56</f>
        <v>2100</v>
      </c>
      <c r="O55" s="8"/>
      <c r="P55" s="8" t="s">
        <v>110</v>
      </c>
    </row>
    <row r="56" spans="1:16" x14ac:dyDescent="0.25">
      <c r="A56" s="9">
        <v>6.8</v>
      </c>
      <c r="B56" s="9" t="s">
        <v>111</v>
      </c>
      <c r="C56" s="9">
        <v>4375</v>
      </c>
      <c r="D56" s="9">
        <v>3500</v>
      </c>
      <c r="E56" s="9">
        <f>D56/C56</f>
        <v>0.8</v>
      </c>
      <c r="F56" s="9">
        <v>2275</v>
      </c>
      <c r="G56" s="10">
        <f t="shared" si="9"/>
        <v>0.65</v>
      </c>
      <c r="H56" s="9">
        <f t="shared" si="10"/>
        <v>1225</v>
      </c>
      <c r="I56" s="19">
        <v>8</v>
      </c>
      <c r="J56">
        <f t="shared" si="2"/>
        <v>600.5</v>
      </c>
      <c r="K56" s="10">
        <v>350</v>
      </c>
      <c r="L56" s="10">
        <f>K56/F56</f>
        <v>0.15384615384615385</v>
      </c>
      <c r="M56" s="9">
        <f>F56+K56/2</f>
        <v>2450</v>
      </c>
      <c r="N56" s="9">
        <f>F56-K56/2</f>
        <v>2100</v>
      </c>
      <c r="O56" s="9" t="s">
        <v>103</v>
      </c>
      <c r="P56" s="10" t="s">
        <v>114</v>
      </c>
    </row>
    <row r="57" spans="1:16" x14ac:dyDescent="0.25">
      <c r="A57">
        <v>6.9</v>
      </c>
      <c r="B57" t="s">
        <v>113</v>
      </c>
      <c r="C57">
        <v>4375</v>
      </c>
      <c r="D57">
        <v>3500</v>
      </c>
      <c r="E57">
        <v>0.8</v>
      </c>
      <c r="F57">
        <f>0.8*D57</f>
        <v>2800</v>
      </c>
      <c r="G57">
        <f t="shared" si="9"/>
        <v>0.8</v>
      </c>
      <c r="H57">
        <f t="shared" si="10"/>
        <v>700</v>
      </c>
      <c r="I57" s="17">
        <f>(F57-F56)/25</f>
        <v>21</v>
      </c>
      <c r="J57">
        <f t="shared" si="2"/>
        <v>621.5</v>
      </c>
      <c r="O57" t="s">
        <v>106</v>
      </c>
    </row>
    <row r="58" spans="1:16" x14ac:dyDescent="0.25">
      <c r="A58" s="8">
        <v>6.1</v>
      </c>
      <c r="B58" s="8" t="s">
        <v>109</v>
      </c>
      <c r="C58" s="8">
        <f>C59</f>
        <v>4375</v>
      </c>
      <c r="D58" s="8">
        <f>D59</f>
        <v>3500</v>
      </c>
      <c r="E58" s="8">
        <f>D58/C58</f>
        <v>0.8</v>
      </c>
      <c r="F58" s="8">
        <f>F59</f>
        <v>2800</v>
      </c>
      <c r="G58" s="8">
        <f t="shared" si="9"/>
        <v>0.8</v>
      </c>
      <c r="H58" s="11">
        <f t="shared" si="10"/>
        <v>700</v>
      </c>
      <c r="I58" s="21">
        <f>(M58-F58)/25</f>
        <v>7</v>
      </c>
      <c r="J58">
        <f t="shared" si="2"/>
        <v>628.5</v>
      </c>
      <c r="K58" s="8">
        <f>K59</f>
        <v>350</v>
      </c>
      <c r="L58" s="8">
        <f>L59</f>
        <v>0.125</v>
      </c>
      <c r="M58" s="8">
        <f>M59</f>
        <v>2975</v>
      </c>
      <c r="N58" s="8">
        <f>N59</f>
        <v>2625</v>
      </c>
      <c r="O58" s="8"/>
      <c r="P58" s="8" t="s">
        <v>110</v>
      </c>
    </row>
    <row r="59" spans="1:16" x14ac:dyDescent="0.25">
      <c r="A59" s="9">
        <v>6.11</v>
      </c>
      <c r="B59" s="9" t="s">
        <v>111</v>
      </c>
      <c r="C59" s="9">
        <v>4375</v>
      </c>
      <c r="D59" s="9">
        <v>3500</v>
      </c>
      <c r="E59" s="9">
        <f>D59/C59</f>
        <v>0.8</v>
      </c>
      <c r="F59" s="9">
        <v>2800</v>
      </c>
      <c r="G59" s="10">
        <f t="shared" si="9"/>
        <v>0.8</v>
      </c>
      <c r="H59" s="9">
        <f t="shared" si="10"/>
        <v>700</v>
      </c>
      <c r="I59" s="19">
        <v>8</v>
      </c>
      <c r="J59">
        <f t="shared" si="2"/>
        <v>636.5</v>
      </c>
      <c r="K59" s="10">
        <v>350</v>
      </c>
      <c r="L59" s="10">
        <f>K59/F59</f>
        <v>0.125</v>
      </c>
      <c r="M59" s="9">
        <f>F59+K59/2</f>
        <v>2975</v>
      </c>
      <c r="N59" s="9">
        <f>F59-K59/2</f>
        <v>2625</v>
      </c>
      <c r="O59" s="9" t="s">
        <v>103</v>
      </c>
      <c r="P59" s="10" t="s">
        <v>114</v>
      </c>
    </row>
    <row r="60" spans="1:16" x14ac:dyDescent="0.25">
      <c r="A60">
        <v>6.12</v>
      </c>
      <c r="B60" t="s">
        <v>113</v>
      </c>
      <c r="C60">
        <v>4375</v>
      </c>
      <c r="D60">
        <v>3500</v>
      </c>
      <c r="E60">
        <v>0.8</v>
      </c>
      <c r="F60">
        <f>0.9*D60</f>
        <v>3150</v>
      </c>
      <c r="G60">
        <f t="shared" si="9"/>
        <v>0.9</v>
      </c>
      <c r="H60">
        <f t="shared" si="10"/>
        <v>350</v>
      </c>
      <c r="I60" s="17">
        <f>(F60-F59)/25</f>
        <v>14</v>
      </c>
      <c r="J60">
        <f t="shared" si="2"/>
        <v>650.5</v>
      </c>
      <c r="O60" t="s">
        <v>106</v>
      </c>
    </row>
    <row r="61" spans="1:16" x14ac:dyDescent="0.25">
      <c r="A61" s="8">
        <v>6.13</v>
      </c>
      <c r="B61" s="8" t="s">
        <v>109</v>
      </c>
      <c r="C61" s="8">
        <f>C62</f>
        <v>4375</v>
      </c>
      <c r="D61" s="8">
        <f>D62</f>
        <v>3500</v>
      </c>
      <c r="E61" s="8">
        <f>D61/C61</f>
        <v>0.8</v>
      </c>
      <c r="F61" s="8">
        <f>F62</f>
        <v>3150</v>
      </c>
      <c r="G61" s="8">
        <f t="shared" si="9"/>
        <v>0.9</v>
      </c>
      <c r="H61" s="11">
        <f t="shared" si="10"/>
        <v>350</v>
      </c>
      <c r="I61" s="21">
        <f>(M61-F61)/25</f>
        <v>7</v>
      </c>
      <c r="J61">
        <f t="shared" si="2"/>
        <v>657.5</v>
      </c>
      <c r="K61" s="8">
        <f>K62</f>
        <v>350</v>
      </c>
      <c r="L61" s="8">
        <f>L62</f>
        <v>0.1111111111111111</v>
      </c>
      <c r="M61" s="8">
        <f>M62</f>
        <v>3325</v>
      </c>
      <c r="N61" s="8">
        <f>N62</f>
        <v>2975</v>
      </c>
      <c r="O61" s="8"/>
      <c r="P61" s="8" t="s">
        <v>110</v>
      </c>
    </row>
    <row r="62" spans="1:16" x14ac:dyDescent="0.25">
      <c r="A62" s="13">
        <v>6.14</v>
      </c>
      <c r="B62" s="9" t="s">
        <v>111</v>
      </c>
      <c r="C62" s="9">
        <v>4375</v>
      </c>
      <c r="D62" s="9">
        <v>3500</v>
      </c>
      <c r="E62" s="9">
        <f>D62/C62</f>
        <v>0.8</v>
      </c>
      <c r="F62" s="9">
        <v>3150</v>
      </c>
      <c r="G62" s="10">
        <f t="shared" si="9"/>
        <v>0.9</v>
      </c>
      <c r="H62" s="9">
        <f t="shared" si="10"/>
        <v>350</v>
      </c>
      <c r="I62" s="19">
        <v>8</v>
      </c>
      <c r="J62">
        <f t="shared" si="2"/>
        <v>665.5</v>
      </c>
      <c r="K62" s="10">
        <v>350</v>
      </c>
      <c r="L62" s="10">
        <f>K62/F62</f>
        <v>0.1111111111111111</v>
      </c>
      <c r="M62" s="9">
        <f>F62+K62/2</f>
        <v>3325</v>
      </c>
      <c r="N62" s="9">
        <f>F62-K62/2</f>
        <v>2975</v>
      </c>
      <c r="O62" s="9" t="s">
        <v>103</v>
      </c>
      <c r="P62" s="10" t="s">
        <v>114</v>
      </c>
    </row>
    <row r="63" spans="1:16" x14ac:dyDescent="0.25">
      <c r="A63" s="12">
        <v>6.15</v>
      </c>
      <c r="B63" s="12" t="s">
        <v>115</v>
      </c>
      <c r="C63" s="12">
        <v>4375</v>
      </c>
      <c r="D63" s="12">
        <v>3500</v>
      </c>
      <c r="E63" s="12">
        <v>0.8</v>
      </c>
      <c r="F63" s="12">
        <v>1750</v>
      </c>
      <c r="G63" s="12">
        <f t="shared" si="9"/>
        <v>0.5</v>
      </c>
      <c r="H63" s="12">
        <f t="shared" si="10"/>
        <v>1750</v>
      </c>
      <c r="I63" s="18">
        <f>(F62-F63)/25</f>
        <v>56</v>
      </c>
      <c r="J63">
        <f t="shared" si="2"/>
        <v>721.5</v>
      </c>
      <c r="K63" s="12"/>
      <c r="L63" s="12"/>
      <c r="M63" s="12"/>
      <c r="N63" s="12"/>
      <c r="O63" s="12" t="s">
        <v>106</v>
      </c>
      <c r="P63" s="12"/>
    </row>
    <row r="64" spans="1:16" x14ac:dyDescent="0.25">
      <c r="A64">
        <v>7.1</v>
      </c>
      <c r="B64" t="s">
        <v>116</v>
      </c>
      <c r="C64">
        <v>4375</v>
      </c>
      <c r="D64">
        <v>4375</v>
      </c>
      <c r="E64">
        <f>D64/C64</f>
        <v>1</v>
      </c>
      <c r="F64">
        <f>0.5*C64</f>
        <v>2187.5</v>
      </c>
      <c r="G64">
        <f>F64/D64</f>
        <v>0.5</v>
      </c>
      <c r="H64">
        <f>D64-F64</f>
        <v>2187.5</v>
      </c>
      <c r="I64" s="17">
        <f>(D64-D63)/25</f>
        <v>35</v>
      </c>
      <c r="J64">
        <f t="shared" si="2"/>
        <v>756.5</v>
      </c>
      <c r="O64" t="s">
        <v>106</v>
      </c>
      <c r="P64" t="s">
        <v>117</v>
      </c>
    </row>
    <row r="65" spans="1:16" x14ac:dyDescent="0.25">
      <c r="A65">
        <v>7.2</v>
      </c>
      <c r="B65" t="s">
        <v>118</v>
      </c>
      <c r="C65">
        <v>4800</v>
      </c>
      <c r="D65">
        <v>4800</v>
      </c>
      <c r="E65">
        <f>D65/C65</f>
        <v>1</v>
      </c>
      <c r="F65">
        <f>D65*0.5</f>
        <v>2400</v>
      </c>
      <c r="G65">
        <f>F65/D65</f>
        <v>0.5</v>
      </c>
      <c r="H65">
        <f>D65-F65</f>
        <v>2400</v>
      </c>
      <c r="I65" s="17">
        <f>(C65-C64)/25</f>
        <v>17</v>
      </c>
      <c r="J65">
        <f t="shared" si="2"/>
        <v>773.5</v>
      </c>
      <c r="O65" t="s">
        <v>106</v>
      </c>
      <c r="P65" t="s">
        <v>119</v>
      </c>
    </row>
    <row r="66" spans="1:16" x14ac:dyDescent="0.25">
      <c r="A66">
        <v>7.3</v>
      </c>
      <c r="B66" t="s">
        <v>120</v>
      </c>
      <c r="C66">
        <f>4800/0.8</f>
        <v>6000</v>
      </c>
      <c r="D66">
        <v>4800</v>
      </c>
      <c r="E66">
        <f>D66/C66</f>
        <v>0.8</v>
      </c>
      <c r="F66">
        <v>2400</v>
      </c>
      <c r="G66">
        <f>F66/D66</f>
        <v>0.5</v>
      </c>
      <c r="H66">
        <f>D66-F66</f>
        <v>2400</v>
      </c>
      <c r="I66" s="17">
        <f>(C66-C65)/25</f>
        <v>48</v>
      </c>
      <c r="J66">
        <f t="shared" si="2"/>
        <v>821.5</v>
      </c>
      <c r="O66" t="s">
        <v>106</v>
      </c>
      <c r="P66" t="s">
        <v>108</v>
      </c>
    </row>
    <row r="67" spans="1:16" x14ac:dyDescent="0.25">
      <c r="A67" s="8">
        <v>7.4</v>
      </c>
      <c r="B67" s="8" t="s">
        <v>109</v>
      </c>
      <c r="C67" s="8">
        <f>C68</f>
        <v>6000</v>
      </c>
      <c r="D67" s="8">
        <f>D68</f>
        <v>4800</v>
      </c>
      <c r="E67" s="8">
        <f>D67/C67</f>
        <v>0.8</v>
      </c>
      <c r="F67" s="8">
        <f>F68</f>
        <v>2400</v>
      </c>
      <c r="G67" s="8">
        <f t="shared" ref="G67:G78" si="11">F67/D67</f>
        <v>0.5</v>
      </c>
      <c r="H67" s="11">
        <f t="shared" ref="H67:H78" si="12">D67-F67</f>
        <v>2400</v>
      </c>
      <c r="I67" s="21">
        <f>(M67-F67)/25</f>
        <v>9.6</v>
      </c>
      <c r="J67">
        <f t="shared" si="2"/>
        <v>831.1</v>
      </c>
      <c r="K67" s="8">
        <f>K68</f>
        <v>480</v>
      </c>
      <c r="L67" s="8">
        <f>L68</f>
        <v>0.2</v>
      </c>
      <c r="M67" s="8">
        <f>M68</f>
        <v>2640</v>
      </c>
      <c r="N67" s="8">
        <f>N68</f>
        <v>2160</v>
      </c>
      <c r="O67" s="8"/>
      <c r="P67" s="8" t="s">
        <v>110</v>
      </c>
    </row>
    <row r="68" spans="1:16" x14ac:dyDescent="0.25">
      <c r="A68" s="9">
        <v>7.5</v>
      </c>
      <c r="B68" s="9" t="s">
        <v>111</v>
      </c>
      <c r="C68" s="9">
        <v>6000</v>
      </c>
      <c r="D68" s="9">
        <v>4800</v>
      </c>
      <c r="E68" s="9">
        <f>D68/C68</f>
        <v>0.8</v>
      </c>
      <c r="F68" s="9">
        <v>2400</v>
      </c>
      <c r="G68" s="10">
        <f t="shared" si="11"/>
        <v>0.5</v>
      </c>
      <c r="H68" s="9">
        <f t="shared" si="12"/>
        <v>2400</v>
      </c>
      <c r="I68" s="19">
        <v>8</v>
      </c>
      <c r="J68">
        <f t="shared" ref="J68:J78" si="13">I68+J67</f>
        <v>839.1</v>
      </c>
      <c r="K68" s="10">
        <f>0.2*F68</f>
        <v>480</v>
      </c>
      <c r="L68" s="10">
        <f>K68/F68</f>
        <v>0.2</v>
      </c>
      <c r="M68" s="9">
        <f>F68+K68/2</f>
        <v>2640</v>
      </c>
      <c r="N68" s="9">
        <f>F68-K68/2</f>
        <v>2160</v>
      </c>
      <c r="O68" s="9" t="s">
        <v>103</v>
      </c>
      <c r="P68" s="9" t="s">
        <v>112</v>
      </c>
    </row>
    <row r="69" spans="1:16" x14ac:dyDescent="0.25">
      <c r="A69">
        <v>7.6</v>
      </c>
      <c r="B69" t="s">
        <v>113</v>
      </c>
      <c r="C69">
        <v>6000</v>
      </c>
      <c r="D69">
        <v>4800</v>
      </c>
      <c r="E69">
        <v>0.8</v>
      </c>
      <c r="F69">
        <f>0.65*D69</f>
        <v>3120</v>
      </c>
      <c r="G69">
        <f t="shared" si="11"/>
        <v>0.65</v>
      </c>
      <c r="H69">
        <f t="shared" si="12"/>
        <v>1680</v>
      </c>
      <c r="I69" s="17">
        <f>(F69-F68)/25</f>
        <v>28.8</v>
      </c>
      <c r="J69">
        <f t="shared" si="13"/>
        <v>867.9</v>
      </c>
      <c r="O69" t="s">
        <v>106</v>
      </c>
    </row>
    <row r="70" spans="1:16" x14ac:dyDescent="0.25">
      <c r="A70" s="8">
        <v>7.7</v>
      </c>
      <c r="B70" s="8" t="s">
        <v>109</v>
      </c>
      <c r="C70" s="8">
        <f>C71</f>
        <v>6000</v>
      </c>
      <c r="D70" s="8">
        <f>D71</f>
        <v>4800</v>
      </c>
      <c r="E70" s="8">
        <f>D70/C70</f>
        <v>0.8</v>
      </c>
      <c r="F70" s="8">
        <f>F71</f>
        <v>3120</v>
      </c>
      <c r="G70" s="8">
        <f t="shared" si="11"/>
        <v>0.65</v>
      </c>
      <c r="H70" s="11">
        <f t="shared" si="12"/>
        <v>1680</v>
      </c>
      <c r="I70" s="21">
        <f>(M70-F70)/25</f>
        <v>9.6</v>
      </c>
      <c r="J70">
        <f t="shared" si="13"/>
        <v>877.5</v>
      </c>
      <c r="K70" s="8">
        <f>K71</f>
        <v>480</v>
      </c>
      <c r="L70" s="8">
        <f>L71</f>
        <v>0.15384615384615385</v>
      </c>
      <c r="M70" s="8">
        <f>M71</f>
        <v>3360</v>
      </c>
      <c r="N70" s="8">
        <f>N71</f>
        <v>2880</v>
      </c>
      <c r="O70" s="8"/>
      <c r="P70" s="8" t="s">
        <v>110</v>
      </c>
    </row>
    <row r="71" spans="1:16" x14ac:dyDescent="0.25">
      <c r="A71" s="9">
        <v>7.8</v>
      </c>
      <c r="B71" s="9" t="s">
        <v>111</v>
      </c>
      <c r="C71" s="9">
        <v>6000</v>
      </c>
      <c r="D71" s="9">
        <v>4800</v>
      </c>
      <c r="E71" s="9">
        <f>D71/C71</f>
        <v>0.8</v>
      </c>
      <c r="F71" s="9">
        <v>3120</v>
      </c>
      <c r="G71" s="10">
        <f t="shared" si="11"/>
        <v>0.65</v>
      </c>
      <c r="H71" s="9">
        <f t="shared" si="12"/>
        <v>1680</v>
      </c>
      <c r="I71" s="19">
        <v>8</v>
      </c>
      <c r="J71">
        <f t="shared" si="13"/>
        <v>885.5</v>
      </c>
      <c r="K71" s="10">
        <v>480</v>
      </c>
      <c r="L71" s="10">
        <f>K71/F71</f>
        <v>0.15384615384615385</v>
      </c>
      <c r="M71" s="9">
        <f>F71+K71/2</f>
        <v>3360</v>
      </c>
      <c r="N71" s="9">
        <f>F71-K71/2</f>
        <v>2880</v>
      </c>
      <c r="O71" s="9" t="s">
        <v>103</v>
      </c>
      <c r="P71" s="10" t="s">
        <v>114</v>
      </c>
    </row>
    <row r="72" spans="1:16" x14ac:dyDescent="0.25">
      <c r="A72">
        <v>7.9</v>
      </c>
      <c r="B72" t="s">
        <v>113</v>
      </c>
      <c r="C72">
        <v>6000</v>
      </c>
      <c r="D72">
        <v>4800</v>
      </c>
      <c r="E72">
        <v>0.8</v>
      </c>
      <c r="F72">
        <f>0.8*D72</f>
        <v>3840</v>
      </c>
      <c r="G72">
        <f t="shared" si="11"/>
        <v>0.8</v>
      </c>
      <c r="H72">
        <f t="shared" si="12"/>
        <v>960</v>
      </c>
      <c r="I72" s="17">
        <f>(F72-F71)/25</f>
        <v>28.8</v>
      </c>
      <c r="J72">
        <f t="shared" si="13"/>
        <v>914.3</v>
      </c>
      <c r="O72" t="s">
        <v>106</v>
      </c>
    </row>
    <row r="73" spans="1:16" x14ac:dyDescent="0.25">
      <c r="A73" s="8">
        <v>7.1</v>
      </c>
      <c r="B73" s="8" t="s">
        <v>109</v>
      </c>
      <c r="C73" s="8">
        <f>C74</f>
        <v>6000</v>
      </c>
      <c r="D73" s="8">
        <f>D74</f>
        <v>4800</v>
      </c>
      <c r="E73" s="8">
        <f>D73/C73</f>
        <v>0.8</v>
      </c>
      <c r="F73" s="8">
        <f>F74</f>
        <v>3840</v>
      </c>
      <c r="G73" s="8">
        <f t="shared" si="11"/>
        <v>0.8</v>
      </c>
      <c r="H73" s="11">
        <f t="shared" si="12"/>
        <v>960</v>
      </c>
      <c r="I73" s="21">
        <f>(M73-F73)/25</f>
        <v>9.6</v>
      </c>
      <c r="J73">
        <f t="shared" si="13"/>
        <v>923.9</v>
      </c>
      <c r="K73" s="8">
        <f>K74</f>
        <v>480</v>
      </c>
      <c r="L73" s="8">
        <f>L74</f>
        <v>0.125</v>
      </c>
      <c r="M73" s="8">
        <f>M74</f>
        <v>4080</v>
      </c>
      <c r="N73" s="8">
        <f>N74</f>
        <v>3600</v>
      </c>
      <c r="O73" s="8"/>
      <c r="P73" s="8" t="s">
        <v>110</v>
      </c>
    </row>
    <row r="74" spans="1:16" x14ac:dyDescent="0.25">
      <c r="A74" s="9">
        <v>7.11</v>
      </c>
      <c r="B74" s="9" t="s">
        <v>111</v>
      </c>
      <c r="C74" s="9">
        <v>6000</v>
      </c>
      <c r="D74" s="9">
        <v>4800</v>
      </c>
      <c r="E74" s="9">
        <f>D74/C74</f>
        <v>0.8</v>
      </c>
      <c r="F74" s="9">
        <v>3840</v>
      </c>
      <c r="G74" s="10">
        <f t="shared" si="11"/>
        <v>0.8</v>
      </c>
      <c r="H74" s="9">
        <f t="shared" si="12"/>
        <v>960</v>
      </c>
      <c r="I74" s="19">
        <v>8</v>
      </c>
      <c r="J74">
        <f t="shared" si="13"/>
        <v>931.9</v>
      </c>
      <c r="K74" s="10">
        <v>480</v>
      </c>
      <c r="L74" s="10">
        <f>K74/F74</f>
        <v>0.125</v>
      </c>
      <c r="M74" s="9">
        <f>F74+K74/2</f>
        <v>4080</v>
      </c>
      <c r="N74" s="9">
        <f>F74-K74/2</f>
        <v>3600</v>
      </c>
      <c r="O74" s="9" t="s">
        <v>103</v>
      </c>
      <c r="P74" s="10" t="s">
        <v>114</v>
      </c>
    </row>
    <row r="75" spans="1:16" x14ac:dyDescent="0.25">
      <c r="A75">
        <v>7.12</v>
      </c>
      <c r="B75" t="s">
        <v>113</v>
      </c>
      <c r="C75">
        <v>6000</v>
      </c>
      <c r="D75">
        <v>4800</v>
      </c>
      <c r="E75">
        <v>0.8</v>
      </c>
      <c r="F75">
        <v>4320</v>
      </c>
      <c r="G75">
        <f t="shared" si="11"/>
        <v>0.9</v>
      </c>
      <c r="H75">
        <f t="shared" si="12"/>
        <v>480</v>
      </c>
      <c r="I75" s="17">
        <f>(F75-F74)/25</f>
        <v>19.2</v>
      </c>
      <c r="J75">
        <f t="shared" si="13"/>
        <v>951.1</v>
      </c>
      <c r="O75" t="s">
        <v>106</v>
      </c>
    </row>
    <row r="76" spans="1:16" x14ac:dyDescent="0.25">
      <c r="A76" s="8">
        <v>7.13</v>
      </c>
      <c r="B76" s="8" t="s">
        <v>109</v>
      </c>
      <c r="C76" s="8">
        <f>C77</f>
        <v>6000</v>
      </c>
      <c r="D76" s="8">
        <f>D77</f>
        <v>4800</v>
      </c>
      <c r="E76" s="8">
        <f>D76/C76</f>
        <v>0.8</v>
      </c>
      <c r="F76" s="8">
        <f>F77</f>
        <v>4320</v>
      </c>
      <c r="G76" s="8">
        <f t="shared" si="11"/>
        <v>0.9</v>
      </c>
      <c r="H76" s="11">
        <f t="shared" si="12"/>
        <v>480</v>
      </c>
      <c r="I76" s="21">
        <f>(M76-F76)/25</f>
        <v>9.6</v>
      </c>
      <c r="J76">
        <f t="shared" si="13"/>
        <v>960.7</v>
      </c>
      <c r="K76" s="8">
        <f>K77</f>
        <v>480</v>
      </c>
      <c r="L76" s="8">
        <f>L77</f>
        <v>0.1111111111111111</v>
      </c>
      <c r="M76" s="8">
        <f>M77</f>
        <v>4560</v>
      </c>
      <c r="N76" s="8">
        <f>N77</f>
        <v>4080</v>
      </c>
      <c r="O76" s="8"/>
      <c r="P76" s="8" t="s">
        <v>110</v>
      </c>
    </row>
    <row r="77" spans="1:16" x14ac:dyDescent="0.25">
      <c r="A77" s="13">
        <v>7.14</v>
      </c>
      <c r="B77" s="9" t="s">
        <v>111</v>
      </c>
      <c r="C77" s="9">
        <v>6000</v>
      </c>
      <c r="D77" s="9">
        <v>4800</v>
      </c>
      <c r="E77" s="9">
        <f>D77/C77</f>
        <v>0.8</v>
      </c>
      <c r="F77" s="9">
        <v>4320</v>
      </c>
      <c r="G77" s="10">
        <f t="shared" si="11"/>
        <v>0.9</v>
      </c>
      <c r="H77" s="9">
        <f t="shared" si="12"/>
        <v>480</v>
      </c>
      <c r="I77" s="19">
        <v>8</v>
      </c>
      <c r="J77">
        <f t="shared" si="13"/>
        <v>968.7</v>
      </c>
      <c r="K77" s="10">
        <v>480</v>
      </c>
      <c r="L77" s="10">
        <f>K77/F77</f>
        <v>0.1111111111111111</v>
      </c>
      <c r="M77" s="9">
        <f>F77+K77/2</f>
        <v>4560</v>
      </c>
      <c r="N77" s="9">
        <f>F77-K77/2</f>
        <v>4080</v>
      </c>
      <c r="O77" s="9" t="s">
        <v>103</v>
      </c>
      <c r="P77" s="10" t="s">
        <v>114</v>
      </c>
    </row>
    <row r="78" spans="1:16" x14ac:dyDescent="0.25">
      <c r="A78" s="12">
        <v>7.15</v>
      </c>
      <c r="B78" s="12" t="s">
        <v>115</v>
      </c>
      <c r="C78" s="12">
        <v>6000</v>
      </c>
      <c r="D78" s="12">
        <v>4800</v>
      </c>
      <c r="E78" s="12">
        <v>0.8</v>
      </c>
      <c r="F78" s="12">
        <v>2400</v>
      </c>
      <c r="G78" s="12">
        <f t="shared" si="11"/>
        <v>0.5</v>
      </c>
      <c r="H78" s="12">
        <f t="shared" si="12"/>
        <v>2400</v>
      </c>
      <c r="I78" s="18">
        <f>(F77-F78)/25</f>
        <v>76.8</v>
      </c>
      <c r="J78">
        <f t="shared" si="13"/>
        <v>1045.5</v>
      </c>
      <c r="K78" s="12"/>
      <c r="L78" s="12"/>
      <c r="M78" s="12"/>
      <c r="N78" s="12"/>
      <c r="O78" s="12" t="s">
        <v>106</v>
      </c>
      <c r="P78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9"/>
  <sheetViews>
    <sheetView workbookViewId="0">
      <selection activeCell="A33" sqref="A33"/>
    </sheetView>
  </sheetViews>
  <sheetFormatPr defaultRowHeight="15" x14ac:dyDescent="0.25"/>
  <cols>
    <col min="1" max="1" width="8.375" bestFit="1" customWidth="1"/>
    <col min="2" max="2" width="5.375" bestFit="1" customWidth="1"/>
    <col min="3" max="3" width="4.875" bestFit="1" customWidth="1"/>
    <col min="4" max="4" width="24" style="3" bestFit="1" customWidth="1"/>
    <col min="5" max="5" width="18.125" bestFit="1" customWidth="1"/>
    <col min="6" max="6" width="13.25" bestFit="1" customWidth="1"/>
    <col min="7" max="7" width="15.25" bestFit="1" customWidth="1"/>
    <col min="8" max="8" width="15.25" customWidth="1"/>
    <col min="9" max="9" width="18.625" bestFit="1" customWidth="1"/>
    <col min="10" max="10" width="18.625" style="3" bestFit="1" customWidth="1"/>
    <col min="11" max="11" width="18.625" style="7" customWidth="1"/>
    <col min="12" max="12" width="12.5" style="3" bestFit="1" customWidth="1"/>
    <col min="13" max="13" width="14.125" bestFit="1" customWidth="1"/>
    <col min="14" max="15" width="15.125" bestFit="1" customWidth="1"/>
    <col min="16" max="16" width="16.125" bestFit="1" customWidth="1"/>
    <col min="17" max="17" width="14.125" bestFit="1" customWidth="1"/>
    <col min="18" max="18" width="15.125" style="3" bestFit="1" customWidth="1"/>
    <col min="19" max="19" width="16.125" bestFit="1" customWidth="1"/>
    <col min="20" max="20" width="18.125" style="3" bestFit="1" customWidth="1"/>
    <col min="21" max="21" width="20.5" bestFit="1" customWidth="1"/>
    <col min="22" max="22" width="27.25" style="14" bestFit="1" customWidth="1"/>
    <col min="23" max="24" width="22.625" style="4" customWidth="1"/>
    <col min="25" max="25" width="14.625" bestFit="1" customWidth="1"/>
    <col min="26" max="26" width="14.625" customWidth="1"/>
    <col min="27" max="27" width="15.625" style="3" bestFit="1" customWidth="1"/>
    <col min="28" max="28" width="26.375" style="7" bestFit="1" customWidth="1"/>
    <col min="29" max="29" width="17.75" style="7" bestFit="1" customWidth="1"/>
    <col min="30" max="30" width="19" style="7" bestFit="1" customWidth="1"/>
    <col min="31" max="31" width="16.375" style="3" bestFit="1" customWidth="1"/>
    <col min="32" max="32" width="8.375" bestFit="1" customWidth="1"/>
    <col min="33" max="33" width="9.25" bestFit="1" customWidth="1"/>
    <col min="34" max="34" width="9.25" style="3" bestFit="1" customWidth="1"/>
  </cols>
  <sheetData>
    <row r="1" spans="1:102" x14ac:dyDescent="0.25">
      <c r="A1" s="27" t="s">
        <v>3</v>
      </c>
      <c r="B1" s="27" t="s">
        <v>4</v>
      </c>
      <c r="C1" s="27" t="s">
        <v>2</v>
      </c>
      <c r="D1" s="14" t="s">
        <v>66</v>
      </c>
      <c r="E1" s="27" t="s">
        <v>5</v>
      </c>
      <c r="F1" s="27" t="s">
        <v>48</v>
      </c>
      <c r="G1" s="27" t="s">
        <v>47</v>
      </c>
      <c r="H1" s="27" t="s">
        <v>173</v>
      </c>
      <c r="I1" s="14" t="s">
        <v>49</v>
      </c>
      <c r="J1" s="14" t="s">
        <v>171</v>
      </c>
      <c r="K1" s="30" t="s">
        <v>172</v>
      </c>
      <c r="L1" s="14" t="s">
        <v>146</v>
      </c>
      <c r="M1" s="27" t="s">
        <v>41</v>
      </c>
      <c r="N1" s="27" t="s">
        <v>42</v>
      </c>
      <c r="O1" s="27" t="s">
        <v>43</v>
      </c>
      <c r="P1" s="27" t="s">
        <v>44</v>
      </c>
      <c r="Q1" s="27" t="s">
        <v>45</v>
      </c>
      <c r="R1" s="14" t="s">
        <v>46</v>
      </c>
      <c r="S1" s="31" t="s">
        <v>90</v>
      </c>
      <c r="T1" s="14" t="s">
        <v>134</v>
      </c>
      <c r="U1" s="27" t="s">
        <v>86</v>
      </c>
      <c r="V1" s="14" t="s">
        <v>75</v>
      </c>
      <c r="W1" s="32" t="s">
        <v>68</v>
      </c>
      <c r="X1" s="33" t="s">
        <v>174</v>
      </c>
      <c r="Y1" s="14" t="s">
        <v>175</v>
      </c>
      <c r="Z1" s="14" t="s">
        <v>176</v>
      </c>
      <c r="AA1" s="14" t="s">
        <v>177</v>
      </c>
      <c r="AB1" s="34" t="s">
        <v>179</v>
      </c>
      <c r="AC1" s="34" t="s">
        <v>178</v>
      </c>
      <c r="AD1" s="34" t="s">
        <v>180</v>
      </c>
      <c r="AE1" s="14" t="s">
        <v>14</v>
      </c>
      <c r="AF1" s="27" t="s">
        <v>6</v>
      </c>
      <c r="AG1" s="27" t="s">
        <v>7</v>
      </c>
      <c r="AH1" s="14" t="s">
        <v>8</v>
      </c>
    </row>
    <row r="2" spans="1:102" x14ac:dyDescent="0.25">
      <c r="A2" s="35">
        <v>42644</v>
      </c>
      <c r="B2" s="36">
        <v>0.76944444444444438</v>
      </c>
      <c r="C2" s="27">
        <v>1.1000000000000001</v>
      </c>
      <c r="D2" s="14" t="s">
        <v>67</v>
      </c>
      <c r="E2" s="27">
        <v>0</v>
      </c>
      <c r="F2" s="27">
        <f t="shared" ref="F2:F20" si="0">87.573*E2</f>
        <v>0</v>
      </c>
      <c r="G2" s="27">
        <v>32.833300000000001</v>
      </c>
      <c r="H2" s="27">
        <f>F2/G2</f>
        <v>0</v>
      </c>
      <c r="I2" s="27">
        <f t="shared" ref="I2:I19" si="1">G2-F2</f>
        <v>32.833300000000001</v>
      </c>
      <c r="J2" s="14">
        <f>I2/1000</f>
        <v>3.2833300000000003E-2</v>
      </c>
      <c r="K2" s="30">
        <v>5.0645059999999986E-4</v>
      </c>
      <c r="L2" s="14">
        <f t="shared" ref="L2:L19" si="2">K2/(1-H2)</f>
        <v>5.0645059999999986E-4</v>
      </c>
      <c r="M2" s="27">
        <v>0.8095</v>
      </c>
      <c r="N2" s="27">
        <f>3209*M2-2518.4</f>
        <v>79.285499999999956</v>
      </c>
      <c r="O2" s="27">
        <v>0.79969999999999997</v>
      </c>
      <c r="P2" s="27">
        <f>3167.9*O2-2524.2</f>
        <v>9.1696300000003248</v>
      </c>
      <c r="Q2" s="27">
        <v>0.79120000000000001</v>
      </c>
      <c r="R2" s="14">
        <f t="shared" ref="R2:R20" si="3">3194.8*Q2-2525.4</f>
        <v>2.325760000000173</v>
      </c>
      <c r="S2" s="27">
        <f>N2-R2</f>
        <v>76.959739999999783</v>
      </c>
      <c r="T2" s="14">
        <f>N2-P2</f>
        <v>70.115869999999632</v>
      </c>
      <c r="U2" s="27">
        <v>0</v>
      </c>
      <c r="V2" s="14" t="s">
        <v>74</v>
      </c>
      <c r="W2" s="32"/>
      <c r="X2" s="32"/>
      <c r="Y2" s="27"/>
      <c r="Z2" s="27"/>
      <c r="AA2" s="14"/>
      <c r="AB2" s="30"/>
      <c r="AC2" s="30"/>
      <c r="AD2" s="30"/>
      <c r="AE2" s="14"/>
      <c r="AF2" s="27"/>
      <c r="AG2" s="27"/>
      <c r="AH2" s="14"/>
    </row>
    <row r="3" spans="1:102" x14ac:dyDescent="0.25">
      <c r="A3" s="35">
        <v>42645</v>
      </c>
      <c r="B3" s="36">
        <v>0.75277777777777777</v>
      </c>
      <c r="C3" s="27">
        <v>1.2</v>
      </c>
      <c r="D3" s="14" t="s">
        <v>155</v>
      </c>
      <c r="E3" s="27">
        <v>0</v>
      </c>
      <c r="F3" s="27">
        <f t="shared" si="0"/>
        <v>0</v>
      </c>
      <c r="G3" s="27">
        <v>32.833300000000001</v>
      </c>
      <c r="H3" s="27">
        <f t="shared" ref="H3:H19" si="4">F3/G3</f>
        <v>0</v>
      </c>
      <c r="I3" s="27">
        <f t="shared" si="1"/>
        <v>32.833300000000001</v>
      </c>
      <c r="J3" s="14">
        <f t="shared" ref="J3:J19" si="5">I3/1000</f>
        <v>3.2833300000000003E-2</v>
      </c>
      <c r="K3" s="30">
        <v>5.0645059999999986E-4</v>
      </c>
      <c r="L3" s="14">
        <f t="shared" si="2"/>
        <v>5.0645059999999986E-4</v>
      </c>
      <c r="M3" s="27">
        <v>0.80610000000000004</v>
      </c>
      <c r="N3" s="27">
        <f t="shared" ref="N3:N20" si="6">3209*M3-2518.4</f>
        <v>68.374900000000252</v>
      </c>
      <c r="O3" s="27">
        <v>0.81940000000000002</v>
      </c>
      <c r="P3" s="27">
        <f t="shared" ref="P3:P20" si="7">3167.9*O3-2524.2</f>
        <v>71.577260000000479</v>
      </c>
      <c r="Q3" s="27">
        <v>0.78879999999999995</v>
      </c>
      <c r="R3" s="14">
        <f t="shared" si="3"/>
        <v>-5.3417600000002494</v>
      </c>
      <c r="S3" s="27">
        <f t="shared" ref="S3:S20" si="8">N3-R3</f>
        <v>73.716660000000502</v>
      </c>
      <c r="T3" s="14">
        <f t="shared" ref="T3:T20" si="9">N3-P3</f>
        <v>-3.2023600000002261</v>
      </c>
      <c r="U3" s="27">
        <v>0</v>
      </c>
      <c r="V3" s="14" t="s">
        <v>156</v>
      </c>
      <c r="W3" s="32"/>
      <c r="X3" s="32"/>
      <c r="Y3" s="27"/>
      <c r="Z3" s="27"/>
      <c r="AA3" s="14"/>
      <c r="AB3" s="30"/>
      <c r="AC3" s="30"/>
      <c r="AD3" s="30"/>
      <c r="AE3" s="14"/>
      <c r="AF3" s="27"/>
      <c r="AG3" s="27"/>
      <c r="AH3" s="14"/>
    </row>
    <row r="4" spans="1:102" s="12" customFormat="1" x14ac:dyDescent="0.25">
      <c r="A4" s="37">
        <v>42645</v>
      </c>
      <c r="B4" s="38">
        <v>0.90694444444444444</v>
      </c>
      <c r="C4" s="39">
        <v>1.3</v>
      </c>
      <c r="D4" s="40" t="s">
        <v>161</v>
      </c>
      <c r="E4" s="39">
        <v>0</v>
      </c>
      <c r="F4" s="27">
        <f t="shared" si="0"/>
        <v>0</v>
      </c>
      <c r="G4" s="27">
        <v>32.833300000000001</v>
      </c>
      <c r="H4" s="27">
        <f t="shared" si="4"/>
        <v>0</v>
      </c>
      <c r="I4" s="27">
        <f t="shared" si="1"/>
        <v>32.833300000000001</v>
      </c>
      <c r="J4" s="14">
        <f t="shared" si="5"/>
        <v>3.2833300000000003E-2</v>
      </c>
      <c r="K4" s="30">
        <v>5.0645059999999986E-4</v>
      </c>
      <c r="L4" s="14">
        <f t="shared" si="2"/>
        <v>5.0645059999999986E-4</v>
      </c>
      <c r="M4" s="39">
        <v>0.80820000000000003</v>
      </c>
      <c r="N4" s="27">
        <f t="shared" si="6"/>
        <v>75.113800000000083</v>
      </c>
      <c r="O4" s="39">
        <v>0.81950000000000001</v>
      </c>
      <c r="P4" s="27">
        <f t="shared" si="7"/>
        <v>71.894050000000334</v>
      </c>
      <c r="Q4" s="39">
        <v>0.79890000000000005</v>
      </c>
      <c r="R4" s="14">
        <f t="shared" si="3"/>
        <v>26.925720000000183</v>
      </c>
      <c r="S4" s="27">
        <f t="shared" si="8"/>
        <v>48.1880799999999</v>
      </c>
      <c r="T4" s="14">
        <f t="shared" si="9"/>
        <v>3.219749999999749</v>
      </c>
      <c r="U4" s="39">
        <v>12.053000000000001</v>
      </c>
      <c r="V4" s="40" t="s">
        <v>74</v>
      </c>
      <c r="W4" s="41"/>
      <c r="X4" s="41"/>
      <c r="Y4" s="39"/>
      <c r="Z4" s="39"/>
      <c r="AA4" s="40"/>
      <c r="AB4" s="30"/>
      <c r="AC4" s="30"/>
      <c r="AD4" s="30"/>
      <c r="AE4" s="40"/>
      <c r="AF4" s="39"/>
      <c r="AG4" s="39"/>
      <c r="AH4" s="40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</row>
    <row r="5" spans="1:102" s="8" customFormat="1" x14ac:dyDescent="0.25">
      <c r="A5" s="53">
        <v>42645</v>
      </c>
      <c r="B5" s="54">
        <v>0.96805555555555556</v>
      </c>
      <c r="C5" s="57">
        <v>2.1</v>
      </c>
      <c r="D5" s="56" t="s">
        <v>162</v>
      </c>
      <c r="E5" s="57"/>
      <c r="F5" s="57">
        <f t="shared" si="0"/>
        <v>0</v>
      </c>
      <c r="G5" s="57">
        <v>32.833300000000001</v>
      </c>
      <c r="H5" s="57">
        <f t="shared" si="4"/>
        <v>0</v>
      </c>
      <c r="I5" s="57">
        <f t="shared" si="1"/>
        <v>32.833300000000001</v>
      </c>
      <c r="J5" s="56">
        <f t="shared" si="5"/>
        <v>3.2833300000000003E-2</v>
      </c>
      <c r="K5" s="55">
        <v>5.0645059999999986E-4</v>
      </c>
      <c r="L5" s="56">
        <f t="shared" si="2"/>
        <v>5.0645059999999986E-4</v>
      </c>
      <c r="M5" s="57">
        <v>0.80789999999999995</v>
      </c>
      <c r="N5" s="57">
        <f t="shared" si="6"/>
        <v>74.151099999999587</v>
      </c>
      <c r="O5" s="57">
        <v>0.8196</v>
      </c>
      <c r="P5" s="57">
        <f t="shared" si="7"/>
        <v>72.210840000000189</v>
      </c>
      <c r="Q5" s="57">
        <v>0.79890000000000005</v>
      </c>
      <c r="R5" s="56">
        <f t="shared" si="3"/>
        <v>26.925720000000183</v>
      </c>
      <c r="S5" s="57">
        <f t="shared" si="8"/>
        <v>47.225379999999404</v>
      </c>
      <c r="T5" s="56">
        <f t="shared" si="9"/>
        <v>1.9402599999993981</v>
      </c>
      <c r="U5" s="57">
        <v>0</v>
      </c>
      <c r="V5" s="56" t="s">
        <v>156</v>
      </c>
      <c r="W5" s="58">
        <v>0.7974</v>
      </c>
      <c r="X5" s="58"/>
      <c r="Y5" s="57"/>
      <c r="Z5" s="57"/>
      <c r="AA5" s="56"/>
      <c r="AB5" s="55"/>
      <c r="AC5" s="55"/>
      <c r="AD5" s="55"/>
      <c r="AE5" s="56"/>
      <c r="AF5" s="57"/>
      <c r="AG5" s="57"/>
      <c r="AH5" s="56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</row>
    <row r="6" spans="1:102" ht="14.25" customHeight="1" x14ac:dyDescent="0.25">
      <c r="A6" s="35">
        <v>42646</v>
      </c>
      <c r="B6" s="36">
        <v>0.50277777777777777</v>
      </c>
      <c r="C6" s="31">
        <v>2.2000000000000002</v>
      </c>
      <c r="D6" s="14" t="s">
        <v>163</v>
      </c>
      <c r="E6" s="27">
        <v>0</v>
      </c>
      <c r="F6" s="27">
        <f t="shared" si="0"/>
        <v>0</v>
      </c>
      <c r="G6" s="27">
        <v>32.833300000000001</v>
      </c>
      <c r="H6" s="27">
        <f t="shared" si="4"/>
        <v>0</v>
      </c>
      <c r="I6" s="27">
        <f t="shared" si="1"/>
        <v>32.833300000000001</v>
      </c>
      <c r="J6" s="14">
        <f t="shared" si="5"/>
        <v>3.2833300000000003E-2</v>
      </c>
      <c r="K6" s="30">
        <v>5.0645059999999986E-4</v>
      </c>
      <c r="L6" s="14">
        <f t="shared" si="2"/>
        <v>5.0645059999999986E-4</v>
      </c>
      <c r="M6" s="31">
        <v>0.83189999999999997</v>
      </c>
      <c r="N6" s="27">
        <f t="shared" si="6"/>
        <v>151.16709999999966</v>
      </c>
      <c r="O6" s="31">
        <v>0.84299999999999997</v>
      </c>
      <c r="P6" s="27">
        <f t="shared" si="7"/>
        <v>146.33969999999999</v>
      </c>
      <c r="Q6" s="31">
        <v>0.79910000000000003</v>
      </c>
      <c r="R6" s="14">
        <f t="shared" si="3"/>
        <v>27.564679999999953</v>
      </c>
      <c r="S6" s="27">
        <f t="shared" si="8"/>
        <v>123.60241999999971</v>
      </c>
      <c r="T6" s="14">
        <f t="shared" si="9"/>
        <v>4.8273999999996704</v>
      </c>
      <c r="U6" s="31">
        <v>7.9000000000000001E-2</v>
      </c>
      <c r="V6" s="14" t="s">
        <v>74</v>
      </c>
      <c r="W6" s="32"/>
      <c r="X6" s="32"/>
      <c r="Y6" s="27"/>
      <c r="Z6" s="27"/>
      <c r="AA6" s="14"/>
      <c r="AB6" s="30"/>
      <c r="AC6" s="30"/>
      <c r="AD6" s="30"/>
      <c r="AE6" s="14"/>
      <c r="AF6" s="27"/>
      <c r="AG6" s="27"/>
      <c r="AH6" s="14"/>
    </row>
    <row r="7" spans="1:102" s="2" customFormat="1" x14ac:dyDescent="0.25">
      <c r="A7" s="35">
        <v>42646</v>
      </c>
      <c r="B7" s="36">
        <v>0.70000000000000007</v>
      </c>
      <c r="C7" s="31">
        <v>2.2999999999999998</v>
      </c>
      <c r="D7" s="14" t="s">
        <v>164</v>
      </c>
      <c r="E7" s="27">
        <v>0</v>
      </c>
      <c r="F7" s="27">
        <f t="shared" si="0"/>
        <v>0</v>
      </c>
      <c r="G7" s="27">
        <v>32.833300000000001</v>
      </c>
      <c r="H7" s="27">
        <f t="shared" si="4"/>
        <v>0</v>
      </c>
      <c r="I7" s="27">
        <f t="shared" si="1"/>
        <v>32.833300000000001</v>
      </c>
      <c r="J7" s="14">
        <f t="shared" si="5"/>
        <v>3.2833300000000003E-2</v>
      </c>
      <c r="K7" s="30">
        <v>5.0645059999999986E-4</v>
      </c>
      <c r="L7" s="14">
        <f t="shared" si="2"/>
        <v>5.0645059999999986E-4</v>
      </c>
      <c r="M7" s="31">
        <v>0.86429999999999996</v>
      </c>
      <c r="N7" s="27">
        <f t="shared" si="6"/>
        <v>255.13869999999997</v>
      </c>
      <c r="O7" s="31">
        <v>0.87580000000000002</v>
      </c>
      <c r="P7" s="27">
        <f t="shared" si="7"/>
        <v>250.2468200000003</v>
      </c>
      <c r="Q7" s="31">
        <v>0.83050000000000002</v>
      </c>
      <c r="R7" s="14">
        <f t="shared" si="3"/>
        <v>127.88140000000021</v>
      </c>
      <c r="S7" s="27">
        <f t="shared" si="8"/>
        <v>127.25729999999976</v>
      </c>
      <c r="T7" s="14">
        <f t="shared" si="9"/>
        <v>4.8918799999996736</v>
      </c>
      <c r="U7" s="27">
        <v>2.5539999999999998</v>
      </c>
      <c r="V7" s="14" t="s">
        <v>74</v>
      </c>
      <c r="W7" s="32"/>
      <c r="X7" s="32"/>
      <c r="Y7" s="27"/>
      <c r="Z7" s="27"/>
      <c r="AA7" s="14"/>
      <c r="AB7" s="30"/>
      <c r="AC7" s="30"/>
      <c r="AD7" s="30"/>
      <c r="AE7" s="14"/>
      <c r="AF7" s="27"/>
      <c r="AG7" s="27"/>
      <c r="AH7" s="14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</row>
    <row r="8" spans="1:102" s="10" customFormat="1" x14ac:dyDescent="0.25">
      <c r="A8" s="59">
        <v>42646</v>
      </c>
      <c r="B8" s="60">
        <v>0.94513888888888886</v>
      </c>
      <c r="C8" s="61">
        <v>2.4</v>
      </c>
      <c r="D8" s="62" t="s">
        <v>111</v>
      </c>
      <c r="E8" s="63">
        <v>0</v>
      </c>
      <c r="F8" s="63">
        <f t="shared" si="0"/>
        <v>0</v>
      </c>
      <c r="G8" s="63">
        <v>32.833300000000001</v>
      </c>
      <c r="H8" s="63">
        <f t="shared" si="4"/>
        <v>0</v>
      </c>
      <c r="I8" s="63">
        <f t="shared" si="1"/>
        <v>32.833300000000001</v>
      </c>
      <c r="J8" s="62">
        <f t="shared" si="5"/>
        <v>3.2833300000000003E-2</v>
      </c>
      <c r="K8" s="61">
        <v>5.0645059999999986E-4</v>
      </c>
      <c r="L8" s="62">
        <f t="shared" si="2"/>
        <v>5.0645059999999986E-4</v>
      </c>
      <c r="M8" s="61">
        <v>0.86939999999999995</v>
      </c>
      <c r="N8" s="63">
        <f t="shared" si="6"/>
        <v>271.50459999999975</v>
      </c>
      <c r="O8" s="61">
        <v>0.88060000000000005</v>
      </c>
      <c r="P8" s="63">
        <f t="shared" si="7"/>
        <v>265.45274000000063</v>
      </c>
      <c r="Q8" s="61">
        <v>0.83030000000000004</v>
      </c>
      <c r="R8" s="62">
        <f t="shared" si="3"/>
        <v>127.24243999999999</v>
      </c>
      <c r="S8" s="63">
        <f t="shared" si="8"/>
        <v>144.26215999999977</v>
      </c>
      <c r="T8" s="62">
        <f t="shared" si="9"/>
        <v>6.0518599999991238</v>
      </c>
      <c r="U8" s="65">
        <v>0</v>
      </c>
      <c r="V8" s="62" t="s">
        <v>74</v>
      </c>
      <c r="W8" s="64">
        <v>0.8327</v>
      </c>
      <c r="X8" s="64"/>
      <c r="Y8" s="63"/>
      <c r="Z8" s="63"/>
      <c r="AA8" s="62"/>
      <c r="AB8" s="61"/>
      <c r="AC8" s="61"/>
      <c r="AD8" s="61"/>
      <c r="AE8" s="62"/>
      <c r="AF8" s="63"/>
      <c r="AG8" s="63"/>
      <c r="AH8" s="62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</row>
    <row r="9" spans="1:102" x14ac:dyDescent="0.25">
      <c r="A9" s="35">
        <v>42646</v>
      </c>
      <c r="B9" s="36">
        <v>0.95347222222222217</v>
      </c>
      <c r="C9" s="31" t="s">
        <v>170</v>
      </c>
      <c r="D9" s="14" t="s">
        <v>165</v>
      </c>
      <c r="E9" s="27">
        <v>0</v>
      </c>
      <c r="F9" s="27">
        <f t="shared" si="0"/>
        <v>0</v>
      </c>
      <c r="G9" s="27">
        <v>32.833300000000001</v>
      </c>
      <c r="H9" s="27">
        <f t="shared" si="4"/>
        <v>0</v>
      </c>
      <c r="I9" s="27">
        <f t="shared" si="1"/>
        <v>32.833300000000001</v>
      </c>
      <c r="J9" s="14">
        <f t="shared" si="5"/>
        <v>3.2833300000000003E-2</v>
      </c>
      <c r="K9" s="30">
        <v>5.0645059999999986E-4</v>
      </c>
      <c r="L9" s="14">
        <f t="shared" si="2"/>
        <v>5.0645059999999986E-4</v>
      </c>
      <c r="M9" s="31">
        <v>0.86429999999999996</v>
      </c>
      <c r="N9" s="27">
        <f t="shared" si="6"/>
        <v>255.13869999999997</v>
      </c>
      <c r="O9" s="31">
        <v>0.87580000000000002</v>
      </c>
      <c r="P9" s="27">
        <f t="shared" si="7"/>
        <v>250.2468200000003</v>
      </c>
      <c r="Q9" s="31">
        <v>0.83050000000000002</v>
      </c>
      <c r="R9" s="14">
        <f t="shared" si="3"/>
        <v>127.88140000000021</v>
      </c>
      <c r="S9" s="27">
        <f t="shared" si="8"/>
        <v>127.25729999999976</v>
      </c>
      <c r="T9" s="14">
        <f t="shared" si="9"/>
        <v>4.8918799999996736</v>
      </c>
      <c r="U9" s="27">
        <v>-5.1999999999999998E-2</v>
      </c>
      <c r="V9" s="14" t="s">
        <v>74</v>
      </c>
      <c r="W9" s="32"/>
      <c r="X9" s="32"/>
      <c r="Y9" s="27"/>
      <c r="Z9" s="27"/>
      <c r="AA9" s="14"/>
      <c r="AB9" s="30"/>
      <c r="AC9" s="30"/>
      <c r="AD9" s="30"/>
      <c r="AE9" s="14"/>
      <c r="AF9" s="27"/>
      <c r="AG9" s="27"/>
      <c r="AH9" s="14"/>
    </row>
    <row r="10" spans="1:102" x14ac:dyDescent="0.25">
      <c r="A10" s="35">
        <v>42647</v>
      </c>
      <c r="B10" s="36">
        <v>0.95277777777777783</v>
      </c>
      <c r="C10" s="31">
        <v>3.1</v>
      </c>
      <c r="D10" s="14" t="s">
        <v>166</v>
      </c>
      <c r="E10" s="27">
        <v>1.9E-2</v>
      </c>
      <c r="F10" s="27">
        <f t="shared" si="0"/>
        <v>1.6638869999999999</v>
      </c>
      <c r="G10" s="27">
        <v>32.833300000000001</v>
      </c>
      <c r="H10" s="27">
        <f t="shared" si="4"/>
        <v>5.0676812869860775E-2</v>
      </c>
      <c r="I10" s="27">
        <f t="shared" si="1"/>
        <v>31.169413000000002</v>
      </c>
      <c r="J10" s="14">
        <f t="shared" si="5"/>
        <v>3.1169413000000003E-2</v>
      </c>
      <c r="K10" s="30">
        <v>5.0645059999999986E-4</v>
      </c>
      <c r="L10" s="14">
        <f t="shared" si="2"/>
        <v>5.3348596859940857E-4</v>
      </c>
      <c r="M10" s="31">
        <v>1.0194000000000001</v>
      </c>
      <c r="N10" s="27">
        <f t="shared" si="6"/>
        <v>752.85460000000012</v>
      </c>
      <c r="O10" s="31">
        <v>1.0331999999999999</v>
      </c>
      <c r="P10" s="27">
        <f t="shared" si="7"/>
        <v>748.87428</v>
      </c>
      <c r="Q10" s="31">
        <v>0.90910000000000002</v>
      </c>
      <c r="R10" s="14">
        <f t="shared" si="3"/>
        <v>378.99268000000029</v>
      </c>
      <c r="S10" s="27">
        <f t="shared" si="8"/>
        <v>373.86191999999983</v>
      </c>
      <c r="T10" s="14">
        <f t="shared" si="9"/>
        <v>3.9803200000001198</v>
      </c>
      <c r="U10" s="27">
        <v>-5.8999999999999997E-2</v>
      </c>
      <c r="V10" s="14" t="s">
        <v>74</v>
      </c>
      <c r="W10" s="32"/>
      <c r="X10" s="32"/>
      <c r="Y10" s="27"/>
      <c r="Z10" s="27"/>
      <c r="AA10" s="14"/>
      <c r="AB10" s="30"/>
      <c r="AC10" s="30"/>
      <c r="AD10" s="30"/>
      <c r="AE10" s="14"/>
      <c r="AF10" s="27"/>
      <c r="AG10" s="27"/>
      <c r="AH10" s="14"/>
    </row>
    <row r="11" spans="1:102" s="52" customFormat="1" x14ac:dyDescent="0.25">
      <c r="A11" s="46">
        <v>42648</v>
      </c>
      <c r="B11" s="47">
        <v>0.56180555555555556</v>
      </c>
      <c r="C11" s="48">
        <v>3.2</v>
      </c>
      <c r="D11" s="49" t="s">
        <v>167</v>
      </c>
      <c r="E11" s="50">
        <v>3.9E-2</v>
      </c>
      <c r="F11" s="50">
        <f t="shared" si="0"/>
        <v>3.4153469999999997</v>
      </c>
      <c r="G11" s="50">
        <v>32.833300000000001</v>
      </c>
      <c r="H11" s="50">
        <f t="shared" si="4"/>
        <v>0.10402082641708264</v>
      </c>
      <c r="I11" s="50">
        <f t="shared" si="1"/>
        <v>29.417953000000001</v>
      </c>
      <c r="J11" s="49">
        <f t="shared" si="5"/>
        <v>2.9417953E-2</v>
      </c>
      <c r="K11" s="48">
        <v>5.0645059999999986E-4</v>
      </c>
      <c r="L11" s="49">
        <f t="shared" si="2"/>
        <v>5.6524818314109058E-4</v>
      </c>
      <c r="M11" s="48">
        <v>1.0788</v>
      </c>
      <c r="N11" s="50">
        <f t="shared" si="6"/>
        <v>943.4692</v>
      </c>
      <c r="O11" s="48">
        <v>1.0948</v>
      </c>
      <c r="P11" s="50">
        <f t="shared" si="7"/>
        <v>944.01692000000048</v>
      </c>
      <c r="Q11" s="48">
        <v>0.90910000000000002</v>
      </c>
      <c r="R11" s="49">
        <f t="shared" si="3"/>
        <v>378.99268000000029</v>
      </c>
      <c r="S11" s="50">
        <f t="shared" si="8"/>
        <v>564.47651999999971</v>
      </c>
      <c r="T11" s="49">
        <f t="shared" si="9"/>
        <v>-0.54772000000048138</v>
      </c>
      <c r="U11" s="50">
        <v>-3.0200000000000001E-2</v>
      </c>
      <c r="V11" s="49" t="s">
        <v>156</v>
      </c>
      <c r="W11" s="51"/>
      <c r="X11" s="51">
        <f>(P11-P10)/(N11-N10)</f>
        <v>1.0237549484666999</v>
      </c>
      <c r="Y11" s="50"/>
      <c r="Z11" s="50"/>
      <c r="AA11" s="49"/>
      <c r="AB11" s="48"/>
      <c r="AC11" s="48"/>
      <c r="AD11" s="48"/>
      <c r="AE11" s="49"/>
      <c r="AF11" s="50"/>
      <c r="AG11" s="50"/>
      <c r="AH11" s="49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</row>
    <row r="12" spans="1:102" s="10" customFormat="1" ht="14.25" customHeight="1" x14ac:dyDescent="0.25">
      <c r="A12" s="59">
        <v>42648</v>
      </c>
      <c r="B12" s="60">
        <v>0.56874999999999998</v>
      </c>
      <c r="C12" s="61">
        <v>3.3</v>
      </c>
      <c r="D12" s="62" t="s">
        <v>111</v>
      </c>
      <c r="E12" s="63">
        <v>0.04</v>
      </c>
      <c r="F12" s="63">
        <f t="shared" si="0"/>
        <v>3.5029199999999996</v>
      </c>
      <c r="G12" s="63">
        <v>32.833300000000001</v>
      </c>
      <c r="H12" s="63">
        <f t="shared" si="4"/>
        <v>0.10668802709444374</v>
      </c>
      <c r="I12" s="63">
        <f t="shared" si="1"/>
        <v>29.330380000000002</v>
      </c>
      <c r="J12" s="62">
        <f t="shared" si="5"/>
        <v>2.9330380000000003E-2</v>
      </c>
      <c r="K12" s="61">
        <v>5.0645059999999986E-4</v>
      </c>
      <c r="L12" s="62">
        <f t="shared" si="2"/>
        <v>5.6693586939480481E-4</v>
      </c>
      <c r="M12" s="61">
        <v>1.0788</v>
      </c>
      <c r="N12" s="63">
        <f t="shared" si="6"/>
        <v>943.4692</v>
      </c>
      <c r="O12" s="61">
        <v>1.0948</v>
      </c>
      <c r="P12" s="63">
        <f t="shared" si="7"/>
        <v>944.01692000000048</v>
      </c>
      <c r="Q12" s="61">
        <v>0.90910000000000002</v>
      </c>
      <c r="R12" s="62">
        <f t="shared" si="3"/>
        <v>378.99268000000029</v>
      </c>
      <c r="S12" s="63">
        <f t="shared" si="8"/>
        <v>564.47651999999971</v>
      </c>
      <c r="T12" s="62">
        <f t="shared" si="9"/>
        <v>-0.54772000000048138</v>
      </c>
      <c r="U12" s="63">
        <v>0</v>
      </c>
      <c r="V12" s="62" t="s">
        <v>74</v>
      </c>
      <c r="W12" s="64">
        <v>0.91690000000000005</v>
      </c>
      <c r="X12" s="64"/>
      <c r="Y12" s="63"/>
      <c r="Z12" s="63"/>
      <c r="AA12" s="62"/>
      <c r="AB12" s="61"/>
      <c r="AC12" s="61"/>
      <c r="AD12" s="61"/>
      <c r="AE12" s="62"/>
      <c r="AF12" s="63"/>
      <c r="AG12" s="63"/>
      <c r="AH12" s="6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</row>
    <row r="13" spans="1:102" x14ac:dyDescent="0.25">
      <c r="A13" s="35">
        <v>42649</v>
      </c>
      <c r="B13" s="36">
        <v>2.1527777777777781E-2</v>
      </c>
      <c r="C13" s="31" t="s">
        <v>169</v>
      </c>
      <c r="D13" s="14" t="s">
        <v>168</v>
      </c>
      <c r="E13" s="27">
        <v>4.3999999999999997E-2</v>
      </c>
      <c r="F13" s="27">
        <f t="shared" si="0"/>
        <v>3.8532119999999996</v>
      </c>
      <c r="G13" s="27">
        <v>32.833300000000001</v>
      </c>
      <c r="H13" s="27">
        <f t="shared" si="4"/>
        <v>0.1173568298038881</v>
      </c>
      <c r="I13" s="27">
        <f t="shared" si="1"/>
        <v>28.980088000000002</v>
      </c>
      <c r="J13" s="14">
        <f t="shared" si="5"/>
        <v>2.8980088000000001E-2</v>
      </c>
      <c r="K13" s="30">
        <v>5.0645059999999986E-4</v>
      </c>
      <c r="L13" s="14">
        <f t="shared" si="2"/>
        <v>5.7378861254596587E-4</v>
      </c>
      <c r="M13" s="31">
        <v>1.0788</v>
      </c>
      <c r="N13" s="27">
        <f t="shared" si="6"/>
        <v>943.4692</v>
      </c>
      <c r="O13" s="31">
        <v>1.0918699999999999</v>
      </c>
      <c r="P13" s="27">
        <f t="shared" si="7"/>
        <v>934.73497300000008</v>
      </c>
      <c r="Q13" s="31">
        <v>0.90910000000000002</v>
      </c>
      <c r="R13" s="14">
        <f t="shared" si="3"/>
        <v>378.99268000000029</v>
      </c>
      <c r="S13" s="27">
        <f t="shared" si="8"/>
        <v>564.47651999999971</v>
      </c>
      <c r="T13" s="14">
        <f t="shared" si="9"/>
        <v>8.7342269999999189</v>
      </c>
      <c r="U13" s="27">
        <v>-0.13</v>
      </c>
      <c r="V13" s="14" t="s">
        <v>74</v>
      </c>
      <c r="W13" s="32"/>
      <c r="X13" s="32"/>
      <c r="Y13" s="27"/>
      <c r="Z13" s="27"/>
      <c r="AA13" s="14"/>
      <c r="AB13" s="30"/>
      <c r="AC13" s="30"/>
      <c r="AD13" s="30"/>
      <c r="AE13" s="14"/>
      <c r="AF13" s="27"/>
      <c r="AG13" s="27"/>
      <c r="AH13" s="14"/>
    </row>
    <row r="14" spans="1:102" s="2" customFormat="1" x14ac:dyDescent="0.25">
      <c r="A14" s="35">
        <v>42649</v>
      </c>
      <c r="B14" s="36">
        <v>0.4055555555555555</v>
      </c>
      <c r="C14" s="31">
        <v>3.6</v>
      </c>
      <c r="D14" s="14" t="s">
        <v>113</v>
      </c>
      <c r="E14" s="27">
        <v>5.3999999999999999E-2</v>
      </c>
      <c r="F14" s="27">
        <f t="shared" si="0"/>
        <v>4.728942</v>
      </c>
      <c r="G14" s="27">
        <v>32.833300000000001</v>
      </c>
      <c r="H14" s="27">
        <f t="shared" si="4"/>
        <v>0.14402883657749907</v>
      </c>
      <c r="I14" s="27">
        <f t="shared" si="1"/>
        <v>28.104358000000001</v>
      </c>
      <c r="J14" s="14">
        <f t="shared" si="5"/>
        <v>2.8104358000000003E-2</v>
      </c>
      <c r="K14" s="30">
        <v>5.0645059999999986E-4</v>
      </c>
      <c r="L14" s="14">
        <f t="shared" si="2"/>
        <v>5.916678290598204E-4</v>
      </c>
      <c r="M14" s="31">
        <v>1.0780000000000001</v>
      </c>
      <c r="N14" s="27">
        <f t="shared" si="6"/>
        <v>940.90200000000004</v>
      </c>
      <c r="O14" s="31">
        <v>1.097</v>
      </c>
      <c r="P14" s="27">
        <f t="shared" si="7"/>
        <v>950.98630000000003</v>
      </c>
      <c r="Q14" s="31">
        <v>0.95540000000000003</v>
      </c>
      <c r="R14" s="14">
        <f t="shared" si="3"/>
        <v>526.91192000000001</v>
      </c>
      <c r="S14" s="27">
        <f t="shared" si="8"/>
        <v>413.99008000000003</v>
      </c>
      <c r="T14" s="14">
        <f t="shared" si="9"/>
        <v>-10.084299999999985</v>
      </c>
      <c r="U14" s="27">
        <v>6.3E-2</v>
      </c>
      <c r="V14" s="14" t="s">
        <v>156</v>
      </c>
      <c r="W14" s="32"/>
      <c r="X14" s="32"/>
      <c r="Y14" s="27"/>
      <c r="Z14" s="27"/>
      <c r="AA14" s="14"/>
      <c r="AB14" s="30"/>
      <c r="AC14" s="30"/>
      <c r="AD14" s="30"/>
      <c r="AE14" s="14"/>
      <c r="AF14" s="27"/>
      <c r="AG14" s="27"/>
      <c r="AH14" s="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</row>
    <row r="15" spans="1:102" s="10" customFormat="1" x14ac:dyDescent="0.25">
      <c r="A15" s="59">
        <v>42655</v>
      </c>
      <c r="B15" s="60">
        <v>6.25E-2</v>
      </c>
      <c r="C15" s="63">
        <v>3.8</v>
      </c>
      <c r="D15" s="62" t="s">
        <v>111</v>
      </c>
      <c r="E15" s="63">
        <f>E14</f>
        <v>5.3999999999999999E-2</v>
      </c>
      <c r="F15" s="63">
        <f t="shared" si="0"/>
        <v>4.728942</v>
      </c>
      <c r="G15" s="63">
        <v>32.833300000000001</v>
      </c>
      <c r="H15" s="63">
        <f t="shared" si="4"/>
        <v>0.14402883657749907</v>
      </c>
      <c r="I15" s="63">
        <f t="shared" si="1"/>
        <v>28.104358000000001</v>
      </c>
      <c r="J15" s="62">
        <f t="shared" si="5"/>
        <v>2.8104358000000003E-2</v>
      </c>
      <c r="K15" s="61">
        <v>5.0645059999999986E-4</v>
      </c>
      <c r="L15" s="62">
        <f t="shared" si="2"/>
        <v>5.916678290598204E-4</v>
      </c>
      <c r="M15" s="63">
        <v>1.0680000000000001</v>
      </c>
      <c r="N15" s="63">
        <f t="shared" si="6"/>
        <v>908.8119999999999</v>
      </c>
      <c r="O15" s="63">
        <v>1.0940000000000001</v>
      </c>
      <c r="P15" s="63">
        <f t="shared" si="7"/>
        <v>941.48260000000073</v>
      </c>
      <c r="Q15" s="63">
        <v>0.95640000000000003</v>
      </c>
      <c r="R15" s="62">
        <f t="shared" si="3"/>
        <v>530.10672000000022</v>
      </c>
      <c r="S15" s="63">
        <f t="shared" si="8"/>
        <v>378.70527999999968</v>
      </c>
      <c r="T15" s="62">
        <f t="shared" si="9"/>
        <v>-32.670600000000832</v>
      </c>
      <c r="U15" s="63">
        <v>0</v>
      </c>
      <c r="V15" s="62" t="s">
        <v>74</v>
      </c>
      <c r="W15" s="64">
        <v>0.96340000000000003</v>
      </c>
      <c r="X15" s="64"/>
      <c r="Y15" s="63"/>
      <c r="Z15" s="63"/>
      <c r="AA15" s="62"/>
      <c r="AB15" s="61"/>
      <c r="AC15" s="61"/>
      <c r="AD15" s="61"/>
      <c r="AE15" s="62"/>
      <c r="AF15" s="63"/>
      <c r="AG15" s="63"/>
      <c r="AH15" s="62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</row>
    <row r="16" spans="1:102" s="12" customFormat="1" x14ac:dyDescent="0.25">
      <c r="A16" s="35">
        <v>42656</v>
      </c>
      <c r="B16" s="36">
        <v>0.44166666666666665</v>
      </c>
      <c r="C16" s="31">
        <v>3.9</v>
      </c>
      <c r="D16" s="14" t="s">
        <v>113</v>
      </c>
      <c r="E16" s="27">
        <v>5.2999999999999999E-2</v>
      </c>
      <c r="F16" s="27">
        <f t="shared" si="0"/>
        <v>4.6413689999999992</v>
      </c>
      <c r="G16" s="27">
        <v>32.833300000000001</v>
      </c>
      <c r="H16" s="27">
        <f t="shared" si="4"/>
        <v>0.14136163590013795</v>
      </c>
      <c r="I16" s="27">
        <f t="shared" si="1"/>
        <v>28.191931000000004</v>
      </c>
      <c r="J16" s="14">
        <f t="shared" si="5"/>
        <v>2.8191931000000003E-2</v>
      </c>
      <c r="K16" s="30">
        <v>5.0645059999999986E-4</v>
      </c>
      <c r="L16" s="14">
        <f t="shared" si="2"/>
        <v>5.8982992278819053E-4</v>
      </c>
      <c r="M16" s="31">
        <v>1.0787</v>
      </c>
      <c r="N16" s="27">
        <f t="shared" si="6"/>
        <v>943.14829999999984</v>
      </c>
      <c r="O16" s="31">
        <v>1.0145</v>
      </c>
      <c r="P16" s="27">
        <f t="shared" si="7"/>
        <v>689.63455000000022</v>
      </c>
      <c r="Q16" s="31">
        <v>0.97909999999999997</v>
      </c>
      <c r="R16" s="14">
        <f t="shared" si="3"/>
        <v>602.6286799999998</v>
      </c>
      <c r="S16" s="27">
        <f t="shared" si="8"/>
        <v>340.51962000000003</v>
      </c>
      <c r="T16" s="14">
        <f t="shared" si="9"/>
        <v>253.51374999999962</v>
      </c>
      <c r="U16" s="27">
        <v>-3.5999999999999997E-2</v>
      </c>
      <c r="V16" s="14" t="s">
        <v>74</v>
      </c>
      <c r="W16" s="32"/>
      <c r="X16" s="32"/>
      <c r="Y16" s="27"/>
      <c r="Z16" s="27"/>
      <c r="AA16" s="14"/>
      <c r="AB16" s="30"/>
      <c r="AC16" s="30"/>
      <c r="AD16" s="30"/>
      <c r="AE16" s="14"/>
      <c r="AF16" s="27"/>
      <c r="AG16" s="27"/>
      <c r="AH16" s="14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</row>
    <row r="17" spans="1:102" s="10" customFormat="1" x14ac:dyDescent="0.25">
      <c r="A17" s="59">
        <v>42656</v>
      </c>
      <c r="B17" s="60">
        <v>0.47500000000000003</v>
      </c>
      <c r="C17" s="61">
        <v>3.11</v>
      </c>
      <c r="D17" s="62" t="s">
        <v>111</v>
      </c>
      <c r="E17" s="63">
        <f>E16</f>
        <v>5.2999999999999999E-2</v>
      </c>
      <c r="F17" s="63">
        <f t="shared" si="0"/>
        <v>4.6413689999999992</v>
      </c>
      <c r="G17" s="63">
        <v>32.833300000000001</v>
      </c>
      <c r="H17" s="63">
        <f t="shared" si="4"/>
        <v>0.14136163590013795</v>
      </c>
      <c r="I17" s="63">
        <f t="shared" si="1"/>
        <v>28.191931000000004</v>
      </c>
      <c r="J17" s="62">
        <f t="shared" si="5"/>
        <v>2.8191931000000003E-2</v>
      </c>
      <c r="K17" s="61">
        <v>5.0645059999999986E-4</v>
      </c>
      <c r="L17" s="62">
        <f t="shared" si="2"/>
        <v>5.8982992278819053E-4</v>
      </c>
      <c r="M17" s="61">
        <v>1.0787</v>
      </c>
      <c r="N17" s="63">
        <f t="shared" si="6"/>
        <v>943.14829999999984</v>
      </c>
      <c r="O17" s="61">
        <v>1.0145</v>
      </c>
      <c r="P17" s="63">
        <f t="shared" si="7"/>
        <v>689.63455000000022</v>
      </c>
      <c r="Q17" s="61">
        <v>0.97909999999999997</v>
      </c>
      <c r="R17" s="62">
        <f t="shared" si="3"/>
        <v>602.6286799999998</v>
      </c>
      <c r="S17" s="63">
        <f t="shared" si="8"/>
        <v>340.51962000000003</v>
      </c>
      <c r="T17" s="62">
        <f t="shared" si="9"/>
        <v>253.51374999999962</v>
      </c>
      <c r="U17" s="63">
        <v>0</v>
      </c>
      <c r="V17" s="62"/>
      <c r="W17" s="64">
        <v>0.98709999999999998</v>
      </c>
      <c r="X17" s="64"/>
      <c r="Y17" s="63"/>
      <c r="Z17" s="63"/>
      <c r="AA17" s="62"/>
      <c r="AB17" s="61"/>
      <c r="AC17" s="61"/>
      <c r="AD17" s="61"/>
      <c r="AE17" s="62"/>
      <c r="AF17" s="63"/>
      <c r="AG17" s="63"/>
      <c r="AH17" s="62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</row>
    <row r="18" spans="1:102" s="12" customFormat="1" x14ac:dyDescent="0.25">
      <c r="A18" s="37">
        <v>42657</v>
      </c>
      <c r="B18" s="38">
        <v>0.4284722222222222</v>
      </c>
      <c r="C18" s="42">
        <v>3.12</v>
      </c>
      <c r="D18" s="40" t="s">
        <v>115</v>
      </c>
      <c r="E18" s="39">
        <v>5.6000000000000001E-2</v>
      </c>
      <c r="F18" s="39">
        <f t="shared" si="0"/>
        <v>4.9040879999999998</v>
      </c>
      <c r="G18" s="39">
        <v>32.833300000000001</v>
      </c>
      <c r="H18" s="39">
        <f t="shared" si="4"/>
        <v>0.14936323793222123</v>
      </c>
      <c r="I18" s="39">
        <f t="shared" si="1"/>
        <v>27.929212</v>
      </c>
      <c r="J18" s="40">
        <f t="shared" si="5"/>
        <v>2.7929211999999998E-2</v>
      </c>
      <c r="K18" s="39">
        <v>5.0645059999999986E-4</v>
      </c>
      <c r="L18" s="40">
        <f t="shared" si="2"/>
        <v>5.953782185111414E-4</v>
      </c>
      <c r="M18" s="42">
        <v>1.0778000000000001</v>
      </c>
      <c r="N18" s="39">
        <f t="shared" si="6"/>
        <v>940.26020000000017</v>
      </c>
      <c r="O18" s="42">
        <v>1.0902000000000001</v>
      </c>
      <c r="P18" s="39">
        <f t="shared" si="7"/>
        <v>929.44458000000031</v>
      </c>
      <c r="Q18" s="42">
        <v>0.90859999999999996</v>
      </c>
      <c r="R18" s="40">
        <f t="shared" si="3"/>
        <v>377.39527999999973</v>
      </c>
      <c r="S18" s="39">
        <f t="shared" si="8"/>
        <v>562.86492000000044</v>
      </c>
      <c r="T18" s="40">
        <f t="shared" si="9"/>
        <v>10.815619999999853</v>
      </c>
      <c r="U18" s="39">
        <v>-0.35899999999999999</v>
      </c>
      <c r="V18" s="40" t="s">
        <v>74</v>
      </c>
      <c r="W18" s="41"/>
      <c r="X18" s="41"/>
      <c r="Y18" s="39"/>
      <c r="Z18" s="39"/>
      <c r="AA18" s="40"/>
      <c r="AB18" s="39"/>
      <c r="AC18" s="39"/>
      <c r="AD18" s="39"/>
      <c r="AE18" s="40"/>
      <c r="AF18" s="39"/>
      <c r="AG18" s="39"/>
      <c r="AH18" s="40"/>
    </row>
    <row r="19" spans="1:102" x14ac:dyDescent="0.25">
      <c r="A19" s="35">
        <v>42660</v>
      </c>
      <c r="B19" s="36">
        <v>0.42083333333333334</v>
      </c>
      <c r="C19" s="27">
        <v>4.0999999999999996</v>
      </c>
      <c r="D19" s="14" t="s">
        <v>166</v>
      </c>
      <c r="E19" s="27">
        <v>8.6999999999999994E-2</v>
      </c>
      <c r="F19" s="27">
        <f t="shared" si="0"/>
        <v>7.6188509999999985</v>
      </c>
      <c r="G19" s="27">
        <v>32.833300000000001</v>
      </c>
      <c r="H19" s="27">
        <f t="shared" si="4"/>
        <v>0.23204645893041509</v>
      </c>
      <c r="I19" s="27">
        <f t="shared" si="1"/>
        <v>25.214449000000002</v>
      </c>
      <c r="J19" s="14">
        <f t="shared" si="5"/>
        <v>2.5214449000000003E-2</v>
      </c>
      <c r="K19" s="30">
        <v>5.0645059999999986E-4</v>
      </c>
      <c r="L19" s="14">
        <f t="shared" si="2"/>
        <v>6.5948077965058817E-4</v>
      </c>
      <c r="M19">
        <v>1.2522</v>
      </c>
      <c r="N19" s="27">
        <f t="shared" si="6"/>
        <v>1499.9097999999999</v>
      </c>
      <c r="O19">
        <v>1.2694000000000001</v>
      </c>
      <c r="P19" s="27">
        <f t="shared" si="7"/>
        <v>1497.1322600000008</v>
      </c>
      <c r="Q19">
        <v>1.0237000000000001</v>
      </c>
      <c r="R19" s="14">
        <f t="shared" si="3"/>
        <v>745.11676000000034</v>
      </c>
      <c r="S19" s="27">
        <f t="shared" si="8"/>
        <v>754.79303999999956</v>
      </c>
      <c r="T19" s="14">
        <f t="shared" si="9"/>
        <v>2.777539999999135</v>
      </c>
      <c r="U19">
        <v>-0.11</v>
      </c>
      <c r="V19" s="14" t="s">
        <v>74</v>
      </c>
      <c r="W19" s="32"/>
      <c r="X19" s="32"/>
      <c r="Y19" s="27"/>
      <c r="Z19" s="27"/>
      <c r="AA19" s="14"/>
      <c r="AB19" s="30"/>
      <c r="AC19" s="30"/>
      <c r="AD19" s="30"/>
      <c r="AE19" s="14"/>
      <c r="AF19" s="27"/>
      <c r="AG19" s="27"/>
      <c r="AH19" s="14"/>
    </row>
    <row r="20" spans="1:102" s="52" customFormat="1" x14ac:dyDescent="0.25">
      <c r="A20" s="46">
        <v>42661</v>
      </c>
      <c r="B20" s="47">
        <v>0.40902777777777777</v>
      </c>
      <c r="C20" s="50">
        <v>4.2</v>
      </c>
      <c r="D20" s="49" t="s">
        <v>167</v>
      </c>
      <c r="E20" s="50">
        <v>0.129</v>
      </c>
      <c r="F20" s="50">
        <f t="shared" si="0"/>
        <v>11.296916999999999</v>
      </c>
      <c r="G20" s="50"/>
      <c r="H20" s="50"/>
      <c r="I20" s="50"/>
      <c r="J20" s="49"/>
      <c r="K20" s="48"/>
      <c r="L20" s="49"/>
      <c r="M20" s="50">
        <v>1.3693</v>
      </c>
      <c r="N20" s="50">
        <f t="shared" si="6"/>
        <v>1875.6837</v>
      </c>
      <c r="O20" s="50">
        <v>1.4026000000000001</v>
      </c>
      <c r="P20" s="50">
        <f t="shared" si="7"/>
        <v>1919.0965400000005</v>
      </c>
      <c r="Q20" s="50">
        <v>1.0263</v>
      </c>
      <c r="R20" s="49">
        <f t="shared" si="3"/>
        <v>753.42324000000008</v>
      </c>
      <c r="S20" s="50">
        <f t="shared" si="8"/>
        <v>1122.26046</v>
      </c>
      <c r="T20" s="49">
        <f t="shared" si="9"/>
        <v>-43.412840000000415</v>
      </c>
      <c r="U20" s="50">
        <v>-0.32500000000000001</v>
      </c>
      <c r="V20" s="49" t="s">
        <v>156</v>
      </c>
      <c r="W20" s="51"/>
      <c r="X20" s="51">
        <f>(P20-P19)/(N20-N19)</f>
        <v>1.1229206711801951</v>
      </c>
      <c r="Y20" s="50"/>
      <c r="Z20" s="50"/>
      <c r="AA20" s="49"/>
      <c r="AB20" s="48"/>
      <c r="AC20" s="48"/>
      <c r="AD20" s="48"/>
      <c r="AE20" s="49"/>
      <c r="AF20" s="50"/>
      <c r="AG20" s="50"/>
      <c r="AH20" s="49"/>
    </row>
    <row r="21" spans="1:102" s="10" customFormat="1" x14ac:dyDescent="0.25">
      <c r="A21" s="67">
        <v>42661</v>
      </c>
      <c r="B21" s="68">
        <v>0.45833333333333331</v>
      </c>
      <c r="C21" s="63">
        <v>4.4000000000000004</v>
      </c>
      <c r="D21" s="69" t="s">
        <v>111</v>
      </c>
      <c r="J21" s="69"/>
      <c r="K21" s="9"/>
      <c r="L21" s="69"/>
      <c r="M21" s="10">
        <v>1.3488</v>
      </c>
      <c r="O21" s="10">
        <v>1.3963000000000001</v>
      </c>
      <c r="Q21" s="10">
        <v>1.028</v>
      </c>
      <c r="R21" s="69"/>
      <c r="T21" s="69"/>
      <c r="V21" s="69" t="s">
        <v>156</v>
      </c>
      <c r="W21" s="70">
        <v>1.0369999999999999</v>
      </c>
      <c r="X21" s="70">
        <v>1.0353000000000001</v>
      </c>
      <c r="AA21" s="69"/>
      <c r="AB21" s="9"/>
      <c r="AC21" s="9"/>
      <c r="AD21" s="9"/>
      <c r="AE21" s="69"/>
      <c r="AH21" s="69"/>
    </row>
    <row r="22" spans="1:102" s="2" customFormat="1" x14ac:dyDescent="0.25">
      <c r="A22" s="1">
        <v>42663</v>
      </c>
      <c r="B22" s="72">
        <v>0.45833333333333331</v>
      </c>
      <c r="C22">
        <v>4.5</v>
      </c>
      <c r="D22" s="3" t="s">
        <v>113</v>
      </c>
      <c r="E22">
        <v>0.128</v>
      </c>
      <c r="F22"/>
      <c r="G22"/>
      <c r="H22"/>
      <c r="I22"/>
      <c r="J22" s="3"/>
      <c r="K22" s="7"/>
      <c r="L22" s="3"/>
      <c r="M22">
        <v>1.3694999999999999</v>
      </c>
      <c r="N22"/>
      <c r="O22">
        <v>1.4046000000000001</v>
      </c>
      <c r="P22"/>
      <c r="Q22">
        <v>1.0941000000000001</v>
      </c>
      <c r="R22" s="3"/>
      <c r="S22"/>
      <c r="T22" s="3"/>
      <c r="U22">
        <v>5.8000000000000003E-2</v>
      </c>
      <c r="V22" s="3" t="s">
        <v>156</v>
      </c>
      <c r="W22" s="4"/>
      <c r="X22" s="4"/>
      <c r="Y22"/>
      <c r="Z22"/>
      <c r="AA22" s="3"/>
      <c r="AB22" s="7"/>
      <c r="AC22" s="7"/>
      <c r="AD22" s="7"/>
      <c r="AE22" s="3"/>
      <c r="AF22"/>
      <c r="AG22"/>
      <c r="AH22" s="3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</row>
    <row r="23" spans="1:102" s="10" customFormat="1" x14ac:dyDescent="0.25">
      <c r="A23" s="67">
        <v>42663</v>
      </c>
      <c r="B23" s="68">
        <v>0.46111111111111108</v>
      </c>
      <c r="C23" s="10">
        <v>4.5999999999999996</v>
      </c>
      <c r="D23" s="69" t="s">
        <v>111</v>
      </c>
      <c r="J23" s="69"/>
      <c r="K23" s="9"/>
      <c r="L23" s="69"/>
      <c r="M23" s="10">
        <v>1.3673</v>
      </c>
      <c r="O23" s="10">
        <v>1.4023000000000001</v>
      </c>
      <c r="Q23" s="10">
        <v>1.0948</v>
      </c>
      <c r="R23" s="69"/>
      <c r="T23" s="69"/>
      <c r="V23" s="62"/>
      <c r="W23" s="70"/>
      <c r="X23" s="70"/>
      <c r="AA23" s="69"/>
      <c r="AB23" s="9"/>
      <c r="AC23" s="9"/>
      <c r="AD23" s="9"/>
      <c r="AE23" s="69"/>
      <c r="AH23" s="69"/>
    </row>
    <row r="24" spans="1:102" x14ac:dyDescent="0.25">
      <c r="A24" s="1">
        <v>42664</v>
      </c>
      <c r="B24" s="72">
        <v>0.41805555555555557</v>
      </c>
      <c r="C24">
        <v>4.7</v>
      </c>
      <c r="D24" s="3" t="s">
        <v>113</v>
      </c>
      <c r="E24">
        <v>0.127</v>
      </c>
      <c r="M24">
        <v>1.3682000000000001</v>
      </c>
      <c r="O24">
        <v>1.3987000000000001</v>
      </c>
      <c r="Q24">
        <v>1.1459999999999999</v>
      </c>
      <c r="U24">
        <v>6.7000000000000004E-2</v>
      </c>
      <c r="V24" s="14" t="s">
        <v>156</v>
      </c>
    </row>
    <row r="25" spans="1:102" s="10" customFormat="1" x14ac:dyDescent="0.25">
      <c r="A25" s="67">
        <v>42664</v>
      </c>
      <c r="C25" s="10">
        <v>4.9000000000000004</v>
      </c>
      <c r="D25" s="69" t="s">
        <v>111</v>
      </c>
      <c r="J25" s="69"/>
      <c r="K25" s="9"/>
      <c r="L25" s="69"/>
      <c r="M25" s="10">
        <v>1.3708</v>
      </c>
      <c r="O25" s="10">
        <v>1.4026000000000001</v>
      </c>
      <c r="Q25" s="10">
        <v>1.1765000000000001</v>
      </c>
      <c r="R25" s="69"/>
      <c r="T25" s="69"/>
      <c r="V25" s="62" t="s">
        <v>156</v>
      </c>
      <c r="W25" s="70">
        <v>1.1765000000000001</v>
      </c>
      <c r="X25" s="70"/>
      <c r="AA25" s="69"/>
      <c r="AB25" s="9"/>
      <c r="AC25" s="9"/>
      <c r="AD25" s="9"/>
      <c r="AE25" s="69"/>
      <c r="AH25" s="69"/>
    </row>
    <row r="26" spans="1:102" x14ac:dyDescent="0.25">
      <c r="A26" s="1">
        <v>42665</v>
      </c>
      <c r="B26" s="72">
        <v>0.86458333333333337</v>
      </c>
      <c r="C26">
        <v>4.101</v>
      </c>
      <c r="D26" s="3" t="s">
        <v>113</v>
      </c>
      <c r="E26">
        <v>0.127</v>
      </c>
      <c r="M26">
        <v>1.3695999999999999</v>
      </c>
      <c r="O26">
        <v>1.4086000000000001</v>
      </c>
      <c r="Q26">
        <v>1.2101999999999999</v>
      </c>
      <c r="U26">
        <v>0.08</v>
      </c>
      <c r="V26" s="14" t="s">
        <v>156</v>
      </c>
    </row>
    <row r="27" spans="1:102" s="10" customFormat="1" x14ac:dyDescent="0.25">
      <c r="A27" s="67">
        <v>42666</v>
      </c>
      <c r="B27" s="68">
        <v>0.70138888888888884</v>
      </c>
      <c r="C27" s="10">
        <v>4.12</v>
      </c>
      <c r="D27" s="69" t="s">
        <v>111</v>
      </c>
      <c r="J27" s="69"/>
      <c r="K27" s="9"/>
      <c r="L27" s="69"/>
      <c r="M27" s="10">
        <v>1.3715999999999999</v>
      </c>
      <c r="O27" s="10">
        <v>1.4096</v>
      </c>
      <c r="Q27" s="10">
        <v>1.2236</v>
      </c>
      <c r="R27" s="69"/>
      <c r="T27" s="69"/>
      <c r="V27" s="62"/>
      <c r="W27" s="70">
        <v>1.2236</v>
      </c>
      <c r="X27" s="70"/>
      <c r="AA27" s="69"/>
      <c r="AB27" s="9"/>
      <c r="AC27" s="9"/>
      <c r="AD27" s="9"/>
      <c r="AE27" s="69"/>
      <c r="AH27" s="69"/>
    </row>
    <row r="28" spans="1:102" x14ac:dyDescent="0.25">
      <c r="A28" s="1">
        <v>42667</v>
      </c>
      <c r="B28" s="72">
        <v>0.92986111111111114</v>
      </c>
      <c r="C28">
        <v>4.13</v>
      </c>
      <c r="D28" s="3" t="s">
        <v>113</v>
      </c>
      <c r="E28">
        <v>0.126</v>
      </c>
      <c r="M28">
        <v>1.3709</v>
      </c>
      <c r="O28">
        <v>1.413</v>
      </c>
      <c r="Q28">
        <v>1.2602</v>
      </c>
      <c r="U28">
        <v>6.9000000000000006E-2</v>
      </c>
      <c r="V28" s="14" t="s">
        <v>156</v>
      </c>
    </row>
    <row r="29" spans="1:102" s="10" customFormat="1" x14ac:dyDescent="0.25">
      <c r="A29" s="67">
        <v>42667</v>
      </c>
      <c r="B29" s="68">
        <v>0.45833333333333331</v>
      </c>
      <c r="C29" s="10">
        <v>4.1399999999999997</v>
      </c>
      <c r="D29" s="69" t="s">
        <v>111</v>
      </c>
      <c r="J29" s="69"/>
      <c r="K29" s="9"/>
      <c r="L29" s="69"/>
      <c r="M29" s="10">
        <v>1.3711</v>
      </c>
      <c r="O29" s="10">
        <v>1.4133</v>
      </c>
      <c r="Q29" s="10">
        <v>1.2704</v>
      </c>
      <c r="R29" s="69"/>
      <c r="T29" s="69"/>
      <c r="V29" s="62" t="s">
        <v>156</v>
      </c>
      <c r="W29" s="70">
        <v>1.2704</v>
      </c>
      <c r="X29" s="70"/>
      <c r="AA29" s="69"/>
      <c r="AB29" s="9"/>
      <c r="AC29" s="9"/>
      <c r="AD29" s="9"/>
      <c r="AE29" s="69"/>
      <c r="AH29" s="69"/>
    </row>
    <row r="30" spans="1:102" x14ac:dyDescent="0.25">
      <c r="A30" s="1">
        <v>42668</v>
      </c>
      <c r="B30" s="72">
        <v>0.3979166666666667</v>
      </c>
      <c r="C30">
        <v>4.1500000000000004</v>
      </c>
      <c r="D30" s="3" t="s">
        <v>113</v>
      </c>
      <c r="E30">
        <v>0.11899999999999999</v>
      </c>
      <c r="M30">
        <v>1.3695999999999999</v>
      </c>
      <c r="O30">
        <v>1.4251</v>
      </c>
      <c r="Q30">
        <v>1.3605</v>
      </c>
      <c r="U30">
        <v>0.38300000000000001</v>
      </c>
      <c r="V30" s="14" t="s">
        <v>156</v>
      </c>
    </row>
    <row r="31" spans="1:102" s="10" customFormat="1" x14ac:dyDescent="0.25">
      <c r="A31" s="67">
        <v>42668</v>
      </c>
      <c r="B31" s="68">
        <v>0.44375000000000003</v>
      </c>
      <c r="C31" s="10">
        <v>4.17</v>
      </c>
      <c r="D31" s="69" t="s">
        <v>111</v>
      </c>
      <c r="J31" s="69"/>
      <c r="K31" s="9"/>
      <c r="L31" s="69"/>
      <c r="M31" s="10">
        <v>1.3819999999999999</v>
      </c>
      <c r="O31" s="10">
        <v>1.4294</v>
      </c>
      <c r="Q31" s="10">
        <v>1.3605</v>
      </c>
      <c r="R31" s="69"/>
      <c r="T31" s="69"/>
      <c r="V31" s="62"/>
      <c r="W31" s="70">
        <v>1.3720000000000001</v>
      </c>
      <c r="X31" s="70"/>
      <c r="AA31" s="69"/>
      <c r="AB31" s="9"/>
      <c r="AC31" s="9"/>
      <c r="AD31" s="9"/>
      <c r="AE31" s="69"/>
      <c r="AH31" s="69"/>
    </row>
    <row r="32" spans="1:102" x14ac:dyDescent="0.25">
      <c r="A32" s="1">
        <v>42668</v>
      </c>
      <c r="B32" s="72">
        <v>0.70416666666666661</v>
      </c>
      <c r="C32">
        <v>4.18</v>
      </c>
      <c r="D32" s="3" t="s">
        <v>113</v>
      </c>
      <c r="E32">
        <v>0.11700000000000001</v>
      </c>
      <c r="M32">
        <v>1.3694</v>
      </c>
      <c r="O32">
        <v>1.4293</v>
      </c>
      <c r="Q32">
        <v>1.3838999999999999</v>
      </c>
      <c r="U32">
        <v>8.5999999999999993E-2</v>
      </c>
      <c r="V32" s="14" t="s">
        <v>156</v>
      </c>
    </row>
    <row r="33" spans="1:34" s="10" customFormat="1" x14ac:dyDescent="0.25">
      <c r="A33" s="67">
        <v>42668</v>
      </c>
      <c r="B33" s="68">
        <v>0.83750000000000002</v>
      </c>
      <c r="C33" s="10">
        <v>4.2</v>
      </c>
      <c r="D33" s="69" t="s">
        <v>111</v>
      </c>
      <c r="J33" s="69"/>
      <c r="K33" s="9"/>
      <c r="L33" s="69"/>
      <c r="R33" s="69"/>
      <c r="T33" s="69"/>
      <c r="V33" s="62"/>
      <c r="W33" s="70">
        <v>1.3956999999999999</v>
      </c>
      <c r="X33" s="70"/>
      <c r="AA33" s="69"/>
      <c r="AB33" s="9"/>
      <c r="AC33" s="9"/>
      <c r="AD33" s="9"/>
      <c r="AE33" s="69"/>
      <c r="AH33" s="69"/>
    </row>
    <row r="39" spans="1:34" x14ac:dyDescent="0.25">
      <c r="V39" s="14">
        <f>+V40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tabSelected="1" topLeftCell="L1" workbookViewId="0">
      <selection activeCell="W13" sqref="W13"/>
    </sheetView>
  </sheetViews>
  <sheetFormatPr defaultRowHeight="15" x14ac:dyDescent="0.25"/>
  <cols>
    <col min="1" max="1" width="4.875" style="3" bestFit="1" customWidth="1"/>
    <col min="2" max="2" width="15.5" bestFit="1" customWidth="1"/>
    <col min="3" max="3" width="20" bestFit="1" customWidth="1"/>
    <col min="4" max="4" width="16.75" bestFit="1" customWidth="1"/>
    <col min="5" max="5" width="20.625" style="3" bestFit="1" customWidth="1"/>
    <col min="6" max="6" width="16.5" bestFit="1" customWidth="1"/>
    <col min="7" max="7" width="16.75" bestFit="1" customWidth="1"/>
    <col min="8" max="8" width="18.25" bestFit="1" customWidth="1"/>
    <col min="9" max="9" width="18.25" style="3" customWidth="1"/>
    <col min="10" max="10" width="15.5" bestFit="1" customWidth="1"/>
    <col min="11" max="11" width="15.75" bestFit="1" customWidth="1"/>
    <col min="12" max="12" width="16.75" bestFit="1" customWidth="1"/>
    <col min="13" max="13" width="16.5" style="3" bestFit="1" customWidth="1"/>
    <col min="14" max="14" width="16.5" style="7" customWidth="1"/>
    <col min="15" max="15" width="16.5" style="3" customWidth="1"/>
    <col min="16" max="16" width="18.125" style="7" bestFit="1" customWidth="1"/>
    <col min="17" max="17" width="17.875" style="3" bestFit="1" customWidth="1"/>
    <col min="18" max="18" width="19.25" bestFit="1" customWidth="1"/>
    <col min="19" max="19" width="19" style="3" bestFit="1" customWidth="1"/>
    <col min="20" max="20" width="21.625" bestFit="1" customWidth="1"/>
    <col min="21" max="21" width="21.375" style="3" bestFit="1" customWidth="1"/>
    <col min="22" max="22" width="18.125" bestFit="1" customWidth="1"/>
    <col min="23" max="23" width="19" style="3" bestFit="1" customWidth="1"/>
    <col min="24" max="24" width="20.375" bestFit="1" customWidth="1"/>
    <col min="25" max="25" width="21.375" style="3" bestFit="1" customWidth="1"/>
    <col min="26" max="26" width="20" bestFit="1" customWidth="1"/>
    <col min="27" max="27" width="13.125" style="3" bestFit="1" customWidth="1"/>
    <col min="28" max="28" width="12" style="3" bestFit="1" customWidth="1"/>
    <col min="29" max="29" width="18.25" style="4" bestFit="1" customWidth="1"/>
    <col min="30" max="30" width="9" style="4"/>
    <col min="31" max="31" width="13.25" style="3" bestFit="1" customWidth="1"/>
    <col min="34" max="34" width="9" style="3"/>
  </cols>
  <sheetData>
    <row r="1" spans="1:34" x14ac:dyDescent="0.25">
      <c r="A1" s="14" t="s">
        <v>2</v>
      </c>
      <c r="B1" s="27" t="s">
        <v>121</v>
      </c>
      <c r="C1" s="27" t="s">
        <v>122</v>
      </c>
      <c r="D1" s="27" t="s">
        <v>123</v>
      </c>
      <c r="E1" s="14" t="s">
        <v>124</v>
      </c>
      <c r="F1" s="27" t="s">
        <v>125</v>
      </c>
      <c r="G1" s="27" t="s">
        <v>126</v>
      </c>
      <c r="H1" s="27" t="s">
        <v>127</v>
      </c>
      <c r="I1" s="14" t="s">
        <v>128</v>
      </c>
      <c r="J1" s="27" t="s">
        <v>129</v>
      </c>
      <c r="K1" s="27" t="s">
        <v>131</v>
      </c>
      <c r="L1" s="27" t="s">
        <v>130</v>
      </c>
      <c r="M1" s="14" t="s">
        <v>132</v>
      </c>
      <c r="N1" s="31" t="s">
        <v>90</v>
      </c>
      <c r="O1" s="34" t="s">
        <v>133</v>
      </c>
      <c r="P1" s="31" t="s">
        <v>134</v>
      </c>
      <c r="Q1" s="34" t="s">
        <v>135</v>
      </c>
      <c r="R1" s="27" t="s">
        <v>136</v>
      </c>
      <c r="S1" s="14" t="s">
        <v>137</v>
      </c>
      <c r="T1" s="27" t="s">
        <v>138</v>
      </c>
      <c r="U1" s="14" t="s">
        <v>139</v>
      </c>
      <c r="V1" s="27" t="s">
        <v>140</v>
      </c>
      <c r="W1" s="14" t="s">
        <v>141</v>
      </c>
      <c r="X1" s="27" t="s">
        <v>52</v>
      </c>
      <c r="Y1" s="14" t="s">
        <v>142</v>
      </c>
      <c r="Z1" s="27" t="s">
        <v>144</v>
      </c>
      <c r="AA1" s="14" t="s">
        <v>143</v>
      </c>
      <c r="AB1" s="14" t="s">
        <v>145</v>
      </c>
      <c r="AC1" s="32" t="s">
        <v>181</v>
      </c>
      <c r="AD1" s="32" t="s">
        <v>146</v>
      </c>
      <c r="AE1" s="14" t="s">
        <v>188</v>
      </c>
      <c r="AF1" s="31" t="s">
        <v>147</v>
      </c>
      <c r="AG1" s="31" t="s">
        <v>176</v>
      </c>
      <c r="AH1" s="34" t="s">
        <v>148</v>
      </c>
    </row>
    <row r="2" spans="1:34" x14ac:dyDescent="0.25">
      <c r="A2" s="14">
        <v>2.1</v>
      </c>
      <c r="B2" s="27">
        <v>75</v>
      </c>
      <c r="C2" s="27">
        <v>0.80700000000000005</v>
      </c>
      <c r="D2" s="27">
        <f>3209*C2-2518.4</f>
        <v>71.26299999999992</v>
      </c>
      <c r="E2" s="14">
        <f>D2*6894.76</f>
        <v>491341.28187999944</v>
      </c>
      <c r="F2" s="31">
        <v>75</v>
      </c>
      <c r="G2" s="31">
        <v>0.82050000000000001</v>
      </c>
      <c r="H2" s="27">
        <f>3167.9*G2-2524.2</f>
        <v>75.061950000000252</v>
      </c>
      <c r="I2" s="14">
        <f>H2*6894.76</f>
        <v>517534.13038200175</v>
      </c>
      <c r="J2" s="27">
        <v>25</v>
      </c>
      <c r="K2" s="27">
        <v>0.79800000000000004</v>
      </c>
      <c r="L2" s="27">
        <f>3194.8*K2-2525.4</f>
        <v>24.050400000000081</v>
      </c>
      <c r="M2" s="14">
        <f>L2*6894.76</f>
        <v>165821.73590400055</v>
      </c>
      <c r="N2" s="30">
        <f>D2-L2</f>
        <v>47.212599999999838</v>
      </c>
      <c r="O2" s="14">
        <f>N2*6894.76</f>
        <v>325519.54597599892</v>
      </c>
      <c r="P2" s="30">
        <f>D2-H2</f>
        <v>-3.7989500000003318</v>
      </c>
      <c r="Q2" s="14">
        <f>P2*6894.76</f>
        <v>-26192.848502002289</v>
      </c>
      <c r="R2" s="27">
        <v>32.5</v>
      </c>
      <c r="S2" s="14">
        <f>R2*6894.76</f>
        <v>224079.7</v>
      </c>
      <c r="T2" s="27">
        <v>17.5</v>
      </c>
      <c r="U2" s="14">
        <f>T2*6894.76</f>
        <v>120658.3</v>
      </c>
      <c r="V2" s="27">
        <v>7</v>
      </c>
      <c r="W2" s="14">
        <f>V2/10^6</f>
        <v>6.9999999999999999E-6</v>
      </c>
      <c r="X2" s="14">
        <v>7</v>
      </c>
      <c r="Y2" s="14">
        <f>X2/10^6</f>
        <v>6.9999999999999999E-6</v>
      </c>
      <c r="Z2" s="43">
        <v>4.0509259259259259E-2</v>
      </c>
      <c r="AA2" s="14">
        <v>3500</v>
      </c>
      <c r="AB2" s="14">
        <v>8.8999999999999999E-3</v>
      </c>
      <c r="AC2" s="32">
        <v>3.2833300000000003E-2</v>
      </c>
      <c r="AD2" s="32">
        <v>5.0645059999999986E-4</v>
      </c>
      <c r="AE2" s="14">
        <f>Y2/AA2</f>
        <v>2.0000000000000001E-9</v>
      </c>
      <c r="AF2" s="27">
        <f>(AE2*AB2*AC2)/(AD2*(S2-U2))</f>
        <v>1.1158017410718812E-14</v>
      </c>
      <c r="AG2" s="27">
        <f>LOG10(AF2)</f>
        <v>-13.952412965261802</v>
      </c>
      <c r="AH2" s="14">
        <f>AF2/0.00000000000098692</f>
        <v>1.1305898563935083E-2</v>
      </c>
    </row>
    <row r="3" spans="1:34" s="12" customFormat="1" x14ac:dyDescent="0.25">
      <c r="A3" s="40">
        <v>2.2000000000000002</v>
      </c>
      <c r="B3" s="39">
        <v>250</v>
      </c>
      <c r="C3" s="39">
        <v>0.86939999999999995</v>
      </c>
      <c r="D3" s="27">
        <f t="shared" ref="D3:D7" si="0">3209*C3-2518.4</f>
        <v>271.50459999999975</v>
      </c>
      <c r="E3" s="14">
        <f t="shared" ref="E3:E7" si="1">D3*6894.76</f>
        <v>1871959.0558959984</v>
      </c>
      <c r="F3" s="42">
        <v>250</v>
      </c>
      <c r="G3" s="42">
        <v>0.88060000000000005</v>
      </c>
      <c r="H3" s="27">
        <f t="shared" ref="H3:H8" si="2">3167.9*G3-2524.2</f>
        <v>265.45274000000063</v>
      </c>
      <c r="I3" s="14">
        <f t="shared" ref="I3:I8" si="3">H3*6894.76</f>
        <v>1830232.9336424044</v>
      </c>
      <c r="J3" s="39">
        <v>125</v>
      </c>
      <c r="K3" s="39">
        <v>0.83030000000000004</v>
      </c>
      <c r="L3" s="27">
        <f t="shared" ref="L3:L8" si="4">3194.8*K3-2525.4</f>
        <v>127.24243999999999</v>
      </c>
      <c r="M3" s="14">
        <f t="shared" ref="M3:M8" si="5">L3*6894.76</f>
        <v>877306.08561439998</v>
      </c>
      <c r="N3" s="30">
        <f t="shared" ref="N3:N7" si="6">D3-L3</f>
        <v>144.26215999999977</v>
      </c>
      <c r="O3" s="14">
        <f t="shared" ref="O3:O7" si="7">N3*6894.76</f>
        <v>994652.97028159839</v>
      </c>
      <c r="P3" s="30">
        <f t="shared" ref="P3:P7" si="8">D3-H3</f>
        <v>6.0518599999991238</v>
      </c>
      <c r="Q3" s="14">
        <f t="shared" ref="Q3:Q7" si="9">P3*6894.76</f>
        <v>41726.12225359396</v>
      </c>
      <c r="R3" s="39">
        <v>132</v>
      </c>
      <c r="S3" s="14">
        <f t="shared" ref="S3:S9" si="10">R3*6894.76</f>
        <v>910108.32000000007</v>
      </c>
      <c r="T3" s="39">
        <v>117.5</v>
      </c>
      <c r="U3" s="14">
        <f t="shared" ref="U3:U9" si="11">T3*6894.76</f>
        <v>810134.3</v>
      </c>
      <c r="V3" s="39">
        <v>0.44</v>
      </c>
      <c r="W3" s="14">
        <f t="shared" ref="W3:W9" si="12">V3/10^6</f>
        <v>4.4000000000000002E-7</v>
      </c>
      <c r="X3" s="40">
        <v>0.37</v>
      </c>
      <c r="Y3" s="14">
        <f t="shared" ref="Y3:Y9" si="13">X3/10^6</f>
        <v>3.7E-7</v>
      </c>
      <c r="Z3" s="44">
        <v>0.21041666666666667</v>
      </c>
      <c r="AA3" s="40">
        <f>5*3600+3*60</f>
        <v>18180</v>
      </c>
      <c r="AB3" s="14">
        <v>8.8999999999999999E-3</v>
      </c>
      <c r="AC3" s="41">
        <v>3.2833300000000003E-2</v>
      </c>
      <c r="AD3" s="41">
        <v>5.0645059999999986E-4</v>
      </c>
      <c r="AE3" s="14">
        <f t="shared" ref="AE3:AE6" si="14">Y3/AA3</f>
        <v>2.0352035203520353E-11</v>
      </c>
      <c r="AF3" s="27">
        <f t="shared" ref="AF3:AF6" si="15">(AE3*AB3*AC3)/(AD3*(S3-U3))</f>
        <v>1.1745949817815976E-16</v>
      </c>
      <c r="AG3" s="27">
        <f t="shared" ref="AG3:AG6" si="16">LOG10(AF3)</f>
        <v>-15.930111858924031</v>
      </c>
      <c r="AH3" s="14">
        <f t="shared" ref="AH3:AH6" si="17">AF3/0.00000000000098692</f>
        <v>1.1901623047274325E-4</v>
      </c>
    </row>
    <row r="4" spans="1:34" s="7" customFormat="1" x14ac:dyDescent="0.25">
      <c r="A4" s="30">
        <v>3.4</v>
      </c>
      <c r="B4" s="30">
        <v>937.5</v>
      </c>
      <c r="C4" s="31">
        <v>1.0788</v>
      </c>
      <c r="D4" s="27">
        <f t="shared" si="0"/>
        <v>943.4692</v>
      </c>
      <c r="E4" s="14">
        <f t="shared" si="1"/>
        <v>6504993.7013920005</v>
      </c>
      <c r="F4" s="31">
        <v>750</v>
      </c>
      <c r="G4" s="31">
        <v>1.0948</v>
      </c>
      <c r="H4" s="27">
        <f t="shared" si="2"/>
        <v>944.01692000000048</v>
      </c>
      <c r="I4" s="14">
        <f t="shared" si="3"/>
        <v>6508770.0993392039</v>
      </c>
      <c r="J4" s="30">
        <v>350</v>
      </c>
      <c r="K4" s="30">
        <v>0.91690000000000005</v>
      </c>
      <c r="L4" s="27">
        <f t="shared" si="4"/>
        <v>403.91212000000041</v>
      </c>
      <c r="M4" s="14">
        <f t="shared" si="5"/>
        <v>2784877.1284912028</v>
      </c>
      <c r="N4" s="30">
        <f t="shared" si="6"/>
        <v>539.55707999999959</v>
      </c>
      <c r="O4" s="14">
        <f t="shared" si="7"/>
        <v>3720116.5729007972</v>
      </c>
      <c r="P4" s="30">
        <f t="shared" si="8"/>
        <v>-0.54772000000048138</v>
      </c>
      <c r="Q4" s="14">
        <f t="shared" si="9"/>
        <v>-3776.3979472033193</v>
      </c>
      <c r="R4" s="30">
        <v>400</v>
      </c>
      <c r="S4" s="14">
        <f t="shared" si="10"/>
        <v>2757904</v>
      </c>
      <c r="T4" s="30">
        <v>350</v>
      </c>
      <c r="U4" s="14">
        <f t="shared" si="11"/>
        <v>2413166</v>
      </c>
      <c r="V4" s="30">
        <v>0.28999999999999998</v>
      </c>
      <c r="W4" s="14">
        <f t="shared" si="12"/>
        <v>2.8999999999999998E-7</v>
      </c>
      <c r="X4" s="30">
        <v>0.23499999999999999</v>
      </c>
      <c r="Y4" s="14">
        <f t="shared" si="13"/>
        <v>2.3499999999999997E-7</v>
      </c>
      <c r="Z4" s="45">
        <v>0.1849652777777778</v>
      </c>
      <c r="AA4" s="30">
        <f>4*3600+26*60+21</f>
        <v>15981</v>
      </c>
      <c r="AB4" s="14">
        <v>8.8999999999999999E-3</v>
      </c>
      <c r="AC4" s="32">
        <v>2.9330380000000003E-2</v>
      </c>
      <c r="AD4" s="30">
        <v>5.6693586939480481E-4</v>
      </c>
      <c r="AE4" s="14">
        <f t="shared" si="14"/>
        <v>1.4704962142544271E-11</v>
      </c>
      <c r="AF4" s="27">
        <f t="shared" si="15"/>
        <v>1.9640317950906751E-17</v>
      </c>
      <c r="AG4" s="27">
        <f t="shared" si="16"/>
        <v>-16.706851485835902</v>
      </c>
      <c r="AH4" s="14">
        <f t="shared" si="17"/>
        <v>1.9900618034801961E-5</v>
      </c>
    </row>
    <row r="5" spans="1:34" x14ac:dyDescent="0.25">
      <c r="A5" s="14">
        <v>3.8</v>
      </c>
      <c r="B5" s="31">
        <v>937.5</v>
      </c>
      <c r="C5" s="31">
        <v>1.0680000000000001</v>
      </c>
      <c r="D5" s="27">
        <f t="shared" si="0"/>
        <v>908.8119999999999</v>
      </c>
      <c r="E5" s="14">
        <f t="shared" si="1"/>
        <v>6266040.6251199991</v>
      </c>
      <c r="F5" s="31">
        <v>750</v>
      </c>
      <c r="G5" s="31">
        <v>1.0940000000000001</v>
      </c>
      <c r="H5" s="27">
        <f t="shared" si="2"/>
        <v>941.48260000000073</v>
      </c>
      <c r="I5" s="14">
        <f t="shared" si="3"/>
        <v>6491296.5711760055</v>
      </c>
      <c r="J5" s="31">
        <v>525</v>
      </c>
      <c r="K5" s="31">
        <v>0.95640000000000003</v>
      </c>
      <c r="L5" s="27">
        <f t="shared" si="4"/>
        <v>530.10672000000022</v>
      </c>
      <c r="M5" s="14">
        <f t="shared" si="5"/>
        <v>3654958.6087872018</v>
      </c>
      <c r="N5" s="30">
        <f t="shared" si="6"/>
        <v>378.70527999999968</v>
      </c>
      <c r="O5" s="14">
        <f t="shared" si="7"/>
        <v>2611082.0163327977</v>
      </c>
      <c r="P5" s="30">
        <f t="shared" si="8"/>
        <v>-32.670600000000832</v>
      </c>
      <c r="Q5" s="14">
        <f t="shared" si="9"/>
        <v>-225255.94605600575</v>
      </c>
      <c r="R5" s="31">
        <v>550</v>
      </c>
      <c r="S5" s="14">
        <f t="shared" si="10"/>
        <v>3792118</v>
      </c>
      <c r="T5" s="31">
        <v>500</v>
      </c>
      <c r="U5" s="14">
        <f t="shared" si="11"/>
        <v>3447380</v>
      </c>
      <c r="V5" s="31">
        <v>0.246</v>
      </c>
      <c r="W5" s="14">
        <f t="shared" si="12"/>
        <v>2.4600000000000001E-7</v>
      </c>
      <c r="X5" s="31">
        <v>0.15</v>
      </c>
      <c r="Y5" s="14">
        <f t="shared" si="13"/>
        <v>1.4999999999999999E-7</v>
      </c>
      <c r="Z5" s="43">
        <v>0.12605324074074073</v>
      </c>
      <c r="AA5" s="14">
        <f>3*3600+60+31</f>
        <v>10891</v>
      </c>
      <c r="AB5" s="14">
        <v>8.8999999999999999E-3</v>
      </c>
      <c r="AC5" s="32">
        <v>2.8104358000000003E-2</v>
      </c>
      <c r="AD5" s="32">
        <v>5.916678290598204E-4</v>
      </c>
      <c r="AE5" s="14">
        <f t="shared" si="14"/>
        <v>1.3772839959599669E-11</v>
      </c>
      <c r="AF5" s="27">
        <f t="shared" si="15"/>
        <v>1.6889627175984114E-17</v>
      </c>
      <c r="AG5" s="27">
        <f t="shared" si="16"/>
        <v>-16.77237993700092</v>
      </c>
      <c r="AH5" s="14">
        <f t="shared" si="17"/>
        <v>1.7113471381656175E-5</v>
      </c>
    </row>
    <row r="6" spans="1:34" s="12" customFormat="1" x14ac:dyDescent="0.25">
      <c r="A6" s="40">
        <v>3.11</v>
      </c>
      <c r="B6" s="42">
        <v>937.5</v>
      </c>
      <c r="C6" s="42">
        <v>1.0780000000000001</v>
      </c>
      <c r="D6" s="27">
        <f t="shared" si="0"/>
        <v>940.90200000000004</v>
      </c>
      <c r="E6" s="14">
        <f t="shared" si="1"/>
        <v>6487293.4735200005</v>
      </c>
      <c r="F6" s="42">
        <v>750</v>
      </c>
      <c r="G6" s="42">
        <v>1.0919000000000001</v>
      </c>
      <c r="H6" s="27">
        <f t="shared" si="2"/>
        <v>934.83001000000058</v>
      </c>
      <c r="I6" s="14">
        <f t="shared" si="3"/>
        <v>6445428.5597476047</v>
      </c>
      <c r="J6" s="42">
        <v>600</v>
      </c>
      <c r="K6" s="42">
        <v>0.97929999999999995</v>
      </c>
      <c r="L6" s="27">
        <f t="shared" si="4"/>
        <v>603.26764000000003</v>
      </c>
      <c r="M6" s="14">
        <f t="shared" si="5"/>
        <v>4159385.5935664005</v>
      </c>
      <c r="N6" s="30">
        <f t="shared" si="6"/>
        <v>337.63436000000002</v>
      </c>
      <c r="O6" s="14">
        <f t="shared" si="7"/>
        <v>2327907.8799536</v>
      </c>
      <c r="P6" s="30">
        <f t="shared" si="8"/>
        <v>6.0719899999994595</v>
      </c>
      <c r="Q6" s="14">
        <f t="shared" si="9"/>
        <v>41864.913772396278</v>
      </c>
      <c r="R6" s="42">
        <v>625</v>
      </c>
      <c r="S6" s="14">
        <f t="shared" si="10"/>
        <v>4309225</v>
      </c>
      <c r="T6" s="42">
        <v>575</v>
      </c>
      <c r="U6" s="14">
        <f t="shared" si="11"/>
        <v>3964487</v>
      </c>
      <c r="V6" s="42">
        <v>0.41</v>
      </c>
      <c r="W6" s="14">
        <f t="shared" si="12"/>
        <v>4.0999999999999999E-7</v>
      </c>
      <c r="X6" s="42">
        <v>0.34300000000000003</v>
      </c>
      <c r="Y6" s="14">
        <f t="shared" si="13"/>
        <v>3.4300000000000004E-7</v>
      </c>
      <c r="Z6" s="44">
        <v>0.24109953703703701</v>
      </c>
      <c r="AA6" s="40">
        <f>5*3600+47*60+11</f>
        <v>20831</v>
      </c>
      <c r="AB6" s="14">
        <v>8.8999999999999999E-3</v>
      </c>
      <c r="AC6" s="41">
        <v>2.8191931000000003E-2</v>
      </c>
      <c r="AD6" s="41">
        <v>5.8982992278819053E-4</v>
      </c>
      <c r="AE6" s="14">
        <f t="shared" si="14"/>
        <v>1.646584417454755E-11</v>
      </c>
      <c r="AF6" s="27">
        <f t="shared" si="15"/>
        <v>2.0318089674601661E-17</v>
      </c>
      <c r="AG6" s="27">
        <f t="shared" si="16"/>
        <v>-16.692117127233583</v>
      </c>
      <c r="AH6" s="14">
        <f t="shared" si="17"/>
        <v>2.0587372506993131E-5</v>
      </c>
    </row>
    <row r="7" spans="1:34" x14ac:dyDescent="0.25">
      <c r="A7" s="3">
        <v>4.4000000000000004</v>
      </c>
      <c r="B7" s="31">
        <v>1875</v>
      </c>
      <c r="C7" s="31">
        <v>1.3694999999999999</v>
      </c>
      <c r="D7" s="27">
        <f t="shared" si="0"/>
        <v>1876.3254999999995</v>
      </c>
      <c r="E7" s="3">
        <f t="shared" si="1"/>
        <v>12936814.004379997</v>
      </c>
      <c r="F7" s="31">
        <v>1500</v>
      </c>
      <c r="G7" s="31">
        <v>1.3982000000000001</v>
      </c>
      <c r="H7" s="27">
        <f t="shared" si="2"/>
        <v>1905.1577800000005</v>
      </c>
      <c r="I7" s="3">
        <f t="shared" si="3"/>
        <v>13135605.655232804</v>
      </c>
      <c r="J7" s="31">
        <v>750</v>
      </c>
      <c r="K7" s="31">
        <v>1.0235000000000001</v>
      </c>
      <c r="L7" s="27">
        <f t="shared" si="4"/>
        <v>744.47780000000012</v>
      </c>
      <c r="M7" s="3">
        <f t="shared" si="5"/>
        <v>5132995.7563280007</v>
      </c>
      <c r="N7" s="31">
        <f t="shared" si="6"/>
        <v>1131.8476999999993</v>
      </c>
      <c r="O7" s="3">
        <f t="shared" si="7"/>
        <v>7803818.2480519954</v>
      </c>
      <c r="P7" s="31">
        <f t="shared" si="8"/>
        <v>-28.832280000000992</v>
      </c>
      <c r="Q7" s="3">
        <f t="shared" si="9"/>
        <v>-198791.65085280684</v>
      </c>
      <c r="R7" s="31">
        <v>787.5</v>
      </c>
      <c r="S7" s="3">
        <f t="shared" si="10"/>
        <v>5429623.5</v>
      </c>
      <c r="T7" s="31">
        <v>712.5</v>
      </c>
      <c r="U7" s="3">
        <f t="shared" si="11"/>
        <v>4912516.5</v>
      </c>
      <c r="V7" s="31">
        <v>0.17899999999999999</v>
      </c>
      <c r="W7" s="3">
        <f t="shared" si="12"/>
        <v>1.79E-7</v>
      </c>
      <c r="X7" s="31">
        <v>0.19</v>
      </c>
      <c r="Y7" s="3">
        <f t="shared" si="13"/>
        <v>1.9000000000000001E-7</v>
      </c>
      <c r="Z7" s="71">
        <v>0.21001157407407409</v>
      </c>
    </row>
    <row r="8" spans="1:34" x14ac:dyDescent="0.25">
      <c r="A8" s="3">
        <v>4.5999999999999996</v>
      </c>
      <c r="B8" s="31">
        <v>1875</v>
      </c>
      <c r="C8" s="31">
        <v>1.3673</v>
      </c>
      <c r="F8" s="31">
        <v>1500</v>
      </c>
      <c r="G8" s="31">
        <v>1.4024000000000001</v>
      </c>
      <c r="H8" s="29">
        <f t="shared" si="2"/>
        <v>1918.4629600000007</v>
      </c>
      <c r="I8" s="3">
        <f t="shared" si="3"/>
        <v>13227341.678089606</v>
      </c>
      <c r="J8" s="31">
        <v>975</v>
      </c>
      <c r="K8" s="31">
        <v>1.095</v>
      </c>
      <c r="L8" s="29">
        <f t="shared" si="4"/>
        <v>972.90599999999995</v>
      </c>
      <c r="M8" s="3">
        <f t="shared" si="5"/>
        <v>6707953.37256</v>
      </c>
      <c r="R8" s="31">
        <v>1012.5</v>
      </c>
      <c r="S8" s="3">
        <f t="shared" si="10"/>
        <v>6980944.5</v>
      </c>
      <c r="T8" s="31">
        <v>937.5</v>
      </c>
      <c r="U8" s="3">
        <f t="shared" si="11"/>
        <v>6463837.5</v>
      </c>
      <c r="V8" s="31">
        <v>0.189</v>
      </c>
      <c r="W8" s="3">
        <f t="shared" si="12"/>
        <v>1.8900000000000001E-7</v>
      </c>
      <c r="X8" s="31">
        <v>0.185</v>
      </c>
      <c r="Y8" s="3">
        <f t="shared" si="13"/>
        <v>1.85E-7</v>
      </c>
      <c r="Z8" s="73">
        <v>0.20962962962962964</v>
      </c>
    </row>
    <row r="9" spans="1:34" s="76" customFormat="1" x14ac:dyDescent="0.25">
      <c r="A9" s="74">
        <v>4.9000000000000004</v>
      </c>
      <c r="B9" s="75">
        <v>1875</v>
      </c>
      <c r="E9" s="74"/>
      <c r="F9" s="75">
        <v>1500</v>
      </c>
      <c r="I9" s="74"/>
      <c r="J9" s="75">
        <v>1200</v>
      </c>
      <c r="M9" s="74"/>
      <c r="N9" s="77"/>
      <c r="O9" s="74"/>
      <c r="P9" s="77"/>
      <c r="Q9" s="74"/>
      <c r="R9" s="75">
        <v>1237.5</v>
      </c>
      <c r="S9" s="74">
        <f t="shared" si="10"/>
        <v>8532265.5</v>
      </c>
      <c r="T9" s="75">
        <v>1162.5</v>
      </c>
      <c r="U9" s="74">
        <f t="shared" si="11"/>
        <v>8015158.5</v>
      </c>
      <c r="V9" s="75">
        <v>0.16900000000000001</v>
      </c>
      <c r="W9" s="74">
        <f t="shared" si="12"/>
        <v>1.6900000000000002E-7</v>
      </c>
      <c r="X9" s="75">
        <v>0.17</v>
      </c>
      <c r="Y9" s="74">
        <f t="shared" si="13"/>
        <v>1.7000000000000001E-7</v>
      </c>
      <c r="Z9" s="78">
        <v>0.168125</v>
      </c>
      <c r="AA9" s="74"/>
      <c r="AB9" s="74"/>
      <c r="AC9" s="79"/>
      <c r="AD9" s="79"/>
      <c r="AE9" s="74"/>
      <c r="AH9" s="74"/>
    </row>
    <row r="10" spans="1:34" x14ac:dyDescent="0.25">
      <c r="A10" s="3">
        <v>4.12</v>
      </c>
      <c r="B10" s="31">
        <v>1875</v>
      </c>
      <c r="F10" s="31">
        <v>1500</v>
      </c>
      <c r="J10" s="31">
        <v>1350</v>
      </c>
      <c r="R10" s="31">
        <v>1387.5</v>
      </c>
      <c r="T10" s="31">
        <v>1312.5</v>
      </c>
      <c r="V10" s="31">
        <v>0.189</v>
      </c>
      <c r="X10" s="31">
        <v>0.16900000000000001</v>
      </c>
      <c r="Z10" s="73">
        <v>0.22627314814814814</v>
      </c>
    </row>
    <row r="11" spans="1:34" x14ac:dyDescent="0.25">
      <c r="A11" s="3">
        <v>4.1399999999999997</v>
      </c>
      <c r="B11" s="31">
        <v>1875</v>
      </c>
      <c r="C11" s="31">
        <v>1.371</v>
      </c>
      <c r="F11" s="31">
        <v>1500</v>
      </c>
      <c r="G11" s="31">
        <v>1.4131</v>
      </c>
      <c r="J11" s="31">
        <v>1500</v>
      </c>
      <c r="K11" s="31">
        <v>1.2605999999999999</v>
      </c>
      <c r="R11" s="31">
        <v>1537.5</v>
      </c>
      <c r="T11" s="31">
        <v>1462.5</v>
      </c>
      <c r="V11" s="31">
        <v>0.221</v>
      </c>
      <c r="X11" s="31">
        <v>0.19500000000000001</v>
      </c>
      <c r="Z11" s="73">
        <v>0.2492361111111111</v>
      </c>
    </row>
    <row r="12" spans="1:34" x14ac:dyDescent="0.25">
      <c r="A12" s="3">
        <v>4.17</v>
      </c>
      <c r="B12" s="31">
        <v>1875</v>
      </c>
      <c r="C12" s="31">
        <v>1.3821000000000001</v>
      </c>
      <c r="F12" s="31">
        <v>1875</v>
      </c>
      <c r="G12" s="31">
        <v>1.4292</v>
      </c>
      <c r="J12" s="31">
        <v>1825</v>
      </c>
      <c r="K12">
        <v>1.3605</v>
      </c>
      <c r="R12" s="31">
        <v>1862.5</v>
      </c>
      <c r="T12" s="31">
        <v>1787.5</v>
      </c>
      <c r="V12" s="31">
        <v>0.23</v>
      </c>
      <c r="X12" s="31">
        <v>0.20499999999999999</v>
      </c>
      <c r="Z12" s="73">
        <v>0.18832175925925929</v>
      </c>
    </row>
    <row r="13" spans="1:34" x14ac:dyDescent="0.25">
      <c r="A13" s="3">
        <v>4.2</v>
      </c>
      <c r="B13" s="31">
        <v>1875</v>
      </c>
      <c r="C13" s="31">
        <v>1.381</v>
      </c>
      <c r="F13" s="31">
        <v>1875</v>
      </c>
      <c r="G13" s="31">
        <v>1.4381999999999999</v>
      </c>
      <c r="J13" s="31">
        <v>1900</v>
      </c>
      <c r="K13" s="31">
        <v>1.3920999999999999</v>
      </c>
      <c r="R13" s="31">
        <v>1937.5</v>
      </c>
      <c r="T13" s="31">
        <v>1862.5</v>
      </c>
      <c r="V13" s="31">
        <v>0.32</v>
      </c>
      <c r="X13" s="31">
        <v>0.28899999999999998</v>
      </c>
      <c r="AA13">
        <v>200368.14999999997</v>
      </c>
    </row>
    <row r="17" spans="26:26" x14ac:dyDescent="0.25">
      <c r="Z17">
        <f>3.082585</f>
        <v>3.0825849999999999</v>
      </c>
    </row>
    <row r="18" spans="26:26" x14ac:dyDescent="0.25">
      <c r="Z18">
        <v>23.119399999999999</v>
      </c>
    </row>
    <row r="19" spans="26:26" x14ac:dyDescent="0.25">
      <c r="Z19">
        <f>Z18-Z17</f>
        <v>20.036814999999997</v>
      </c>
    </row>
    <row r="20" spans="26:26" x14ac:dyDescent="0.25">
      <c r="Z20">
        <f>Z19*10000</f>
        <v>200368.14999999997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C5" sqref="C5"/>
    </sheetView>
  </sheetViews>
  <sheetFormatPr defaultRowHeight="15" x14ac:dyDescent="0.25"/>
  <cols>
    <col min="2" max="3" width="9" style="3"/>
    <col min="4" max="4" width="14.125" bestFit="1" customWidth="1"/>
    <col min="5" max="5" width="15.125" style="3" bestFit="1" customWidth="1"/>
    <col min="6" max="6" width="14.5" bestFit="1" customWidth="1"/>
    <col min="7" max="7" width="16.125" style="3" bestFit="1" customWidth="1"/>
    <col min="8" max="8" width="14.125" bestFit="1" customWidth="1"/>
    <col min="9" max="9" width="15.125" style="3" bestFit="1" customWidth="1"/>
    <col min="10" max="10" width="27" bestFit="1" customWidth="1"/>
    <col min="11" max="11" width="28" bestFit="1" customWidth="1"/>
    <col min="12" max="12" width="25.375" bestFit="1" customWidth="1"/>
    <col min="13" max="13" width="25.375" style="3" customWidth="1"/>
    <col min="14" max="15" width="25.375" customWidth="1"/>
    <col min="16" max="16" width="26" bestFit="1" customWidth="1"/>
    <col min="17" max="17" width="23.75" style="3" bestFit="1" customWidth="1"/>
    <col min="18" max="18" width="22.875" bestFit="1" customWidth="1"/>
    <col min="19" max="19" width="24.125" bestFit="1" customWidth="1"/>
    <col min="20" max="20" width="26" bestFit="1" customWidth="1"/>
    <col min="21" max="21" width="23.125" style="3" bestFit="1" customWidth="1"/>
    <col min="22" max="22" width="9" style="4"/>
  </cols>
  <sheetData>
    <row r="1" spans="1:22" x14ac:dyDescent="0.25">
      <c r="A1" t="s">
        <v>3</v>
      </c>
      <c r="B1" s="3" t="s">
        <v>76</v>
      </c>
      <c r="C1" s="3" t="s">
        <v>2</v>
      </c>
      <c r="D1" t="s">
        <v>41</v>
      </c>
      <c r="E1" s="3" t="s">
        <v>42</v>
      </c>
      <c r="F1" t="s">
        <v>43</v>
      </c>
      <c r="G1" s="3" t="s">
        <v>44</v>
      </c>
      <c r="H1" t="s">
        <v>45</v>
      </c>
      <c r="I1" s="3" t="s">
        <v>83</v>
      </c>
      <c r="J1" t="s">
        <v>77</v>
      </c>
      <c r="K1" t="s">
        <v>78</v>
      </c>
      <c r="L1" t="s">
        <v>79</v>
      </c>
      <c r="M1" s="3" t="s">
        <v>84</v>
      </c>
      <c r="N1" t="s">
        <v>80</v>
      </c>
      <c r="O1" t="s">
        <v>81</v>
      </c>
      <c r="P1" t="s">
        <v>82</v>
      </c>
      <c r="Q1" s="3" t="s">
        <v>85</v>
      </c>
      <c r="R1" t="s">
        <v>69</v>
      </c>
      <c r="S1" t="s">
        <v>72</v>
      </c>
      <c r="T1" t="s">
        <v>70</v>
      </c>
      <c r="U1" s="3" t="s">
        <v>73</v>
      </c>
      <c r="V1" s="4" t="s">
        <v>71</v>
      </c>
    </row>
    <row r="2" spans="1:22" x14ac:dyDescent="0.25">
      <c r="A2" s="1">
        <v>42646</v>
      </c>
      <c r="B2" s="66">
        <v>0.43888888888888888</v>
      </c>
      <c r="C2" s="3">
        <v>2.2000000000000002</v>
      </c>
      <c r="D2">
        <v>0.83140000000000003</v>
      </c>
      <c r="E2" s="3">
        <f t="shared" ref="E2:E6" si="0">3209*D2-2518.4</f>
        <v>149.5626000000002</v>
      </c>
      <c r="F2" s="5">
        <v>0.84250000000000003</v>
      </c>
      <c r="G2" s="3">
        <f t="shared" ref="G2:G6" si="1">3167.9*F2-2524.2</f>
        <v>144.75575000000026</v>
      </c>
      <c r="H2" s="5">
        <v>0.79910000000000003</v>
      </c>
      <c r="I2" s="3">
        <f t="shared" ref="I2:I6" si="2">3191.2*H2-2519</f>
        <v>31.08791999999994</v>
      </c>
      <c r="J2">
        <v>0.83620000000000005</v>
      </c>
      <c r="K2">
        <f t="shared" ref="K2" si="3">3209*J2-2518.4</f>
        <v>164.96579999999994</v>
      </c>
      <c r="L2">
        <f t="shared" ref="L2:M2" si="4">J2-D2</f>
        <v>4.8000000000000265E-3</v>
      </c>
      <c r="M2" s="3">
        <f t="shared" si="4"/>
        <v>15.403199999999742</v>
      </c>
      <c r="N2">
        <v>0.84740000000000004</v>
      </c>
      <c r="O2">
        <f t="shared" ref="O2" si="5">3167.9*N2-2524.2</f>
        <v>160.27846000000045</v>
      </c>
      <c r="P2">
        <f t="shared" ref="P2:Q2" si="6">N2-F2</f>
        <v>4.9000000000000155E-3</v>
      </c>
      <c r="Q2" s="3">
        <f t="shared" si="6"/>
        <v>15.522710000000188</v>
      </c>
      <c r="R2">
        <v>0.79947999999999997</v>
      </c>
      <c r="S2">
        <f t="shared" ref="S2" si="7">3191.2*R2-2519</f>
        <v>32.300575999999637</v>
      </c>
      <c r="T2">
        <f>R2-H2</f>
        <v>3.7999999999993594E-4</v>
      </c>
      <c r="U2" s="3">
        <f>S2-I2</f>
        <v>1.2126559999996971</v>
      </c>
      <c r="V2" s="4">
        <f t="shared" ref="V2:V6" si="8">U2/MIN(Q2,M2)</f>
        <v>7.87275371351224E-2</v>
      </c>
    </row>
    <row r="3" spans="1:22" x14ac:dyDescent="0.25">
      <c r="A3" s="1">
        <v>42646</v>
      </c>
      <c r="B3" s="66">
        <v>0.69791666666666663</v>
      </c>
      <c r="C3" s="3">
        <v>2.2999999999999998</v>
      </c>
      <c r="D3">
        <v>0.86439999999999995</v>
      </c>
      <c r="E3" s="3">
        <f t="shared" si="0"/>
        <v>255.45959999999968</v>
      </c>
      <c r="F3" s="5">
        <v>0.87590000000000001</v>
      </c>
      <c r="G3" s="3">
        <f t="shared" si="1"/>
        <v>250.56361000000015</v>
      </c>
      <c r="H3" s="5">
        <v>0.83050000000000002</v>
      </c>
      <c r="I3" s="3">
        <f t="shared" si="2"/>
        <v>131.29160000000002</v>
      </c>
      <c r="J3">
        <v>0.86839999999999995</v>
      </c>
      <c r="K3">
        <f t="shared" ref="K3:K6" si="9">3209*J3-2518.4</f>
        <v>268.29559999999992</v>
      </c>
      <c r="L3">
        <f t="shared" ref="L3:L6" si="10">J3-D3</f>
        <v>4.0000000000000036E-3</v>
      </c>
      <c r="M3" s="3">
        <f t="shared" ref="M3:M6" si="11">K3-E3</f>
        <v>12.83600000000024</v>
      </c>
      <c r="N3">
        <v>0.88</v>
      </c>
      <c r="O3">
        <f t="shared" ref="O3:O6" si="12">3167.9*N3-2524.2</f>
        <v>263.55200000000013</v>
      </c>
      <c r="P3">
        <f t="shared" ref="P3:P6" si="13">N3-F3</f>
        <v>4.0999999999999925E-3</v>
      </c>
      <c r="Q3" s="3">
        <f t="shared" ref="Q3:Q6" si="14">O3-G3</f>
        <v>12.988389999999981</v>
      </c>
      <c r="R3">
        <v>0.83209999999999995</v>
      </c>
      <c r="S3">
        <f t="shared" ref="S3:S6" si="15">3191.2*R3-2519</f>
        <v>136.39751999999953</v>
      </c>
      <c r="T3">
        <f t="shared" ref="T3:T6" si="16">R3-H3</f>
        <v>1.5999999999999348E-3</v>
      </c>
      <c r="U3" s="3">
        <f t="shared" ref="U3:U6" si="17">S3-I3</f>
        <v>5.1059199999995144</v>
      </c>
      <c r="V3" s="4">
        <f t="shared" si="8"/>
        <v>0.39778124026171852</v>
      </c>
    </row>
    <row r="4" spans="1:22" x14ac:dyDescent="0.25">
      <c r="A4" s="1">
        <v>42646</v>
      </c>
      <c r="B4" s="66">
        <v>0.95208333333333339</v>
      </c>
      <c r="C4" s="3">
        <v>2.4</v>
      </c>
      <c r="D4">
        <v>0.86370000000000002</v>
      </c>
      <c r="E4" s="3">
        <f t="shared" si="0"/>
        <v>253.21329999999989</v>
      </c>
      <c r="F4" s="5">
        <v>0.87519999999999998</v>
      </c>
      <c r="G4" s="3">
        <f t="shared" si="1"/>
        <v>248.34608000000026</v>
      </c>
      <c r="H4" s="5">
        <v>0.8306</v>
      </c>
      <c r="I4" s="3">
        <f t="shared" si="2"/>
        <v>131.61071999999967</v>
      </c>
      <c r="J4">
        <v>0.86719999999999997</v>
      </c>
      <c r="K4">
        <f t="shared" si="9"/>
        <v>264.44479999999976</v>
      </c>
      <c r="L4">
        <f t="shared" si="10"/>
        <v>3.4999999999999476E-3</v>
      </c>
      <c r="M4" s="3">
        <f t="shared" si="11"/>
        <v>11.231499999999869</v>
      </c>
      <c r="N4">
        <v>0.87860000000000005</v>
      </c>
      <c r="O4">
        <f t="shared" si="12"/>
        <v>259.11694000000034</v>
      </c>
      <c r="P4">
        <f t="shared" si="13"/>
        <v>3.4000000000000696E-3</v>
      </c>
      <c r="Q4" s="3">
        <f t="shared" si="14"/>
        <v>10.770860000000084</v>
      </c>
      <c r="R4">
        <v>0.83260000000000001</v>
      </c>
      <c r="S4">
        <f t="shared" si="15"/>
        <v>137.99312000000009</v>
      </c>
      <c r="T4">
        <f t="shared" si="16"/>
        <v>2.0000000000000018E-3</v>
      </c>
      <c r="U4" s="3">
        <f t="shared" si="17"/>
        <v>6.3824000000004162</v>
      </c>
      <c r="V4" s="4">
        <f t="shared" si="8"/>
        <v>0.59256178243894786</v>
      </c>
    </row>
    <row r="5" spans="1:22" x14ac:dyDescent="0.25">
      <c r="A5" s="1">
        <v>42646</v>
      </c>
      <c r="B5" s="66">
        <v>0.98402777777777783</v>
      </c>
      <c r="C5" s="3">
        <v>2.4</v>
      </c>
      <c r="D5">
        <v>0.86439999999999995</v>
      </c>
      <c r="E5" s="3">
        <f t="shared" si="0"/>
        <v>255.45959999999968</v>
      </c>
      <c r="F5" s="5">
        <v>0.87590000000000001</v>
      </c>
      <c r="G5" s="3">
        <f t="shared" si="1"/>
        <v>250.56361000000015</v>
      </c>
      <c r="H5" s="5">
        <v>0.8306</v>
      </c>
      <c r="I5" s="3">
        <f t="shared" si="2"/>
        <v>131.61071999999967</v>
      </c>
      <c r="J5">
        <v>0.86580000000000001</v>
      </c>
      <c r="K5">
        <f t="shared" si="9"/>
        <v>259.95220000000018</v>
      </c>
      <c r="L5">
        <f t="shared" si="10"/>
        <v>1.4000000000000679E-3</v>
      </c>
      <c r="M5" s="3">
        <f t="shared" si="11"/>
        <v>4.4926000000004933</v>
      </c>
      <c r="N5">
        <v>0.87729999999999997</v>
      </c>
      <c r="O5">
        <f t="shared" si="12"/>
        <v>254.99866999999995</v>
      </c>
      <c r="P5">
        <f t="shared" si="13"/>
        <v>1.3999999999999568E-3</v>
      </c>
      <c r="Q5" s="3">
        <f t="shared" si="14"/>
        <v>4.4350599999997939</v>
      </c>
      <c r="R5">
        <v>0.83189999999999997</v>
      </c>
      <c r="S5">
        <f t="shared" si="15"/>
        <v>135.75927999999976</v>
      </c>
      <c r="T5">
        <f t="shared" si="16"/>
        <v>1.2999999999999678E-3</v>
      </c>
      <c r="U5" s="3">
        <f t="shared" si="17"/>
        <v>4.1485600000000886</v>
      </c>
      <c r="V5" s="4">
        <f t="shared" si="8"/>
        <v>0.93540109942149174</v>
      </c>
    </row>
    <row r="6" spans="1:22" x14ac:dyDescent="0.25">
      <c r="A6" s="1">
        <v>42647</v>
      </c>
      <c r="B6" s="66">
        <v>0.9604166666666667</v>
      </c>
      <c r="C6" s="3">
        <v>3.1</v>
      </c>
      <c r="D6">
        <v>1.0193000000000001</v>
      </c>
      <c r="E6" s="3">
        <f t="shared" si="0"/>
        <v>752.53370000000041</v>
      </c>
      <c r="F6" s="5">
        <v>1.0330999999999999</v>
      </c>
      <c r="G6" s="3">
        <f t="shared" si="1"/>
        <v>748.55749000000014</v>
      </c>
      <c r="H6" s="5">
        <v>0.90910000000000002</v>
      </c>
      <c r="I6" s="3">
        <f t="shared" si="2"/>
        <v>382.11992000000009</v>
      </c>
      <c r="J6">
        <v>1.022</v>
      </c>
      <c r="K6">
        <f t="shared" si="9"/>
        <v>761.19799999999987</v>
      </c>
      <c r="L6">
        <f t="shared" si="10"/>
        <v>2.6999999999999247E-3</v>
      </c>
      <c r="M6" s="3">
        <f t="shared" si="11"/>
        <v>8.6642999999994572</v>
      </c>
      <c r="N6">
        <v>1.036</v>
      </c>
      <c r="O6">
        <f t="shared" si="12"/>
        <v>757.7444000000005</v>
      </c>
      <c r="P6">
        <f t="shared" si="13"/>
        <v>2.9000000000001247E-3</v>
      </c>
      <c r="Q6" s="3">
        <f t="shared" si="14"/>
        <v>9.1869100000003527</v>
      </c>
      <c r="R6">
        <v>0.91169999999999995</v>
      </c>
      <c r="S6">
        <f t="shared" si="15"/>
        <v>390.41703999999982</v>
      </c>
      <c r="T6">
        <f t="shared" si="16"/>
        <v>2.5999999999999357E-3</v>
      </c>
      <c r="U6" s="3">
        <f t="shared" si="17"/>
        <v>8.2971199999997225</v>
      </c>
      <c r="V6" s="4">
        <f t="shared" si="8"/>
        <v>0.95762150433390381</v>
      </c>
    </row>
    <row r="7" spans="1:22" x14ac:dyDescent="0.25">
      <c r="A7" s="1"/>
      <c r="B7" s="66"/>
      <c r="F7" s="5"/>
      <c r="H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2" sqref="F12"/>
    </sheetView>
  </sheetViews>
  <sheetFormatPr defaultRowHeight="15" x14ac:dyDescent="0.25"/>
  <cols>
    <col min="1" max="1" width="25.625" bestFit="1" customWidth="1"/>
    <col min="2" max="2" width="12.375" bestFit="1" customWidth="1"/>
    <col min="5" max="5" width="9" style="3"/>
    <col min="6" max="6" width="22.375" bestFit="1" customWidth="1"/>
    <col min="7" max="7" width="7.125" bestFit="1" customWidth="1"/>
    <col min="8" max="8" width="9" style="3"/>
  </cols>
  <sheetData>
    <row r="1" spans="1:8" x14ac:dyDescent="0.25">
      <c r="A1" s="80" t="s">
        <v>0</v>
      </c>
      <c r="B1" s="80"/>
      <c r="F1" s="81" t="s">
        <v>1</v>
      </c>
      <c r="G1" s="82"/>
      <c r="H1" s="83"/>
    </row>
    <row r="2" spans="1:8" x14ac:dyDescent="0.25">
      <c r="A2" t="s">
        <v>15</v>
      </c>
      <c r="B2" t="s">
        <v>19</v>
      </c>
      <c r="C2" t="s">
        <v>22</v>
      </c>
    </row>
    <row r="3" spans="1:8" x14ac:dyDescent="0.25">
      <c r="A3">
        <v>32</v>
      </c>
      <c r="B3">
        <v>1</v>
      </c>
      <c r="C3">
        <f>B3*0.0254</f>
        <v>2.5399999999999999E-2</v>
      </c>
      <c r="F3" t="s">
        <v>150</v>
      </c>
    </row>
    <row r="4" spans="1:8" x14ac:dyDescent="0.25">
      <c r="A4">
        <v>33</v>
      </c>
      <c r="B4">
        <v>1</v>
      </c>
      <c r="C4">
        <f>B4*0.0254</f>
        <v>2.5399999999999999E-2</v>
      </c>
      <c r="F4" t="s">
        <v>149</v>
      </c>
    </row>
    <row r="5" spans="1:8" x14ac:dyDescent="0.25">
      <c r="A5">
        <v>33.5</v>
      </c>
      <c r="B5">
        <v>1</v>
      </c>
      <c r="C5">
        <f>B5*0.0254</f>
        <v>2.5399999999999999E-2</v>
      </c>
      <c r="F5" t="s">
        <v>182</v>
      </c>
    </row>
    <row r="7" spans="1:8" x14ac:dyDescent="0.25">
      <c r="A7" t="s">
        <v>21</v>
      </c>
      <c r="B7">
        <f>AVERAGE(A3:A5)/1000</f>
        <v>3.2833333333333332E-2</v>
      </c>
      <c r="F7" t="s">
        <v>183</v>
      </c>
    </row>
    <row r="8" spans="1:8" x14ac:dyDescent="0.25">
      <c r="A8" t="s">
        <v>50</v>
      </c>
      <c r="B8">
        <f>(3.14*AVERAGE(C3:C5)^2)/4</f>
        <v>5.0645059999999986E-4</v>
      </c>
    </row>
    <row r="9" spans="1:8" x14ac:dyDescent="0.25">
      <c r="A9" t="s">
        <v>23</v>
      </c>
      <c r="B9">
        <f>B8*B7</f>
        <v>1.6628461366666663E-5</v>
      </c>
      <c r="F9" t="s">
        <v>151</v>
      </c>
    </row>
    <row r="10" spans="1:8" x14ac:dyDescent="0.25">
      <c r="A10" s="80" t="s">
        <v>20</v>
      </c>
      <c r="B10" s="80"/>
      <c r="C10" s="80"/>
      <c r="F10" t="s">
        <v>184</v>
      </c>
    </row>
    <row r="11" spans="1:8" x14ac:dyDescent="0.25">
      <c r="A11" t="s">
        <v>16</v>
      </c>
      <c r="B11" t="s">
        <v>17</v>
      </c>
      <c r="C11" t="s">
        <v>18</v>
      </c>
    </row>
    <row r="12" spans="1:8" x14ac:dyDescent="0.25">
      <c r="A12">
        <v>-0.28999999999999998</v>
      </c>
      <c r="B12">
        <v>24.97</v>
      </c>
      <c r="C12">
        <f>B12+A12</f>
        <v>24.68</v>
      </c>
      <c r="F12" t="s">
        <v>152</v>
      </c>
    </row>
    <row r="13" spans="1:8" x14ac:dyDescent="0.25">
      <c r="A13">
        <v>-0.28999999999999998</v>
      </c>
      <c r="B13">
        <v>24.96</v>
      </c>
      <c r="C13">
        <f>B13+A13</f>
        <v>24.67</v>
      </c>
    </row>
    <row r="14" spans="1:8" x14ac:dyDescent="0.25">
      <c r="A14">
        <v>-0.3</v>
      </c>
      <c r="B14">
        <v>24.97</v>
      </c>
      <c r="C14">
        <f>B14+A14</f>
        <v>24.669999999999998</v>
      </c>
      <c r="F14" t="s">
        <v>185</v>
      </c>
    </row>
    <row r="15" spans="1:8" x14ac:dyDescent="0.25">
      <c r="F15" t="s">
        <v>186</v>
      </c>
    </row>
    <row r="16" spans="1:8" x14ac:dyDescent="0.25">
      <c r="A16" t="s">
        <v>24</v>
      </c>
      <c r="B16">
        <f>AVERAGE(C12:C14)</f>
        <v>24.673333333333332</v>
      </c>
      <c r="F16" t="s">
        <v>187</v>
      </c>
    </row>
    <row r="18" spans="1:3" x14ac:dyDescent="0.25">
      <c r="A18" t="s">
        <v>153</v>
      </c>
      <c r="B18">
        <v>50.56</v>
      </c>
    </row>
    <row r="19" spans="1:3" x14ac:dyDescent="0.25">
      <c r="A19" t="s">
        <v>154</v>
      </c>
      <c r="B19">
        <f>C19-B18</f>
        <v>34.47</v>
      </c>
      <c r="C19">
        <v>85.03</v>
      </c>
    </row>
  </sheetData>
  <mergeCells count="3">
    <mergeCell ref="A1:B1"/>
    <mergeCell ref="A10:C10"/>
    <mergeCell ref="F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H39" sqref="H39"/>
    </sheetView>
  </sheetViews>
  <sheetFormatPr defaultRowHeight="15" x14ac:dyDescent="0.25"/>
  <cols>
    <col min="2" max="2" width="13.5" bestFit="1" customWidth="1"/>
  </cols>
  <sheetData>
    <row r="1" spans="1:14" x14ac:dyDescent="0.25">
      <c r="A1" t="s">
        <v>2</v>
      </c>
      <c r="B1" t="s">
        <v>55</v>
      </c>
      <c r="C1" t="s">
        <v>53</v>
      </c>
      <c r="D1" t="s">
        <v>54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14" sqref="F14"/>
    </sheetView>
  </sheetViews>
  <sheetFormatPr defaultRowHeight="15" x14ac:dyDescent="0.25"/>
  <sheetData>
    <row r="1" spans="1:1" x14ac:dyDescent="0.25">
      <c r="A1" t="s">
        <v>189</v>
      </c>
    </row>
    <row r="2" spans="1:1" x14ac:dyDescent="0.25">
      <c r="A2" t="s">
        <v>190</v>
      </c>
    </row>
    <row r="3" spans="1:1" x14ac:dyDescent="0.25">
      <c r="A3" t="s">
        <v>193</v>
      </c>
    </row>
    <row r="4" spans="1:1" x14ac:dyDescent="0.25">
      <c r="A4" t="s">
        <v>191</v>
      </c>
    </row>
    <row r="5" spans="1:1" x14ac:dyDescent="0.25">
      <c r="A5" t="s">
        <v>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32" sqref="H32"/>
    </sheetView>
  </sheetViews>
  <sheetFormatPr defaultRowHeight="15" x14ac:dyDescent="0.25"/>
  <cols>
    <col min="1" max="1" width="36.125" bestFit="1" customWidth="1"/>
  </cols>
  <sheetData>
    <row r="1" spans="1:2" x14ac:dyDescent="0.25">
      <c r="A1" s="80" t="s">
        <v>9</v>
      </c>
      <c r="B1" s="80"/>
    </row>
    <row r="2" spans="1:2" x14ac:dyDescent="0.25">
      <c r="A2" t="s">
        <v>27</v>
      </c>
      <c r="B2">
        <v>23.3</v>
      </c>
    </row>
    <row r="3" spans="1:2" x14ac:dyDescent="0.25">
      <c r="A3" t="s">
        <v>28</v>
      </c>
      <c r="B3">
        <v>24.5</v>
      </c>
    </row>
    <row r="4" spans="1:2" x14ac:dyDescent="0.25">
      <c r="A4" t="s">
        <v>29</v>
      </c>
      <c r="B4">
        <v>23.9</v>
      </c>
    </row>
    <row r="6" spans="1:2" x14ac:dyDescent="0.25">
      <c r="A6" s="80" t="s">
        <v>10</v>
      </c>
      <c r="B6" s="80"/>
    </row>
    <row r="7" spans="1:2" x14ac:dyDescent="0.25">
      <c r="A7" t="s">
        <v>32</v>
      </c>
      <c r="B7">
        <v>2500</v>
      </c>
    </row>
    <row r="8" spans="1:2" x14ac:dyDescent="0.25">
      <c r="A8" t="s">
        <v>33</v>
      </c>
      <c r="B8">
        <v>8000</v>
      </c>
    </row>
    <row r="9" spans="1:2" x14ac:dyDescent="0.25">
      <c r="A9" t="s">
        <v>34</v>
      </c>
      <c r="B9">
        <v>4000</v>
      </c>
    </row>
    <row r="10" spans="1:2" x14ac:dyDescent="0.25">
      <c r="A10" t="s">
        <v>35</v>
      </c>
      <c r="B10">
        <v>3000</v>
      </c>
    </row>
    <row r="12" spans="1:2" x14ac:dyDescent="0.25">
      <c r="A12" s="80" t="s">
        <v>13</v>
      </c>
      <c r="B12" s="80"/>
    </row>
    <row r="13" spans="1:2" x14ac:dyDescent="0.25">
      <c r="A13" t="s">
        <v>30</v>
      </c>
      <c r="B13">
        <v>200</v>
      </c>
    </row>
    <row r="14" spans="1:2" x14ac:dyDescent="0.25">
      <c r="A14" t="s">
        <v>31</v>
      </c>
      <c r="B14">
        <v>4</v>
      </c>
    </row>
    <row r="15" spans="1:2" x14ac:dyDescent="0.25">
      <c r="A15" t="s">
        <v>12</v>
      </c>
      <c r="B15">
        <v>1</v>
      </c>
    </row>
    <row r="16" spans="1:2" x14ac:dyDescent="0.25">
      <c r="A16" t="s">
        <v>11</v>
      </c>
      <c r="B16">
        <v>30</v>
      </c>
    </row>
    <row r="17" spans="1:8" x14ac:dyDescent="0.25">
      <c r="A17" t="s">
        <v>36</v>
      </c>
      <c r="B17" t="s">
        <v>38</v>
      </c>
    </row>
    <row r="18" spans="1:8" x14ac:dyDescent="0.25">
      <c r="A18" t="s">
        <v>37</v>
      </c>
      <c r="B18" t="s">
        <v>39</v>
      </c>
    </row>
    <row r="20" spans="1:8" x14ac:dyDescent="0.25">
      <c r="A20" s="80" t="s">
        <v>25</v>
      </c>
      <c r="B20" s="80"/>
    </row>
    <row r="21" spans="1:8" x14ac:dyDescent="0.25">
      <c r="A21" t="s">
        <v>40</v>
      </c>
      <c r="B21">
        <v>3</v>
      </c>
    </row>
    <row r="22" spans="1:8" x14ac:dyDescent="0.25">
      <c r="A22" t="s">
        <v>26</v>
      </c>
      <c r="B22">
        <f>B21*0.0254</f>
        <v>7.619999999999999E-2</v>
      </c>
    </row>
    <row r="30" spans="1:8" x14ac:dyDescent="0.25">
      <c r="H30">
        <f>1825+37.5</f>
        <v>1862.5</v>
      </c>
    </row>
    <row r="31" spans="1:8" x14ac:dyDescent="0.25">
      <c r="H31">
        <f>1825-37.5</f>
        <v>1787.5</v>
      </c>
    </row>
  </sheetData>
  <mergeCells count="4">
    <mergeCell ref="A1:B1"/>
    <mergeCell ref="A6:B6"/>
    <mergeCell ref="A12:B12"/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Experimental Plan</vt:lpstr>
      <vt:lpstr>Experimental data</vt:lpstr>
      <vt:lpstr>k tests</vt:lpstr>
      <vt:lpstr>Btests</vt:lpstr>
      <vt:lpstr>Core Details</vt:lpstr>
      <vt:lpstr>TT calculations</vt:lpstr>
      <vt:lpstr>to do</vt:lpstr>
      <vt:lpstr>Initialization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2016-08-31T22:35:53Z</dcterms:created>
  <dcterms:modified xsi:type="dcterms:W3CDTF">2016-10-26T07:36:56Z</dcterms:modified>
</cp:coreProperties>
</file>