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rsh\Desktop\LB_NEW\"/>
    </mc:Choice>
  </mc:AlternateContent>
  <xr:revisionPtr revIDLastSave="0" documentId="10_ncr:100000_{993D8294-D40E-4E23-89BE-C094E7F032BA}" xr6:coauthVersionLast="31" xr6:coauthVersionMax="31" xr10:uidLastSave="{00000000-0000-0000-0000-000000000000}"/>
  <bookViews>
    <workbookView xWindow="4215" yWindow="0" windowWidth="11970" windowHeight="7095" tabRatio="833" activeTab="2" xr2:uid="{00000000-000D-0000-FFFF-FFFF00000000}"/>
  </bookViews>
  <sheets>
    <sheet name="LBM Large Plates" sheetId="4" r:id="rId1"/>
    <sheet name="AR2" sheetId="19" r:id="rId2"/>
    <sheet name="OR2" sheetId="21" r:id="rId3"/>
    <sheet name="OR" sheetId="20" r:id="rId4"/>
    <sheet name="Aspect_Ratio_Compaction" sheetId="9" r:id="rId5"/>
    <sheet name="consistency" sheetId="15" r:id="rId6"/>
    <sheet name="Fracture_analysis" sheetId="14" r:id="rId7"/>
    <sheet name="Unit Conversion 2" sheetId="5" r:id="rId8"/>
    <sheet name="lbm_smectite" sheetId="17" r:id="rId9"/>
    <sheet name="lbm_kaolinite" sheetId="18" r:id="rId10"/>
    <sheet name="end_members" sheetId="16" r:id="rId11"/>
    <sheet name="k compare" sheetId="10" r:id="rId12"/>
    <sheet name="SA Calculations" sheetId="13" r:id="rId13"/>
    <sheet name="YA Analysis" sheetId="12" r:id="rId14"/>
    <sheet name="T compare" sheetId="11" r:id="rId15"/>
    <sheet name="LBM Spheres Dilation" sheetId="8" r:id="rId16"/>
    <sheet name="single bed" sheetId="6" r:id="rId17"/>
    <sheet name="LBM_Plates" sheetId="1" r:id="rId18"/>
    <sheet name="LBM_Spheres" sheetId="3" r:id="rId19"/>
    <sheet name="Unit Conversion" sheetId="2" r:id="rId20"/>
  </sheets>
  <externalReferences>
    <externalReference r:id="rId21"/>
  </externalReferences>
  <calcPr calcId="179017"/>
</workbook>
</file>

<file path=xl/calcChain.xml><?xml version="1.0" encoding="utf-8"?>
<calcChain xmlns="http://schemas.openxmlformats.org/spreadsheetml/2006/main">
  <c r="G14" i="21" l="1"/>
  <c r="G15" i="21"/>
  <c r="G16" i="21"/>
  <c r="G17" i="21"/>
  <c r="G18" i="21"/>
  <c r="G19" i="21"/>
  <c r="G20" i="21"/>
  <c r="G21" i="21"/>
  <c r="O13" i="21"/>
  <c r="O14" i="21"/>
  <c r="O15" i="21"/>
  <c r="O16" i="21"/>
  <c r="O17" i="21"/>
  <c r="O18" i="21"/>
  <c r="O19" i="21"/>
  <c r="O20" i="21"/>
  <c r="O21" i="21"/>
  <c r="AM13" i="21"/>
  <c r="AI13" i="21"/>
  <c r="AK13" i="21" s="1"/>
  <c r="AF13" i="21"/>
  <c r="AH13" i="21" s="1"/>
  <c r="AA13" i="21"/>
  <c r="Z13" i="21"/>
  <c r="I13" i="21"/>
  <c r="I14" i="21"/>
  <c r="J14" i="21" s="1"/>
  <c r="I15" i="21"/>
  <c r="J15" i="21" s="1"/>
  <c r="I16" i="21"/>
  <c r="J16" i="21" s="1"/>
  <c r="I17" i="21"/>
  <c r="I18" i="21"/>
  <c r="I19" i="21"/>
  <c r="J19" i="21" s="1"/>
  <c r="I20" i="21"/>
  <c r="J20" i="21" s="1"/>
  <c r="I21" i="21"/>
  <c r="J17" i="21"/>
  <c r="J18" i="21"/>
  <c r="J21" i="21"/>
  <c r="AM12" i="21"/>
  <c r="AK12" i="21"/>
  <c r="AJ12" i="21"/>
  <c r="AI12" i="21"/>
  <c r="AG12" i="21"/>
  <c r="AF12" i="21"/>
  <c r="AH12" i="21" s="1"/>
  <c r="AA12" i="21"/>
  <c r="V12" i="21"/>
  <c r="T12" i="21"/>
  <c r="Z12" i="21" s="1"/>
  <c r="O12" i="21"/>
  <c r="I12" i="21"/>
  <c r="J12" i="21" s="1"/>
  <c r="G12" i="21"/>
  <c r="AE30" i="19"/>
  <c r="AF30" i="19" s="1"/>
  <c r="AG30" i="19"/>
  <c r="AH30" i="19"/>
  <c r="AI30" i="19" s="1"/>
  <c r="AD30" i="19"/>
  <c r="N30" i="19"/>
  <c r="H30" i="19"/>
  <c r="AM11" i="21"/>
  <c r="AK11" i="21"/>
  <c r="AI11" i="21"/>
  <c r="AJ11" i="21" s="1"/>
  <c r="AH11" i="21"/>
  <c r="AG11" i="21"/>
  <c r="AF11" i="21"/>
  <c r="AA11" i="21"/>
  <c r="Z11" i="21"/>
  <c r="Y11" i="21"/>
  <c r="O11" i="21"/>
  <c r="I11" i="21"/>
  <c r="J11" i="21" s="1"/>
  <c r="G11" i="21"/>
  <c r="AM10" i="21"/>
  <c r="AJ10" i="21"/>
  <c r="AI10" i="21"/>
  <c r="AK10" i="21" s="1"/>
  <c r="AF10" i="21"/>
  <c r="AH10" i="21" s="1"/>
  <c r="AA10" i="21"/>
  <c r="V10" i="21"/>
  <c r="T10" i="21"/>
  <c r="Z10" i="21" s="1"/>
  <c r="O10" i="21"/>
  <c r="I10" i="21"/>
  <c r="J10" i="21" s="1"/>
  <c r="G10" i="21"/>
  <c r="AM9" i="21"/>
  <c r="AJ9" i="21"/>
  <c r="AI9" i="21"/>
  <c r="AK9" i="21" s="1"/>
  <c r="AF9" i="21"/>
  <c r="AH9" i="21" s="1"/>
  <c r="AA9" i="21"/>
  <c r="V9" i="21"/>
  <c r="T9" i="21"/>
  <c r="Z9" i="21" s="1"/>
  <c r="O9" i="21"/>
  <c r="I9" i="21"/>
  <c r="J9" i="21" s="1"/>
  <c r="G9" i="21"/>
  <c r="AM8" i="21"/>
  <c r="AJ8" i="21"/>
  <c r="AI8" i="21"/>
  <c r="AK8" i="21" s="1"/>
  <c r="AF8" i="21"/>
  <c r="AH8" i="21" s="1"/>
  <c r="AA8" i="21"/>
  <c r="V8" i="21"/>
  <c r="T8" i="21"/>
  <c r="Z8" i="21" s="1"/>
  <c r="O8" i="21"/>
  <c r="I8" i="21"/>
  <c r="J8" i="21" s="1"/>
  <c r="G8" i="21"/>
  <c r="AM7" i="21"/>
  <c r="AJ7" i="21"/>
  <c r="AI7" i="21"/>
  <c r="AK7" i="21" s="1"/>
  <c r="AF7" i="21"/>
  <c r="AH7" i="21" s="1"/>
  <c r="AA7" i="21"/>
  <c r="V7" i="21"/>
  <c r="T7" i="21"/>
  <c r="Z7" i="21" s="1"/>
  <c r="O7" i="21"/>
  <c r="I7" i="21"/>
  <c r="J7" i="21" s="1"/>
  <c r="G7" i="21"/>
  <c r="AM6" i="21"/>
  <c r="AI6" i="21"/>
  <c r="AK6" i="21" s="1"/>
  <c r="AH6" i="21"/>
  <c r="AF6" i="21"/>
  <c r="AG6" i="21" s="1"/>
  <c r="AA6" i="21"/>
  <c r="Z6" i="21"/>
  <c r="V6" i="21"/>
  <c r="T6" i="21"/>
  <c r="O6" i="21"/>
  <c r="J6" i="21"/>
  <c r="I6" i="21"/>
  <c r="G6" i="21"/>
  <c r="AM5" i="21"/>
  <c r="AK5" i="21"/>
  <c r="AI5" i="21"/>
  <c r="AJ5" i="21" s="1"/>
  <c r="AH5" i="21"/>
  <c r="AG5" i="21"/>
  <c r="AF5" i="21"/>
  <c r="AA5" i="21"/>
  <c r="V5" i="21"/>
  <c r="Z5" i="21" s="1"/>
  <c r="T5" i="21"/>
  <c r="O5" i="21"/>
  <c r="I5" i="21"/>
  <c r="J5" i="21" s="1"/>
  <c r="G5" i="21"/>
  <c r="AM4" i="21"/>
  <c r="AK4" i="21"/>
  <c r="AJ4" i="21"/>
  <c r="AI4" i="21"/>
  <c r="AF4" i="21"/>
  <c r="AG4" i="21" s="1"/>
  <c r="AA4" i="21"/>
  <c r="V4" i="21"/>
  <c r="T4" i="21"/>
  <c r="Z4" i="21" s="1"/>
  <c r="O4" i="21"/>
  <c r="I4" i="21"/>
  <c r="J4" i="21" s="1"/>
  <c r="G4" i="21"/>
  <c r="AM3" i="21"/>
  <c r="AI3" i="21"/>
  <c r="AJ3" i="21" s="1"/>
  <c r="AF3" i="21"/>
  <c r="AH3" i="21" s="1"/>
  <c r="AA3" i="21"/>
  <c r="V3" i="21"/>
  <c r="T3" i="21"/>
  <c r="Z3" i="21" s="1"/>
  <c r="O3" i="21"/>
  <c r="I3" i="21"/>
  <c r="J3" i="21" s="1"/>
  <c r="G3" i="21"/>
  <c r="AM2" i="21"/>
  <c r="AI2" i="21"/>
  <c r="AK2" i="21" s="1"/>
  <c r="AH2" i="21"/>
  <c r="AF2" i="21"/>
  <c r="AG2" i="21" s="1"/>
  <c r="AA2" i="21"/>
  <c r="Z2" i="21"/>
  <c r="V2" i="21"/>
  <c r="T2" i="21"/>
  <c r="Y2" i="21" s="1"/>
  <c r="O2" i="21"/>
  <c r="I2" i="21"/>
  <c r="J2" i="21" s="1"/>
  <c r="G2" i="21"/>
  <c r="F19" i="20"/>
  <c r="H19" i="20"/>
  <c r="I19" i="20" s="1"/>
  <c r="N19" i="20"/>
  <c r="F13" i="20"/>
  <c r="H13" i="20"/>
  <c r="I13" i="20" s="1"/>
  <c r="F14" i="20"/>
  <c r="H14" i="20"/>
  <c r="I14" i="20" s="1"/>
  <c r="F15" i="20"/>
  <c r="H15" i="20"/>
  <c r="I15" i="20" s="1"/>
  <c r="F16" i="20"/>
  <c r="H16" i="20"/>
  <c r="I16" i="20" s="1"/>
  <c r="F17" i="20"/>
  <c r="H17" i="20"/>
  <c r="I17" i="20" s="1"/>
  <c r="F18" i="20"/>
  <c r="H18" i="20"/>
  <c r="I18" i="20" s="1"/>
  <c r="N13" i="20"/>
  <c r="N14" i="20"/>
  <c r="N15" i="20"/>
  <c r="N16" i="20"/>
  <c r="N17" i="20"/>
  <c r="N18" i="20"/>
  <c r="N12" i="20"/>
  <c r="H12" i="20"/>
  <c r="I12" i="20" s="1"/>
  <c r="F12" i="20"/>
  <c r="AL11" i="20"/>
  <c r="AI11" i="20"/>
  <c r="AH11" i="20"/>
  <c r="AJ11" i="20" s="1"/>
  <c r="AE11" i="20"/>
  <c r="AG11" i="20" s="1"/>
  <c r="Z11" i="20"/>
  <c r="Y11" i="20"/>
  <c r="X11" i="20"/>
  <c r="N11" i="20"/>
  <c r="H11" i="20"/>
  <c r="I11" i="20" s="1"/>
  <c r="F11" i="20"/>
  <c r="AL10" i="20"/>
  <c r="AH10" i="20"/>
  <c r="AI10" i="20" s="1"/>
  <c r="AE10" i="20"/>
  <c r="AG10" i="20" s="1"/>
  <c r="Z10" i="20"/>
  <c r="U10" i="20"/>
  <c r="S10" i="20"/>
  <c r="Y10" i="20" s="1"/>
  <c r="N10" i="20"/>
  <c r="H10" i="20"/>
  <c r="I10" i="20" s="1"/>
  <c r="F10" i="20"/>
  <c r="AL9" i="20"/>
  <c r="AH9" i="20"/>
  <c r="AI9" i="20" s="1"/>
  <c r="AE9" i="20"/>
  <c r="AG9" i="20" s="1"/>
  <c r="Z9" i="20"/>
  <c r="U9" i="20"/>
  <c r="S9" i="20"/>
  <c r="N9" i="20"/>
  <c r="H9" i="20"/>
  <c r="I9" i="20" s="1"/>
  <c r="F9" i="20"/>
  <c r="AL8" i="20"/>
  <c r="AH8" i="20"/>
  <c r="AJ8" i="20" s="1"/>
  <c r="AE8" i="20"/>
  <c r="AG8" i="20" s="1"/>
  <c r="Z8" i="20"/>
  <c r="U8" i="20"/>
  <c r="S8" i="20"/>
  <c r="N8" i="20"/>
  <c r="H8" i="20"/>
  <c r="I8" i="20" s="1"/>
  <c r="F8" i="20"/>
  <c r="AL7" i="20"/>
  <c r="AJ7" i="20"/>
  <c r="AH7" i="20"/>
  <c r="AI7" i="20" s="1"/>
  <c r="AE7" i="20"/>
  <c r="AG7" i="20" s="1"/>
  <c r="Z7" i="20"/>
  <c r="U7" i="20"/>
  <c r="S7" i="20"/>
  <c r="N7" i="20"/>
  <c r="H7" i="20"/>
  <c r="I7" i="20" s="1"/>
  <c r="F7" i="20"/>
  <c r="AL6" i="20"/>
  <c r="AH6" i="20"/>
  <c r="AJ6" i="20" s="1"/>
  <c r="AE6" i="20"/>
  <c r="AG6" i="20" s="1"/>
  <c r="Z6" i="20"/>
  <c r="U6" i="20"/>
  <c r="S6" i="20"/>
  <c r="N6" i="20"/>
  <c r="H6" i="20"/>
  <c r="I6" i="20" s="1"/>
  <c r="F6" i="20"/>
  <c r="AL5" i="20"/>
  <c r="AH5" i="20"/>
  <c r="AJ5" i="20" s="1"/>
  <c r="AE5" i="20"/>
  <c r="AG5" i="20" s="1"/>
  <c r="Z5" i="20"/>
  <c r="U5" i="20"/>
  <c r="S5" i="20"/>
  <c r="N5" i="20"/>
  <c r="H5" i="20"/>
  <c r="I5" i="20" s="1"/>
  <c r="F5" i="20"/>
  <c r="AL4" i="20"/>
  <c r="AH4" i="20"/>
  <c r="AJ4" i="20" s="1"/>
  <c r="AE4" i="20"/>
  <c r="AG4" i="20" s="1"/>
  <c r="Z4" i="20"/>
  <c r="U4" i="20"/>
  <c r="S4" i="20"/>
  <c r="N4" i="20"/>
  <c r="H4" i="20"/>
  <c r="I4" i="20" s="1"/>
  <c r="F4" i="20"/>
  <c r="AL3" i="20"/>
  <c r="AH3" i="20"/>
  <c r="AJ3" i="20" s="1"/>
  <c r="AE3" i="20"/>
  <c r="AG3" i="20" s="1"/>
  <c r="Z3" i="20"/>
  <c r="U3" i="20"/>
  <c r="S3" i="20"/>
  <c r="N3" i="20"/>
  <c r="H3" i="20"/>
  <c r="I3" i="20" s="1"/>
  <c r="F3" i="20"/>
  <c r="AL2" i="20"/>
  <c r="AH2" i="20"/>
  <c r="AJ2" i="20" s="1"/>
  <c r="AE2" i="20"/>
  <c r="AF2" i="20" s="1"/>
  <c r="Z2" i="20"/>
  <c r="U2" i="20"/>
  <c r="S2" i="20"/>
  <c r="N2" i="20"/>
  <c r="H2" i="20"/>
  <c r="I2" i="20" s="1"/>
  <c r="F2" i="20"/>
  <c r="AJ13" i="21" l="1"/>
  <c r="Y13" i="21"/>
  <c r="AG13" i="21"/>
  <c r="J13" i="21"/>
  <c r="G13" i="21"/>
  <c r="AJ30" i="19"/>
  <c r="AK3" i="21"/>
  <c r="AH4" i="21"/>
  <c r="AJ6" i="21"/>
  <c r="AG7" i="21"/>
  <c r="Y9" i="21"/>
  <c r="AJ2" i="21"/>
  <c r="AG3" i="21"/>
  <c r="Y8" i="21"/>
  <c r="AG8" i="21"/>
  <c r="AG9" i="21"/>
  <c r="Y10" i="21"/>
  <c r="AG10" i="21"/>
  <c r="X9" i="20"/>
  <c r="AJ9" i="20"/>
  <c r="Y5" i="20"/>
  <c r="Y8" i="20"/>
  <c r="Y6" i="20"/>
  <c r="AJ10" i="20"/>
  <c r="Y3" i="20"/>
  <c r="Y7" i="20"/>
  <c r="AI4" i="20"/>
  <c r="AF5" i="20"/>
  <c r="AI3" i="20"/>
  <c r="X8" i="20"/>
  <c r="AI8" i="20"/>
  <c r="AF11" i="20"/>
  <c r="Y2" i="20"/>
  <c r="AG2" i="20"/>
  <c r="Y4" i="20"/>
  <c r="AF4" i="20"/>
  <c r="Y9" i="20"/>
  <c r="X10" i="20"/>
  <c r="AI2" i="20"/>
  <c r="AI6" i="20"/>
  <c r="AF7" i="20"/>
  <c r="AF8" i="20"/>
  <c r="AF9" i="20"/>
  <c r="AF10" i="20"/>
  <c r="AF3" i="20"/>
  <c r="X2" i="20"/>
  <c r="AI5" i="20"/>
  <c r="AF6" i="20"/>
  <c r="N22" i="19"/>
  <c r="N23" i="19"/>
  <c r="N24" i="19"/>
  <c r="N25" i="19"/>
  <c r="N26" i="19"/>
  <c r="N27" i="19"/>
  <c r="N28" i="19"/>
  <c r="N29" i="19"/>
  <c r="F22" i="19"/>
  <c r="H22" i="19"/>
  <c r="I22" i="19" s="1"/>
  <c r="F23" i="19"/>
  <c r="H23" i="19"/>
  <c r="I23" i="19" s="1"/>
  <c r="F24" i="19"/>
  <c r="H24" i="19"/>
  <c r="I24" i="19" s="1"/>
  <c r="F25" i="19"/>
  <c r="H25" i="19"/>
  <c r="I25" i="19" s="1"/>
  <c r="F26" i="19"/>
  <c r="H26" i="19"/>
  <c r="I26" i="19" s="1"/>
  <c r="F27" i="19"/>
  <c r="H27" i="19"/>
  <c r="I27" i="19" s="1"/>
  <c r="F28" i="19"/>
  <c r="H28" i="19"/>
  <c r="I28" i="19" s="1"/>
  <c r="F29" i="19"/>
  <c r="H29" i="19"/>
  <c r="I29" i="19" s="1"/>
  <c r="X22" i="19"/>
  <c r="Y22" i="19"/>
  <c r="X23" i="19"/>
  <c r="Y23" i="19"/>
  <c r="X24" i="19"/>
  <c r="Y24" i="19"/>
  <c r="X25" i="19"/>
  <c r="Y25" i="19"/>
  <c r="X26" i="19"/>
  <c r="Y26" i="19"/>
  <c r="X27" i="19"/>
  <c r="Y27" i="19"/>
  <c r="X28" i="19"/>
  <c r="Y28" i="19"/>
  <c r="X29" i="19"/>
  <c r="Y29" i="19"/>
  <c r="Y21" i="19"/>
  <c r="X21" i="19"/>
  <c r="Z22" i="19"/>
  <c r="Z23" i="19"/>
  <c r="Z24" i="19"/>
  <c r="Z25" i="19"/>
  <c r="Z26" i="19"/>
  <c r="Z27" i="19"/>
  <c r="Z28" i="19"/>
  <c r="Z29" i="19"/>
  <c r="Z21" i="19"/>
  <c r="AD22" i="19"/>
  <c r="AD23" i="19"/>
  <c r="AD24" i="19"/>
  <c r="AD25" i="19"/>
  <c r="AD26" i="19"/>
  <c r="AD27" i="19"/>
  <c r="AD28" i="19"/>
  <c r="AD29" i="19"/>
  <c r="AD21" i="19"/>
  <c r="AE17" i="19"/>
  <c r="AF17" i="19" s="1"/>
  <c r="AE18" i="19"/>
  <c r="AF18" i="19" s="1"/>
  <c r="AE19" i="19"/>
  <c r="AG19" i="19" s="1"/>
  <c r="AE20" i="19"/>
  <c r="AF20" i="19" s="1"/>
  <c r="AE21" i="19"/>
  <c r="AF21" i="19" s="1"/>
  <c r="AE22" i="19"/>
  <c r="AF22" i="19" s="1"/>
  <c r="AE23" i="19"/>
  <c r="AF23" i="19" s="1"/>
  <c r="AE24" i="19"/>
  <c r="AG24" i="19" s="1"/>
  <c r="AE25" i="19"/>
  <c r="AF25" i="19" s="1"/>
  <c r="AE26" i="19"/>
  <c r="AF26" i="19" s="1"/>
  <c r="AE27" i="19"/>
  <c r="AF27" i="19" s="1"/>
  <c r="AE28" i="19"/>
  <c r="AF28" i="19" s="1"/>
  <c r="AE29" i="19"/>
  <c r="AF29" i="19" s="1"/>
  <c r="AH14" i="19"/>
  <c r="AI14" i="19" s="1"/>
  <c r="AH15" i="19"/>
  <c r="AI15" i="19" s="1"/>
  <c r="AH16" i="19"/>
  <c r="AJ16" i="19" s="1"/>
  <c r="AH17" i="19"/>
  <c r="AI17" i="19" s="1"/>
  <c r="AH18" i="19"/>
  <c r="AJ18" i="19" s="1"/>
  <c r="AH19" i="19"/>
  <c r="AI19" i="19" s="1"/>
  <c r="AH20" i="19"/>
  <c r="AJ20" i="19" s="1"/>
  <c r="AH21" i="19"/>
  <c r="AJ21" i="19" s="1"/>
  <c r="AH22" i="19"/>
  <c r="AI22" i="19" s="1"/>
  <c r="AH23" i="19"/>
  <c r="AI23" i="19" s="1"/>
  <c r="AH24" i="19"/>
  <c r="AJ24" i="19" s="1"/>
  <c r="AH25" i="19"/>
  <c r="AI25" i="19" s="1"/>
  <c r="AH26" i="19"/>
  <c r="AI26" i="19" s="1"/>
  <c r="AH27" i="19"/>
  <c r="AI27" i="19" s="1"/>
  <c r="AH28" i="19"/>
  <c r="AJ28" i="19" s="1"/>
  <c r="AH29" i="19"/>
  <c r="AI29" i="19" s="1"/>
  <c r="AJ29" i="19"/>
  <c r="N21" i="19"/>
  <c r="F21" i="19"/>
  <c r="H21" i="19"/>
  <c r="I21" i="19" s="1"/>
  <c r="AE16" i="19"/>
  <c r="AF16" i="19" s="1"/>
  <c r="AE15" i="19"/>
  <c r="AF15" i="19" s="1"/>
  <c r="AE14" i="19"/>
  <c r="AF14" i="19" s="1"/>
  <c r="AI21" i="19" l="1"/>
  <c r="AJ14" i="19"/>
  <c r="AG27" i="19"/>
  <c r="AI20" i="19"/>
  <c r="AG23" i="19"/>
  <c r="AG20" i="19"/>
  <c r="AI18" i="19"/>
  <c r="AJ17" i="19"/>
  <c r="AJ25" i="19"/>
  <c r="AI16" i="19"/>
  <c r="AF24" i="19"/>
  <c r="AG28" i="19"/>
  <c r="AI24" i="19"/>
  <c r="AF19" i="19"/>
  <c r="AJ26" i="19"/>
  <c r="AI28" i="19"/>
  <c r="AJ22" i="19"/>
  <c r="AG25" i="19"/>
  <c r="AG21" i="19"/>
  <c r="AG17" i="19"/>
  <c r="AG29" i="19"/>
  <c r="AG26" i="19"/>
  <c r="AG22" i="19"/>
  <c r="AG18" i="19"/>
  <c r="AJ27" i="19"/>
  <c r="AJ23" i="19"/>
  <c r="AJ19" i="19"/>
  <c r="AJ15" i="19"/>
  <c r="AG16" i="19"/>
  <c r="AG15" i="19"/>
  <c r="AG14" i="19"/>
  <c r="N13" i="19" l="1"/>
  <c r="N14" i="19"/>
  <c r="N15" i="19"/>
  <c r="N16" i="19"/>
  <c r="N17" i="19"/>
  <c r="N18" i="19"/>
  <c r="N19" i="19"/>
  <c r="N20" i="19"/>
  <c r="H13" i="19"/>
  <c r="I13" i="19" s="1"/>
  <c r="H14" i="19"/>
  <c r="H15" i="19"/>
  <c r="I15" i="19" s="1"/>
  <c r="H16" i="19"/>
  <c r="I16" i="19" s="1"/>
  <c r="H17" i="19"/>
  <c r="I17" i="19" s="1"/>
  <c r="H18" i="19"/>
  <c r="H19" i="19"/>
  <c r="I19" i="19" s="1"/>
  <c r="H20" i="19"/>
  <c r="I20" i="19" s="1"/>
  <c r="F13" i="19"/>
  <c r="F14" i="19"/>
  <c r="F15" i="19"/>
  <c r="F16" i="19"/>
  <c r="F17" i="19"/>
  <c r="F18" i="19"/>
  <c r="F19" i="19"/>
  <c r="F20" i="19"/>
  <c r="X13" i="19"/>
  <c r="Y13" i="19"/>
  <c r="X14" i="19"/>
  <c r="Y14" i="19"/>
  <c r="X15" i="19"/>
  <c r="Y15" i="19"/>
  <c r="X16" i="19"/>
  <c r="Y16" i="19"/>
  <c r="X17" i="19"/>
  <c r="Y17" i="19"/>
  <c r="X18" i="19"/>
  <c r="Y18" i="19"/>
  <c r="X19" i="19"/>
  <c r="Y19" i="19"/>
  <c r="X20" i="19"/>
  <c r="Y20" i="19"/>
  <c r="Y12" i="19"/>
  <c r="X12" i="19"/>
  <c r="Z13" i="19"/>
  <c r="Z14" i="19"/>
  <c r="Z15" i="19"/>
  <c r="Z16" i="19"/>
  <c r="Z17" i="19"/>
  <c r="Z18" i="19"/>
  <c r="Z19" i="19"/>
  <c r="Z20" i="19"/>
  <c r="Z12" i="19"/>
  <c r="AH13" i="19"/>
  <c r="AJ13" i="19" s="1"/>
  <c r="AE13" i="19"/>
  <c r="AF13" i="19" s="1"/>
  <c r="AH12" i="19"/>
  <c r="AJ12" i="19" s="1"/>
  <c r="AE12" i="19"/>
  <c r="AG12" i="19" s="1"/>
  <c r="AD13" i="19"/>
  <c r="AD14" i="19"/>
  <c r="AD15" i="19"/>
  <c r="AD16" i="19"/>
  <c r="AD17" i="19"/>
  <c r="AD18" i="19"/>
  <c r="AD19" i="19"/>
  <c r="AD20" i="19"/>
  <c r="AD12" i="19"/>
  <c r="N12" i="19"/>
  <c r="I14" i="19"/>
  <c r="I18" i="19"/>
  <c r="F12" i="19"/>
  <c r="H12" i="19"/>
  <c r="I12" i="19" s="1"/>
  <c r="H4" i="19"/>
  <c r="I4" i="19" s="1"/>
  <c r="H5" i="19"/>
  <c r="I5" i="19" s="1"/>
  <c r="H6" i="19"/>
  <c r="I6" i="19" s="1"/>
  <c r="H7" i="19"/>
  <c r="I7" i="19" s="1"/>
  <c r="H8" i="19"/>
  <c r="H9" i="19"/>
  <c r="H10" i="19"/>
  <c r="I10" i="19" s="1"/>
  <c r="H11" i="19"/>
  <c r="I11" i="19" s="1"/>
  <c r="H3" i="19"/>
  <c r="I3" i="19" s="1"/>
  <c r="H2" i="19"/>
  <c r="F4" i="19"/>
  <c r="F5" i="19"/>
  <c r="F6" i="19"/>
  <c r="F7" i="19"/>
  <c r="F8" i="19"/>
  <c r="F9" i="19"/>
  <c r="F10" i="19"/>
  <c r="F11" i="19"/>
  <c r="F3" i="19"/>
  <c r="F2" i="19"/>
  <c r="AL11" i="19"/>
  <c r="AH11" i="19"/>
  <c r="AJ11" i="19" s="1"/>
  <c r="AE11" i="19"/>
  <c r="AF11" i="19" s="1"/>
  <c r="Z11" i="19"/>
  <c r="Y11" i="19"/>
  <c r="X11" i="19"/>
  <c r="N11" i="19"/>
  <c r="AL10" i="19"/>
  <c r="AH10" i="19"/>
  <c r="AI10" i="19" s="1"/>
  <c r="AE10" i="19"/>
  <c r="AG10" i="19" s="1"/>
  <c r="Z10" i="19"/>
  <c r="U10" i="19"/>
  <c r="S10" i="19"/>
  <c r="N10" i="19"/>
  <c r="AL9" i="19"/>
  <c r="AH9" i="19"/>
  <c r="AJ9" i="19" s="1"/>
  <c r="AE9" i="19"/>
  <c r="AF9" i="19" s="1"/>
  <c r="Z9" i="19"/>
  <c r="U9" i="19"/>
  <c r="S9" i="19"/>
  <c r="N9" i="19"/>
  <c r="I9" i="19"/>
  <c r="AL8" i="19"/>
  <c r="AH8" i="19"/>
  <c r="AE8" i="19"/>
  <c r="AG8" i="19" s="1"/>
  <c r="Z8" i="19"/>
  <c r="U8" i="19"/>
  <c r="S8" i="19"/>
  <c r="N8" i="19"/>
  <c r="I8" i="19"/>
  <c r="AL7" i="19"/>
  <c r="AH7" i="19"/>
  <c r="AJ7" i="19" s="1"/>
  <c r="AE7" i="19"/>
  <c r="AG7" i="19" s="1"/>
  <c r="Z7" i="19"/>
  <c r="U7" i="19"/>
  <c r="S7" i="19"/>
  <c r="N7" i="19"/>
  <c r="AL6" i="19"/>
  <c r="AH6" i="19"/>
  <c r="AE6" i="19"/>
  <c r="AG6" i="19" s="1"/>
  <c r="Z6" i="19"/>
  <c r="U6" i="19"/>
  <c r="S6" i="19"/>
  <c r="N6" i="19"/>
  <c r="AL5" i="19"/>
  <c r="AH5" i="19"/>
  <c r="AE5" i="19"/>
  <c r="AG5" i="19" s="1"/>
  <c r="Z5" i="19"/>
  <c r="U5" i="19"/>
  <c r="S5" i="19"/>
  <c r="N5" i="19"/>
  <c r="AL4" i="19"/>
  <c r="AH4" i="19"/>
  <c r="AJ4" i="19" s="1"/>
  <c r="AE4" i="19"/>
  <c r="AG4" i="19" s="1"/>
  <c r="Z4" i="19"/>
  <c r="U4" i="19"/>
  <c r="S4" i="19"/>
  <c r="N4" i="19"/>
  <c r="AL3" i="19"/>
  <c r="AH3" i="19"/>
  <c r="AJ3" i="19" s="1"/>
  <c r="AE3" i="19"/>
  <c r="AG3" i="19" s="1"/>
  <c r="Z3" i="19"/>
  <c r="U3" i="19"/>
  <c r="S3" i="19"/>
  <c r="N3" i="19"/>
  <c r="AL2" i="19"/>
  <c r="AH2" i="19"/>
  <c r="AE2" i="19"/>
  <c r="AG2" i="19" s="1"/>
  <c r="Z2" i="19"/>
  <c r="U2" i="19"/>
  <c r="S2" i="19"/>
  <c r="N2" i="19"/>
  <c r="Y8" i="19" l="1"/>
  <c r="AF12" i="19"/>
  <c r="AI13" i="19"/>
  <c r="AG13" i="19"/>
  <c r="AI12" i="19"/>
  <c r="X2" i="19"/>
  <c r="AF2" i="19"/>
  <c r="AI3" i="19"/>
  <c r="AI4" i="19"/>
  <c r="Y6" i="19"/>
  <c r="AF6" i="19"/>
  <c r="Y9" i="19"/>
  <c r="AG9" i="19"/>
  <c r="Y3" i="19"/>
  <c r="AF3" i="19"/>
  <c r="AI5" i="19"/>
  <c r="Y7" i="19"/>
  <c r="AJ10" i="19"/>
  <c r="Y2" i="19"/>
  <c r="AI2" i="19"/>
  <c r="Y4" i="19"/>
  <c r="AF4" i="19"/>
  <c r="AJ5" i="19"/>
  <c r="AI6" i="19"/>
  <c r="X10" i="19"/>
  <c r="AF10" i="19"/>
  <c r="AG11" i="19"/>
  <c r="AF7" i="19"/>
  <c r="AJ2" i="19"/>
  <c r="Y5" i="19"/>
  <c r="AF5" i="19"/>
  <c r="AJ6" i="19"/>
  <c r="AI7" i="19"/>
  <c r="X8" i="19"/>
  <c r="AI8" i="19"/>
  <c r="AF8" i="19"/>
  <c r="AJ8" i="19"/>
  <c r="X9" i="19"/>
  <c r="AI9" i="19"/>
  <c r="AI11" i="19"/>
  <c r="Y10" i="19"/>
  <c r="U22" i="4"/>
  <c r="U23" i="4"/>
  <c r="U24" i="4"/>
  <c r="U25" i="4"/>
  <c r="U26" i="4"/>
  <c r="U27" i="4"/>
  <c r="U28" i="4"/>
  <c r="U29" i="4"/>
  <c r="U30" i="4"/>
  <c r="U21" i="4"/>
  <c r="AA16" i="14"/>
  <c r="AB16" i="14"/>
  <c r="X16" i="14"/>
  <c r="Y16" i="14" s="1"/>
  <c r="X14" i="14"/>
  <c r="Z14" i="14" s="1"/>
  <c r="U16" i="14"/>
  <c r="U14" i="14"/>
  <c r="V14" i="14" s="1"/>
  <c r="T16" i="14"/>
  <c r="T14" i="14"/>
  <c r="R16" i="14"/>
  <c r="R14" i="14"/>
  <c r="AB14" i="14" s="1"/>
  <c r="AA7" i="14"/>
  <c r="AB7" i="14"/>
  <c r="X7" i="14"/>
  <c r="Z7" i="14" s="1"/>
  <c r="X4" i="14"/>
  <c r="Y4" i="14" s="1"/>
  <c r="U7" i="14"/>
  <c r="U4" i="14"/>
  <c r="T7" i="14"/>
  <c r="T4" i="14"/>
  <c r="R7" i="14"/>
  <c r="R4" i="14"/>
  <c r="AA4" i="14" s="1"/>
  <c r="I16" i="14"/>
  <c r="I14" i="14"/>
  <c r="G65" i="15"/>
  <c r="G66" i="15"/>
  <c r="G67" i="15"/>
  <c r="G68" i="15"/>
  <c r="G69" i="15"/>
  <c r="G70" i="15"/>
  <c r="G71" i="15"/>
  <c r="G72" i="15"/>
  <c r="G73" i="15"/>
  <c r="G64" i="15"/>
  <c r="G50" i="15"/>
  <c r="G42" i="15"/>
  <c r="G43" i="15"/>
  <c r="G44" i="15"/>
  <c r="G45" i="15"/>
  <c r="G46" i="15"/>
  <c r="G47" i="15"/>
  <c r="G48" i="15"/>
  <c r="G49" i="15"/>
  <c r="G41" i="15"/>
  <c r="J68" i="15"/>
  <c r="K68" i="15" s="1"/>
  <c r="J66" i="15"/>
  <c r="O66" i="15" s="1"/>
  <c r="U66" i="15" s="1"/>
  <c r="V66" i="15" s="1"/>
  <c r="T42" i="4"/>
  <c r="T43" i="4"/>
  <c r="T44" i="4"/>
  <c r="T45" i="4"/>
  <c r="T46" i="4"/>
  <c r="T47" i="4"/>
  <c r="T48" i="4"/>
  <c r="T49" i="4"/>
  <c r="T50" i="4"/>
  <c r="T51" i="4"/>
  <c r="T52" i="4"/>
  <c r="T41" i="4"/>
  <c r="T22" i="4"/>
  <c r="T23" i="4"/>
  <c r="T24" i="4"/>
  <c r="T25" i="4"/>
  <c r="T26" i="4"/>
  <c r="T27" i="4"/>
  <c r="T28" i="4"/>
  <c r="T29" i="4"/>
  <c r="T30" i="4"/>
  <c r="T21" i="4"/>
  <c r="AB26" i="4"/>
  <c r="AB23" i="4"/>
  <c r="J46" i="15"/>
  <c r="K46" i="15" s="1"/>
  <c r="J43" i="15"/>
  <c r="O43" i="15" s="1"/>
  <c r="T43" i="15" s="1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P23" i="4"/>
  <c r="S23" i="4" s="1"/>
  <c r="P24" i="4"/>
  <c r="S24" i="4" s="1"/>
  <c r="P25" i="4"/>
  <c r="S25" i="4" s="1"/>
  <c r="P26" i="4"/>
  <c r="S26" i="4" s="1"/>
  <c r="P27" i="4"/>
  <c r="S27" i="4" s="1"/>
  <c r="P28" i="4"/>
  <c r="S28" i="4" s="1"/>
  <c r="P29" i="4"/>
  <c r="S29" i="4" s="1"/>
  <c r="P30" i="4"/>
  <c r="S30" i="4" s="1"/>
  <c r="P22" i="4"/>
  <c r="S22" i="4" s="1"/>
  <c r="S21" i="4"/>
  <c r="R21" i="4"/>
  <c r="Q21" i="4"/>
  <c r="AQ26" i="4"/>
  <c r="AQ23" i="4"/>
  <c r="AQ24" i="4"/>
  <c r="AQ25" i="4"/>
  <c r="AM26" i="4"/>
  <c r="AO26" i="4" s="1"/>
  <c r="AM23" i="4"/>
  <c r="AN23" i="4" s="1"/>
  <c r="AJ26" i="4"/>
  <c r="AK26" i="4"/>
  <c r="AL26" i="4"/>
  <c r="AJ23" i="4"/>
  <c r="AK23" i="4" s="1"/>
  <c r="AD26" i="4"/>
  <c r="AD23" i="4"/>
  <c r="AQ43" i="4"/>
  <c r="AQ44" i="4"/>
  <c r="AQ45" i="4"/>
  <c r="AM45" i="4"/>
  <c r="AN45" i="4" s="1"/>
  <c r="AM43" i="4"/>
  <c r="AN43" i="4" s="1"/>
  <c r="AJ45" i="4"/>
  <c r="AL45" i="4" s="1"/>
  <c r="AJ43" i="4"/>
  <c r="AL43" i="4" s="1"/>
  <c r="AE45" i="4"/>
  <c r="AE46" i="4"/>
  <c r="AE48" i="4"/>
  <c r="AE47" i="4"/>
  <c r="AE49" i="4"/>
  <c r="AE50" i="4"/>
  <c r="AE51" i="4"/>
  <c r="AE52" i="4"/>
  <c r="AE43" i="4"/>
  <c r="AD45" i="4"/>
  <c r="AD43" i="4"/>
  <c r="AB45" i="4"/>
  <c r="AB43" i="4"/>
  <c r="AC43" i="4" s="1"/>
  <c r="Q45" i="4"/>
  <c r="R45" i="4"/>
  <c r="S45" i="4"/>
  <c r="U45" i="4"/>
  <c r="Q43" i="4"/>
  <c r="R43" i="4"/>
  <c r="S43" i="4"/>
  <c r="U43" i="4"/>
  <c r="AE23" i="4"/>
  <c r="AB4" i="14" l="1"/>
  <c r="AA14" i="14"/>
  <c r="Z16" i="14"/>
  <c r="K43" i="15"/>
  <c r="K66" i="15"/>
  <c r="Y14" i="14"/>
  <c r="O68" i="15"/>
  <c r="S68" i="15" s="1"/>
  <c r="M46" i="15"/>
  <c r="O46" i="15"/>
  <c r="U46" i="15" s="1"/>
  <c r="V46" i="15" s="1"/>
  <c r="M68" i="15"/>
  <c r="AK43" i="4"/>
  <c r="M43" i="15"/>
  <c r="M66" i="15"/>
  <c r="U43" i="15"/>
  <c r="V43" i="15" s="1"/>
  <c r="R43" i="15"/>
  <c r="S43" i="15"/>
  <c r="R46" i="15"/>
  <c r="T46" i="15"/>
  <c r="S46" i="15"/>
  <c r="Z4" i="14"/>
  <c r="Y7" i="14"/>
  <c r="T68" i="15"/>
  <c r="R68" i="15"/>
  <c r="S66" i="15"/>
  <c r="R66" i="15"/>
  <c r="T66" i="15"/>
  <c r="AN26" i="4"/>
  <c r="AK45" i="4"/>
  <c r="AR45" i="4"/>
  <c r="AO23" i="4"/>
  <c r="AR23" i="4"/>
  <c r="AL23" i="4"/>
  <c r="AR26" i="4"/>
  <c r="AR43" i="4"/>
  <c r="AO45" i="4"/>
  <c r="AO43" i="4"/>
  <c r="AE26" i="4"/>
  <c r="U68" i="15" l="1"/>
  <c r="V68" i="15" s="1"/>
  <c r="E26" i="4"/>
  <c r="J45" i="4"/>
  <c r="J26" i="4"/>
  <c r="J23" i="4"/>
  <c r="E23" i="4"/>
  <c r="C23" i="4"/>
  <c r="J43" i="4"/>
  <c r="J44" i="4"/>
  <c r="C45" i="4"/>
  <c r="C43" i="4"/>
  <c r="C44" i="4"/>
  <c r="E44" i="4"/>
  <c r="AU26" i="18" l="1"/>
  <c r="AV26" i="18" s="1"/>
  <c r="AU27" i="18"/>
  <c r="AV27" i="18" s="1"/>
  <c r="AU28" i="18"/>
  <c r="AV28" i="18" s="1"/>
  <c r="AU29" i="18"/>
  <c r="AV29" i="18" s="1"/>
  <c r="AU30" i="18"/>
  <c r="AV30" i="18" s="1"/>
  <c r="AU31" i="18"/>
  <c r="AV31" i="18" s="1"/>
  <c r="AU25" i="18"/>
  <c r="AV25" i="18" s="1"/>
  <c r="AU24" i="18"/>
  <c r="AV24" i="18" s="1"/>
  <c r="U42" i="4"/>
  <c r="U44" i="4"/>
  <c r="U48" i="4"/>
  <c r="U47" i="4"/>
  <c r="U49" i="4"/>
  <c r="U50" i="4"/>
  <c r="U51" i="4"/>
  <c r="U52" i="4"/>
  <c r="U41" i="4"/>
  <c r="AA18" i="14" l="1"/>
  <c r="Y18" i="14"/>
  <c r="X18" i="14"/>
  <c r="Z18" i="14" s="1"/>
  <c r="R18" i="14"/>
  <c r="AB18" i="14" s="1"/>
  <c r="V18" i="14"/>
  <c r="U18" i="14"/>
  <c r="O18" i="14"/>
  <c r="N18" i="14"/>
  <c r="L18" i="14"/>
  <c r="K18" i="14"/>
  <c r="AY18" i="14"/>
  <c r="AX18" i="14"/>
  <c r="I18" i="14"/>
  <c r="S42" i="4"/>
  <c r="S44" i="4"/>
  <c r="S46" i="4"/>
  <c r="S48" i="4"/>
  <c r="S49" i="4"/>
  <c r="S50" i="4"/>
  <c r="S51" i="4"/>
  <c r="S52" i="4"/>
  <c r="S47" i="4"/>
  <c r="S41" i="4"/>
  <c r="T18" i="14" l="1"/>
  <c r="R42" i="4"/>
  <c r="R44" i="4"/>
  <c r="R46" i="4"/>
  <c r="R48" i="4"/>
  <c r="R49" i="4"/>
  <c r="R50" i="4"/>
  <c r="R51" i="4"/>
  <c r="R52" i="4"/>
  <c r="R47" i="4"/>
  <c r="R41" i="4"/>
  <c r="Q42" i="4"/>
  <c r="Q44" i="4"/>
  <c r="Q46" i="4"/>
  <c r="Q48" i="4"/>
  <c r="Q49" i="4"/>
  <c r="Q50" i="4"/>
  <c r="Q51" i="4"/>
  <c r="Q52" i="4"/>
  <c r="Q47" i="4"/>
  <c r="Q41" i="4"/>
  <c r="M54" i="4"/>
  <c r="AF54" i="4"/>
  <c r="J70" i="15" l="1"/>
  <c r="O70" i="15" s="1"/>
  <c r="AQ47" i="4"/>
  <c r="AM47" i="4"/>
  <c r="AO47" i="4" s="1"/>
  <c r="AJ47" i="4"/>
  <c r="AL47" i="4" s="1"/>
  <c r="AB47" i="4"/>
  <c r="Z23" i="17"/>
  <c r="Z24" i="17"/>
  <c r="Z25" i="17"/>
  <c r="Z26" i="17"/>
  <c r="Z27" i="17"/>
  <c r="Z28" i="17"/>
  <c r="Z22" i="17"/>
  <c r="AA23" i="17"/>
  <c r="AA24" i="17"/>
  <c r="AA25" i="17"/>
  <c r="AA26" i="17"/>
  <c r="AA27" i="17"/>
  <c r="AA28" i="17"/>
  <c r="AA22" i="17"/>
  <c r="AT25" i="18"/>
  <c r="AT26" i="18"/>
  <c r="AT27" i="18"/>
  <c r="AT28" i="18"/>
  <c r="AT29" i="18"/>
  <c r="AT30" i="18"/>
  <c r="AT31" i="18"/>
  <c r="AT24" i="18"/>
  <c r="AS24" i="18"/>
  <c r="AV23" i="17"/>
  <c r="AV24" i="17"/>
  <c r="AV25" i="17"/>
  <c r="AV26" i="17"/>
  <c r="AV27" i="17"/>
  <c r="AV28" i="17"/>
  <c r="AV22" i="17"/>
  <c r="J36" i="15"/>
  <c r="K36" i="15" s="1"/>
  <c r="J50" i="15"/>
  <c r="K50" i="15" s="1"/>
  <c r="J35" i="15"/>
  <c r="Q35" i="15" s="1"/>
  <c r="J34" i="15"/>
  <c r="N34" i="15" s="1"/>
  <c r="J33" i="15"/>
  <c r="L33" i="15" s="1"/>
  <c r="J32" i="15"/>
  <c r="K32" i="15" s="1"/>
  <c r="J31" i="15"/>
  <c r="Q31" i="15" s="1"/>
  <c r="J30" i="15"/>
  <c r="N30" i="15" s="1"/>
  <c r="AU23" i="17"/>
  <c r="AU24" i="17"/>
  <c r="AU25" i="17"/>
  <c r="AU26" i="17"/>
  <c r="AU27" i="17"/>
  <c r="AU22" i="17"/>
  <c r="AG27" i="17"/>
  <c r="AH27" i="17" s="1"/>
  <c r="AG28" i="17"/>
  <c r="AH28" i="17" s="1"/>
  <c r="AG23" i="17"/>
  <c r="AH23" i="17" s="1"/>
  <c r="AG24" i="17"/>
  <c r="AH24" i="17" s="1"/>
  <c r="AG25" i="17"/>
  <c r="AH25" i="17" s="1"/>
  <c r="AG26" i="17"/>
  <c r="AH26" i="17" s="1"/>
  <c r="AG22" i="17"/>
  <c r="AH22" i="17" s="1"/>
  <c r="AO22" i="17"/>
  <c r="AP22" i="17" s="1"/>
  <c r="AJ31" i="18"/>
  <c r="AO23" i="17"/>
  <c r="AP23" i="17" s="1"/>
  <c r="AO28" i="17"/>
  <c r="AP28" i="17" s="1"/>
  <c r="AO25" i="17"/>
  <c r="AP25" i="17" s="1"/>
  <c r="AO26" i="17"/>
  <c r="AP26" i="17"/>
  <c r="AO27" i="17"/>
  <c r="AP27" i="17" s="1"/>
  <c r="AP24" i="17"/>
  <c r="AO24" i="17"/>
  <c r="AM27" i="17"/>
  <c r="AN27" i="17" s="1"/>
  <c r="U28" i="17"/>
  <c r="AR23" i="17"/>
  <c r="AS23" i="17" s="1"/>
  <c r="AR24" i="17"/>
  <c r="AS24" i="17"/>
  <c r="AR25" i="17"/>
  <c r="AS25" i="17" s="1"/>
  <c r="AR26" i="17"/>
  <c r="AS26" i="17" s="1"/>
  <c r="AR27" i="17"/>
  <c r="AS27" i="17" s="1"/>
  <c r="AR28" i="17"/>
  <c r="AS28" i="17" s="1"/>
  <c r="AR22" i="17"/>
  <c r="AS22" i="17" s="1"/>
  <c r="AB28" i="17"/>
  <c r="AC28" i="17" s="1"/>
  <c r="AD28" i="17" s="1"/>
  <c r="AE28" i="17" s="1"/>
  <c r="Y27" i="17"/>
  <c r="Y28" i="17"/>
  <c r="Y25" i="17"/>
  <c r="Y23" i="17"/>
  <c r="X23" i="17"/>
  <c r="AB23" i="17" s="1"/>
  <c r="AC23" i="17" s="1"/>
  <c r="AD23" i="17" s="1"/>
  <c r="AE23" i="17" s="1"/>
  <c r="X24" i="17"/>
  <c r="X25" i="17"/>
  <c r="AB25" i="17" s="1"/>
  <c r="AC25" i="17" s="1"/>
  <c r="AD25" i="17" s="1"/>
  <c r="AE25" i="17" s="1"/>
  <c r="X26" i="17"/>
  <c r="X27" i="17"/>
  <c r="AB27" i="17" s="1"/>
  <c r="AC27" i="17" s="1"/>
  <c r="AD27" i="17" s="1"/>
  <c r="AE27" i="17" s="1"/>
  <c r="U27" i="17"/>
  <c r="U25" i="17"/>
  <c r="U23" i="17"/>
  <c r="P27" i="17"/>
  <c r="P28" i="17"/>
  <c r="P25" i="17"/>
  <c r="P23" i="17"/>
  <c r="H27" i="17"/>
  <c r="I27" i="17"/>
  <c r="H28" i="17"/>
  <c r="I28" i="17"/>
  <c r="H25" i="17"/>
  <c r="I25" i="17"/>
  <c r="H23" i="17"/>
  <c r="I23" i="17"/>
  <c r="F23" i="17"/>
  <c r="F24" i="17"/>
  <c r="F25" i="17"/>
  <c r="F26" i="17"/>
  <c r="F27" i="17"/>
  <c r="F28" i="17"/>
  <c r="AM34" i="17"/>
  <c r="AN34" i="17" s="1"/>
  <c r="AM35" i="17"/>
  <c r="AN35" i="17" s="1"/>
  <c r="AM36" i="17"/>
  <c r="AN36" i="17" s="1"/>
  <c r="AM37" i="17"/>
  <c r="AN37" i="17" s="1"/>
  <c r="AM33" i="17"/>
  <c r="AN33" i="17" s="1"/>
  <c r="AM32" i="17"/>
  <c r="AN32" i="17" s="1"/>
  <c r="J24" i="15"/>
  <c r="Q24" i="15" s="1"/>
  <c r="R24" i="15" s="1"/>
  <c r="P34" i="17"/>
  <c r="P35" i="17"/>
  <c r="P36" i="17"/>
  <c r="P37" i="17"/>
  <c r="P33" i="17"/>
  <c r="H34" i="17"/>
  <c r="I34" i="17"/>
  <c r="H35" i="17"/>
  <c r="I35" i="17"/>
  <c r="H36" i="17"/>
  <c r="I36" i="17"/>
  <c r="H37" i="17"/>
  <c r="I37" i="17"/>
  <c r="I33" i="17"/>
  <c r="H33" i="17"/>
  <c r="I32" i="17"/>
  <c r="H32" i="17"/>
  <c r="F33" i="17"/>
  <c r="F34" i="17"/>
  <c r="F35" i="17"/>
  <c r="F36" i="17"/>
  <c r="F37" i="17"/>
  <c r="AQ28" i="17" l="1"/>
  <c r="AT24" i="17"/>
  <c r="S70" i="15"/>
  <c r="R70" i="15"/>
  <c r="T70" i="15"/>
  <c r="U70" i="15"/>
  <c r="V70" i="15" s="1"/>
  <c r="AK47" i="4"/>
  <c r="AR47" i="4"/>
  <c r="M70" i="15"/>
  <c r="K70" i="15"/>
  <c r="N36" i="15"/>
  <c r="Q36" i="15"/>
  <c r="R36" i="15" s="1"/>
  <c r="L36" i="15"/>
  <c r="AN47" i="4"/>
  <c r="O50" i="15"/>
  <c r="R50" i="15" s="1"/>
  <c r="M50" i="15"/>
  <c r="L32" i="15"/>
  <c r="K31" i="15"/>
  <c r="N32" i="15"/>
  <c r="N35" i="15"/>
  <c r="L31" i="15"/>
  <c r="N31" i="15"/>
  <c r="K35" i="15"/>
  <c r="N33" i="15"/>
  <c r="L35" i="15"/>
  <c r="W31" i="15"/>
  <c r="X31" i="15"/>
  <c r="Y31" i="15" s="1"/>
  <c r="V31" i="15"/>
  <c r="R31" i="15"/>
  <c r="U31" i="15"/>
  <c r="W35" i="15"/>
  <c r="R35" i="15"/>
  <c r="V35" i="15"/>
  <c r="X35" i="15"/>
  <c r="Y35" i="15" s="1"/>
  <c r="U35" i="15"/>
  <c r="V24" i="15"/>
  <c r="Q30" i="15"/>
  <c r="U24" i="15"/>
  <c r="K30" i="15"/>
  <c r="Q33" i="15"/>
  <c r="K34" i="15"/>
  <c r="X24" i="15"/>
  <c r="Y24" i="15" s="1"/>
  <c r="L30" i="15"/>
  <c r="Q32" i="15"/>
  <c r="K33" i="15"/>
  <c r="L34" i="15"/>
  <c r="Q34" i="15"/>
  <c r="K24" i="15"/>
  <c r="W24" i="15"/>
  <c r="AQ27" i="17"/>
  <c r="L24" i="15"/>
  <c r="N24" i="15"/>
  <c r="U50" i="15" l="1"/>
  <c r="V50" i="15" s="1"/>
  <c r="X36" i="15"/>
  <c r="Y36" i="15" s="1"/>
  <c r="V36" i="15"/>
  <c r="S50" i="15"/>
  <c r="U36" i="15"/>
  <c r="W36" i="15"/>
  <c r="T50" i="15"/>
  <c r="V30" i="15"/>
  <c r="U30" i="15"/>
  <c r="W30" i="15"/>
  <c r="X30" i="15"/>
  <c r="Y30" i="15" s="1"/>
  <c r="R30" i="15"/>
  <c r="U33" i="15"/>
  <c r="V33" i="15"/>
  <c r="X33" i="15"/>
  <c r="Y33" i="15" s="1"/>
  <c r="R33" i="15"/>
  <c r="W33" i="15"/>
  <c r="X32" i="15"/>
  <c r="Y32" i="15" s="1"/>
  <c r="R32" i="15"/>
  <c r="U32" i="15"/>
  <c r="W32" i="15"/>
  <c r="V32" i="15"/>
  <c r="V34" i="15"/>
  <c r="U34" i="15"/>
  <c r="X34" i="15"/>
  <c r="Y34" i="15" s="1"/>
  <c r="R34" i="15"/>
  <c r="W34" i="15"/>
  <c r="AM23" i="17"/>
  <c r="AM25" i="17"/>
  <c r="AN23" i="17" l="1"/>
  <c r="AQ23" i="17"/>
  <c r="AN25" i="17"/>
  <c r="AQ25" i="17"/>
  <c r="P32" i="17"/>
  <c r="O76" i="5"/>
  <c r="O74" i="5"/>
  <c r="O72" i="5"/>
  <c r="O68" i="5"/>
  <c r="AS26" i="18"/>
  <c r="AS27" i="18"/>
  <c r="AS28" i="18"/>
  <c r="AS29" i="18"/>
  <c r="AS30" i="18"/>
  <c r="AS31" i="18"/>
  <c r="AS25" i="18"/>
  <c r="AQ28" i="18"/>
  <c r="AQ24" i="18"/>
  <c r="AO28" i="18"/>
  <c r="AP28" i="18"/>
  <c r="AO29" i="18"/>
  <c r="AP29" i="18"/>
  <c r="AQ29" i="18" s="1"/>
  <c r="AO30" i="18"/>
  <c r="AP30" i="18"/>
  <c r="AO31" i="18"/>
  <c r="AP31" i="18"/>
  <c r="AR31" i="18" s="1"/>
  <c r="AO26" i="18"/>
  <c r="AP26" i="18"/>
  <c r="AP25" i="18"/>
  <c r="AO25" i="18"/>
  <c r="AP24" i="18"/>
  <c r="AO24" i="18"/>
  <c r="AK31" i="18"/>
  <c r="AM31" i="18" s="1"/>
  <c r="AN31" i="18" s="1"/>
  <c r="AL31" i="18"/>
  <c r="AQ30" i="18" l="1"/>
  <c r="AQ25" i="18"/>
  <c r="AQ26" i="18"/>
  <c r="AQ31" i="18"/>
  <c r="O77" i="5"/>
  <c r="O79" i="5" s="1"/>
  <c r="F32" i="17"/>
  <c r="X32" i="17"/>
  <c r="AP27" i="18" l="1"/>
  <c r="AQ27" i="18" s="1"/>
  <c r="AO27" i="18"/>
  <c r="AA3" i="18"/>
  <c r="AA4" i="18"/>
  <c r="AA5" i="18"/>
  <c r="AA6" i="18"/>
  <c r="AA7" i="18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" i="18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2" i="18"/>
  <c r="J23" i="15" l="1"/>
  <c r="L23" i="15" s="1"/>
  <c r="J22" i="15"/>
  <c r="L22" i="15" s="1"/>
  <c r="J21" i="15"/>
  <c r="L21" i="15" s="1"/>
  <c r="J20" i="15"/>
  <c r="L20" i="15" s="1"/>
  <c r="J19" i="15"/>
  <c r="L19" i="15" s="1"/>
  <c r="J18" i="15"/>
  <c r="L18" i="15" s="1"/>
  <c r="J17" i="15"/>
  <c r="L17" i="15" s="1"/>
  <c r="Z28" i="18"/>
  <c r="Z30" i="18"/>
  <c r="X25" i="18"/>
  <c r="X26" i="18"/>
  <c r="AB26" i="18" s="1"/>
  <c r="AC26" i="18" s="1"/>
  <c r="AD26" i="18" s="1"/>
  <c r="AE26" i="18" s="1"/>
  <c r="X27" i="18"/>
  <c r="X28" i="18"/>
  <c r="X29" i="18"/>
  <c r="X30" i="18"/>
  <c r="X31" i="18"/>
  <c r="X24" i="18"/>
  <c r="X23" i="18"/>
  <c r="W25" i="18"/>
  <c r="AA25" i="18" s="1"/>
  <c r="W26" i="18"/>
  <c r="AA26" i="18" s="1"/>
  <c r="W27" i="18"/>
  <c r="AA27" i="18" s="1"/>
  <c r="W28" i="18"/>
  <c r="AA28" i="18" s="1"/>
  <c r="W29" i="18"/>
  <c r="AA29" i="18" s="1"/>
  <c r="W30" i="18"/>
  <c r="AA30" i="18" s="1"/>
  <c r="W31" i="18"/>
  <c r="AA31" i="18" s="1"/>
  <c r="W24" i="18"/>
  <c r="W23" i="18"/>
  <c r="U25" i="18"/>
  <c r="U26" i="18"/>
  <c r="U27" i="18"/>
  <c r="U28" i="18"/>
  <c r="U29" i="18"/>
  <c r="U30" i="18"/>
  <c r="U31" i="18"/>
  <c r="U24" i="18"/>
  <c r="U23" i="18"/>
  <c r="AJ30" i="18"/>
  <c r="AK30" i="18"/>
  <c r="AM30" i="18" s="1"/>
  <c r="AL30" i="18"/>
  <c r="AJ29" i="18"/>
  <c r="AK29" i="18"/>
  <c r="AM29" i="18" s="1"/>
  <c r="AL29" i="18"/>
  <c r="AJ27" i="18"/>
  <c r="AK27" i="18"/>
  <c r="AM27" i="18" s="1"/>
  <c r="AL27" i="18"/>
  <c r="AJ25" i="18"/>
  <c r="AK25" i="18"/>
  <c r="AM25" i="18" s="1"/>
  <c r="AL25" i="18"/>
  <c r="AL24" i="18"/>
  <c r="AK24" i="18"/>
  <c r="AM24" i="18" s="1"/>
  <c r="AJ24" i="18"/>
  <c r="AR17" i="17"/>
  <c r="AS17" i="17" s="1"/>
  <c r="AR16" i="17"/>
  <c r="AS16" i="17" s="1"/>
  <c r="AR15" i="17"/>
  <c r="AS15" i="17" s="1"/>
  <c r="AR14" i="17"/>
  <c r="AS14" i="17" s="1"/>
  <c r="AR19" i="17"/>
  <c r="AS19" i="17" s="1"/>
  <c r="AR20" i="17"/>
  <c r="AS20" i="17" s="1"/>
  <c r="AR21" i="17"/>
  <c r="AS21" i="17" s="1"/>
  <c r="AR18" i="17"/>
  <c r="AS18" i="17" s="1"/>
  <c r="K76" i="5"/>
  <c r="K74" i="5"/>
  <c r="K72" i="5"/>
  <c r="K68" i="5"/>
  <c r="M51" i="5"/>
  <c r="M50" i="5"/>
  <c r="O61" i="5"/>
  <c r="M61" i="5"/>
  <c r="P61" i="5" s="1"/>
  <c r="Q61" i="5" s="1"/>
  <c r="O56" i="5"/>
  <c r="M56" i="5"/>
  <c r="P56" i="5" s="1"/>
  <c r="Q56" i="5" s="1"/>
  <c r="P31" i="18"/>
  <c r="P29" i="18"/>
  <c r="P27" i="18"/>
  <c r="P24" i="18"/>
  <c r="P25" i="18"/>
  <c r="P26" i="18"/>
  <c r="P28" i="18"/>
  <c r="P30" i="18"/>
  <c r="H24" i="18"/>
  <c r="I24" i="18"/>
  <c r="H25" i="18"/>
  <c r="I25" i="18"/>
  <c r="H26" i="18"/>
  <c r="I26" i="18"/>
  <c r="H27" i="18"/>
  <c r="I27" i="18"/>
  <c r="H28" i="18"/>
  <c r="I28" i="18"/>
  <c r="H29" i="18"/>
  <c r="I29" i="18"/>
  <c r="H30" i="18"/>
  <c r="I30" i="18"/>
  <c r="H31" i="18"/>
  <c r="I31" i="18"/>
  <c r="F24" i="18"/>
  <c r="F25" i="18"/>
  <c r="F26" i="18"/>
  <c r="F27" i="18"/>
  <c r="F28" i="18"/>
  <c r="F29" i="18"/>
  <c r="F30" i="18"/>
  <c r="F31" i="18"/>
  <c r="AJ28" i="18"/>
  <c r="AK28" i="18"/>
  <c r="AM28" i="18" s="1"/>
  <c r="AL28" i="18"/>
  <c r="J47" i="4"/>
  <c r="J61" i="4"/>
  <c r="J62" i="4" s="1"/>
  <c r="N56" i="15"/>
  <c r="AN28" i="18" l="1"/>
  <c r="AR28" i="18"/>
  <c r="AN24" i="18"/>
  <c r="AR24" i="18"/>
  <c r="AN30" i="18"/>
  <c r="AR30" i="18"/>
  <c r="Z24" i="18"/>
  <c r="AA24" i="18"/>
  <c r="AB30" i="18"/>
  <c r="AC30" i="18" s="1"/>
  <c r="AD30" i="18" s="1"/>
  <c r="AE30" i="18" s="1"/>
  <c r="AB28" i="18"/>
  <c r="AC28" i="18" s="1"/>
  <c r="AD28" i="18" s="1"/>
  <c r="AE28" i="18" s="1"/>
  <c r="Z25" i="18"/>
  <c r="AN29" i="18"/>
  <c r="AR29" i="18"/>
  <c r="AB31" i="18"/>
  <c r="AC31" i="18" s="1"/>
  <c r="AD31" i="18" s="1"/>
  <c r="AE31" i="18" s="1"/>
  <c r="AN27" i="18"/>
  <c r="AR27" i="18"/>
  <c r="Z31" i="18"/>
  <c r="AB29" i="18"/>
  <c r="AC29" i="18" s="1"/>
  <c r="AD29" i="18" s="1"/>
  <c r="AE29" i="18" s="1"/>
  <c r="AB27" i="18"/>
  <c r="AC27" i="18" s="1"/>
  <c r="AD27" i="18" s="1"/>
  <c r="AE27" i="18" s="1"/>
  <c r="Z26" i="18"/>
  <c r="AN25" i="18"/>
  <c r="AR25" i="18"/>
  <c r="Z23" i="18"/>
  <c r="AA23" i="18"/>
  <c r="Z29" i="18"/>
  <c r="Z27" i="18"/>
  <c r="AB25" i="18"/>
  <c r="AC25" i="18" s="1"/>
  <c r="AD25" i="18" s="1"/>
  <c r="AE25" i="18" s="1"/>
  <c r="N21" i="15"/>
  <c r="N23" i="15"/>
  <c r="N17" i="15"/>
  <c r="N18" i="15"/>
  <c r="K18" i="15"/>
  <c r="K22" i="15"/>
  <c r="K19" i="15"/>
  <c r="N19" i="15"/>
  <c r="K20" i="15"/>
  <c r="N22" i="15"/>
  <c r="K17" i="15"/>
  <c r="N20" i="15"/>
  <c r="K21" i="15"/>
  <c r="K23" i="15"/>
  <c r="Q17" i="15"/>
  <c r="Q18" i="15"/>
  <c r="Q19" i="15"/>
  <c r="Q20" i="15"/>
  <c r="Q21" i="15"/>
  <c r="Q22" i="15"/>
  <c r="Q23" i="15"/>
  <c r="AB23" i="18"/>
  <c r="AC23" i="18" s="1"/>
  <c r="AD23" i="18" s="1"/>
  <c r="AE23" i="18" s="1"/>
  <c r="AB24" i="18"/>
  <c r="AC24" i="18" s="1"/>
  <c r="AD24" i="18" s="1"/>
  <c r="AE24" i="18" s="1"/>
  <c r="K77" i="5"/>
  <c r="K79" i="5" s="1"/>
  <c r="AL26" i="18"/>
  <c r="AK26" i="18"/>
  <c r="AM26" i="18" s="1"/>
  <c r="AW24" i="18" s="1"/>
  <c r="AJ26" i="18"/>
  <c r="AA8" i="14"/>
  <c r="AA13" i="14"/>
  <c r="AA20" i="14"/>
  <c r="R3" i="14"/>
  <c r="AA3" i="14" s="1"/>
  <c r="R5" i="14"/>
  <c r="AA5" i="14" s="1"/>
  <c r="R6" i="14"/>
  <c r="AA6" i="14" s="1"/>
  <c r="R8" i="14"/>
  <c r="R9" i="14"/>
  <c r="AA9" i="14" s="1"/>
  <c r="R10" i="14"/>
  <c r="AA10" i="14" s="1"/>
  <c r="R11" i="14"/>
  <c r="AA11" i="14" s="1"/>
  <c r="R12" i="14"/>
  <c r="R13" i="14"/>
  <c r="R15" i="14"/>
  <c r="AA15" i="14" s="1"/>
  <c r="R17" i="14"/>
  <c r="AA17" i="14" s="1"/>
  <c r="R19" i="14"/>
  <c r="AA19" i="14" s="1"/>
  <c r="R20" i="14"/>
  <c r="R21" i="14"/>
  <c r="AA21" i="14" s="1"/>
  <c r="R2" i="14"/>
  <c r="AM16" i="17"/>
  <c r="AN16" i="17" s="1"/>
  <c r="P21" i="18"/>
  <c r="I21" i="18"/>
  <c r="H21" i="18"/>
  <c r="F21" i="18"/>
  <c r="P22" i="18"/>
  <c r="F22" i="18"/>
  <c r="H22" i="18"/>
  <c r="I22" i="18"/>
  <c r="AJ20" i="18"/>
  <c r="AK20" i="18"/>
  <c r="AM20" i="18" s="1"/>
  <c r="AN20" i="18" s="1"/>
  <c r="AL20" i="18"/>
  <c r="AM17" i="17"/>
  <c r="AN17" i="17" s="1"/>
  <c r="P23" i="18"/>
  <c r="H23" i="18"/>
  <c r="I23" i="18"/>
  <c r="F23" i="18"/>
  <c r="P12" i="16"/>
  <c r="P27" i="16"/>
  <c r="N28" i="16" s="1"/>
  <c r="M27" i="16"/>
  <c r="N30" i="5"/>
  <c r="N28" i="5"/>
  <c r="N26" i="5"/>
  <c r="N22" i="5"/>
  <c r="AJ19" i="18"/>
  <c r="AK19" i="18"/>
  <c r="AM19" i="18" s="1"/>
  <c r="AN19" i="18" s="1"/>
  <c r="AL19" i="18"/>
  <c r="AL18" i="18"/>
  <c r="AK18" i="18"/>
  <c r="AM18" i="18" s="1"/>
  <c r="AN18" i="18" s="1"/>
  <c r="AJ18" i="18"/>
  <c r="AN26" i="18" l="1"/>
  <c r="AR26" i="18"/>
  <c r="U23" i="15"/>
  <c r="X23" i="15"/>
  <c r="Y23" i="15" s="1"/>
  <c r="R23" i="15"/>
  <c r="W23" i="15"/>
  <c r="V23" i="15"/>
  <c r="U17" i="15"/>
  <c r="X17" i="15"/>
  <c r="Y17" i="15" s="1"/>
  <c r="R17" i="15"/>
  <c r="W17" i="15"/>
  <c r="V17" i="15"/>
  <c r="U21" i="15"/>
  <c r="X21" i="15"/>
  <c r="Y21" i="15" s="1"/>
  <c r="R21" i="15"/>
  <c r="W21" i="15"/>
  <c r="V21" i="15"/>
  <c r="U19" i="15"/>
  <c r="X19" i="15"/>
  <c r="Y19" i="15" s="1"/>
  <c r="R19" i="15"/>
  <c r="W19" i="15"/>
  <c r="V19" i="15"/>
  <c r="U22" i="15"/>
  <c r="X22" i="15"/>
  <c r="Y22" i="15" s="1"/>
  <c r="R22" i="15"/>
  <c r="W22" i="15"/>
  <c r="V22" i="15"/>
  <c r="U20" i="15"/>
  <c r="X20" i="15"/>
  <c r="Y20" i="15" s="1"/>
  <c r="R20" i="15"/>
  <c r="W20" i="15"/>
  <c r="V20" i="15"/>
  <c r="U18" i="15"/>
  <c r="X18" i="15"/>
  <c r="Y18" i="15" s="1"/>
  <c r="R18" i="15"/>
  <c r="W18" i="15"/>
  <c r="V18" i="15"/>
  <c r="N31" i="5"/>
  <c r="N33" i="5" s="1"/>
  <c r="Q27" i="16"/>
  <c r="AM18" i="17"/>
  <c r="AM21" i="17"/>
  <c r="AN21" i="17" s="1"/>
  <c r="AN18" i="17" l="1"/>
  <c r="P17" i="17"/>
  <c r="H17" i="17"/>
  <c r="I17" i="17"/>
  <c r="H3" i="18"/>
  <c r="I3" i="18"/>
  <c r="H4" i="18"/>
  <c r="I4" i="18"/>
  <c r="H5" i="18"/>
  <c r="I5" i="18"/>
  <c r="H6" i="18"/>
  <c r="I6" i="18"/>
  <c r="H7" i="18"/>
  <c r="I7" i="18"/>
  <c r="H8" i="18"/>
  <c r="I8" i="18"/>
  <c r="H9" i="18"/>
  <c r="I9" i="18"/>
  <c r="H10" i="18"/>
  <c r="I10" i="18"/>
  <c r="H11" i="18"/>
  <c r="I11" i="18"/>
  <c r="H12" i="18"/>
  <c r="I12" i="18"/>
  <c r="H13" i="18"/>
  <c r="I13" i="18"/>
  <c r="H14" i="18"/>
  <c r="I14" i="18"/>
  <c r="H15" i="18"/>
  <c r="I15" i="18"/>
  <c r="H16" i="18"/>
  <c r="I16" i="18"/>
  <c r="H17" i="18"/>
  <c r="I17" i="18"/>
  <c r="H18" i="18"/>
  <c r="I18" i="18"/>
  <c r="H19" i="18"/>
  <c r="I19" i="18"/>
  <c r="H20" i="18"/>
  <c r="I20" i="18"/>
  <c r="I2" i="18"/>
  <c r="H2" i="18"/>
  <c r="J4" i="5"/>
  <c r="F4" i="5"/>
  <c r="K8" i="16"/>
  <c r="K7" i="16"/>
  <c r="K6" i="16"/>
  <c r="K4" i="16"/>
  <c r="H3" i="17"/>
  <c r="I3" i="17"/>
  <c r="H4" i="17"/>
  <c r="I4" i="17"/>
  <c r="H5" i="17"/>
  <c r="I5" i="17"/>
  <c r="H6" i="17"/>
  <c r="I6" i="17"/>
  <c r="H7" i="17"/>
  <c r="I7" i="17"/>
  <c r="H8" i="17"/>
  <c r="I8" i="17"/>
  <c r="H9" i="17"/>
  <c r="I9" i="17"/>
  <c r="H11" i="17"/>
  <c r="I11" i="17"/>
  <c r="H12" i="17"/>
  <c r="I12" i="17"/>
  <c r="H13" i="17"/>
  <c r="I13" i="17"/>
  <c r="H14" i="17"/>
  <c r="I14" i="17"/>
  <c r="H15" i="17"/>
  <c r="I15" i="17"/>
  <c r="H16" i="17"/>
  <c r="I16" i="17"/>
  <c r="H18" i="17"/>
  <c r="I18" i="17"/>
  <c r="H19" i="17"/>
  <c r="I19" i="17"/>
  <c r="H20" i="17"/>
  <c r="I20" i="17"/>
  <c r="H22" i="17"/>
  <c r="I22" i="17"/>
  <c r="H24" i="17"/>
  <c r="I24" i="17"/>
  <c r="H26" i="17"/>
  <c r="I26" i="17"/>
  <c r="H29" i="17"/>
  <c r="I29" i="17"/>
  <c r="H30" i="17"/>
  <c r="I30" i="17"/>
  <c r="H31" i="17"/>
  <c r="I31" i="17"/>
  <c r="I2" i="17"/>
  <c r="H2" i="17"/>
  <c r="AL5" i="18"/>
  <c r="AL6" i="18"/>
  <c r="AL4" i="18"/>
  <c r="N4" i="5"/>
  <c r="AM30" i="17"/>
  <c r="AN30" i="17" s="1"/>
  <c r="AM31" i="17"/>
  <c r="AN31" i="17" s="1"/>
  <c r="AM22" i="17"/>
  <c r="AQ22" i="17" s="1"/>
  <c r="Z20" i="18"/>
  <c r="X20" i="18"/>
  <c r="AB20" i="18" s="1"/>
  <c r="AC20" i="18" s="1"/>
  <c r="AD20" i="18" s="1"/>
  <c r="AE20" i="18" s="1"/>
  <c r="U20" i="18"/>
  <c r="P20" i="18"/>
  <c r="F20" i="18"/>
  <c r="U31" i="17"/>
  <c r="Y31" i="17"/>
  <c r="X30" i="17"/>
  <c r="AB30" i="17" s="1"/>
  <c r="AC30" i="17" s="1"/>
  <c r="AD30" i="17" s="1"/>
  <c r="AE30" i="17" s="1"/>
  <c r="X31" i="17"/>
  <c r="AB31" i="17" s="1"/>
  <c r="AC31" i="17" s="1"/>
  <c r="AD31" i="17" s="1"/>
  <c r="AE31" i="17" s="1"/>
  <c r="Y30" i="17"/>
  <c r="U30" i="17"/>
  <c r="Y29" i="17"/>
  <c r="U29" i="17"/>
  <c r="F31" i="17"/>
  <c r="P31" i="17"/>
  <c r="P30" i="17"/>
  <c r="F30" i="17"/>
  <c r="P29" i="17"/>
  <c r="F29" i="17"/>
  <c r="X29" i="17"/>
  <c r="AB29" i="17" s="1"/>
  <c r="AC29" i="17" s="1"/>
  <c r="AD29" i="17" s="1"/>
  <c r="AE29" i="17" s="1"/>
  <c r="AM26" i="17"/>
  <c r="AM24" i="17"/>
  <c r="D64" i="10"/>
  <c r="D65" i="10"/>
  <c r="D66" i="10"/>
  <c r="D67" i="10"/>
  <c r="D68" i="10"/>
  <c r="D69" i="10"/>
  <c r="D63" i="10"/>
  <c r="D51" i="10"/>
  <c r="D52" i="10"/>
  <c r="D53" i="10"/>
  <c r="D54" i="10"/>
  <c r="D55" i="10"/>
  <c r="D56" i="10"/>
  <c r="D57" i="10"/>
  <c r="D58" i="10"/>
  <c r="D59" i="10"/>
  <c r="D50" i="10"/>
  <c r="X19" i="18"/>
  <c r="AB19" i="18" s="1"/>
  <c r="AC19" i="18" s="1"/>
  <c r="AD19" i="18" s="1"/>
  <c r="AE19" i="18" s="1"/>
  <c r="Z19" i="18"/>
  <c r="U19" i="18"/>
  <c r="P19" i="18"/>
  <c r="F19" i="18"/>
  <c r="F51" i="16"/>
  <c r="D51" i="16"/>
  <c r="G51" i="16" s="1"/>
  <c r="F117" i="5"/>
  <c r="F115" i="5"/>
  <c r="F113" i="5"/>
  <c r="F109" i="5"/>
  <c r="AB26" i="17"/>
  <c r="AC26" i="17" s="1"/>
  <c r="AD26" i="17" s="1"/>
  <c r="AE26" i="17" s="1"/>
  <c r="Y26" i="17"/>
  <c r="U26" i="17"/>
  <c r="P26" i="17"/>
  <c r="AB24" i="17"/>
  <c r="AC24" i="17" s="1"/>
  <c r="AD24" i="17" s="1"/>
  <c r="AE24" i="17" s="1"/>
  <c r="Y24" i="17"/>
  <c r="U24" i="17"/>
  <c r="Y22" i="17"/>
  <c r="U22" i="17"/>
  <c r="P24" i="17"/>
  <c r="Z17" i="18"/>
  <c r="X17" i="18"/>
  <c r="AB17" i="18" s="1"/>
  <c r="AC17" i="18" s="1"/>
  <c r="AD17" i="18" s="1"/>
  <c r="AE17" i="18" s="1"/>
  <c r="U17" i="18"/>
  <c r="P18" i="18"/>
  <c r="F18" i="18"/>
  <c r="Z16" i="18"/>
  <c r="Z18" i="18"/>
  <c r="X16" i="18"/>
  <c r="AB16" i="18" s="1"/>
  <c r="AC16" i="18" s="1"/>
  <c r="AD16" i="18" s="1"/>
  <c r="AE16" i="18" s="1"/>
  <c r="X18" i="18"/>
  <c r="AB18" i="18" s="1"/>
  <c r="AC18" i="18" s="1"/>
  <c r="AD18" i="18" s="1"/>
  <c r="AE18" i="18" s="1"/>
  <c r="U16" i="18"/>
  <c r="U18" i="18"/>
  <c r="P22" i="17"/>
  <c r="F22" i="17"/>
  <c r="X22" i="17"/>
  <c r="AB22" i="17" s="1"/>
  <c r="AC22" i="17" s="1"/>
  <c r="AD22" i="17" s="1"/>
  <c r="AE22" i="17" s="1"/>
  <c r="F47" i="16"/>
  <c r="D47" i="16"/>
  <c r="G47" i="16" s="1"/>
  <c r="H47" i="16" s="1"/>
  <c r="F100" i="5"/>
  <c r="F98" i="5"/>
  <c r="F96" i="5"/>
  <c r="F92" i="5"/>
  <c r="AM19" i="17"/>
  <c r="AN19" i="17" s="1"/>
  <c r="AM20" i="17"/>
  <c r="AN20" i="17" s="1"/>
  <c r="AM14" i="17"/>
  <c r="AM15" i="17"/>
  <c r="AN15" i="17" s="1"/>
  <c r="AM9" i="17"/>
  <c r="AN9" i="17" s="1"/>
  <c r="Y20" i="17"/>
  <c r="U20" i="17"/>
  <c r="X19" i="17"/>
  <c r="AB19" i="17" s="1"/>
  <c r="AC19" i="17" s="1"/>
  <c r="AD19" i="17" s="1"/>
  <c r="AE19" i="17" s="1"/>
  <c r="X20" i="17"/>
  <c r="AB20" i="17" s="1"/>
  <c r="AC20" i="17" s="1"/>
  <c r="AD20" i="17" s="1"/>
  <c r="AE20" i="17" s="1"/>
  <c r="Y19" i="17"/>
  <c r="U19" i="17"/>
  <c r="X18" i="17"/>
  <c r="AB18" i="17" s="1"/>
  <c r="AC18" i="17" s="1"/>
  <c r="AD18" i="17" s="1"/>
  <c r="AE18" i="17" s="1"/>
  <c r="Y18" i="17"/>
  <c r="U18" i="17"/>
  <c r="F20" i="17"/>
  <c r="P20" i="17"/>
  <c r="F19" i="17"/>
  <c r="P19" i="17"/>
  <c r="P18" i="17"/>
  <c r="F18" i="17"/>
  <c r="F83" i="5"/>
  <c r="F81" i="5"/>
  <c r="F79" i="5"/>
  <c r="F75" i="5"/>
  <c r="F43" i="16"/>
  <c r="D43" i="16"/>
  <c r="G43" i="16" s="1"/>
  <c r="H43" i="16" l="1"/>
  <c r="AN24" i="17"/>
  <c r="AQ24" i="17"/>
  <c r="AN26" i="17"/>
  <c r="AQ26" i="17"/>
  <c r="AT18" i="17"/>
  <c r="AN14" i="17"/>
  <c r="AT14" i="17"/>
  <c r="AN22" i="17"/>
  <c r="AT22" i="17"/>
  <c r="F118" i="5"/>
  <c r="F120" i="5" s="1"/>
  <c r="H51" i="16"/>
  <c r="F101" i="5"/>
  <c r="F103" i="5" s="1"/>
  <c r="F84" i="5"/>
  <c r="F86" i="5" s="1"/>
  <c r="P17" i="18"/>
  <c r="F17" i="18"/>
  <c r="Z27" i="9"/>
  <c r="Z28" i="9"/>
  <c r="Z29" i="9"/>
  <c r="Z30" i="9"/>
  <c r="Z26" i="9"/>
  <c r="G31" i="16"/>
  <c r="F31" i="16"/>
  <c r="D31" i="16"/>
  <c r="P22" i="16"/>
  <c r="N23" i="16" s="1"/>
  <c r="K22" i="16"/>
  <c r="M22" i="16" s="1"/>
  <c r="U16" i="17"/>
  <c r="Y16" i="17"/>
  <c r="X15" i="17"/>
  <c r="AB15" i="17" s="1"/>
  <c r="AC15" i="17" s="1"/>
  <c r="AD15" i="17" s="1"/>
  <c r="AE15" i="17" s="1"/>
  <c r="X16" i="17"/>
  <c r="AB16" i="17" s="1"/>
  <c r="AC16" i="17" s="1"/>
  <c r="AD16" i="17" s="1"/>
  <c r="AE16" i="17" s="1"/>
  <c r="Y15" i="17"/>
  <c r="U15" i="17"/>
  <c r="P16" i="17"/>
  <c r="P15" i="17"/>
  <c r="X14" i="17"/>
  <c r="AB14" i="17" s="1"/>
  <c r="AC14" i="17" s="1"/>
  <c r="AD14" i="17" s="1"/>
  <c r="AE14" i="17" s="1"/>
  <c r="U14" i="17"/>
  <c r="Y14" i="17"/>
  <c r="P14" i="17"/>
  <c r="H31" i="16" l="1"/>
  <c r="Q22" i="16"/>
  <c r="F39" i="16"/>
  <c r="F58" i="5"/>
  <c r="D39" i="16"/>
  <c r="G39" i="16" s="1"/>
  <c r="H39" i="16" s="1"/>
  <c r="J30" i="5"/>
  <c r="J28" i="5"/>
  <c r="J26" i="5"/>
  <c r="J22" i="5"/>
  <c r="F23" i="5"/>
  <c r="G35" i="16"/>
  <c r="H35" i="16" s="1"/>
  <c r="D35" i="16"/>
  <c r="AJ12" i="18"/>
  <c r="AK12" i="18"/>
  <c r="AM12" i="18" s="1"/>
  <c r="AN12" i="18" s="1"/>
  <c r="AL12" i="18"/>
  <c r="F66" i="5"/>
  <c r="F64" i="5"/>
  <c r="F62" i="5"/>
  <c r="AM12" i="17"/>
  <c r="AN12" i="17" s="1"/>
  <c r="AM6" i="17"/>
  <c r="AN6" i="17" s="1"/>
  <c r="AB13" i="17"/>
  <c r="AC13" i="17" s="1"/>
  <c r="AD13" i="17" s="1"/>
  <c r="AE13" i="17" s="1"/>
  <c r="Y13" i="17"/>
  <c r="U13" i="17"/>
  <c r="P13" i="17"/>
  <c r="F13" i="17"/>
  <c r="P16" i="18"/>
  <c r="F16" i="18"/>
  <c r="X11" i="17"/>
  <c r="AB11" i="17" s="1"/>
  <c r="AC11" i="17" s="1"/>
  <c r="AD11" i="17" s="1"/>
  <c r="AE11" i="17" s="1"/>
  <c r="Y11" i="17"/>
  <c r="U11" i="17"/>
  <c r="P11" i="17"/>
  <c r="F11" i="17"/>
  <c r="X15" i="18"/>
  <c r="AB15" i="18" s="1"/>
  <c r="AC15" i="18" s="1"/>
  <c r="AD15" i="18" s="1"/>
  <c r="AE15" i="18" s="1"/>
  <c r="Z15" i="18"/>
  <c r="U15" i="18"/>
  <c r="Z14" i="18"/>
  <c r="U14" i="18"/>
  <c r="AB12" i="17"/>
  <c r="AC12" i="17" s="1"/>
  <c r="AD12" i="17" s="1"/>
  <c r="AE12" i="17" s="1"/>
  <c r="Y12" i="17"/>
  <c r="U12" i="17"/>
  <c r="Y9" i="17"/>
  <c r="U9" i="17"/>
  <c r="P12" i="17"/>
  <c r="F12" i="17"/>
  <c r="F15" i="18"/>
  <c r="P15" i="18"/>
  <c r="P9" i="17"/>
  <c r="F9" i="17"/>
  <c r="X9" i="17"/>
  <c r="AB9" i="17" s="1"/>
  <c r="AC9" i="17" s="1"/>
  <c r="AD9" i="17" s="1"/>
  <c r="AE9" i="17" s="1"/>
  <c r="G27" i="16"/>
  <c r="D27" i="16"/>
  <c r="F49" i="5"/>
  <c r="F47" i="5"/>
  <c r="F45" i="5"/>
  <c r="F41" i="5"/>
  <c r="H4" i="5"/>
  <c r="AM4" i="17"/>
  <c r="AN4" i="17" s="1"/>
  <c r="F31" i="5"/>
  <c r="F29" i="5"/>
  <c r="F27" i="5"/>
  <c r="P14" i="18"/>
  <c r="F14" i="18"/>
  <c r="X14" i="18"/>
  <c r="AB14" i="18" s="1"/>
  <c r="AC14" i="18" s="1"/>
  <c r="AD14" i="18" s="1"/>
  <c r="AE14" i="18" s="1"/>
  <c r="AO6" i="17"/>
  <c r="AP6" i="17" s="1"/>
  <c r="R4" i="5"/>
  <c r="F22" i="16"/>
  <c r="G22" i="16" s="1"/>
  <c r="D22" i="16"/>
  <c r="H22" i="16" s="1"/>
  <c r="R12" i="5"/>
  <c r="R10" i="5"/>
  <c r="R8" i="5"/>
  <c r="AL11" i="18"/>
  <c r="AK11" i="18"/>
  <c r="AM11" i="18" s="1"/>
  <c r="AN11" i="18" s="1"/>
  <c r="AJ11" i="18"/>
  <c r="Z13" i="18"/>
  <c r="X13" i="18"/>
  <c r="AB13" i="18" s="1"/>
  <c r="AC13" i="18" s="1"/>
  <c r="AD13" i="18" s="1"/>
  <c r="AE13" i="18" s="1"/>
  <c r="F13" i="18"/>
  <c r="U13" i="18"/>
  <c r="P13" i="18"/>
  <c r="X12" i="18"/>
  <c r="AB12" i="18" s="1"/>
  <c r="AC12" i="18" s="1"/>
  <c r="AD12" i="18" s="1"/>
  <c r="AE12" i="18" s="1"/>
  <c r="Z12" i="18"/>
  <c r="U12" i="18"/>
  <c r="P12" i="18"/>
  <c r="F12" i="18"/>
  <c r="X11" i="18"/>
  <c r="AB11" i="18" s="1"/>
  <c r="AC11" i="18" s="1"/>
  <c r="AD11" i="18" s="1"/>
  <c r="AE11" i="18" s="1"/>
  <c r="Z11" i="18"/>
  <c r="U11" i="18"/>
  <c r="P11" i="18"/>
  <c r="F11" i="18"/>
  <c r="Z10" i="18"/>
  <c r="U10" i="18"/>
  <c r="P10" i="18"/>
  <c r="F10" i="18"/>
  <c r="X10" i="18"/>
  <c r="AB10" i="18" s="1"/>
  <c r="AC10" i="18" s="1"/>
  <c r="AD10" i="18" s="1"/>
  <c r="AE10" i="18" s="1"/>
  <c r="N12" i="5"/>
  <c r="N10" i="5"/>
  <c r="N8" i="5"/>
  <c r="F18" i="16"/>
  <c r="G18" i="16" s="1"/>
  <c r="D18" i="16"/>
  <c r="AN2" i="18"/>
  <c r="AN3" i="18"/>
  <c r="H18" i="16" l="1"/>
  <c r="H27" i="16"/>
  <c r="N13" i="5"/>
  <c r="N15" i="5" s="1"/>
  <c r="J31" i="5"/>
  <c r="J33" i="5" s="1"/>
  <c r="F67" i="5"/>
  <c r="F69" i="5" s="1"/>
  <c r="F50" i="5"/>
  <c r="F52" i="5" s="1"/>
  <c r="F32" i="5"/>
  <c r="F34" i="5" s="1"/>
  <c r="R13" i="5"/>
  <c r="R15" i="5" s="1"/>
  <c r="AL7" i="18"/>
  <c r="AL8" i="18"/>
  <c r="AL9" i="18"/>
  <c r="AL10" i="18"/>
  <c r="AK5" i="18"/>
  <c r="AM5" i="18" s="1"/>
  <c r="AN5" i="18" s="1"/>
  <c r="AK6" i="18"/>
  <c r="AM6" i="18" s="1"/>
  <c r="AN6" i="18" s="1"/>
  <c r="AK7" i="18"/>
  <c r="AM7" i="18" s="1"/>
  <c r="AN7" i="18" s="1"/>
  <c r="AK8" i="18"/>
  <c r="AM8" i="18" s="1"/>
  <c r="AN8" i="18" s="1"/>
  <c r="AK9" i="18"/>
  <c r="AM9" i="18" s="1"/>
  <c r="AN9" i="18" s="1"/>
  <c r="AK10" i="18"/>
  <c r="AM10" i="18" s="1"/>
  <c r="AK4" i="18"/>
  <c r="AM4" i="18" s="1"/>
  <c r="AN4" i="18" s="1"/>
  <c r="AK3" i="18"/>
  <c r="AK2" i="18"/>
  <c r="AJ6" i="18"/>
  <c r="AJ4" i="18"/>
  <c r="D5" i="15"/>
  <c r="D6" i="15"/>
  <c r="D7" i="15"/>
  <c r="D8" i="15"/>
  <c r="D9" i="15"/>
  <c r="D10" i="15"/>
  <c r="D11" i="15"/>
  <c r="D12" i="15"/>
  <c r="D4" i="1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4" i="4"/>
  <c r="C25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6" i="4"/>
  <c r="C48" i="4"/>
  <c r="C49" i="4"/>
  <c r="C50" i="4"/>
  <c r="C51" i="4"/>
  <c r="C52" i="4"/>
  <c r="C3" i="4"/>
  <c r="P4" i="18" l="1"/>
  <c r="P5" i="18"/>
  <c r="P6" i="18"/>
  <c r="P7" i="18"/>
  <c r="P8" i="18"/>
  <c r="P9" i="18"/>
  <c r="F3" i="18"/>
  <c r="F4" i="18"/>
  <c r="F5" i="18"/>
  <c r="F6" i="18"/>
  <c r="F7" i="18"/>
  <c r="F8" i="18"/>
  <c r="F9" i="18"/>
  <c r="Z9" i="18"/>
  <c r="X9" i="18"/>
  <c r="AB9" i="18" s="1"/>
  <c r="AC9" i="18" s="1"/>
  <c r="AD9" i="18" s="1"/>
  <c r="AE9" i="18" s="1"/>
  <c r="U9" i="18"/>
  <c r="Z8" i="18"/>
  <c r="X8" i="18"/>
  <c r="AB8" i="18" s="1"/>
  <c r="AC8" i="18" s="1"/>
  <c r="AD8" i="18" s="1"/>
  <c r="AE8" i="18" s="1"/>
  <c r="U8" i="18"/>
  <c r="Z7" i="18"/>
  <c r="X7" i="18"/>
  <c r="AB7" i="18" s="1"/>
  <c r="AC7" i="18" s="1"/>
  <c r="AD7" i="18" s="1"/>
  <c r="AE7" i="18" s="1"/>
  <c r="U7" i="18"/>
  <c r="Z6" i="18"/>
  <c r="X6" i="18"/>
  <c r="AB6" i="18" s="1"/>
  <c r="AC6" i="18" s="1"/>
  <c r="AD6" i="18" s="1"/>
  <c r="AE6" i="18" s="1"/>
  <c r="U6" i="18"/>
  <c r="Z5" i="18"/>
  <c r="X5" i="18"/>
  <c r="AB5" i="18" s="1"/>
  <c r="AC5" i="18" s="1"/>
  <c r="AD5" i="18" s="1"/>
  <c r="AE5" i="18" s="1"/>
  <c r="U5" i="18"/>
  <c r="Z4" i="18"/>
  <c r="X4" i="18"/>
  <c r="AB4" i="18" s="1"/>
  <c r="AC4" i="18" s="1"/>
  <c r="AD4" i="18" s="1"/>
  <c r="AE4" i="18" s="1"/>
  <c r="U4" i="18"/>
  <c r="Z3" i="18"/>
  <c r="X3" i="18"/>
  <c r="AB3" i="18" s="1"/>
  <c r="AC3" i="18" s="1"/>
  <c r="AD3" i="18" s="1"/>
  <c r="AE3" i="18" s="1"/>
  <c r="U3" i="18"/>
  <c r="Z2" i="18"/>
  <c r="X2" i="18"/>
  <c r="AB2" i="18" s="1"/>
  <c r="AC2" i="18" s="1"/>
  <c r="AD2" i="18" s="1"/>
  <c r="AE2" i="18" s="1"/>
  <c r="U2" i="18"/>
  <c r="P2" i="18"/>
  <c r="P3" i="18"/>
  <c r="P2" i="17"/>
  <c r="P5" i="17"/>
  <c r="P6" i="17"/>
  <c r="P7" i="17"/>
  <c r="P8" i="17"/>
  <c r="F5" i="17"/>
  <c r="F6" i="17"/>
  <c r="F7" i="17"/>
  <c r="F8" i="17"/>
  <c r="X3" i="17" l="1"/>
  <c r="AB3" i="17" s="1"/>
  <c r="AC3" i="17" s="1"/>
  <c r="AD3" i="17" s="1"/>
  <c r="AE3" i="17" s="1"/>
  <c r="X4" i="17"/>
  <c r="X5" i="17"/>
  <c r="AB5" i="17" s="1"/>
  <c r="AC5" i="17" s="1"/>
  <c r="AD5" i="17" s="1"/>
  <c r="AE5" i="17" s="1"/>
  <c r="X6" i="17"/>
  <c r="AB6" i="17" s="1"/>
  <c r="AC6" i="17" s="1"/>
  <c r="AD6" i="17" s="1"/>
  <c r="AE6" i="17" s="1"/>
  <c r="X7" i="17"/>
  <c r="X8" i="17"/>
  <c r="AB8" i="17" s="1"/>
  <c r="AC8" i="17" s="1"/>
  <c r="AD8" i="17" s="1"/>
  <c r="AE8" i="17" s="1"/>
  <c r="Y3" i="17"/>
  <c r="Y4" i="17"/>
  <c r="AB4" i="17"/>
  <c r="AC4" i="17" s="1"/>
  <c r="AD4" i="17" s="1"/>
  <c r="AE4" i="17" s="1"/>
  <c r="Y5" i="17"/>
  <c r="Y6" i="17"/>
  <c r="Y7" i="17"/>
  <c r="AB7" i="17"/>
  <c r="AC7" i="17" s="1"/>
  <c r="AD7" i="17" s="1"/>
  <c r="AE7" i="17" s="1"/>
  <c r="Y8" i="17"/>
  <c r="U3" i="17"/>
  <c r="U4" i="17"/>
  <c r="U5" i="17"/>
  <c r="U6" i="17"/>
  <c r="U7" i="17"/>
  <c r="U8" i="17"/>
  <c r="U2" i="17"/>
  <c r="Y2" i="17"/>
  <c r="X2" i="17"/>
  <c r="AB2" i="17" s="1"/>
  <c r="AC2" i="17" s="1"/>
  <c r="AD2" i="17" s="1"/>
  <c r="AE2" i="17" s="1"/>
  <c r="P4" i="17" l="1"/>
  <c r="F4" i="17"/>
  <c r="F3" i="17"/>
  <c r="F2" i="18"/>
  <c r="P3" i="17"/>
  <c r="D12" i="16"/>
  <c r="F2" i="17"/>
  <c r="J12" i="5" l="1"/>
  <c r="J10" i="5"/>
  <c r="J8" i="5"/>
  <c r="F12" i="5"/>
  <c r="F10" i="5"/>
  <c r="F8" i="5"/>
  <c r="G12" i="16"/>
  <c r="J13" i="5" l="1"/>
  <c r="J15" i="5" s="1"/>
  <c r="F13" i="5"/>
  <c r="F15" i="5" s="1"/>
  <c r="F9" i="16"/>
  <c r="G9" i="16" s="1"/>
  <c r="D9" i="16"/>
  <c r="E3" i="16"/>
  <c r="F8" i="16" l="1"/>
  <c r="G8" i="16" s="1"/>
  <c r="D8" i="16"/>
  <c r="F5" i="16"/>
  <c r="G5" i="16" s="1"/>
  <c r="F4" i="16"/>
  <c r="G4" i="16" s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4" i="4"/>
  <c r="E25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6" i="4"/>
  <c r="E48" i="4"/>
  <c r="E49" i="4"/>
  <c r="E50" i="4"/>
  <c r="E51" i="4"/>
  <c r="E52" i="4"/>
  <c r="E3" i="4"/>
  <c r="J73" i="15" l="1"/>
  <c r="O73" i="15" s="1"/>
  <c r="J72" i="15"/>
  <c r="J71" i="15"/>
  <c r="O71" i="15" s="1"/>
  <c r="J69" i="15"/>
  <c r="O69" i="15" s="1"/>
  <c r="J67" i="15"/>
  <c r="O67" i="15" s="1"/>
  <c r="J65" i="15"/>
  <c r="O65" i="15" s="1"/>
  <c r="J64" i="15"/>
  <c r="O64" i="15" s="1"/>
  <c r="J49" i="15"/>
  <c r="M49" i="15" s="1"/>
  <c r="J48" i="15"/>
  <c r="J47" i="15"/>
  <c r="J45" i="15"/>
  <c r="J44" i="15"/>
  <c r="M44" i="15" s="1"/>
  <c r="J42" i="15"/>
  <c r="J41" i="15"/>
  <c r="AG5" i="15"/>
  <c r="AJ5" i="15" s="1"/>
  <c r="AG6" i="15"/>
  <c r="AL6" i="15" s="1"/>
  <c r="AG7" i="15"/>
  <c r="AL7" i="15" s="1"/>
  <c r="AG8" i="15"/>
  <c r="AH8" i="15" s="1"/>
  <c r="AG9" i="15"/>
  <c r="AJ9" i="15" s="1"/>
  <c r="AG10" i="15"/>
  <c r="AL10" i="15" s="1"/>
  <c r="AG11" i="15"/>
  <c r="AL11" i="15" s="1"/>
  <c r="AG12" i="15"/>
  <c r="AH12" i="15" s="1"/>
  <c r="AG4" i="15"/>
  <c r="AJ4" i="15" s="1"/>
  <c r="J5" i="15"/>
  <c r="J6" i="15"/>
  <c r="K6" i="15" s="1"/>
  <c r="J7" i="15"/>
  <c r="K7" i="15" s="1"/>
  <c r="J8" i="15"/>
  <c r="K8" i="15" s="1"/>
  <c r="J9" i="15"/>
  <c r="J10" i="15"/>
  <c r="K10" i="15" s="1"/>
  <c r="J11" i="15"/>
  <c r="K11" i="15" s="1"/>
  <c r="J12" i="15"/>
  <c r="K12" i="15" s="1"/>
  <c r="J4" i="15"/>
  <c r="M72" i="15" l="1"/>
  <c r="O72" i="15"/>
  <c r="N4" i="15"/>
  <c r="K4" i="15"/>
  <c r="N9" i="15"/>
  <c r="K9" i="15"/>
  <c r="N5" i="15"/>
  <c r="K5" i="15"/>
  <c r="L8" i="15"/>
  <c r="N8" i="15"/>
  <c r="O45" i="15"/>
  <c r="S45" i="15" s="1"/>
  <c r="M45" i="15"/>
  <c r="S69" i="15"/>
  <c r="M69" i="15"/>
  <c r="L12" i="15"/>
  <c r="N12" i="15"/>
  <c r="Q11" i="15"/>
  <c r="R11" i="15" s="1"/>
  <c r="N11" i="15"/>
  <c r="Q7" i="15"/>
  <c r="R7" i="15" s="1"/>
  <c r="N7" i="15"/>
  <c r="O41" i="15"/>
  <c r="S41" i="15" s="1"/>
  <c r="M41" i="15"/>
  <c r="O47" i="15"/>
  <c r="S47" i="15" s="1"/>
  <c r="M47" i="15"/>
  <c r="M64" i="15"/>
  <c r="S71" i="15"/>
  <c r="M71" i="15"/>
  <c r="Q10" i="15"/>
  <c r="R10" i="15" s="1"/>
  <c r="N10" i="15"/>
  <c r="Q6" i="15"/>
  <c r="R6" i="15" s="1"/>
  <c r="N6" i="15"/>
  <c r="O42" i="15"/>
  <c r="S42" i="15" s="1"/>
  <c r="M42" i="15"/>
  <c r="O48" i="15"/>
  <c r="S48" i="15" s="1"/>
  <c r="M48" i="15"/>
  <c r="R65" i="15"/>
  <c r="M65" i="15"/>
  <c r="S67" i="15"/>
  <c r="M67" i="15"/>
  <c r="S73" i="15"/>
  <c r="M73" i="15"/>
  <c r="K67" i="15"/>
  <c r="K65" i="15"/>
  <c r="K72" i="15"/>
  <c r="K73" i="15"/>
  <c r="K69" i="15"/>
  <c r="R71" i="15"/>
  <c r="K64" i="15"/>
  <c r="K71" i="15"/>
  <c r="AH11" i="15"/>
  <c r="AH7" i="15"/>
  <c r="L11" i="15"/>
  <c r="AJ12" i="15"/>
  <c r="Q9" i="15"/>
  <c r="X9" i="15" s="1"/>
  <c r="Y9" i="15" s="1"/>
  <c r="AJ8" i="15"/>
  <c r="L7" i="15"/>
  <c r="Q8" i="15"/>
  <c r="AH10" i="15"/>
  <c r="AH6" i="15"/>
  <c r="AJ11" i="15"/>
  <c r="AJ7" i="15"/>
  <c r="AL4" i="15"/>
  <c r="AL9" i="15"/>
  <c r="AL5" i="15"/>
  <c r="K45" i="15"/>
  <c r="Q4" i="15"/>
  <c r="Q5" i="15"/>
  <c r="AH4" i="15"/>
  <c r="AH9" i="15"/>
  <c r="AH5" i="15"/>
  <c r="AJ10" i="15"/>
  <c r="AJ6" i="15"/>
  <c r="AL12" i="15"/>
  <c r="AL8" i="15"/>
  <c r="K47" i="15"/>
  <c r="O49" i="15"/>
  <c r="R49" i="15" s="1"/>
  <c r="Q12" i="15"/>
  <c r="K41" i="15"/>
  <c r="O44" i="15"/>
  <c r="K42" i="15"/>
  <c r="K44" i="15"/>
  <c r="K49" i="15"/>
  <c r="K48" i="15"/>
  <c r="L4" i="15"/>
  <c r="L9" i="15"/>
  <c r="L5" i="15"/>
  <c r="L10" i="15"/>
  <c r="L6" i="15"/>
  <c r="U45" i="15" l="1"/>
  <c r="V45" i="15" s="1"/>
  <c r="T69" i="15"/>
  <c r="R69" i="15"/>
  <c r="S64" i="15"/>
  <c r="U64" i="15"/>
  <c r="V64" i="15" s="1"/>
  <c r="R41" i="15"/>
  <c r="W11" i="15"/>
  <c r="X11" i="15"/>
  <c r="Y11" i="15" s="1"/>
  <c r="W10" i="15"/>
  <c r="R45" i="15"/>
  <c r="T45" i="15"/>
  <c r="U47" i="15"/>
  <c r="V47" i="15" s="1"/>
  <c r="T42" i="15"/>
  <c r="T41" i="15"/>
  <c r="U42" i="15"/>
  <c r="V42" i="15" s="1"/>
  <c r="R48" i="15"/>
  <c r="R42" i="15"/>
  <c r="X10" i="15"/>
  <c r="Y10" i="15" s="1"/>
  <c r="T67" i="15"/>
  <c r="U41" i="15"/>
  <c r="V41" i="15" s="1"/>
  <c r="T47" i="15"/>
  <c r="R73" i="15"/>
  <c r="U69" i="15"/>
  <c r="V69" i="15" s="1"/>
  <c r="W6" i="15"/>
  <c r="X6" i="15"/>
  <c r="Y6" i="15" s="1"/>
  <c r="R64" i="15"/>
  <c r="T73" i="15"/>
  <c r="R67" i="15"/>
  <c r="V12" i="15"/>
  <c r="R12" i="15"/>
  <c r="V5" i="15"/>
  <c r="R5" i="15"/>
  <c r="W9" i="15"/>
  <c r="R9" i="15"/>
  <c r="T48" i="15"/>
  <c r="R47" i="15"/>
  <c r="W7" i="15"/>
  <c r="V8" i="15"/>
  <c r="R8" i="15"/>
  <c r="T71" i="15"/>
  <c r="T64" i="15"/>
  <c r="V4" i="15"/>
  <c r="R4" i="15"/>
  <c r="U48" i="15"/>
  <c r="V48" i="15" s="1"/>
  <c r="X7" i="15"/>
  <c r="Y7" i="15" s="1"/>
  <c r="U71" i="15"/>
  <c r="V71" i="15" s="1"/>
  <c r="T44" i="15"/>
  <c r="S44" i="15"/>
  <c r="U9" i="15"/>
  <c r="V9" i="15"/>
  <c r="U73" i="15"/>
  <c r="V73" i="15" s="1"/>
  <c r="T72" i="15"/>
  <c r="S72" i="15"/>
  <c r="T65" i="15"/>
  <c r="S65" i="15"/>
  <c r="U10" i="15"/>
  <c r="V10" i="15"/>
  <c r="U11" i="15"/>
  <c r="V11" i="15"/>
  <c r="U65" i="15"/>
  <c r="V65" i="15" s="1"/>
  <c r="U67" i="15"/>
  <c r="V67" i="15" s="1"/>
  <c r="T49" i="15"/>
  <c r="S49" i="15"/>
  <c r="U6" i="15"/>
  <c r="V6" i="15"/>
  <c r="U7" i="15"/>
  <c r="V7" i="15"/>
  <c r="R72" i="15"/>
  <c r="U72" i="15"/>
  <c r="V72" i="15" s="1"/>
  <c r="U44" i="15"/>
  <c r="V44" i="15" s="1"/>
  <c r="U5" i="15"/>
  <c r="X5" i="15"/>
  <c r="Y5" i="15" s="1"/>
  <c r="W5" i="15"/>
  <c r="AQ3" i="15"/>
  <c r="W12" i="15"/>
  <c r="X12" i="15"/>
  <c r="Y12" i="15" s="1"/>
  <c r="U12" i="15"/>
  <c r="R44" i="15"/>
  <c r="U49" i="15"/>
  <c r="V49" i="15" s="1"/>
  <c r="U4" i="15"/>
  <c r="X4" i="15"/>
  <c r="Y4" i="15" s="1"/>
  <c r="W4" i="15"/>
  <c r="W8" i="15"/>
  <c r="U8" i="15"/>
  <c r="X8" i="15"/>
  <c r="Y8" i="15" s="1"/>
  <c r="AP2" i="15" l="1"/>
  <c r="H5" i="11" l="1"/>
  <c r="H6" i="11"/>
  <c r="H7" i="11"/>
  <c r="H8" i="11"/>
  <c r="H14" i="11" s="1"/>
  <c r="H9" i="11"/>
  <c r="H10" i="11"/>
  <c r="H11" i="11"/>
  <c r="H12" i="11"/>
  <c r="H4" i="11"/>
  <c r="H15" i="11" s="1"/>
  <c r="I5" i="11"/>
  <c r="I6" i="11"/>
  <c r="I7" i="11"/>
  <c r="I8" i="11"/>
  <c r="I9" i="11"/>
  <c r="I10" i="11"/>
  <c r="I11" i="11"/>
  <c r="I12" i="11"/>
  <c r="I4" i="11"/>
  <c r="I15" i="11" s="1"/>
  <c r="G5" i="11"/>
  <c r="G6" i="11"/>
  <c r="G15" i="11" s="1"/>
  <c r="G7" i="11"/>
  <c r="G8" i="11"/>
  <c r="G9" i="11"/>
  <c r="G10" i="11"/>
  <c r="G11" i="11"/>
  <c r="G12" i="11"/>
  <c r="G4" i="11"/>
  <c r="G14" i="11" l="1"/>
  <c r="I14" i="11"/>
  <c r="AC27" i="14" l="1"/>
  <c r="AC24" i="14"/>
  <c r="K12" i="14"/>
  <c r="K13" i="14"/>
  <c r="K15" i="14"/>
  <c r="K17" i="14"/>
  <c r="K19" i="14"/>
  <c r="K20" i="14"/>
  <c r="K21" i="14"/>
  <c r="I3" i="14"/>
  <c r="J3" i="14" s="1"/>
  <c r="K3" i="14" s="1"/>
  <c r="I5" i="14"/>
  <c r="J5" i="14" s="1"/>
  <c r="K5" i="14" s="1"/>
  <c r="I6" i="14"/>
  <c r="J6" i="14" s="1"/>
  <c r="K6" i="14" s="1"/>
  <c r="I8" i="14"/>
  <c r="J8" i="14" s="1"/>
  <c r="K8" i="14" s="1"/>
  <c r="I9" i="14"/>
  <c r="J9" i="14" s="1"/>
  <c r="K9" i="14" s="1"/>
  <c r="I10" i="14"/>
  <c r="J10" i="14" s="1"/>
  <c r="K10" i="14" s="1"/>
  <c r="I11" i="14"/>
  <c r="J11" i="14" s="1"/>
  <c r="K11" i="14" s="1"/>
  <c r="I12" i="14"/>
  <c r="I13" i="14"/>
  <c r="I15" i="14"/>
  <c r="I19" i="14"/>
  <c r="I20" i="14"/>
  <c r="I21" i="14"/>
  <c r="I2" i="14"/>
  <c r="J2" i="14" s="1"/>
  <c r="K2" i="14" s="1"/>
  <c r="N3" i="14"/>
  <c r="O3" i="14" s="1"/>
  <c r="T3" i="14" s="1"/>
  <c r="N5" i="14"/>
  <c r="O5" i="14" s="1"/>
  <c r="N6" i="14"/>
  <c r="O6" i="14" s="1"/>
  <c r="T6" i="14" s="1"/>
  <c r="N8" i="14"/>
  <c r="O8" i="14" s="1"/>
  <c r="N9" i="14"/>
  <c r="O9" i="14" s="1"/>
  <c r="N10" i="14"/>
  <c r="O10" i="14" s="1"/>
  <c r="N11" i="14"/>
  <c r="O11" i="14" s="1"/>
  <c r="T11" i="14" s="1"/>
  <c r="N12" i="14"/>
  <c r="O12" i="14" s="1"/>
  <c r="N13" i="14"/>
  <c r="O13" i="14" s="1"/>
  <c r="T13" i="14" s="1"/>
  <c r="N15" i="14"/>
  <c r="O15" i="14" s="1"/>
  <c r="N17" i="14"/>
  <c r="O17" i="14" s="1"/>
  <c r="T17" i="14" s="1"/>
  <c r="N19" i="14"/>
  <c r="O19" i="14" s="1"/>
  <c r="N20" i="14"/>
  <c r="O20" i="14" s="1"/>
  <c r="T20" i="14" s="1"/>
  <c r="N21" i="14"/>
  <c r="O21" i="14" s="1"/>
  <c r="N2" i="14"/>
  <c r="O2" i="14" s="1"/>
  <c r="U5" i="14"/>
  <c r="U6" i="14"/>
  <c r="U8" i="14"/>
  <c r="V8" i="14" s="1"/>
  <c r="U9" i="14"/>
  <c r="V9" i="14" s="1"/>
  <c r="U10" i="14"/>
  <c r="U11" i="14"/>
  <c r="U12" i="14"/>
  <c r="V12" i="14" s="1"/>
  <c r="U13" i="14"/>
  <c r="V13" i="14" s="1"/>
  <c r="U15" i="14"/>
  <c r="U17" i="14"/>
  <c r="U19" i="14"/>
  <c r="V19" i="14" s="1"/>
  <c r="U20" i="14"/>
  <c r="V20" i="14" s="1"/>
  <c r="U21" i="14"/>
  <c r="U3" i="14"/>
  <c r="V3" i="14" s="1"/>
  <c r="U2" i="14"/>
  <c r="AX21" i="14"/>
  <c r="AT21" i="14"/>
  <c r="AQ21" i="14"/>
  <c r="AS21" i="14" s="1"/>
  <c r="AL21" i="14"/>
  <c r="AF21" i="14"/>
  <c r="AK21" i="14" s="1"/>
  <c r="L21" i="14"/>
  <c r="AX20" i="14"/>
  <c r="AT20" i="14"/>
  <c r="AQ20" i="14"/>
  <c r="AS20" i="14" s="1"/>
  <c r="AL20" i="14"/>
  <c r="AF20" i="14"/>
  <c r="AK20" i="14" s="1"/>
  <c r="L20" i="14"/>
  <c r="AX19" i="14"/>
  <c r="AT19" i="14"/>
  <c r="AQ19" i="14"/>
  <c r="AS19" i="14" s="1"/>
  <c r="AL19" i="14"/>
  <c r="AF19" i="14"/>
  <c r="AD19" i="14"/>
  <c r="L19" i="14"/>
  <c r="AX17" i="14"/>
  <c r="AT17" i="14"/>
  <c r="AV17" i="14" s="1"/>
  <c r="AQ17" i="14"/>
  <c r="AS17" i="14" s="1"/>
  <c r="AL17" i="14"/>
  <c r="AF17" i="14"/>
  <c r="AK17" i="14" s="1"/>
  <c r="G17" i="14"/>
  <c r="L17" i="14" s="1"/>
  <c r="AX15" i="14"/>
  <c r="AT15" i="14"/>
  <c r="AV15" i="14" s="1"/>
  <c r="AQ15" i="14"/>
  <c r="AR15" i="14" s="1"/>
  <c r="AL15" i="14"/>
  <c r="AF15" i="14"/>
  <c r="AD15" i="14"/>
  <c r="L15" i="14"/>
  <c r="AX13" i="14"/>
  <c r="AT13" i="14"/>
  <c r="AU13" i="14" s="1"/>
  <c r="AQ13" i="14"/>
  <c r="AS13" i="14" s="1"/>
  <c r="AL13" i="14"/>
  <c r="AF13" i="14"/>
  <c r="AD13" i="14"/>
  <c r="L13" i="14"/>
  <c r="AX12" i="14"/>
  <c r="AT12" i="14"/>
  <c r="AQ12" i="14"/>
  <c r="AS12" i="14" s="1"/>
  <c r="AL12" i="14"/>
  <c r="AJ12" i="14"/>
  <c r="AF12" i="14"/>
  <c r="AD12" i="14"/>
  <c r="L12" i="14"/>
  <c r="AX11" i="14"/>
  <c r="AT11" i="14"/>
  <c r="AQ11" i="14"/>
  <c r="AR11" i="14" s="1"/>
  <c r="AL11" i="14"/>
  <c r="AF11" i="14"/>
  <c r="AI11" i="14" s="1"/>
  <c r="AJ11" i="14" s="1"/>
  <c r="L11" i="14"/>
  <c r="AX10" i="14"/>
  <c r="AT10" i="14"/>
  <c r="AV10" i="14" s="1"/>
  <c r="AQ10" i="14"/>
  <c r="AR10" i="14" s="1"/>
  <c r="AL10" i="14"/>
  <c r="AF10" i="14"/>
  <c r="AI10" i="14" s="1"/>
  <c r="AJ10" i="14" s="1"/>
  <c r="L10" i="14"/>
  <c r="AX9" i="14"/>
  <c r="AT9" i="14"/>
  <c r="AQ9" i="14"/>
  <c r="AR9" i="14" s="1"/>
  <c r="AL9" i="14"/>
  <c r="AK9" i="14"/>
  <c r="AF9" i="14"/>
  <c r="AI9" i="14" s="1"/>
  <c r="AJ9" i="14" s="1"/>
  <c r="L9" i="14"/>
  <c r="AX8" i="14"/>
  <c r="AT8" i="14"/>
  <c r="AV8" i="14" s="1"/>
  <c r="AQ8" i="14"/>
  <c r="AR8" i="14" s="1"/>
  <c r="AL8" i="14"/>
  <c r="AF8" i="14"/>
  <c r="AK8" i="14" s="1"/>
  <c r="L8" i="14"/>
  <c r="AX6" i="14"/>
  <c r="AT6" i="14"/>
  <c r="AV6" i="14" s="1"/>
  <c r="AQ6" i="14"/>
  <c r="AS6" i="14" s="1"/>
  <c r="AL6" i="14"/>
  <c r="AF6" i="14"/>
  <c r="AD6" i="14"/>
  <c r="L6" i="14"/>
  <c r="AX5" i="14"/>
  <c r="AT5" i="14"/>
  <c r="AQ5" i="14"/>
  <c r="AS5" i="14" s="1"/>
  <c r="AL5" i="14"/>
  <c r="AF5" i="14"/>
  <c r="AD5" i="14"/>
  <c r="L5" i="14"/>
  <c r="AX3" i="14"/>
  <c r="AT3" i="14"/>
  <c r="AV3" i="14" s="1"/>
  <c r="AQ3" i="14"/>
  <c r="AR3" i="14" s="1"/>
  <c r="AL3" i="14"/>
  <c r="AF3" i="14"/>
  <c r="AD3" i="14"/>
  <c r="L3" i="14"/>
  <c r="AX2" i="14"/>
  <c r="AT2" i="14"/>
  <c r="AU2" i="14" s="1"/>
  <c r="AQ2" i="14"/>
  <c r="AS2" i="14" s="1"/>
  <c r="AL2" i="14"/>
  <c r="AJ2" i="14"/>
  <c r="AF2" i="14"/>
  <c r="AD2" i="14"/>
  <c r="AK2" i="14" s="1"/>
  <c r="L2" i="14"/>
  <c r="X11" i="14" l="1"/>
  <c r="Z11" i="14" s="1"/>
  <c r="AB11" i="14"/>
  <c r="X9" i="14"/>
  <c r="Y9" i="14" s="1"/>
  <c r="AB9" i="14"/>
  <c r="X3" i="14"/>
  <c r="Z3" i="14" s="1"/>
  <c r="AB3" i="14"/>
  <c r="X8" i="14"/>
  <c r="Z8" i="14" s="1"/>
  <c r="AB8" i="14"/>
  <c r="X10" i="14"/>
  <c r="Y10" i="14" s="1"/>
  <c r="AB10" i="14"/>
  <c r="X15" i="14"/>
  <c r="Z15" i="14" s="1"/>
  <c r="AB15" i="14"/>
  <c r="T2" i="14"/>
  <c r="V2" i="14" s="1"/>
  <c r="AY9" i="14"/>
  <c r="AV13" i="14"/>
  <c r="T8" i="14"/>
  <c r="V17" i="14"/>
  <c r="V11" i="14"/>
  <c r="V6" i="14"/>
  <c r="Z9" i="14"/>
  <c r="Y3" i="14"/>
  <c r="V21" i="14"/>
  <c r="V15" i="14"/>
  <c r="V10" i="14"/>
  <c r="V5" i="14"/>
  <c r="T10" i="14"/>
  <c r="T5" i="14"/>
  <c r="Z10" i="14"/>
  <c r="T9" i="14"/>
  <c r="T19" i="14"/>
  <c r="T12" i="14"/>
  <c r="Y15" i="14"/>
  <c r="T21" i="14"/>
  <c r="T15" i="14"/>
  <c r="AI5" i="14"/>
  <c r="AJ5" i="14" s="1"/>
  <c r="AS9" i="14"/>
  <c r="AK13" i="14"/>
  <c r="AS15" i="14"/>
  <c r="I17" i="14"/>
  <c r="AY5" i="14"/>
  <c r="AU6" i="14"/>
  <c r="AI3" i="14"/>
  <c r="AJ3" i="14" s="1"/>
  <c r="AU5" i="14"/>
  <c r="AI6" i="14"/>
  <c r="AJ6" i="14" s="1"/>
  <c r="AR6" i="14"/>
  <c r="AS11" i="14"/>
  <c r="AU15" i="14"/>
  <c r="AR17" i="14"/>
  <c r="AY20" i="14"/>
  <c r="AV5" i="14"/>
  <c r="AK11" i="14"/>
  <c r="AY11" i="14"/>
  <c r="AY12" i="14"/>
  <c r="AI15" i="14"/>
  <c r="AJ15" i="14" s="1"/>
  <c r="AK19" i="14"/>
  <c r="AY19" i="14"/>
  <c r="AU20" i="14"/>
  <c r="AY21" i="14"/>
  <c r="AR2" i="14"/>
  <c r="X2" i="14" s="1"/>
  <c r="AK5" i="14"/>
  <c r="AY6" i="14"/>
  <c r="AV9" i="14"/>
  <c r="AI13" i="14"/>
  <c r="AJ13" i="14" s="1"/>
  <c r="AR13" i="14"/>
  <c r="AY15" i="14"/>
  <c r="AI19" i="14"/>
  <c r="AJ19" i="14" s="1"/>
  <c r="AU19" i="14"/>
  <c r="AI20" i="14"/>
  <c r="AJ20" i="14" s="1"/>
  <c r="AR20" i="14"/>
  <c r="AV20" i="14"/>
  <c r="AI21" i="14"/>
  <c r="AJ21" i="14" s="1"/>
  <c r="AU21" i="14"/>
  <c r="AU12" i="14"/>
  <c r="AK3" i="14"/>
  <c r="AK12" i="14"/>
  <c r="AY13" i="14"/>
  <c r="AK15" i="14"/>
  <c r="AR12" i="14"/>
  <c r="X12" i="14" s="1"/>
  <c r="AV12" i="14"/>
  <c r="AI17" i="14"/>
  <c r="AJ17" i="14" s="1"/>
  <c r="AU17" i="14"/>
  <c r="AR19" i="14"/>
  <c r="AV19" i="14"/>
  <c r="AR21" i="14"/>
  <c r="AV21" i="14"/>
  <c r="AY17" i="14"/>
  <c r="AY3" i="14"/>
  <c r="AY2" i="14"/>
  <c r="AU3" i="14"/>
  <c r="AK6" i="14"/>
  <c r="AI8" i="14"/>
  <c r="AJ8" i="14" s="1"/>
  <c r="AV2" i="14"/>
  <c r="AS3" i="14"/>
  <c r="AS8" i="14"/>
  <c r="AU9" i="14"/>
  <c r="AK10" i="14"/>
  <c r="AS10" i="14"/>
  <c r="AU11" i="14"/>
  <c r="AY10" i="14"/>
  <c r="AV11" i="14"/>
  <c r="AY8" i="14"/>
  <c r="AR5" i="14"/>
  <c r="AU8" i="14"/>
  <c r="AU10" i="14"/>
  <c r="F5" i="11"/>
  <c r="F6" i="11"/>
  <c r="F7" i="11"/>
  <c r="F8" i="11"/>
  <c r="F9" i="11"/>
  <c r="F10" i="11"/>
  <c r="F11" i="11"/>
  <c r="F12" i="11"/>
  <c r="F4" i="11"/>
  <c r="F14" i="11" l="1"/>
  <c r="X5" i="14"/>
  <c r="AB5" i="14"/>
  <c r="X19" i="14"/>
  <c r="Y19" i="14" s="1"/>
  <c r="AB19" i="14"/>
  <c r="Y8" i="14"/>
  <c r="X20" i="14"/>
  <c r="AB20" i="14"/>
  <c r="X6" i="14"/>
  <c r="AB6" i="14"/>
  <c r="X21" i="14"/>
  <c r="AB21" i="14"/>
  <c r="X13" i="14"/>
  <c r="AB13" i="14"/>
  <c r="X17" i="14"/>
  <c r="AB17" i="14"/>
  <c r="Y11" i="14"/>
  <c r="Z21" i="14"/>
  <c r="Y21" i="14"/>
  <c r="Y13" i="14"/>
  <c r="Z13" i="14"/>
  <c r="Y17" i="14"/>
  <c r="Z17" i="14"/>
  <c r="Y2" i="14"/>
  <c r="Y12" i="14"/>
  <c r="Z5" i="14"/>
  <c r="Y5" i="14"/>
  <c r="Z20" i="14"/>
  <c r="Y20" i="14"/>
  <c r="Z6" i="14"/>
  <c r="Y6" i="14"/>
  <c r="V6" i="13"/>
  <c r="V10" i="13"/>
  <c r="V5" i="13"/>
  <c r="U9" i="13"/>
  <c r="W9" i="13" s="1"/>
  <c r="Y9" i="13" s="1"/>
  <c r="U13" i="13"/>
  <c r="T6" i="13"/>
  <c r="T7" i="13"/>
  <c r="V7" i="13" s="1"/>
  <c r="T8" i="13"/>
  <c r="V8" i="13" s="1"/>
  <c r="T9" i="13"/>
  <c r="V9" i="13" s="1"/>
  <c r="T10" i="13"/>
  <c r="T11" i="13"/>
  <c r="V11" i="13" s="1"/>
  <c r="T12" i="13"/>
  <c r="V12" i="13" s="1"/>
  <c r="T13" i="13"/>
  <c r="V13" i="13" s="1"/>
  <c r="T5" i="13"/>
  <c r="S6" i="13"/>
  <c r="U6" i="13" s="1"/>
  <c r="W6" i="13" s="1"/>
  <c r="Y6" i="13" s="1"/>
  <c r="S7" i="13"/>
  <c r="U7" i="13" s="1"/>
  <c r="W7" i="13" s="1"/>
  <c r="Y7" i="13" s="1"/>
  <c r="S8" i="13"/>
  <c r="U8" i="13" s="1"/>
  <c r="S9" i="13"/>
  <c r="S10" i="13"/>
  <c r="U10" i="13" s="1"/>
  <c r="W10" i="13" s="1"/>
  <c r="Y10" i="13" s="1"/>
  <c r="S11" i="13"/>
  <c r="U11" i="13" s="1"/>
  <c r="W11" i="13" s="1"/>
  <c r="Y11" i="13" s="1"/>
  <c r="S12" i="13"/>
  <c r="U12" i="13" s="1"/>
  <c r="S13" i="13"/>
  <c r="S5" i="13"/>
  <c r="U5" i="13" s="1"/>
  <c r="W5" i="13" s="1"/>
  <c r="Y5" i="13" s="1"/>
  <c r="O13" i="13"/>
  <c r="N13" i="13"/>
  <c r="M13" i="13"/>
  <c r="O12" i="13"/>
  <c r="N12" i="13"/>
  <c r="M12" i="13"/>
  <c r="O11" i="13"/>
  <c r="N11" i="13"/>
  <c r="M11" i="13"/>
  <c r="P11" i="13" s="1"/>
  <c r="R11" i="13" s="1"/>
  <c r="O10" i="13"/>
  <c r="N10" i="13"/>
  <c r="M10" i="13"/>
  <c r="O9" i="13"/>
  <c r="N9" i="13"/>
  <c r="M9" i="13"/>
  <c r="O8" i="13"/>
  <c r="N8" i="13"/>
  <c r="M8" i="13"/>
  <c r="O7" i="13"/>
  <c r="N7" i="13"/>
  <c r="M7" i="13"/>
  <c r="P7" i="13" s="1"/>
  <c r="R7" i="13" s="1"/>
  <c r="O6" i="13"/>
  <c r="N6" i="13"/>
  <c r="M6" i="13"/>
  <c r="O5" i="13"/>
  <c r="N5" i="13"/>
  <c r="M5" i="13"/>
  <c r="AS3" i="12"/>
  <c r="AS4" i="12"/>
  <c r="AS5" i="12"/>
  <c r="AS6" i="12"/>
  <c r="AS7" i="12"/>
  <c r="AS8" i="12"/>
  <c r="AS9" i="12"/>
  <c r="AS10" i="12"/>
  <c r="AS2" i="12"/>
  <c r="AP3" i="12"/>
  <c r="AQ3" i="12" s="1"/>
  <c r="AR3" i="12" s="1"/>
  <c r="AP4" i="12"/>
  <c r="AQ4" i="12" s="1"/>
  <c r="AR4" i="12" s="1"/>
  <c r="AP5" i="12"/>
  <c r="AQ5" i="12" s="1"/>
  <c r="AR5" i="12" s="1"/>
  <c r="AP6" i="12"/>
  <c r="AQ6" i="12" s="1"/>
  <c r="AR6" i="12" s="1"/>
  <c r="AP7" i="12"/>
  <c r="AQ7" i="12" s="1"/>
  <c r="AR7" i="12" s="1"/>
  <c r="AP8" i="12"/>
  <c r="AQ8" i="12" s="1"/>
  <c r="AR8" i="12" s="1"/>
  <c r="AP9" i="12"/>
  <c r="AQ9" i="12" s="1"/>
  <c r="AR9" i="12" s="1"/>
  <c r="AP10" i="12"/>
  <c r="AQ10" i="12" s="1"/>
  <c r="AR10" i="12" s="1"/>
  <c r="AP2" i="12"/>
  <c r="AQ2" i="12" s="1"/>
  <c r="AR2" i="12" s="1"/>
  <c r="AM3" i="12"/>
  <c r="AM4" i="12"/>
  <c r="AM5" i="12"/>
  <c r="AM6" i="12"/>
  <c r="AM7" i="12"/>
  <c r="AM8" i="12"/>
  <c r="AM9" i="12"/>
  <c r="AM10" i="12"/>
  <c r="AM2" i="12"/>
  <c r="AL3" i="12"/>
  <c r="AL4" i="12"/>
  <c r="AL5" i="12"/>
  <c r="AL6" i="12"/>
  <c r="AN6" i="12" s="1"/>
  <c r="AO6" i="12" s="1"/>
  <c r="AZ6" i="12" s="1"/>
  <c r="BC6" i="12" s="1"/>
  <c r="AL7" i="12"/>
  <c r="AL8" i="12"/>
  <c r="AL9" i="12"/>
  <c r="AL10" i="12"/>
  <c r="AN10" i="12" s="1"/>
  <c r="AO10" i="12" s="1"/>
  <c r="AL2" i="12"/>
  <c r="AK3" i="12"/>
  <c r="AU3" i="12" s="1"/>
  <c r="AK4" i="12"/>
  <c r="AU4" i="12" s="1"/>
  <c r="AK5" i="12"/>
  <c r="AU5" i="12" s="1"/>
  <c r="AK6" i="12"/>
  <c r="AU6" i="12" s="1"/>
  <c r="AK7" i="12"/>
  <c r="AU7" i="12" s="1"/>
  <c r="AK8" i="12"/>
  <c r="AU8" i="12" s="1"/>
  <c r="AK9" i="12"/>
  <c r="AU9" i="12" s="1"/>
  <c r="AK10" i="12"/>
  <c r="AU10" i="12" s="1"/>
  <c r="AK2" i="12"/>
  <c r="AU2" i="12" s="1"/>
  <c r="AI3" i="12"/>
  <c r="AI4" i="12"/>
  <c r="AI5" i="12"/>
  <c r="AI6" i="12"/>
  <c r="AI7" i="12"/>
  <c r="AI8" i="12"/>
  <c r="AI9" i="12"/>
  <c r="AI10" i="12"/>
  <c r="AI2" i="12"/>
  <c r="AF10" i="12"/>
  <c r="AB10" i="12"/>
  <c r="Y10" i="12"/>
  <c r="AA10" i="12" s="1"/>
  <c r="T10" i="12"/>
  <c r="S10" i="12"/>
  <c r="Q10" i="12"/>
  <c r="R10" i="12" s="1"/>
  <c r="H10" i="12"/>
  <c r="AF9" i="12"/>
  <c r="AB9" i="12"/>
  <c r="AC9" i="12" s="1"/>
  <c r="Y9" i="12"/>
  <c r="AA9" i="12" s="1"/>
  <c r="T9" i="12"/>
  <c r="N9" i="12"/>
  <c r="L9" i="12"/>
  <c r="H9" i="12"/>
  <c r="AF8" i="12"/>
  <c r="AB8" i="12"/>
  <c r="AD8" i="12" s="1"/>
  <c r="Y8" i="12"/>
  <c r="AA8" i="12" s="1"/>
  <c r="T8" i="12"/>
  <c r="N8" i="12"/>
  <c r="L8" i="12"/>
  <c r="H8" i="12"/>
  <c r="AF7" i="12"/>
  <c r="AB7" i="12"/>
  <c r="AD7" i="12" s="1"/>
  <c r="Y7" i="12"/>
  <c r="AA7" i="12" s="1"/>
  <c r="T7" i="12"/>
  <c r="N7" i="12"/>
  <c r="L7" i="12"/>
  <c r="H7" i="12"/>
  <c r="AF6" i="12"/>
  <c r="AB6" i="12"/>
  <c r="AD6" i="12" s="1"/>
  <c r="Y6" i="12"/>
  <c r="Z6" i="12" s="1"/>
  <c r="T6" i="12"/>
  <c r="R6" i="12"/>
  <c r="N6" i="12"/>
  <c r="L6" i="12"/>
  <c r="H6" i="12"/>
  <c r="AF5" i="12"/>
  <c r="AB5" i="12"/>
  <c r="Y5" i="12"/>
  <c r="AA5" i="12" s="1"/>
  <c r="T5" i="12"/>
  <c r="R5" i="12"/>
  <c r="N5" i="12"/>
  <c r="L5" i="12"/>
  <c r="H5" i="12"/>
  <c r="AF4" i="12"/>
  <c r="AB4" i="12"/>
  <c r="AD4" i="12" s="1"/>
  <c r="Y4" i="12"/>
  <c r="Z4" i="12" s="1"/>
  <c r="T4" i="12"/>
  <c r="R4" i="12"/>
  <c r="N4" i="12"/>
  <c r="L4" i="12"/>
  <c r="H4" i="12"/>
  <c r="AF3" i="12"/>
  <c r="AB3" i="12"/>
  <c r="Y3" i="12"/>
  <c r="AA3" i="12" s="1"/>
  <c r="T3" i="12"/>
  <c r="R3" i="12"/>
  <c r="N3" i="12"/>
  <c r="L3" i="12"/>
  <c r="H3" i="12"/>
  <c r="AF2" i="12"/>
  <c r="AB2" i="12"/>
  <c r="AD2" i="12" s="1"/>
  <c r="Y2" i="12"/>
  <c r="Z2" i="12" s="1"/>
  <c r="T2" i="12"/>
  <c r="R2" i="12"/>
  <c r="N2" i="12"/>
  <c r="L2" i="12"/>
  <c r="H2" i="12"/>
  <c r="AZ10" i="12" l="1"/>
  <c r="BC10" i="12" s="1"/>
  <c r="W12" i="13"/>
  <c r="Y12" i="13" s="1"/>
  <c r="W8" i="13"/>
  <c r="Y8" i="13" s="1"/>
  <c r="W13" i="13"/>
  <c r="Y13" i="13" s="1"/>
  <c r="S4" i="12"/>
  <c r="S6" i="12"/>
  <c r="AC8" i="12"/>
  <c r="Z9" i="12"/>
  <c r="AG10" i="12"/>
  <c r="AN2" i="12"/>
  <c r="AO2" i="12" s="1"/>
  <c r="AN7" i="12"/>
  <c r="AO7" i="12" s="1"/>
  <c r="AN3" i="12"/>
  <c r="AO3" i="12" s="1"/>
  <c r="P6" i="13"/>
  <c r="R6" i="13" s="1"/>
  <c r="Z6" i="13" s="1"/>
  <c r="AA6" i="13" s="1"/>
  <c r="AI6" i="13" s="1"/>
  <c r="AK6" i="13" s="1"/>
  <c r="P10" i="13"/>
  <c r="R10" i="13" s="1"/>
  <c r="Z10" i="13" s="1"/>
  <c r="AA10" i="13" s="1"/>
  <c r="Z19" i="14"/>
  <c r="P5" i="13"/>
  <c r="R5" i="13" s="1"/>
  <c r="Z5" i="13" s="1"/>
  <c r="AA5" i="13" s="1"/>
  <c r="P9" i="13"/>
  <c r="R9" i="13" s="1"/>
  <c r="P13" i="13"/>
  <c r="R13" i="13" s="1"/>
  <c r="AN9" i="12"/>
  <c r="AO9" i="12" s="1"/>
  <c r="AN5" i="12"/>
  <c r="AO5" i="12" s="1"/>
  <c r="AY10" i="12"/>
  <c r="BB10" i="12" s="1"/>
  <c r="AY6" i="12"/>
  <c r="BB6" i="12" s="1"/>
  <c r="P8" i="13"/>
  <c r="R8" i="13" s="1"/>
  <c r="Z8" i="13" s="1"/>
  <c r="AA8" i="13" s="1"/>
  <c r="AI8" i="13" s="1"/>
  <c r="AK8" i="13" s="1"/>
  <c r="P12" i="13"/>
  <c r="R12" i="13" s="1"/>
  <c r="Z12" i="13" s="1"/>
  <c r="AA12" i="13" s="1"/>
  <c r="Z7" i="13"/>
  <c r="AA7" i="13" s="1"/>
  <c r="AH7" i="13" s="1"/>
  <c r="AJ7" i="13" s="1"/>
  <c r="Z11" i="13"/>
  <c r="AA11" i="13" s="1"/>
  <c r="Z9" i="13"/>
  <c r="AA9" i="13" s="1"/>
  <c r="AH9" i="13" s="1"/>
  <c r="AJ9" i="13" s="1"/>
  <c r="Z13" i="13"/>
  <c r="AA13" i="13" s="1"/>
  <c r="AC6" i="13"/>
  <c r="AM6" i="13" s="1"/>
  <c r="AL6" i="13"/>
  <c r="AI10" i="13"/>
  <c r="AK10" i="13" s="1"/>
  <c r="AC10" i="13"/>
  <c r="AM10" i="13" s="1"/>
  <c r="AL10" i="13"/>
  <c r="AH10" i="13"/>
  <c r="AJ10" i="13" s="1"/>
  <c r="AL13" i="13"/>
  <c r="AH13" i="13"/>
  <c r="AJ13" i="13" s="1"/>
  <c r="AC13" i="13"/>
  <c r="AM13" i="13" s="1"/>
  <c r="AI13" i="13"/>
  <c r="AK13" i="13" s="1"/>
  <c r="AL7" i="13"/>
  <c r="AC7" i="13"/>
  <c r="AM7" i="13" s="1"/>
  <c r="AL9" i="13"/>
  <c r="AI9" i="13"/>
  <c r="AK9" i="13" s="1"/>
  <c r="AL11" i="13"/>
  <c r="AH11" i="13"/>
  <c r="AJ11" i="13" s="1"/>
  <c r="AC11" i="13"/>
  <c r="AM11" i="13" s="1"/>
  <c r="AI11" i="13"/>
  <c r="AK11" i="13" s="1"/>
  <c r="AL5" i="13"/>
  <c r="AH5" i="13"/>
  <c r="AI5" i="13"/>
  <c r="AK5" i="13" s="1"/>
  <c r="AC5" i="13"/>
  <c r="AC8" i="13"/>
  <c r="AM8" i="13" s="1"/>
  <c r="AL8" i="13"/>
  <c r="AI12" i="13"/>
  <c r="AK12" i="13" s="1"/>
  <c r="AL12" i="13"/>
  <c r="AH12" i="13"/>
  <c r="AJ12" i="13" s="1"/>
  <c r="AC12" i="13"/>
  <c r="AM12" i="13" s="1"/>
  <c r="S2" i="12"/>
  <c r="AG5" i="12"/>
  <c r="AT9" i="12"/>
  <c r="AW9" i="12" s="1"/>
  <c r="AV9" i="12"/>
  <c r="AX9" i="12" s="1"/>
  <c r="AT5" i="12"/>
  <c r="AW5" i="12" s="1"/>
  <c r="AV5" i="12"/>
  <c r="AX5" i="12" s="1"/>
  <c r="AA2" i="12"/>
  <c r="Q7" i="12"/>
  <c r="R7" i="12" s="1"/>
  <c r="AT7" i="12"/>
  <c r="AW7" i="12" s="1"/>
  <c r="AG3" i="12"/>
  <c r="AT10" i="12"/>
  <c r="AW10" i="12" s="1"/>
  <c r="AT6" i="12"/>
  <c r="AW6" i="12" s="1"/>
  <c r="AV2" i="12"/>
  <c r="AX2" i="12" s="1"/>
  <c r="AV7" i="12"/>
  <c r="AX7" i="12" s="1"/>
  <c r="AV3" i="12"/>
  <c r="AX3" i="12" s="1"/>
  <c r="AC5" i="12"/>
  <c r="AC3" i="12"/>
  <c r="AA4" i="12"/>
  <c r="S8" i="12"/>
  <c r="AN8" i="12"/>
  <c r="AO8" i="12" s="1"/>
  <c r="AN4" i="12"/>
  <c r="AO4" i="12" s="1"/>
  <c r="AV10" i="12"/>
  <c r="AX10" i="12" s="1"/>
  <c r="AV6" i="12"/>
  <c r="AX6" i="12" s="1"/>
  <c r="AD3" i="12"/>
  <c r="AD5" i="12"/>
  <c r="AD9" i="12"/>
  <c r="S3" i="12"/>
  <c r="S5" i="12"/>
  <c r="AA6" i="12"/>
  <c r="S7" i="12"/>
  <c r="AG8" i="12"/>
  <c r="Q8" i="12"/>
  <c r="R8" i="12" s="1"/>
  <c r="Q9" i="12"/>
  <c r="R9" i="12" s="1"/>
  <c r="AG7" i="12"/>
  <c r="AC10" i="12"/>
  <c r="AG2" i="12"/>
  <c r="Z3" i="12"/>
  <c r="AG4" i="12"/>
  <c r="Z5" i="12"/>
  <c r="AG6" i="12"/>
  <c r="AC7" i="12"/>
  <c r="Z8" i="12"/>
  <c r="S9" i="12"/>
  <c r="Z10" i="12"/>
  <c r="AD10" i="12"/>
  <c r="AC2" i="12"/>
  <c r="AC4" i="12"/>
  <c r="AC6" i="12"/>
  <c r="Z7" i="12"/>
  <c r="AG9" i="12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4" i="4"/>
  <c r="J25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8" i="4"/>
  <c r="J49" i="4"/>
  <c r="J50" i="4"/>
  <c r="J51" i="4"/>
  <c r="J52" i="4"/>
  <c r="J3" i="4"/>
  <c r="K55" i="4"/>
  <c r="K54" i="4"/>
  <c r="AZ8" i="12" l="1"/>
  <c r="BC8" i="12" s="1"/>
  <c r="AY8" i="12"/>
  <c r="BB8" i="12" s="1"/>
  <c r="AH8" i="13"/>
  <c r="AJ8" i="13" s="1"/>
  <c r="AC9" i="13"/>
  <c r="AM9" i="13" s="1"/>
  <c r="AI7" i="13"/>
  <c r="AK7" i="13" s="1"/>
  <c r="AH6" i="13"/>
  <c r="AJ6" i="13" s="1"/>
  <c r="AY5" i="12"/>
  <c r="BB5" i="12" s="1"/>
  <c r="AZ5" i="12"/>
  <c r="BC5" i="12" s="1"/>
  <c r="AT3" i="12"/>
  <c r="AW3" i="12" s="1"/>
  <c r="AZ3" i="12"/>
  <c r="BC3" i="12" s="1"/>
  <c r="AY3" i="12"/>
  <c r="BB3" i="12" s="1"/>
  <c r="AY9" i="12"/>
  <c r="BB9" i="12" s="1"/>
  <c r="AZ9" i="12"/>
  <c r="BC9" i="12" s="1"/>
  <c r="AZ7" i="12"/>
  <c r="BC7" i="12" s="1"/>
  <c r="AY7" i="12"/>
  <c r="BB7" i="12" s="1"/>
  <c r="AJ5" i="13"/>
  <c r="AH15" i="13"/>
  <c r="AT2" i="12"/>
  <c r="AW2" i="12" s="1"/>
  <c r="AZ2" i="12"/>
  <c r="AY2" i="12"/>
  <c r="AZ4" i="12"/>
  <c r="BC4" i="12" s="1"/>
  <c r="AY4" i="12"/>
  <c r="BB4" i="12" s="1"/>
  <c r="AN5" i="13"/>
  <c r="AM5" i="13"/>
  <c r="AM15" i="13" s="1"/>
  <c r="AV4" i="12"/>
  <c r="AX4" i="12" s="1"/>
  <c r="AT4" i="12"/>
  <c r="AW4" i="12" s="1"/>
  <c r="AV8" i="12"/>
  <c r="AX8" i="12" s="1"/>
  <c r="AT8" i="12"/>
  <c r="AW8" i="12" s="1"/>
  <c r="AD81" i="10"/>
  <c r="AE50" i="10"/>
  <c r="T37" i="10"/>
  <c r="T38" i="10"/>
  <c r="T39" i="10"/>
  <c r="T40" i="10"/>
  <c r="T41" i="10"/>
  <c r="T42" i="10"/>
  <c r="T43" i="10"/>
  <c r="T44" i="10"/>
  <c r="T36" i="10"/>
  <c r="BD2" i="12" l="1"/>
  <c r="BB2" i="12"/>
  <c r="BB11" i="12" s="1"/>
  <c r="AJ16" i="13"/>
  <c r="AJ15" i="13"/>
  <c r="BE2" i="12"/>
  <c r="BC2" i="12"/>
  <c r="BC11" i="12" s="1"/>
  <c r="AJ17" i="13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O36" i="10"/>
  <c r="N36" i="10"/>
  <c r="M37" i="10"/>
  <c r="M38" i="10"/>
  <c r="M39" i="10"/>
  <c r="M40" i="10"/>
  <c r="M41" i="10"/>
  <c r="M42" i="10"/>
  <c r="M43" i="10"/>
  <c r="M44" i="10"/>
  <c r="M36" i="10"/>
  <c r="P41" i="10" l="1"/>
  <c r="R41" i="10" s="1"/>
  <c r="U41" i="10" s="1"/>
  <c r="V41" i="10" s="1"/>
  <c r="AC41" i="10" s="1"/>
  <c r="AE41" i="10" s="1"/>
  <c r="P37" i="10"/>
  <c r="R37" i="10" s="1"/>
  <c r="U37" i="10" s="1"/>
  <c r="V37" i="10" s="1"/>
  <c r="P40" i="10"/>
  <c r="R40" i="10" s="1"/>
  <c r="U40" i="10" s="1"/>
  <c r="V40" i="10" s="1"/>
  <c r="AD40" i="10" s="1"/>
  <c r="AF40" i="10" s="1"/>
  <c r="P44" i="10"/>
  <c r="R44" i="10" s="1"/>
  <c r="U44" i="10" s="1"/>
  <c r="V44" i="10" s="1"/>
  <c r="AG44" i="10" s="1"/>
  <c r="P36" i="10"/>
  <c r="R36" i="10" s="1"/>
  <c r="U36" i="10" s="1"/>
  <c r="V36" i="10" s="1"/>
  <c r="AG36" i="10" s="1"/>
  <c r="P42" i="10"/>
  <c r="R42" i="10" s="1"/>
  <c r="U42" i="10" s="1"/>
  <c r="V42" i="10" s="1"/>
  <c r="AG42" i="10" s="1"/>
  <c r="P38" i="10"/>
  <c r="R38" i="10" s="1"/>
  <c r="U38" i="10" s="1"/>
  <c r="V38" i="10" s="1"/>
  <c r="AC38" i="10" s="1"/>
  <c r="AE38" i="10" s="1"/>
  <c r="AD41" i="10"/>
  <c r="AF41" i="10" s="1"/>
  <c r="AG41" i="10"/>
  <c r="AG40" i="10"/>
  <c r="AC40" i="10"/>
  <c r="AE40" i="10" s="1"/>
  <c r="P43" i="10"/>
  <c r="R43" i="10" s="1"/>
  <c r="U43" i="10" s="1"/>
  <c r="V43" i="10" s="1"/>
  <c r="P39" i="10"/>
  <c r="R39" i="10" s="1"/>
  <c r="U39" i="10" s="1"/>
  <c r="V39" i="10" s="1"/>
  <c r="X42" i="10"/>
  <c r="X44" i="10"/>
  <c r="AD44" i="10"/>
  <c r="AF44" i="10" s="1"/>
  <c r="AC44" i="10"/>
  <c r="AE44" i="10" s="1"/>
  <c r="X37" i="10"/>
  <c r="AD37" i="10"/>
  <c r="AF37" i="10" s="1"/>
  <c r="AC37" i="10"/>
  <c r="AE37" i="10" s="1"/>
  <c r="AG37" i="10"/>
  <c r="D33" i="9"/>
  <c r="D34" i="9"/>
  <c r="D35" i="9"/>
  <c r="D36" i="9"/>
  <c r="AD38" i="10" l="1"/>
  <c r="AF38" i="10" s="1"/>
  <c r="AG38" i="10"/>
  <c r="X40" i="10"/>
  <c r="X41" i="10"/>
  <c r="X38" i="10"/>
  <c r="X36" i="10"/>
  <c r="AC42" i="10"/>
  <c r="AE42" i="10" s="1"/>
  <c r="AC36" i="10"/>
  <c r="AD42" i="10"/>
  <c r="AF42" i="10" s="1"/>
  <c r="AD36" i="10"/>
  <c r="AF36" i="10" s="1"/>
  <c r="AG46" i="10" s="1"/>
  <c r="X43" i="10"/>
  <c r="AG43" i="10"/>
  <c r="AD43" i="10"/>
  <c r="AF43" i="10" s="1"/>
  <c r="AC43" i="10"/>
  <c r="AE43" i="10" s="1"/>
  <c r="X39" i="10"/>
  <c r="AB46" i="10" s="1"/>
  <c r="AG39" i="10"/>
  <c r="AD39" i="10"/>
  <c r="AF39" i="10" s="1"/>
  <c r="AC39" i="10"/>
  <c r="AE39" i="10" s="1"/>
  <c r="AE36" i="10"/>
  <c r="E5" i="11"/>
  <c r="E6" i="11"/>
  <c r="E7" i="11"/>
  <c r="E8" i="11"/>
  <c r="E9" i="11"/>
  <c r="E10" i="11"/>
  <c r="E11" i="11"/>
  <c r="E12" i="11"/>
  <c r="E4" i="11"/>
  <c r="D7" i="11"/>
  <c r="D8" i="11"/>
  <c r="D9" i="11"/>
  <c r="D10" i="11"/>
  <c r="D11" i="11"/>
  <c r="D12" i="11"/>
  <c r="D32" i="9"/>
  <c r="I59" i="10"/>
  <c r="I60" i="10"/>
  <c r="I61" i="10"/>
  <c r="I62" i="10"/>
  <c r="I63" i="10"/>
  <c r="I64" i="10"/>
  <c r="I65" i="10"/>
  <c r="I66" i="10"/>
  <c r="I67" i="10"/>
  <c r="I68" i="10"/>
  <c r="I69" i="10"/>
  <c r="H70" i="10"/>
  <c r="H71" i="10"/>
  <c r="H72" i="10"/>
  <c r="H73" i="10"/>
  <c r="H74" i="10"/>
  <c r="H75" i="10"/>
  <c r="H76" i="10"/>
  <c r="H77" i="10"/>
  <c r="H78" i="10"/>
  <c r="H79" i="10"/>
  <c r="H80" i="10"/>
  <c r="I58" i="10"/>
  <c r="J68" i="10"/>
  <c r="J69" i="10"/>
  <c r="I70" i="10"/>
  <c r="I71" i="10"/>
  <c r="I72" i="10"/>
  <c r="I73" i="10"/>
  <c r="I74" i="10"/>
  <c r="I75" i="10"/>
  <c r="I76" i="10"/>
  <c r="I77" i="10"/>
  <c r="I78" i="10"/>
  <c r="J59" i="10"/>
  <c r="J60" i="10"/>
  <c r="J61" i="10"/>
  <c r="J62" i="10"/>
  <c r="J63" i="10"/>
  <c r="J64" i="10"/>
  <c r="J65" i="10"/>
  <c r="J66" i="10"/>
  <c r="J67" i="10"/>
  <c r="J58" i="10"/>
  <c r="H51" i="10"/>
  <c r="H52" i="10"/>
  <c r="H53" i="10"/>
  <c r="H54" i="10"/>
  <c r="H55" i="10"/>
  <c r="H50" i="10"/>
  <c r="F51" i="10"/>
  <c r="F52" i="10"/>
  <c r="F53" i="10"/>
  <c r="F54" i="10"/>
  <c r="F55" i="10"/>
  <c r="F56" i="10"/>
  <c r="F57" i="10"/>
  <c r="F58" i="10"/>
  <c r="F59" i="10"/>
  <c r="F63" i="10"/>
  <c r="F64" i="10"/>
  <c r="F65" i="10"/>
  <c r="F66" i="10"/>
  <c r="F67" i="10"/>
  <c r="F68" i="10"/>
  <c r="F69" i="10"/>
  <c r="F50" i="10"/>
  <c r="E51" i="10"/>
  <c r="E52" i="10"/>
  <c r="E53" i="10"/>
  <c r="E54" i="10"/>
  <c r="E55" i="10"/>
  <c r="E56" i="10"/>
  <c r="E57" i="10"/>
  <c r="E58" i="10"/>
  <c r="E59" i="10"/>
  <c r="E63" i="10"/>
  <c r="E64" i="10"/>
  <c r="E65" i="10"/>
  <c r="E66" i="10"/>
  <c r="E67" i="10"/>
  <c r="E68" i="10"/>
  <c r="E69" i="10"/>
  <c r="E50" i="10"/>
  <c r="B51" i="10"/>
  <c r="B52" i="10"/>
  <c r="B53" i="10"/>
  <c r="B54" i="10"/>
  <c r="B55" i="10"/>
  <c r="B56" i="10"/>
  <c r="B57" i="10"/>
  <c r="B58" i="10"/>
  <c r="B59" i="10"/>
  <c r="B63" i="10"/>
  <c r="B64" i="10"/>
  <c r="B65" i="10"/>
  <c r="B66" i="10"/>
  <c r="B67" i="10"/>
  <c r="B68" i="10"/>
  <c r="B69" i="10"/>
  <c r="B50" i="10"/>
  <c r="E14" i="11" l="1"/>
  <c r="D14" i="11"/>
  <c r="AF46" i="10"/>
  <c r="AE46" i="10"/>
  <c r="AD46" i="10"/>
  <c r="T15" i="9"/>
  <c r="X15" i="9"/>
  <c r="Y15" i="9"/>
  <c r="AA15" i="9" s="1"/>
  <c r="AC15" i="9"/>
  <c r="AD15" i="9" s="1"/>
  <c r="AG15" i="9"/>
  <c r="T16" i="9"/>
  <c r="X16" i="9"/>
  <c r="Y16" i="9"/>
  <c r="AA16" i="9"/>
  <c r="AB16" i="9"/>
  <c r="AC16" i="9"/>
  <c r="AD16" i="9" s="1"/>
  <c r="AG16" i="9"/>
  <c r="T17" i="9"/>
  <c r="X17" i="9"/>
  <c r="Y17" i="9"/>
  <c r="AA17" i="9" s="1"/>
  <c r="AC17" i="9"/>
  <c r="AE17" i="9" s="1"/>
  <c r="AG17" i="9"/>
  <c r="T18" i="9"/>
  <c r="X18" i="9"/>
  <c r="Y18" i="9"/>
  <c r="AB18" i="9" s="1"/>
  <c r="AA18" i="9"/>
  <c r="AC18" i="9"/>
  <c r="AD18" i="9" s="1"/>
  <c r="AG18" i="9"/>
  <c r="S20" i="9"/>
  <c r="T20" i="9"/>
  <c r="X20" i="9"/>
  <c r="Y20" i="9"/>
  <c r="AA20" i="9" s="1"/>
  <c r="AC20" i="9"/>
  <c r="AD20" i="9" s="1"/>
  <c r="AG20" i="9"/>
  <c r="S21" i="9"/>
  <c r="T21" i="9"/>
  <c r="X21" i="9"/>
  <c r="Y21" i="9"/>
  <c r="AA21" i="9" s="1"/>
  <c r="AC21" i="9"/>
  <c r="AE21" i="9" s="1"/>
  <c r="AG21" i="9"/>
  <c r="S22" i="9"/>
  <c r="T22" i="9"/>
  <c r="X22" i="9"/>
  <c r="Y22" i="9"/>
  <c r="AA22" i="9" s="1"/>
  <c r="AC22" i="9"/>
  <c r="AD22" i="9" s="1"/>
  <c r="AG22" i="9"/>
  <c r="S23" i="9"/>
  <c r="T23" i="9"/>
  <c r="X23" i="9"/>
  <c r="Y23" i="9"/>
  <c r="AA23" i="9" s="1"/>
  <c r="AC23" i="9"/>
  <c r="AE23" i="9" s="1"/>
  <c r="AG23" i="9"/>
  <c r="S24" i="9"/>
  <c r="T24" i="9"/>
  <c r="X24" i="9"/>
  <c r="Y24" i="9"/>
  <c r="AA24" i="9" s="1"/>
  <c r="AC24" i="9"/>
  <c r="AD24" i="9" s="1"/>
  <c r="AG24" i="9"/>
  <c r="S26" i="9"/>
  <c r="T26" i="9"/>
  <c r="X26" i="9"/>
  <c r="Y26" i="9"/>
  <c r="AA26" i="9" s="1"/>
  <c r="AC26" i="9"/>
  <c r="AD26" i="9" s="1"/>
  <c r="AG26" i="9"/>
  <c r="S27" i="9"/>
  <c r="T27" i="9"/>
  <c r="X27" i="9"/>
  <c r="Y27" i="9"/>
  <c r="AA27" i="9" s="1"/>
  <c r="AC27" i="9"/>
  <c r="AE27" i="9" s="1"/>
  <c r="AG27" i="9"/>
  <c r="S28" i="9"/>
  <c r="T28" i="9"/>
  <c r="X28" i="9"/>
  <c r="Y28" i="9"/>
  <c r="AA28" i="9" s="1"/>
  <c r="AC28" i="9"/>
  <c r="AD28" i="9" s="1"/>
  <c r="AG28" i="9"/>
  <c r="S29" i="9"/>
  <c r="T29" i="9"/>
  <c r="X29" i="9"/>
  <c r="Y29" i="9"/>
  <c r="AA29" i="9" s="1"/>
  <c r="AC29" i="9"/>
  <c r="AE29" i="9" s="1"/>
  <c r="AG29" i="9"/>
  <c r="S30" i="9"/>
  <c r="T30" i="9"/>
  <c r="X30" i="9"/>
  <c r="Y30" i="9"/>
  <c r="AA30" i="9" s="1"/>
  <c r="AC30" i="9"/>
  <c r="AD30" i="9" s="1"/>
  <c r="AG30" i="9"/>
  <c r="R21" i="9"/>
  <c r="R26" i="9"/>
  <c r="R30" i="9"/>
  <c r="Q20" i="9"/>
  <c r="R20" i="9" s="1"/>
  <c r="Q21" i="9"/>
  <c r="Q22" i="9"/>
  <c r="R22" i="9" s="1"/>
  <c r="Q23" i="9"/>
  <c r="R23" i="9" s="1"/>
  <c r="Q24" i="9"/>
  <c r="R24" i="9" s="1"/>
  <c r="Q26" i="9"/>
  <c r="Q27" i="9"/>
  <c r="R27" i="9" s="1"/>
  <c r="Q28" i="9"/>
  <c r="R28" i="9" s="1"/>
  <c r="Q29" i="9"/>
  <c r="R29" i="9" s="1"/>
  <c r="Q30" i="9"/>
  <c r="AD17" i="9" l="1"/>
  <c r="AD23" i="9"/>
  <c r="AB22" i="9"/>
  <c r="AE15" i="9"/>
  <c r="AB24" i="9"/>
  <c r="AD21" i="9"/>
  <c r="AB20" i="9"/>
  <c r="AD29" i="9"/>
  <c r="AB28" i="9"/>
  <c r="AB30" i="9"/>
  <c r="AD27" i="9"/>
  <c r="AB26" i="9"/>
  <c r="AE30" i="9"/>
  <c r="AE28" i="9"/>
  <c r="AE26" i="9"/>
  <c r="AE24" i="9"/>
  <c r="AE22" i="9"/>
  <c r="AE20" i="9"/>
  <c r="AE18" i="9"/>
  <c r="AE16" i="9"/>
  <c r="AB29" i="9"/>
  <c r="AB27" i="9"/>
  <c r="AB23" i="9"/>
  <c r="AB21" i="9"/>
  <c r="AB17" i="9"/>
  <c r="AB15" i="9"/>
  <c r="W3" i="4"/>
  <c r="D29" i="9" l="1"/>
  <c r="D30" i="9"/>
  <c r="D28" i="9"/>
  <c r="D27" i="9"/>
  <c r="D24" i="9" l="1"/>
  <c r="D23" i="9"/>
  <c r="D22" i="9"/>
  <c r="D21" i="9" l="1"/>
  <c r="AG14" i="9"/>
  <c r="AC14" i="9"/>
  <c r="AE14" i="9" s="1"/>
  <c r="Y14" i="9"/>
  <c r="AA14" i="9" s="1"/>
  <c r="T14" i="9"/>
  <c r="X14" i="9"/>
  <c r="P15" i="9"/>
  <c r="P16" i="9"/>
  <c r="P17" i="9"/>
  <c r="P18" i="9"/>
  <c r="O15" i="9"/>
  <c r="O16" i="9"/>
  <c r="O17" i="9"/>
  <c r="O18" i="9"/>
  <c r="P14" i="9"/>
  <c r="Q14" i="9" s="1"/>
  <c r="R14" i="9" s="1"/>
  <c r="O14" i="9"/>
  <c r="S15" i="9" l="1"/>
  <c r="Q15" i="9"/>
  <c r="R15" i="9" s="1"/>
  <c r="S16" i="9"/>
  <c r="Q16" i="9"/>
  <c r="R16" i="9" s="1"/>
  <c r="S18" i="9"/>
  <c r="Q18" i="9"/>
  <c r="R18" i="9" s="1"/>
  <c r="S17" i="9"/>
  <c r="Q17" i="9"/>
  <c r="R17" i="9" s="1"/>
  <c r="AB14" i="9"/>
  <c r="S14" i="9"/>
  <c r="AD14" i="9"/>
  <c r="D18" i="9"/>
  <c r="D17" i="9"/>
  <c r="D16" i="9"/>
  <c r="D15" i="9"/>
  <c r="D26" i="9"/>
  <c r="D20" i="9"/>
  <c r="D14" i="9"/>
  <c r="D4" i="9"/>
  <c r="D5" i="9"/>
  <c r="D6" i="9"/>
  <c r="D7" i="9"/>
  <c r="D8" i="9"/>
  <c r="D9" i="9"/>
  <c r="D10" i="9"/>
  <c r="D11" i="9"/>
  <c r="D12" i="9"/>
  <c r="D3" i="9"/>
  <c r="G55" i="4" l="1"/>
  <c r="G56" i="4" s="1"/>
  <c r="AG12" i="9" l="1"/>
  <c r="AC12" i="9"/>
  <c r="AD12" i="9" s="1"/>
  <c r="Y12" i="9"/>
  <c r="AB12" i="9" s="1"/>
  <c r="T12" i="9"/>
  <c r="S12" i="9"/>
  <c r="Q12" i="9"/>
  <c r="R12" i="9" s="1"/>
  <c r="AG11" i="9"/>
  <c r="AC11" i="9"/>
  <c r="Y11" i="9"/>
  <c r="AB11" i="9" s="1"/>
  <c r="T11" i="9"/>
  <c r="N11" i="9"/>
  <c r="L11" i="9"/>
  <c r="AG10" i="9"/>
  <c r="AC10" i="9"/>
  <c r="AD10" i="9" s="1"/>
  <c r="Y10" i="9"/>
  <c r="AB10" i="9" s="1"/>
  <c r="T10" i="9"/>
  <c r="N10" i="9"/>
  <c r="L10" i="9"/>
  <c r="AG9" i="9"/>
  <c r="AC9" i="9"/>
  <c r="Y9" i="9"/>
  <c r="AB9" i="9" s="1"/>
  <c r="T9" i="9"/>
  <c r="N9" i="9"/>
  <c r="L9" i="9"/>
  <c r="AG8" i="9"/>
  <c r="AC8" i="9"/>
  <c r="AD8" i="9" s="1"/>
  <c r="Y8" i="9"/>
  <c r="AB8" i="9" s="1"/>
  <c r="T8" i="9"/>
  <c r="N8" i="9"/>
  <c r="L8" i="9"/>
  <c r="AG7" i="9"/>
  <c r="AC7" i="9"/>
  <c r="AD7" i="9" s="1"/>
  <c r="Y7" i="9"/>
  <c r="AB7" i="9" s="1"/>
  <c r="T7" i="9"/>
  <c r="N7" i="9"/>
  <c r="L7" i="9"/>
  <c r="AG6" i="9"/>
  <c r="AC6" i="9"/>
  <c r="AD6" i="9" s="1"/>
  <c r="Y6" i="9"/>
  <c r="AB6" i="9" s="1"/>
  <c r="T6" i="9"/>
  <c r="N6" i="9"/>
  <c r="L6" i="9"/>
  <c r="AG5" i="9"/>
  <c r="AC5" i="9"/>
  <c r="Y5" i="9"/>
  <c r="AB5" i="9" s="1"/>
  <c r="T5" i="9"/>
  <c r="N5" i="9"/>
  <c r="L5" i="9"/>
  <c r="AG4" i="9"/>
  <c r="AC4" i="9"/>
  <c r="AD4" i="9" s="1"/>
  <c r="Y4" i="9"/>
  <c r="AB4" i="9" s="1"/>
  <c r="T4" i="9"/>
  <c r="N4" i="9"/>
  <c r="L4" i="9"/>
  <c r="AG3" i="9"/>
  <c r="AC3" i="9"/>
  <c r="Y3" i="9"/>
  <c r="AB3" i="9" s="1"/>
  <c r="T3" i="9"/>
  <c r="N3" i="9"/>
  <c r="L3" i="9"/>
  <c r="Q4" i="9" l="1"/>
  <c r="Q9" i="9"/>
  <c r="R9" i="9" s="1"/>
  <c r="AA4" i="9"/>
  <c r="Q6" i="9"/>
  <c r="R6" i="9" s="1"/>
  <c r="AH9" i="9"/>
  <c r="Q3" i="9"/>
  <c r="R3" i="9" s="1"/>
  <c r="Q8" i="9"/>
  <c r="R8" i="9" s="1"/>
  <c r="AH12" i="9"/>
  <c r="AH3" i="9"/>
  <c r="AA6" i="9"/>
  <c r="S7" i="9"/>
  <c r="AE8" i="9"/>
  <c r="AD9" i="9"/>
  <c r="Q11" i="9"/>
  <c r="R11" i="9" s="1"/>
  <c r="AH11" i="9"/>
  <c r="S5" i="9"/>
  <c r="AH5" i="9"/>
  <c r="AA8" i="9"/>
  <c r="AE10" i="9"/>
  <c r="AD11" i="9"/>
  <c r="AE4" i="9"/>
  <c r="Q5" i="9"/>
  <c r="R5" i="9" s="1"/>
  <c r="AD5" i="9"/>
  <c r="AH7" i="9"/>
  <c r="S9" i="9"/>
  <c r="Q10" i="9"/>
  <c r="R10" i="9" s="1"/>
  <c r="AA10" i="9"/>
  <c r="AD3" i="9"/>
  <c r="S3" i="9"/>
  <c r="R4" i="9"/>
  <c r="AE6" i="9"/>
  <c r="Q7" i="9"/>
  <c r="R7" i="9" s="1"/>
  <c r="S11" i="9"/>
  <c r="S4" i="9"/>
  <c r="S6" i="9"/>
  <c r="S8" i="9"/>
  <c r="S10" i="9"/>
  <c r="AA3" i="9"/>
  <c r="AE3" i="9"/>
  <c r="AH4" i="9"/>
  <c r="AA5" i="9"/>
  <c r="AE5" i="9"/>
  <c r="AH6" i="9"/>
  <c r="AA7" i="9"/>
  <c r="AE7" i="9"/>
  <c r="AH8" i="9"/>
  <c r="AA9" i="9"/>
  <c r="AE9" i="9"/>
  <c r="AH10" i="9"/>
  <c r="AA11" i="9"/>
  <c r="AE11" i="9"/>
  <c r="AA12" i="9"/>
  <c r="AE12" i="9"/>
  <c r="C3" i="8" l="1"/>
  <c r="C4" i="8"/>
  <c r="C5" i="8"/>
  <c r="C6" i="8"/>
  <c r="C7" i="8"/>
  <c r="C8" i="8"/>
  <c r="C9" i="8"/>
  <c r="C2" i="8"/>
  <c r="AE4" i="4" l="1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4" i="4"/>
  <c r="AE25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4" i="4"/>
  <c r="AE3" i="4"/>
  <c r="J31" i="3"/>
  <c r="N31" i="3" s="1"/>
  <c r="E31" i="3"/>
  <c r="D31" i="3"/>
  <c r="J30" i="3"/>
  <c r="N30" i="3" s="1"/>
  <c r="E30" i="3"/>
  <c r="D30" i="3"/>
  <c r="J29" i="3"/>
  <c r="M29" i="3" s="1"/>
  <c r="E29" i="3"/>
  <c r="D29" i="3"/>
  <c r="J28" i="3"/>
  <c r="L28" i="3" s="1"/>
  <c r="E28" i="3"/>
  <c r="D28" i="3"/>
  <c r="J27" i="3"/>
  <c r="M27" i="3" s="1"/>
  <c r="E27" i="3"/>
  <c r="D27" i="3"/>
  <c r="J26" i="3"/>
  <c r="N26" i="3" s="1"/>
  <c r="E26" i="3"/>
  <c r="D26" i="3"/>
  <c r="J25" i="3"/>
  <c r="M25" i="3" s="1"/>
  <c r="E25" i="3"/>
  <c r="D25" i="3"/>
  <c r="J24" i="3"/>
  <c r="L24" i="3" s="1"/>
  <c r="E24" i="3"/>
  <c r="D24" i="3"/>
  <c r="J23" i="3"/>
  <c r="E23" i="3"/>
  <c r="D23" i="3"/>
  <c r="J21" i="3"/>
  <c r="N21" i="3" s="1"/>
  <c r="E21" i="3"/>
  <c r="D21" i="3"/>
  <c r="J20" i="3"/>
  <c r="M20" i="3" s="1"/>
  <c r="E20" i="3"/>
  <c r="D20" i="3"/>
  <c r="J19" i="3"/>
  <c r="L19" i="3" s="1"/>
  <c r="E19" i="3"/>
  <c r="D19" i="3"/>
  <c r="M18" i="3"/>
  <c r="J18" i="3"/>
  <c r="N18" i="3" s="1"/>
  <c r="E18" i="3"/>
  <c r="D18" i="3"/>
  <c r="J17" i="3"/>
  <c r="N17" i="3" s="1"/>
  <c r="E17" i="3"/>
  <c r="D17" i="3"/>
  <c r="J16" i="3"/>
  <c r="M16" i="3" s="1"/>
  <c r="E16" i="3"/>
  <c r="D16" i="3"/>
  <c r="M15" i="3"/>
  <c r="J15" i="3"/>
  <c r="L15" i="3" s="1"/>
  <c r="E15" i="3"/>
  <c r="D15" i="3"/>
  <c r="J14" i="3"/>
  <c r="M14" i="3" s="1"/>
  <c r="E14" i="3"/>
  <c r="D14" i="3"/>
  <c r="J13" i="3"/>
  <c r="N13" i="3" s="1"/>
  <c r="E13" i="3"/>
  <c r="D13" i="3"/>
  <c r="J11" i="3"/>
  <c r="M11" i="3" s="1"/>
  <c r="E11" i="3"/>
  <c r="J10" i="3"/>
  <c r="N10" i="3" s="1"/>
  <c r="E10" i="3"/>
  <c r="D10" i="3"/>
  <c r="J9" i="3"/>
  <c r="N9" i="3" s="1"/>
  <c r="E9" i="3"/>
  <c r="D9" i="3"/>
  <c r="J8" i="3"/>
  <c r="M8" i="3" s="1"/>
  <c r="E8" i="3"/>
  <c r="D8" i="3"/>
  <c r="J7" i="3"/>
  <c r="L7" i="3" s="1"/>
  <c r="E7" i="3"/>
  <c r="D7" i="3"/>
  <c r="N6" i="3"/>
  <c r="J6" i="3"/>
  <c r="M6" i="3" s="1"/>
  <c r="E6" i="3"/>
  <c r="D6" i="3"/>
  <c r="J5" i="3"/>
  <c r="N5" i="3" s="1"/>
  <c r="E5" i="3"/>
  <c r="D5" i="3"/>
  <c r="N4" i="3"/>
  <c r="J4" i="3"/>
  <c r="M4" i="3" s="1"/>
  <c r="E4" i="3"/>
  <c r="D4" i="3"/>
  <c r="N3" i="3"/>
  <c r="M3" i="3"/>
  <c r="J3" i="3"/>
  <c r="L3" i="3" s="1"/>
  <c r="E3" i="3"/>
  <c r="D3" i="3"/>
  <c r="J2" i="3"/>
  <c r="M2" i="3" s="1"/>
  <c r="E2" i="3"/>
  <c r="D2" i="3"/>
  <c r="N15" i="3" l="1"/>
  <c r="N16" i="3"/>
  <c r="N24" i="3"/>
  <c r="N25" i="3"/>
  <c r="N27" i="3"/>
  <c r="L2" i="3"/>
  <c r="M7" i="3"/>
  <c r="L10" i="3"/>
  <c r="L14" i="3"/>
  <c r="L23" i="3"/>
  <c r="Q23" i="3" s="1"/>
  <c r="L31" i="3"/>
  <c r="N7" i="3"/>
  <c r="N8" i="3"/>
  <c r="M10" i="3"/>
  <c r="N11" i="3"/>
  <c r="N19" i="3"/>
  <c r="N20" i="3"/>
  <c r="M23" i="3"/>
  <c r="N28" i="3"/>
  <c r="N29" i="3"/>
  <c r="M31" i="3"/>
  <c r="Q2" i="3"/>
  <c r="Q14" i="3"/>
  <c r="M19" i="3"/>
  <c r="M28" i="3"/>
  <c r="N2" i="3"/>
  <c r="L6" i="3"/>
  <c r="Q6" i="3" s="1"/>
  <c r="N14" i="3"/>
  <c r="L18" i="3"/>
  <c r="Q18" i="3" s="1"/>
  <c r="N23" i="3"/>
  <c r="M24" i="3"/>
  <c r="L27" i="3"/>
  <c r="Q27" i="3" s="1"/>
  <c r="Q10" i="3"/>
  <c r="Q31" i="3"/>
  <c r="L13" i="3"/>
  <c r="Q13" i="3" s="1"/>
  <c r="L17" i="3"/>
  <c r="Q17" i="3" s="1"/>
  <c r="L26" i="3"/>
  <c r="Q26" i="3" s="1"/>
  <c r="L30" i="3"/>
  <c r="Q30" i="3" s="1"/>
  <c r="L4" i="3"/>
  <c r="Q4" i="3" s="1"/>
  <c r="L11" i="3"/>
  <c r="M13" i="3"/>
  <c r="L16" i="3"/>
  <c r="Q16" i="3" s="1"/>
  <c r="L20" i="3"/>
  <c r="Q20" i="3" s="1"/>
  <c r="L5" i="3"/>
  <c r="Q5" i="3" s="1"/>
  <c r="L9" i="3"/>
  <c r="Q9" i="3" s="1"/>
  <c r="Q11" i="3"/>
  <c r="L21" i="3"/>
  <c r="Q21" i="3" s="1"/>
  <c r="Q3" i="3"/>
  <c r="M5" i="3"/>
  <c r="Q7" i="3"/>
  <c r="L8" i="3"/>
  <c r="Q8" i="3" s="1"/>
  <c r="M9" i="3"/>
  <c r="Q15" i="3"/>
  <c r="M17" i="3"/>
  <c r="Q19" i="3"/>
  <c r="M21" i="3"/>
  <c r="Q24" i="3"/>
  <c r="L25" i="3"/>
  <c r="Q25" i="3" s="1"/>
  <c r="M26" i="3"/>
  <c r="Q28" i="3"/>
  <c r="L29" i="3"/>
  <c r="Q29" i="3" s="1"/>
  <c r="M30" i="3"/>
  <c r="AC4" i="4" l="1"/>
  <c r="AC5" i="4"/>
  <c r="AC6" i="4"/>
  <c r="AC7" i="4"/>
  <c r="AC8" i="4"/>
  <c r="AC13" i="4"/>
  <c r="AC21" i="4"/>
  <c r="AC32" i="4"/>
  <c r="AC41" i="4"/>
  <c r="AJ3" i="4" l="1"/>
  <c r="AK3" i="4" s="1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6" i="4"/>
  <c r="AQ48" i="4"/>
  <c r="AQ49" i="4"/>
  <c r="AQ50" i="4"/>
  <c r="AQ51" i="4"/>
  <c r="AQ52" i="4"/>
  <c r="AQ3" i="4"/>
  <c r="AD12" i="4" l="1"/>
  <c r="AB12" i="4"/>
  <c r="AC12" i="4" s="1"/>
  <c r="Y8" i="4" l="1"/>
  <c r="Y15" i="4" l="1"/>
  <c r="Y16" i="4"/>
  <c r="W10" i="4"/>
  <c r="Y11" i="4"/>
  <c r="W16" i="4"/>
  <c r="AD16" i="4" l="1"/>
  <c r="AB16" i="4"/>
  <c r="AC16" i="4" s="1"/>
  <c r="Y10" i="4"/>
  <c r="AD10" i="4" s="1"/>
  <c r="W8" i="4"/>
  <c r="Y9" i="4"/>
  <c r="AB10" i="4" l="1"/>
  <c r="AC10" i="4" s="1"/>
  <c r="AD8" i="4"/>
  <c r="W9" i="4"/>
  <c r="AB9" i="4" s="1"/>
  <c r="Y6" i="4"/>
  <c r="AD9" i="4" l="1"/>
  <c r="AC9" i="4"/>
  <c r="Y7" i="4"/>
  <c r="W7" i="4"/>
  <c r="W6" i="4"/>
  <c r="AD6" i="4" l="1"/>
  <c r="AD7" i="4"/>
  <c r="Y41" i="4"/>
  <c r="Y32" i="4"/>
  <c r="Y21" i="4"/>
  <c r="Y13" i="4"/>
  <c r="Y4" i="4"/>
  <c r="Y3" i="4"/>
  <c r="W5" i="4"/>
  <c r="Y5" i="4"/>
  <c r="W4" i="4"/>
  <c r="W41" i="4"/>
  <c r="W32" i="4"/>
  <c r="W21" i="4"/>
  <c r="W13" i="4"/>
  <c r="AD32" i="4" l="1"/>
  <c r="AD5" i="4"/>
  <c r="AD21" i="4"/>
  <c r="AD3" i="4"/>
  <c r="AB3" i="4"/>
  <c r="AC3" i="4" s="1"/>
  <c r="AD41" i="4"/>
  <c r="AD13" i="4"/>
  <c r="AD4" i="4"/>
  <c r="M19" i="6"/>
  <c r="M18" i="6" l="1"/>
  <c r="M17" i="6"/>
  <c r="M15" i="6" l="1"/>
  <c r="M16" i="6"/>
  <c r="M14" i="6" l="1"/>
  <c r="M13" i="6"/>
  <c r="M12" i="6" l="1"/>
  <c r="M11" i="6" l="1"/>
  <c r="K11" i="6"/>
  <c r="M10" i="6" l="1"/>
  <c r="M9" i="6"/>
  <c r="M8" i="6" l="1"/>
  <c r="M7" i="6"/>
  <c r="K5" i="6"/>
  <c r="M6" i="6"/>
  <c r="M2" i="6"/>
  <c r="M5" i="6" l="1"/>
  <c r="K2" i="6"/>
  <c r="M3" i="6"/>
  <c r="M4" i="6"/>
  <c r="G14" i="6" l="1"/>
  <c r="W38" i="4" l="1"/>
  <c r="Y52" i="4"/>
  <c r="AD38" i="4" l="1"/>
  <c r="AB38" i="4"/>
  <c r="AC38" i="4" s="1"/>
  <c r="AB52" i="4"/>
  <c r="AC52" i="4" s="1"/>
  <c r="AD52" i="4"/>
  <c r="AM38" i="4"/>
  <c r="AJ38" i="4"/>
  <c r="AI38" i="4"/>
  <c r="AL38" i="4" l="1"/>
  <c r="AK38" i="4"/>
  <c r="AO38" i="4"/>
  <c r="AN38" i="4"/>
  <c r="AR38" i="4"/>
  <c r="AM41" i="4"/>
  <c r="AJ41" i="4"/>
  <c r="AM32" i="4"/>
  <c r="AJ32" i="4"/>
  <c r="AM21" i="4"/>
  <c r="AJ21" i="4"/>
  <c r="AM13" i="4"/>
  <c r="AJ13" i="4"/>
  <c r="AM4" i="4"/>
  <c r="AJ4" i="4"/>
  <c r="Z3" i="1"/>
  <c r="AM5" i="4"/>
  <c r="AM6" i="4"/>
  <c r="AM7" i="4"/>
  <c r="AM8" i="4"/>
  <c r="AM9" i="4"/>
  <c r="AM10" i="4"/>
  <c r="AM11" i="4"/>
  <c r="AM12" i="4"/>
  <c r="AM14" i="4"/>
  <c r="AM15" i="4"/>
  <c r="AM16" i="4"/>
  <c r="AM17" i="4"/>
  <c r="AM18" i="4"/>
  <c r="AM19" i="4"/>
  <c r="AM20" i="4"/>
  <c r="AM22" i="4"/>
  <c r="AM24" i="4"/>
  <c r="AM25" i="4"/>
  <c r="AM27" i="4"/>
  <c r="AM28" i="4"/>
  <c r="AM29" i="4"/>
  <c r="AM30" i="4"/>
  <c r="AM31" i="4"/>
  <c r="AM33" i="4"/>
  <c r="AM34" i="4"/>
  <c r="AM35" i="4"/>
  <c r="AM36" i="4"/>
  <c r="AM37" i="4"/>
  <c r="AM39" i="4"/>
  <c r="AM40" i="4"/>
  <c r="AM42" i="4"/>
  <c r="AM44" i="4"/>
  <c r="AM46" i="4"/>
  <c r="AM48" i="4"/>
  <c r="AM49" i="4"/>
  <c r="AM50" i="4"/>
  <c r="AM51" i="4"/>
  <c r="AM52" i="4"/>
  <c r="AM3" i="4"/>
  <c r="AJ5" i="4"/>
  <c r="AJ6" i="4"/>
  <c r="AJ7" i="4"/>
  <c r="AJ8" i="4"/>
  <c r="AJ9" i="4"/>
  <c r="AJ10" i="4"/>
  <c r="AJ11" i="4"/>
  <c r="AJ12" i="4"/>
  <c r="AJ14" i="4"/>
  <c r="AJ15" i="4"/>
  <c r="AJ16" i="4"/>
  <c r="AJ17" i="4"/>
  <c r="AJ18" i="4"/>
  <c r="AJ19" i="4"/>
  <c r="AJ20" i="4"/>
  <c r="AJ22" i="4"/>
  <c r="AJ24" i="4"/>
  <c r="AJ25" i="4"/>
  <c r="AJ27" i="4"/>
  <c r="AJ28" i="4"/>
  <c r="AJ29" i="4"/>
  <c r="AJ30" i="4"/>
  <c r="AJ31" i="4"/>
  <c r="AJ33" i="4"/>
  <c r="AJ34" i="4"/>
  <c r="AJ35" i="4"/>
  <c r="AJ36" i="4"/>
  <c r="AJ37" i="4"/>
  <c r="AJ39" i="4"/>
  <c r="AJ40" i="4"/>
  <c r="AJ42" i="4"/>
  <c r="AJ44" i="4"/>
  <c r="AJ46" i="4"/>
  <c r="AJ48" i="4"/>
  <c r="AJ49" i="4"/>
  <c r="AJ50" i="4"/>
  <c r="AJ51" i="4"/>
  <c r="AJ52" i="4"/>
  <c r="AL3" i="4"/>
  <c r="AR44" i="4" l="1"/>
  <c r="AL51" i="4"/>
  <c r="AK51" i="4"/>
  <c r="AL29" i="4"/>
  <c r="AK29" i="4"/>
  <c r="AL14" i="4"/>
  <c r="AK14" i="4"/>
  <c r="AO50" i="4"/>
  <c r="AN50" i="4"/>
  <c r="AR50" i="4"/>
  <c r="AO33" i="4"/>
  <c r="AN33" i="4"/>
  <c r="AR33" i="4"/>
  <c r="AO17" i="4"/>
  <c r="AN17" i="4"/>
  <c r="AR17" i="4"/>
  <c r="AO8" i="4"/>
  <c r="AN8" i="4"/>
  <c r="AR8" i="4"/>
  <c r="AO32" i="4"/>
  <c r="AN32" i="4"/>
  <c r="AR32" i="4"/>
  <c r="AL50" i="4"/>
  <c r="AK50" i="4"/>
  <c r="AL37" i="4"/>
  <c r="AK37" i="4"/>
  <c r="AL33" i="4"/>
  <c r="AK33" i="4"/>
  <c r="AL28" i="4"/>
  <c r="AK28" i="4"/>
  <c r="AL22" i="4"/>
  <c r="AK22" i="4"/>
  <c r="AL17" i="4"/>
  <c r="AK17" i="4"/>
  <c r="AL12" i="4"/>
  <c r="AK12" i="4"/>
  <c r="AL8" i="4"/>
  <c r="AK8" i="4"/>
  <c r="AO3" i="4"/>
  <c r="AN3" i="4"/>
  <c r="AR3" i="4"/>
  <c r="AO49" i="4"/>
  <c r="AN49" i="4"/>
  <c r="AR49" i="4"/>
  <c r="AO42" i="4"/>
  <c r="AN42" i="4"/>
  <c r="AR42" i="4"/>
  <c r="AO36" i="4"/>
  <c r="AN36" i="4"/>
  <c r="AR36" i="4"/>
  <c r="AO31" i="4"/>
  <c r="AN31" i="4"/>
  <c r="AR31" i="4"/>
  <c r="AO27" i="4"/>
  <c r="AN27" i="4"/>
  <c r="AR27" i="4"/>
  <c r="AO20" i="4"/>
  <c r="AN20" i="4"/>
  <c r="AR20" i="4"/>
  <c r="AO16" i="4"/>
  <c r="AN16" i="4"/>
  <c r="AR16" i="4"/>
  <c r="AO11" i="4"/>
  <c r="AN11" i="4"/>
  <c r="AR11" i="4"/>
  <c r="AO7" i="4"/>
  <c r="AN7" i="4"/>
  <c r="AR7" i="4"/>
  <c r="AL4" i="4"/>
  <c r="AK4" i="4"/>
  <c r="AL21" i="4"/>
  <c r="AK21" i="4"/>
  <c r="AL41" i="4"/>
  <c r="AK41" i="4"/>
  <c r="AL46" i="4"/>
  <c r="AK46" i="4"/>
  <c r="AL34" i="4"/>
  <c r="AK34" i="4"/>
  <c r="AL18" i="4"/>
  <c r="AK18" i="4"/>
  <c r="AL5" i="4"/>
  <c r="AK5" i="4"/>
  <c r="AO37" i="4"/>
  <c r="AN37" i="4"/>
  <c r="AR37" i="4"/>
  <c r="AO22" i="4"/>
  <c r="AN22" i="4"/>
  <c r="AR22" i="4"/>
  <c r="AO12" i="4"/>
  <c r="AN12" i="4"/>
  <c r="AR12" i="4"/>
  <c r="AO13" i="4"/>
  <c r="AN13" i="4"/>
  <c r="AR13" i="4"/>
  <c r="AL44" i="4"/>
  <c r="AK44" i="4"/>
  <c r="AL49" i="4"/>
  <c r="AK49" i="4"/>
  <c r="AL42" i="4"/>
  <c r="AK42" i="4"/>
  <c r="AL36" i="4"/>
  <c r="AK36" i="4"/>
  <c r="AL31" i="4"/>
  <c r="AK31" i="4"/>
  <c r="AL27" i="4"/>
  <c r="AK27" i="4"/>
  <c r="AL20" i="4"/>
  <c r="AK20" i="4"/>
  <c r="AL16" i="4"/>
  <c r="AK16" i="4"/>
  <c r="AL11" i="4"/>
  <c r="AK11" i="4"/>
  <c r="AL7" i="4"/>
  <c r="AK7" i="4"/>
  <c r="AO52" i="4"/>
  <c r="AN52" i="4"/>
  <c r="AR52" i="4"/>
  <c r="AO48" i="4"/>
  <c r="AN48" i="4"/>
  <c r="AR48" i="4"/>
  <c r="AO40" i="4"/>
  <c r="AN40" i="4"/>
  <c r="AR40" i="4"/>
  <c r="AO35" i="4"/>
  <c r="AN35" i="4"/>
  <c r="AR35" i="4"/>
  <c r="AO30" i="4"/>
  <c r="AN30" i="4"/>
  <c r="AR30" i="4"/>
  <c r="AO25" i="4"/>
  <c r="AN25" i="4"/>
  <c r="AR25" i="4"/>
  <c r="AO19" i="4"/>
  <c r="AN19" i="4"/>
  <c r="AR19" i="4"/>
  <c r="AO15" i="4"/>
  <c r="AN15" i="4"/>
  <c r="AR15" i="4"/>
  <c r="AO10" i="4"/>
  <c r="AN10" i="4"/>
  <c r="AR10" i="4"/>
  <c r="AO6" i="4"/>
  <c r="AN6" i="4"/>
  <c r="AR6" i="4"/>
  <c r="AO4" i="4"/>
  <c r="AN4" i="4"/>
  <c r="AR4" i="4"/>
  <c r="AO21" i="4"/>
  <c r="AN21" i="4"/>
  <c r="AR21" i="4"/>
  <c r="AO41" i="4"/>
  <c r="AN41" i="4"/>
  <c r="AR41" i="4"/>
  <c r="AL39" i="4"/>
  <c r="AK39" i="4"/>
  <c r="AL24" i="4"/>
  <c r="AK24" i="4"/>
  <c r="AL9" i="4"/>
  <c r="AK9" i="4"/>
  <c r="AO44" i="4"/>
  <c r="AN44" i="4"/>
  <c r="AO28" i="4"/>
  <c r="AN28" i="4"/>
  <c r="AR28" i="4"/>
  <c r="AL52" i="4"/>
  <c r="AK52" i="4"/>
  <c r="AL48" i="4"/>
  <c r="AK48" i="4"/>
  <c r="AL40" i="4"/>
  <c r="AK40" i="4"/>
  <c r="AL35" i="4"/>
  <c r="AK35" i="4"/>
  <c r="AL30" i="4"/>
  <c r="AK30" i="4"/>
  <c r="AL25" i="4"/>
  <c r="AK25" i="4"/>
  <c r="AL19" i="4"/>
  <c r="AK19" i="4"/>
  <c r="AL15" i="4"/>
  <c r="AK15" i="4"/>
  <c r="AL10" i="4"/>
  <c r="AK10" i="4"/>
  <c r="AL6" i="4"/>
  <c r="AK6" i="4"/>
  <c r="AO51" i="4"/>
  <c r="AN51" i="4"/>
  <c r="AR51" i="4"/>
  <c r="AO46" i="4"/>
  <c r="AN46" i="4"/>
  <c r="AR46" i="4"/>
  <c r="AO39" i="4"/>
  <c r="AN39" i="4"/>
  <c r="AR39" i="4"/>
  <c r="AO34" i="4"/>
  <c r="AN34" i="4"/>
  <c r="AR34" i="4"/>
  <c r="AO29" i="4"/>
  <c r="AN29" i="4"/>
  <c r="AR29" i="4"/>
  <c r="AO24" i="4"/>
  <c r="AN24" i="4"/>
  <c r="AR24" i="4"/>
  <c r="AO18" i="4"/>
  <c r="AN18" i="4"/>
  <c r="AR18" i="4"/>
  <c r="AO14" i="4"/>
  <c r="AN14" i="4"/>
  <c r="AR14" i="4"/>
  <c r="AO9" i="4"/>
  <c r="AN9" i="4"/>
  <c r="AR9" i="4"/>
  <c r="AO5" i="4"/>
  <c r="AN5" i="4"/>
  <c r="AR5" i="4"/>
  <c r="AL13" i="4"/>
  <c r="AK13" i="4"/>
  <c r="AL32" i="4"/>
  <c r="AK32" i="4"/>
  <c r="Y49" i="4"/>
  <c r="W17" i="4"/>
  <c r="AD49" i="4" l="1"/>
  <c r="AB49" i="4"/>
  <c r="AC49" i="4" s="1"/>
  <c r="Y51" i="4"/>
  <c r="AB51" i="4" l="1"/>
  <c r="AC51" i="4" s="1"/>
  <c r="AD51" i="4"/>
  <c r="Y50" i="4"/>
  <c r="AD50" i="4" l="1"/>
  <c r="AB50" i="4"/>
  <c r="AC50" i="4" s="1"/>
  <c r="W48" i="4"/>
  <c r="Y48" i="4"/>
  <c r="AB48" i="4" l="1"/>
  <c r="AC48" i="4" s="1"/>
  <c r="AD48" i="4"/>
  <c r="Y46" i="4"/>
  <c r="AB46" i="4" s="1"/>
  <c r="AC46" i="4" s="1"/>
  <c r="AD46" i="4" l="1"/>
  <c r="Y44" i="4"/>
  <c r="Y40" i="4"/>
  <c r="Y42" i="4"/>
  <c r="W44" i="4"/>
  <c r="AB44" i="4" l="1"/>
  <c r="AC44" i="4" s="1"/>
  <c r="AD44" i="4"/>
  <c r="I46" i="4"/>
  <c r="W42" i="4"/>
  <c r="J46" i="4" l="1"/>
  <c r="U46" i="4"/>
  <c r="AD42" i="4"/>
  <c r="AB42" i="4"/>
  <c r="AC42" i="4" s="1"/>
  <c r="W40" i="4"/>
  <c r="W36" i="4"/>
  <c r="W37" i="4"/>
  <c r="W39" i="4"/>
  <c r="AD39" i="4" l="1"/>
  <c r="AB39" i="4"/>
  <c r="AC39" i="4" s="1"/>
  <c r="AB40" i="4"/>
  <c r="AC40" i="4" s="1"/>
  <c r="AD40" i="4"/>
  <c r="Y37" i="4"/>
  <c r="AB37" i="4" s="1"/>
  <c r="AC37" i="4" s="1"/>
  <c r="W35" i="4"/>
  <c r="Y34" i="4"/>
  <c r="W34" i="4"/>
  <c r="Y36" i="4"/>
  <c r="AD36" i="4" s="1"/>
  <c r="Y35" i="4"/>
  <c r="Y33" i="4"/>
  <c r="W33" i="4"/>
  <c r="Y31" i="4"/>
  <c r="Y30" i="4"/>
  <c r="Y29" i="4"/>
  <c r="Y28" i="4"/>
  <c r="Y27" i="4"/>
  <c r="Y25" i="4"/>
  <c r="Y24" i="4"/>
  <c r="Y22" i="4"/>
  <c r="Y19" i="4"/>
  <c r="Y18" i="4"/>
  <c r="Y17" i="4"/>
  <c r="Y14" i="4"/>
  <c r="W25" i="4"/>
  <c r="AB25" i="4" s="1"/>
  <c r="AC25" i="4" s="1"/>
  <c r="W24" i="4"/>
  <c r="W22" i="4"/>
  <c r="W20" i="4"/>
  <c r="W19" i="4"/>
  <c r="W18" i="4"/>
  <c r="W15" i="4"/>
  <c r="W14" i="4"/>
  <c r="W11" i="4"/>
  <c r="B2" i="5"/>
  <c r="B4" i="5" s="1"/>
  <c r="B12" i="5"/>
  <c r="B10" i="5"/>
  <c r="B8" i="5"/>
  <c r="W5" i="1"/>
  <c r="X5" i="1" s="1"/>
  <c r="W6" i="1"/>
  <c r="X6" i="1" s="1"/>
  <c r="W7" i="1"/>
  <c r="X7" i="1" s="1"/>
  <c r="W8" i="1"/>
  <c r="X8" i="1" s="1"/>
  <c r="W9" i="1"/>
  <c r="X9" i="1" s="1"/>
  <c r="W11" i="1"/>
  <c r="X11" i="1"/>
  <c r="W12" i="1"/>
  <c r="X12" i="1" s="1"/>
  <c r="W13" i="1"/>
  <c r="X13" i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1" i="1"/>
  <c r="X21" i="1" s="1"/>
  <c r="W22" i="1"/>
  <c r="X22" i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/>
  <c r="W40" i="1"/>
  <c r="X40" i="1" s="1"/>
  <c r="W41" i="1"/>
  <c r="X41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/>
  <c r="W49" i="1"/>
  <c r="X49" i="1" s="1"/>
  <c r="W50" i="1"/>
  <c r="X50" i="1" s="1"/>
  <c r="W51" i="1"/>
  <c r="X51" i="1" s="1"/>
  <c r="W52" i="1"/>
  <c r="X52" i="1" s="1"/>
  <c r="W53" i="1"/>
  <c r="X53" i="1" s="1"/>
  <c r="W3" i="1"/>
  <c r="X3" i="1" s="1"/>
  <c r="U5" i="1"/>
  <c r="V5" i="1" s="1"/>
  <c r="U6" i="1"/>
  <c r="V6" i="1"/>
  <c r="U7" i="1"/>
  <c r="V7" i="1" s="1"/>
  <c r="U8" i="1"/>
  <c r="V8" i="1" s="1"/>
  <c r="U9" i="1"/>
  <c r="V9" i="1" s="1"/>
  <c r="U11" i="1"/>
  <c r="V11" i="1" s="1"/>
  <c r="U12" i="1"/>
  <c r="V12" i="1" s="1"/>
  <c r="U13" i="1"/>
  <c r="V13" i="1" s="1"/>
  <c r="U14" i="1"/>
  <c r="V14" i="1" s="1"/>
  <c r="U15" i="1"/>
  <c r="V15" i="1"/>
  <c r="U16" i="1"/>
  <c r="V16" i="1" s="1"/>
  <c r="U17" i="1"/>
  <c r="V17" i="1" s="1"/>
  <c r="U18" i="1"/>
  <c r="V18" i="1" s="1"/>
  <c r="U19" i="1"/>
  <c r="V19" i="1" s="1"/>
  <c r="U21" i="1"/>
  <c r="V21" i="1" s="1"/>
  <c r="U22" i="1"/>
  <c r="V22" i="1" s="1"/>
  <c r="U23" i="1"/>
  <c r="V23" i="1" s="1"/>
  <c r="U24" i="1"/>
  <c r="V24" i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2" i="1"/>
  <c r="V32" i="1" s="1"/>
  <c r="U33" i="1"/>
  <c r="V33" i="1"/>
  <c r="U34" i="1"/>
  <c r="V34" i="1" s="1"/>
  <c r="U35" i="1"/>
  <c r="V35" i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/>
  <c r="U43" i="1"/>
  <c r="V43" i="1" s="1"/>
  <c r="U44" i="1"/>
  <c r="V44" i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/>
  <c r="U53" i="1"/>
  <c r="V53" i="1" s="1"/>
  <c r="U3" i="1"/>
  <c r="V3" i="1" s="1"/>
  <c r="M3" i="1"/>
  <c r="O3" i="1" s="1"/>
  <c r="P3" i="1" s="1"/>
  <c r="M44" i="1"/>
  <c r="O44" i="1" s="1"/>
  <c r="P44" i="1" s="1"/>
  <c r="M45" i="1"/>
  <c r="O45" i="1" s="1"/>
  <c r="P45" i="1" s="1"/>
  <c r="M46" i="1"/>
  <c r="O46" i="1" s="1"/>
  <c r="P46" i="1" s="1"/>
  <c r="M47" i="1"/>
  <c r="O47" i="1" s="1"/>
  <c r="P47" i="1" s="1"/>
  <c r="M48" i="1"/>
  <c r="O48" i="1" s="1"/>
  <c r="P48" i="1" s="1"/>
  <c r="M49" i="1"/>
  <c r="O49" i="1" s="1"/>
  <c r="P49" i="1" s="1"/>
  <c r="M50" i="1"/>
  <c r="O50" i="1" s="1"/>
  <c r="P50" i="1" s="1"/>
  <c r="M51" i="1"/>
  <c r="O51" i="1"/>
  <c r="M52" i="1"/>
  <c r="O52" i="1" s="1"/>
  <c r="P52" i="1" s="1"/>
  <c r="M53" i="1"/>
  <c r="O53" i="1"/>
  <c r="M43" i="1"/>
  <c r="O43" i="1" s="1"/>
  <c r="P43" i="1" s="1"/>
  <c r="N33" i="1"/>
  <c r="O33" i="1" s="1"/>
  <c r="P33" i="1" s="1"/>
  <c r="N34" i="1"/>
  <c r="O34" i="1" s="1"/>
  <c r="P34" i="1" s="1"/>
  <c r="N35" i="1"/>
  <c r="O35" i="1" s="1"/>
  <c r="P35" i="1" s="1"/>
  <c r="N36" i="1"/>
  <c r="O36" i="1" s="1"/>
  <c r="P36" i="1" s="1"/>
  <c r="N37" i="1"/>
  <c r="O37" i="1"/>
  <c r="N38" i="1"/>
  <c r="O38" i="1" s="1"/>
  <c r="P38" i="1" s="1"/>
  <c r="N39" i="1"/>
  <c r="O39" i="1" s="1"/>
  <c r="P39" i="1" s="1"/>
  <c r="N40" i="1"/>
  <c r="O40" i="1" s="1"/>
  <c r="P40" i="1" s="1"/>
  <c r="N41" i="1"/>
  <c r="O41" i="1" s="1"/>
  <c r="P41" i="1" s="1"/>
  <c r="N32" i="1"/>
  <c r="O32" i="1" s="1"/>
  <c r="P32" i="1" s="1"/>
  <c r="M22" i="1"/>
  <c r="O22" i="1" s="1"/>
  <c r="P22" i="1" s="1"/>
  <c r="M23" i="1"/>
  <c r="O23" i="1" s="1"/>
  <c r="P23" i="1" s="1"/>
  <c r="M24" i="1"/>
  <c r="O24" i="1"/>
  <c r="M25" i="1"/>
  <c r="O25" i="1" s="1"/>
  <c r="P25" i="1" s="1"/>
  <c r="M26" i="1"/>
  <c r="O26" i="1"/>
  <c r="P26" i="1" s="1"/>
  <c r="M27" i="1"/>
  <c r="O27" i="1" s="1"/>
  <c r="P27" i="1" s="1"/>
  <c r="M28" i="1"/>
  <c r="O28" i="1" s="1"/>
  <c r="P28" i="1" s="1"/>
  <c r="M29" i="1"/>
  <c r="O29" i="1" s="1"/>
  <c r="P29" i="1" s="1"/>
  <c r="M30" i="1"/>
  <c r="O30" i="1" s="1"/>
  <c r="P30" i="1" s="1"/>
  <c r="M21" i="1"/>
  <c r="O21" i="1" s="1"/>
  <c r="P21" i="1" s="1"/>
  <c r="N12" i="1"/>
  <c r="O12" i="1"/>
  <c r="P12" i="1" s="1"/>
  <c r="N13" i="1"/>
  <c r="O13" i="1" s="1"/>
  <c r="P13" i="1" s="1"/>
  <c r="N14" i="1"/>
  <c r="O14" i="1"/>
  <c r="N15" i="1"/>
  <c r="O15" i="1" s="1"/>
  <c r="P15" i="1" s="1"/>
  <c r="N16" i="1"/>
  <c r="O16" i="1" s="1"/>
  <c r="P16" i="1" s="1"/>
  <c r="N17" i="1"/>
  <c r="O17" i="1" s="1"/>
  <c r="P17" i="1" s="1"/>
  <c r="N18" i="1"/>
  <c r="O18" i="1" s="1"/>
  <c r="P18" i="1" s="1"/>
  <c r="N19" i="1"/>
  <c r="O19" i="1" s="1"/>
  <c r="P19" i="1" s="1"/>
  <c r="N11" i="1"/>
  <c r="O11" i="1"/>
  <c r="P11" i="1" s="1"/>
  <c r="P14" i="1"/>
  <c r="P24" i="1"/>
  <c r="P37" i="1"/>
  <c r="P51" i="1"/>
  <c r="P53" i="1"/>
  <c r="N6" i="1"/>
  <c r="O6" i="1" s="1"/>
  <c r="P6" i="1" s="1"/>
  <c r="N7" i="1"/>
  <c r="O7" i="1" s="1"/>
  <c r="P7" i="1" s="1"/>
  <c r="N8" i="1"/>
  <c r="O8" i="1"/>
  <c r="P8" i="1" s="1"/>
  <c r="N9" i="1"/>
  <c r="O9" i="1" s="1"/>
  <c r="P9" i="1" s="1"/>
  <c r="N5" i="1"/>
  <c r="O5" i="1" s="1"/>
  <c r="P5" i="1" s="1"/>
  <c r="M33" i="1"/>
  <c r="M34" i="1"/>
  <c r="M35" i="1"/>
  <c r="M36" i="1"/>
  <c r="M37" i="1"/>
  <c r="M38" i="1"/>
  <c r="M39" i="1"/>
  <c r="M40" i="1"/>
  <c r="M41" i="1"/>
  <c r="N44" i="1"/>
  <c r="N45" i="1"/>
  <c r="N46" i="1"/>
  <c r="N47" i="1"/>
  <c r="N48" i="1"/>
  <c r="N49" i="1"/>
  <c r="N50" i="1"/>
  <c r="N51" i="1"/>
  <c r="N52" i="1"/>
  <c r="N53" i="1"/>
  <c r="N43" i="1"/>
  <c r="M32" i="1"/>
  <c r="N22" i="1"/>
  <c r="N23" i="1"/>
  <c r="N24" i="1"/>
  <c r="N25" i="1"/>
  <c r="N26" i="1"/>
  <c r="N27" i="1"/>
  <c r="N28" i="1"/>
  <c r="N29" i="1"/>
  <c r="N30" i="1"/>
  <c r="N21" i="1"/>
  <c r="M12" i="1"/>
  <c r="M13" i="1"/>
  <c r="M14" i="1"/>
  <c r="M15" i="1"/>
  <c r="M16" i="1"/>
  <c r="M17" i="1"/>
  <c r="M18" i="1"/>
  <c r="M19" i="1"/>
  <c r="M11" i="1"/>
  <c r="M6" i="1"/>
  <c r="M7" i="1"/>
  <c r="M8" i="1"/>
  <c r="M9" i="1"/>
  <c r="M5" i="1"/>
  <c r="Z43" i="1"/>
  <c r="Z32" i="1"/>
  <c r="Z21" i="1"/>
  <c r="Z11" i="1"/>
  <c r="Z5" i="1"/>
  <c r="Z6" i="1"/>
  <c r="Z7" i="1"/>
  <c r="Z8" i="1"/>
  <c r="Z9" i="1"/>
  <c r="Z12" i="1"/>
  <c r="Z13" i="1"/>
  <c r="Z14" i="1"/>
  <c r="Z15" i="1"/>
  <c r="Z16" i="1"/>
  <c r="Z17" i="1"/>
  <c r="Z18" i="1"/>
  <c r="Z19" i="1"/>
  <c r="Z22" i="1"/>
  <c r="Z23" i="1"/>
  <c r="Z24" i="1"/>
  <c r="Z25" i="1"/>
  <c r="Z26" i="1"/>
  <c r="Z27" i="1"/>
  <c r="Z28" i="1"/>
  <c r="Z29" i="1"/>
  <c r="Z30" i="1"/>
  <c r="Z33" i="1"/>
  <c r="Z34" i="1"/>
  <c r="Z35" i="1"/>
  <c r="Z36" i="1"/>
  <c r="Z37" i="1"/>
  <c r="Z38" i="1"/>
  <c r="Z39" i="1"/>
  <c r="Z40" i="1"/>
  <c r="Z41" i="1"/>
  <c r="Z44" i="1"/>
  <c r="Z45" i="1"/>
  <c r="Z46" i="1"/>
  <c r="Z47" i="1"/>
  <c r="Z48" i="1"/>
  <c r="Z49" i="1"/>
  <c r="Z50" i="1"/>
  <c r="Z51" i="1"/>
  <c r="Z52" i="1"/>
  <c r="Z53" i="1"/>
  <c r="B7" i="2"/>
  <c r="B1" i="2"/>
  <c r="B3" i="2"/>
  <c r="B8" i="2" s="1"/>
  <c r="B11" i="2"/>
  <c r="N3" i="1"/>
  <c r="F17" i="5" l="1"/>
  <c r="F16" i="5"/>
  <c r="B13" i="5"/>
  <c r="B15" i="5" s="1"/>
  <c r="AB14" i="4"/>
  <c r="AC14" i="4" s="1"/>
  <c r="AD14" i="4"/>
  <c r="AD20" i="4"/>
  <c r="AB20" i="4"/>
  <c r="AC20" i="4" s="1"/>
  <c r="AD28" i="4"/>
  <c r="AB28" i="4"/>
  <c r="AC28" i="4" s="1"/>
  <c r="AB33" i="4"/>
  <c r="AC33" i="4" s="1"/>
  <c r="AD33" i="4"/>
  <c r="AD34" i="4"/>
  <c r="AB34" i="4"/>
  <c r="AC34" i="4" s="1"/>
  <c r="AB15" i="4"/>
  <c r="AC15" i="4" s="1"/>
  <c r="AD15" i="4"/>
  <c r="AB22" i="4"/>
  <c r="AC22" i="4" s="1"/>
  <c r="AD22" i="4"/>
  <c r="AB17" i="4"/>
  <c r="AC17" i="4" s="1"/>
  <c r="AD17" i="4"/>
  <c r="AB29" i="4"/>
  <c r="AC29" i="4" s="1"/>
  <c r="AD29" i="4"/>
  <c r="AD18" i="4"/>
  <c r="AB18" i="4"/>
  <c r="AC18" i="4" s="1"/>
  <c r="AB24" i="4"/>
  <c r="AC24" i="4" s="1"/>
  <c r="AD24" i="4"/>
  <c r="AD30" i="4"/>
  <c r="AB30" i="4"/>
  <c r="AC30" i="4" s="1"/>
  <c r="AD35" i="4"/>
  <c r="AB35" i="4"/>
  <c r="AC35" i="4" s="1"/>
  <c r="AB36" i="4"/>
  <c r="AC36" i="4" s="1"/>
  <c r="AD37" i="4"/>
  <c r="AB11" i="4"/>
  <c r="AC11" i="4" s="1"/>
  <c r="AD11" i="4"/>
  <c r="AB19" i="4"/>
  <c r="AC19" i="4" s="1"/>
  <c r="AD19" i="4"/>
  <c r="AD25" i="4"/>
  <c r="AD27" i="4"/>
  <c r="AB27" i="4"/>
  <c r="AC27" i="4" s="1"/>
  <c r="AD31" i="4"/>
  <c r="AB31" i="4"/>
  <c r="AC31" i="4" s="1"/>
  <c r="N17" i="5" l="1"/>
  <c r="J17" i="5"/>
  <c r="I2" i="19" l="1"/>
</calcChain>
</file>

<file path=xl/sharedStrings.xml><?xml version="1.0" encoding="utf-8"?>
<sst xmlns="http://schemas.openxmlformats.org/spreadsheetml/2006/main" count="2092" uniqueCount="612">
  <si>
    <t>Length</t>
  </si>
  <si>
    <t>Thickness</t>
  </si>
  <si>
    <t>IPD - Parallel to bedding</t>
  </si>
  <si>
    <t>IPD - Perpendicular to bedding</t>
  </si>
  <si>
    <t>Method</t>
  </si>
  <si>
    <t>Seed dimension</t>
  </si>
  <si>
    <t>Porosity</t>
  </si>
  <si>
    <t>dx (m)</t>
  </si>
  <si>
    <t>drho (kg/ cubic m)</t>
  </si>
  <si>
    <t>dt (s)</t>
  </si>
  <si>
    <t>Veritcal Permeability (mD)</t>
  </si>
  <si>
    <t>Pressure (LBM)</t>
  </si>
  <si>
    <t>Pressure (Pa)</t>
  </si>
  <si>
    <t>Magnitude of injection</t>
  </si>
  <si>
    <t>Width</t>
  </si>
  <si>
    <t>Initial Seed</t>
  </si>
  <si>
    <t>124*124*8</t>
  </si>
  <si>
    <t xml:space="preserve"> (Z) Hz Permeability 1 (LBM) </t>
  </si>
  <si>
    <t xml:space="preserve"> (Y) Hz Permeability (LBM)</t>
  </si>
  <si>
    <t>(X) Vertical Permeability 2 (LBM)</t>
  </si>
  <si>
    <t>Dilation</t>
  </si>
  <si>
    <t>128*128*12</t>
  </si>
  <si>
    <t>132*132*16</t>
  </si>
  <si>
    <t>136*136*20</t>
  </si>
  <si>
    <t>140*140*24</t>
  </si>
  <si>
    <t>Microfrac - Parallel to bedding</t>
  </si>
  <si>
    <t>124*124*10</t>
  </si>
  <si>
    <t>124*124*12</t>
  </si>
  <si>
    <t>124*124*14</t>
  </si>
  <si>
    <t>124*124*16</t>
  </si>
  <si>
    <t>124*124*18</t>
  </si>
  <si>
    <t>124*124*20</t>
  </si>
  <si>
    <t>124*124*22</t>
  </si>
  <si>
    <t>124*124*24</t>
  </si>
  <si>
    <t>Microfrac - Perpendicular to bedding</t>
  </si>
  <si>
    <t>128*128*8</t>
  </si>
  <si>
    <t>132*132*8</t>
  </si>
  <si>
    <t>136*136*8</t>
  </si>
  <si>
    <t>140*140*8</t>
  </si>
  <si>
    <t>148*148*8</t>
  </si>
  <si>
    <t>156*156*8</t>
  </si>
  <si>
    <t>164*164*8</t>
  </si>
  <si>
    <t>176*176*8</t>
  </si>
  <si>
    <t>188*188*8</t>
  </si>
  <si>
    <t>Fracture - Parallel to bedding</t>
  </si>
  <si>
    <t>124*124*9</t>
  </si>
  <si>
    <t>124*124*11</t>
  </si>
  <si>
    <t>Fracture - Perpendicular to bedding</t>
  </si>
  <si>
    <t>126*124*8</t>
  </si>
  <si>
    <t>132*124*8</t>
  </si>
  <si>
    <t>140*124*8</t>
  </si>
  <si>
    <t>156*124*8</t>
  </si>
  <si>
    <t>172*124*8</t>
  </si>
  <si>
    <t>188*124*8</t>
  </si>
  <si>
    <t>220*124*8</t>
  </si>
  <si>
    <t>252*124*8</t>
  </si>
  <si>
    <t>284*124*8</t>
  </si>
  <si>
    <t>180*124*8</t>
  </si>
  <si>
    <t>kv/kh</t>
  </si>
  <si>
    <t>kh/kv</t>
  </si>
  <si>
    <t>dx</t>
  </si>
  <si>
    <t>Re</t>
  </si>
  <si>
    <t>Velocity (for water)</t>
  </si>
  <si>
    <t>Velocity (LBM)</t>
  </si>
  <si>
    <t>Velocity ratio</t>
  </si>
  <si>
    <t>dt</t>
  </si>
  <si>
    <t>density LBM</t>
  </si>
  <si>
    <t>density</t>
  </si>
  <si>
    <t>drho</t>
  </si>
  <si>
    <t>Size of grain</t>
  </si>
  <si>
    <t>for laminar flow</t>
  </si>
  <si>
    <t>m/s</t>
  </si>
  <si>
    <t>s/m</t>
  </si>
  <si>
    <t>kg/cu m</t>
  </si>
  <si>
    <t>kg/ cu m</t>
  </si>
  <si>
    <t>meters</t>
  </si>
  <si>
    <t>B7*dx</t>
  </si>
  <si>
    <t>matrix units</t>
  </si>
  <si>
    <t>Hz Permeability  (mD)</t>
  </si>
  <si>
    <t>k_frac/k_formation</t>
  </si>
  <si>
    <t>k_formation/k_frac</t>
  </si>
  <si>
    <t>Vertical Permeability (sq m)</t>
  </si>
  <si>
    <t>Hz Permeability (sq m)</t>
  </si>
  <si>
    <t>1054*1054*32</t>
  </si>
  <si>
    <t>1058*1058*36</t>
  </si>
  <si>
    <t>1062*1062*40</t>
  </si>
  <si>
    <t>1066*1066*44</t>
  </si>
  <si>
    <t>1070*1070_48</t>
  </si>
  <si>
    <t>1078*1078*56</t>
  </si>
  <si>
    <t>1086*1086*64</t>
  </si>
  <si>
    <t>1114*1114*92</t>
  </si>
  <si>
    <t>1098*1098*76</t>
  </si>
  <si>
    <t>MF - parallel</t>
  </si>
  <si>
    <t>1054*1054*36</t>
  </si>
  <si>
    <t>1054*1054*40</t>
  </si>
  <si>
    <t>1054*1054*44</t>
  </si>
  <si>
    <t>1054*1054*52</t>
  </si>
  <si>
    <t>1054*1054*60</t>
  </si>
  <si>
    <t>1054*1054*72</t>
  </si>
  <si>
    <t>MF - perpendicular</t>
  </si>
  <si>
    <t>1054*1054*84</t>
  </si>
  <si>
    <t>1070*1070*32</t>
  </si>
  <si>
    <t>1114*1114*32</t>
  </si>
  <si>
    <t>1154*1154*32</t>
  </si>
  <si>
    <t>1214*1214*32</t>
  </si>
  <si>
    <t>1274*1274*32</t>
  </si>
  <si>
    <t>1354*1354*32</t>
  </si>
  <si>
    <t>1454*1454*32</t>
  </si>
  <si>
    <t>m</t>
  </si>
  <si>
    <t>Cx</t>
  </si>
  <si>
    <t>No of voxels</t>
  </si>
  <si>
    <t>Density</t>
  </si>
  <si>
    <t>kg/m3</t>
  </si>
  <si>
    <t>LB Density</t>
  </si>
  <si>
    <t xml:space="preserve"> kg/m3</t>
  </si>
  <si>
    <t>Crho</t>
  </si>
  <si>
    <t>Time Factor (Tau)</t>
  </si>
  <si>
    <t>LB Viscosity</t>
  </si>
  <si>
    <t>Ct</t>
  </si>
  <si>
    <t>m2/s</t>
  </si>
  <si>
    <t>Viscosity of fluid</t>
  </si>
  <si>
    <t>s</t>
  </si>
  <si>
    <t>Cu</t>
  </si>
  <si>
    <t>LBLU</t>
  </si>
  <si>
    <t>LBDU</t>
  </si>
  <si>
    <t>1614*1614*32</t>
  </si>
  <si>
    <t>LBM Avg Velocity (X)</t>
  </si>
  <si>
    <t>LBM Avg Velocity (Y)</t>
  </si>
  <si>
    <t>Fracture - Parallel</t>
  </si>
  <si>
    <t>1054*1054*46</t>
  </si>
  <si>
    <t>1054*1054*88</t>
  </si>
  <si>
    <t>1054*1054*102</t>
  </si>
  <si>
    <t>Fracture - Perpendicular</t>
  </si>
  <si>
    <t>1118*1054*32</t>
  </si>
  <si>
    <t>1246*1054*32</t>
  </si>
  <si>
    <t>1438*1054*32</t>
  </si>
  <si>
    <t>1654*1054*32</t>
  </si>
  <si>
    <t>1854*1054*32</t>
  </si>
  <si>
    <t>2154*1054*32</t>
  </si>
  <si>
    <t>2554*1054*32</t>
  </si>
  <si>
    <t>3054*1054*32</t>
  </si>
  <si>
    <t xml:space="preserve"> Log Vertical Permeability (sq m)</t>
  </si>
  <si>
    <t>Log Hz Permeability (sq m)</t>
  </si>
  <si>
    <t>Cut Seed dimension</t>
  </si>
  <si>
    <t>1114*1114*10</t>
  </si>
  <si>
    <t>1054*1054*10</t>
  </si>
  <si>
    <t>1154*1154*10</t>
  </si>
  <si>
    <t>1214*1214*10</t>
  </si>
  <si>
    <t>1274*1274*10</t>
  </si>
  <si>
    <t>1354*1354*10</t>
  </si>
  <si>
    <t>1454*1454*10</t>
  </si>
  <si>
    <t>1614*1614*10</t>
  </si>
  <si>
    <t>1118*1054*10</t>
  </si>
  <si>
    <t>1246*1054*10</t>
  </si>
  <si>
    <t>1438*1054*10</t>
  </si>
  <si>
    <t>1654*1054*10</t>
  </si>
  <si>
    <t>1854*1054*10</t>
  </si>
  <si>
    <t>2154*1054*10</t>
  </si>
  <si>
    <t>2554*1054*10</t>
  </si>
  <si>
    <t>3054*1054*10</t>
  </si>
  <si>
    <t>LBM Avg Velocity (Z)</t>
  </si>
  <si>
    <t xml:space="preserve"> (Z) Hz Permeability (LBM)</t>
  </si>
  <si>
    <t>Tortuoisity (X)- Flow in vertical direction</t>
  </si>
  <si>
    <t>Tortuoisity (Y) - Flow in Hz direction</t>
  </si>
  <si>
    <t>Pressure (mPa)</t>
  </si>
  <si>
    <t>log (Tx)</t>
  </si>
  <si>
    <t>radius</t>
  </si>
  <si>
    <t xml:space="preserve"> Initial Pore Diameter</t>
  </si>
  <si>
    <t>Fracture Diameter</t>
  </si>
  <si>
    <t xml:space="preserve">Seed dimension - perpendicular </t>
  </si>
  <si>
    <t>Seed dimension - dirn of fracture</t>
  </si>
  <si>
    <t>Pore structure</t>
  </si>
  <si>
    <t xml:space="preserve"> Frac Permeability (LBM UNITS) - kv</t>
  </si>
  <si>
    <t>Permeability (LBM UNITS) -kh</t>
  </si>
  <si>
    <t xml:space="preserve"> Vertical Permeability (mD)</t>
  </si>
  <si>
    <t>Hz Permeability (mD)</t>
  </si>
  <si>
    <t>round+floor</t>
  </si>
  <si>
    <t>round</t>
  </si>
  <si>
    <t>sphere</t>
  </si>
  <si>
    <t>kh/kv (LBM)</t>
  </si>
  <si>
    <t>Permeability (mD)</t>
  </si>
  <si>
    <t>Log Permeability (m2)</t>
  </si>
  <si>
    <t>Hz Permeabilitty (sq m)</t>
  </si>
  <si>
    <t>Vertical Permeabilitty (sq m)</t>
  </si>
  <si>
    <t>X dimension</t>
  </si>
  <si>
    <t>Y dimension</t>
  </si>
  <si>
    <t>Z dimension</t>
  </si>
  <si>
    <t>Kozeny-Carman</t>
  </si>
  <si>
    <t>surface area of 1</t>
  </si>
  <si>
    <t>total surface area</t>
  </si>
  <si>
    <t>Aspect Ratio</t>
  </si>
  <si>
    <t>Initial</t>
  </si>
  <si>
    <t>754*754*32</t>
  </si>
  <si>
    <t>762*762*40</t>
  </si>
  <si>
    <t>770*770*48</t>
  </si>
  <si>
    <t>786*786*64</t>
  </si>
  <si>
    <t>802*802*80</t>
  </si>
  <si>
    <t>1362*1362*40</t>
  </si>
  <si>
    <t>1370*1370*48</t>
  </si>
  <si>
    <t>1386*1386*64</t>
  </si>
  <si>
    <t>1402*1402*80</t>
  </si>
  <si>
    <t>1804*1804*32</t>
  </si>
  <si>
    <t>1812*1812*40</t>
  </si>
  <si>
    <t>1820*1820*48</t>
  </si>
  <si>
    <t>1836*1836*64</t>
  </si>
  <si>
    <t>1852*1852*80</t>
  </si>
  <si>
    <t>kokT</t>
  </si>
  <si>
    <t>Mondol, 2008</t>
  </si>
  <si>
    <t>Smectite</t>
  </si>
  <si>
    <t>Kaolinite</t>
  </si>
  <si>
    <t>Porosity(%)</t>
  </si>
  <si>
    <t>log (k)</t>
  </si>
  <si>
    <t>log(k)</t>
  </si>
  <si>
    <t>k (sq m)</t>
  </si>
  <si>
    <t>Dong, 2017</t>
  </si>
  <si>
    <t xml:space="preserve">Permeability </t>
  </si>
  <si>
    <t>log k</t>
  </si>
  <si>
    <t>Tv</t>
  </si>
  <si>
    <t>Th</t>
  </si>
  <si>
    <t>Koponen, 97</t>
  </si>
  <si>
    <t>Koponen, 96</t>
  </si>
  <si>
    <t>Nabovati, Sousa 2007</t>
  </si>
  <si>
    <t>3004*3004*32</t>
  </si>
  <si>
    <t>3012*3012*40</t>
  </si>
  <si>
    <t>3020*3020*48</t>
  </si>
  <si>
    <t>k predictions based on Yang and Aplin, 2007</t>
  </si>
  <si>
    <t>X dimension of seed</t>
  </si>
  <si>
    <t>Y dimension of seed</t>
  </si>
  <si>
    <t>Z dimension of seed</t>
  </si>
  <si>
    <t>m/voxels</t>
  </si>
  <si>
    <t>m3</t>
  </si>
  <si>
    <t>Volume of seed</t>
  </si>
  <si>
    <t>Volume of pores</t>
  </si>
  <si>
    <t>Surface area of pores</t>
  </si>
  <si>
    <t>m2</t>
  </si>
  <si>
    <t>V/S</t>
  </si>
  <si>
    <t>kv (LBM)</t>
  </si>
  <si>
    <t>kh(LBM)</t>
  </si>
  <si>
    <t>vT product</t>
  </si>
  <si>
    <t>Tv (LBM)</t>
  </si>
  <si>
    <t>Th (LBM)</t>
  </si>
  <si>
    <t>voxels</t>
  </si>
  <si>
    <t>(V/S)^2</t>
  </si>
  <si>
    <t>k predicted (Yang and Aplin, 2007)</t>
  </si>
  <si>
    <t>Surface Area of Pores</t>
  </si>
  <si>
    <t>voxel^2</t>
  </si>
  <si>
    <t>vT vertical</t>
  </si>
  <si>
    <t>vT horizontal</t>
  </si>
  <si>
    <t>v vertical</t>
  </si>
  <si>
    <t>v horizontal</t>
  </si>
  <si>
    <t>phii*(V/S)^2</t>
  </si>
  <si>
    <t>6 microns</t>
  </si>
  <si>
    <t>1 micron</t>
  </si>
  <si>
    <t>Magnitude of injeciton (m)</t>
  </si>
  <si>
    <t>J2</t>
  </si>
  <si>
    <t>clay</t>
  </si>
  <si>
    <t>J1 (Dewhurst)</t>
  </si>
  <si>
    <t>j1 (old)</t>
  </si>
  <si>
    <t>e100</t>
  </si>
  <si>
    <t>e</t>
  </si>
  <si>
    <t>alpha</t>
  </si>
  <si>
    <t>r mean(m)</t>
  </si>
  <si>
    <t>r mean (lbm)</t>
  </si>
  <si>
    <t>sin(alpha)^2</t>
  </si>
  <si>
    <t>J ratio (old)</t>
  </si>
  <si>
    <t>J ratio (new)</t>
  </si>
  <si>
    <t>Jv (old)</t>
  </si>
  <si>
    <t>Jv (new)</t>
  </si>
  <si>
    <t>kv (old)</t>
  </si>
  <si>
    <t>kv (new)</t>
  </si>
  <si>
    <t>r mean (nm)</t>
  </si>
  <si>
    <t>kv old 2</t>
  </si>
  <si>
    <t>kv old3 (A6)</t>
  </si>
  <si>
    <t>Squared Residuals(old2)</t>
  </si>
  <si>
    <t>Squared Residuals (old3)</t>
  </si>
  <si>
    <t>SIGMA</t>
  </si>
  <si>
    <t>RSQ (old2)</t>
  </si>
  <si>
    <t>RSQ (old3)</t>
  </si>
  <si>
    <t xml:space="preserve">Squared Residuals </t>
  </si>
  <si>
    <t>SA (Interbed)</t>
  </si>
  <si>
    <t>LBU^2</t>
  </si>
  <si>
    <t>SA (Intrabed)</t>
  </si>
  <si>
    <t>eps updated</t>
  </si>
  <si>
    <t>LBU length</t>
  </si>
  <si>
    <t>sigma updated</t>
  </si>
  <si>
    <t>SA Total</t>
  </si>
  <si>
    <t>sigma</t>
  </si>
  <si>
    <t>product</t>
  </si>
  <si>
    <t>Boudreaua and Meysmann</t>
  </si>
  <si>
    <t>Fracture Porosity</t>
  </si>
  <si>
    <t>Fracture frequency / sample</t>
  </si>
  <si>
    <t>KF1</t>
  </si>
  <si>
    <t>Sample X</t>
  </si>
  <si>
    <t>Sample length (m)</t>
  </si>
  <si>
    <t>Df (Fractures per meter)</t>
  </si>
  <si>
    <t>Wf (m)</t>
  </si>
  <si>
    <t>Wf (mm)</t>
  </si>
  <si>
    <t>kfrac (mD)</t>
  </si>
  <si>
    <t>kfrac(m2)</t>
  </si>
  <si>
    <t>kf/km</t>
  </si>
  <si>
    <t>km</t>
  </si>
  <si>
    <t>phifrac</t>
  </si>
  <si>
    <t>kf/km new</t>
  </si>
  <si>
    <t>Iversen and Jorgensen</t>
  </si>
  <si>
    <t>Comiti and Renaud</t>
  </si>
  <si>
    <t>COMPACTION</t>
  </si>
  <si>
    <t>porosity</t>
  </si>
  <si>
    <t>kv (m2)</t>
  </si>
  <si>
    <t>kh (m2)</t>
  </si>
  <si>
    <t>tv</t>
  </si>
  <si>
    <t>visc (Pa.s)</t>
  </si>
  <si>
    <t>area (m2)</t>
  </si>
  <si>
    <t>length (m)</t>
  </si>
  <si>
    <t>flow rate (m3/s)</t>
  </si>
  <si>
    <t>density (kg/m3)</t>
  </si>
  <si>
    <t>Re (vertical)</t>
  </si>
  <si>
    <t>VERTICAL</t>
  </si>
  <si>
    <t>flux qv (m/s)</t>
  </si>
  <si>
    <t>flux qh (m/s)</t>
  </si>
  <si>
    <t>Re (hz)</t>
  </si>
  <si>
    <t>HORIZONTAL</t>
  </si>
  <si>
    <t>Re (horizontal)</t>
  </si>
  <si>
    <t>CHECK</t>
  </si>
  <si>
    <t>th old</t>
  </si>
  <si>
    <t>TORTUOSITY</t>
  </si>
  <si>
    <t>th new2</t>
  </si>
  <si>
    <t>th new1</t>
  </si>
  <si>
    <t>MICROFRACTURE</t>
  </si>
  <si>
    <t>check</t>
  </si>
  <si>
    <t>FRACTURE</t>
  </si>
  <si>
    <t>Thickness (nm)</t>
  </si>
  <si>
    <t>length (nm)</t>
  </si>
  <si>
    <t>dx current</t>
  </si>
  <si>
    <t>length (lbmu)</t>
  </si>
  <si>
    <t>smectite</t>
  </si>
  <si>
    <t>kaolinite</t>
  </si>
  <si>
    <t>thickness(nm)</t>
  </si>
  <si>
    <t>thickness(lbmu)</t>
  </si>
  <si>
    <t>current</t>
  </si>
  <si>
    <t>Constant thickness</t>
  </si>
  <si>
    <t>illite</t>
  </si>
  <si>
    <t>Santamarina, 2002</t>
  </si>
  <si>
    <t>Nadeau, 1985</t>
  </si>
  <si>
    <t>Mondol, 2007</t>
  </si>
  <si>
    <t>thickness (nm)</t>
  </si>
  <si>
    <t>length(nm)</t>
  </si>
  <si>
    <t>Innoue, 1990</t>
  </si>
  <si>
    <t>compaction</t>
  </si>
  <si>
    <t>Pore throat Size (lbmu)</t>
  </si>
  <si>
    <t>Pore throat size (m)</t>
  </si>
  <si>
    <t>Pore throat size (nm)</t>
  </si>
  <si>
    <t>d1  -Horizontal flow length (LBMU)</t>
  </si>
  <si>
    <t>d2  -Horizontal flow length (LBMU)</t>
  </si>
  <si>
    <t>cross sectional area (m2)</t>
  </si>
  <si>
    <t>Hz length of platelets</t>
  </si>
  <si>
    <t>Vertical flow length (lbmu)</t>
  </si>
  <si>
    <t>Vertical flow length (m)</t>
  </si>
  <si>
    <t>vertical velocity (m/s)</t>
  </si>
  <si>
    <t>flux (m3/s)</t>
  </si>
  <si>
    <t>Viscosity (m2/s)</t>
  </si>
  <si>
    <t>Reynolds Number LBMU</t>
  </si>
  <si>
    <t>Reynolds number (units)</t>
  </si>
  <si>
    <t>Status</t>
  </si>
  <si>
    <t>thickness (lbmu)</t>
  </si>
  <si>
    <t>2104x2104x23</t>
  </si>
  <si>
    <t>2108x2108x27</t>
  </si>
  <si>
    <t>2112x2112x31</t>
  </si>
  <si>
    <t>total Pore length (lbmu) for vertical flow</t>
  </si>
  <si>
    <t>Vertical Flow Length (m)</t>
  </si>
  <si>
    <t>Vertical Flow Lenth (lbmu)</t>
  </si>
  <si>
    <t>kh/kv (m2)</t>
  </si>
  <si>
    <t>2116x2116x35</t>
  </si>
  <si>
    <t>604x604x62</t>
  </si>
  <si>
    <t>608x608x66</t>
  </si>
  <si>
    <t>Particle Diameter (m)</t>
  </si>
  <si>
    <t>Diameter (nm)</t>
  </si>
  <si>
    <t>Particle Thickness (m)</t>
  </si>
  <si>
    <t>616x616x74</t>
  </si>
  <si>
    <t>624x624x82</t>
  </si>
  <si>
    <t>636x636x94</t>
  </si>
  <si>
    <t>2124x2124x43</t>
  </si>
  <si>
    <t>648x648x106</t>
  </si>
  <si>
    <t>664x664x122</t>
  </si>
  <si>
    <t>692x692x150</t>
  </si>
  <si>
    <t>(X) Vertical Permeability  (LBM)</t>
  </si>
  <si>
    <t>kaolinite 2</t>
  </si>
  <si>
    <t>kaolinite2</t>
  </si>
  <si>
    <t>904x904x92</t>
  </si>
  <si>
    <t>916x916x104</t>
  </si>
  <si>
    <t>940x940x128</t>
  </si>
  <si>
    <t>984x984x172</t>
  </si>
  <si>
    <t>kaolinite3</t>
  </si>
  <si>
    <t>kaolinite 3</t>
  </si>
  <si>
    <t>0.1 MICRON</t>
  </si>
  <si>
    <t>3 MICRON</t>
  </si>
  <si>
    <t>smectite test</t>
  </si>
  <si>
    <t>(X) Vertical Permeability (LBM)</t>
  </si>
  <si>
    <t>smectite 2</t>
  </si>
  <si>
    <t>Smectite 2</t>
  </si>
  <si>
    <t>1504x1504x17</t>
  </si>
  <si>
    <t>1516x1516x29</t>
  </si>
  <si>
    <t>1504x1504x152</t>
  </si>
  <si>
    <t>Series</t>
  </si>
  <si>
    <t>k3</t>
  </si>
  <si>
    <t>smectite2</t>
  </si>
  <si>
    <t>1536x1536x184</t>
  </si>
  <si>
    <t>1512x1512x25</t>
  </si>
  <si>
    <t>kv check</t>
  </si>
  <si>
    <t>kh check</t>
  </si>
  <si>
    <t>1524x1524x37</t>
  </si>
  <si>
    <t>Smectite 3</t>
  </si>
  <si>
    <t>smectite 3</t>
  </si>
  <si>
    <t>Smectite check</t>
  </si>
  <si>
    <t>AR (LBMU)</t>
  </si>
  <si>
    <t>k4</t>
  </si>
  <si>
    <t>kaolinite4</t>
  </si>
  <si>
    <t>928x928x14</t>
  </si>
  <si>
    <t>kaolinite 4</t>
  </si>
  <si>
    <t>936x936x22</t>
  </si>
  <si>
    <t>width (lbmu)</t>
  </si>
  <si>
    <t>aspect ratio</t>
  </si>
  <si>
    <t>width (nm)</t>
  </si>
  <si>
    <t>aspect ratio (lbmu)</t>
  </si>
  <si>
    <t>944X944X30</t>
  </si>
  <si>
    <t>Smectite 4</t>
  </si>
  <si>
    <t>smectite 4</t>
  </si>
  <si>
    <t>640x640x14</t>
  </si>
  <si>
    <t>648x648x22</t>
  </si>
  <si>
    <t>656X656X30</t>
  </si>
  <si>
    <t>smectite 5</t>
  </si>
  <si>
    <t>Smectite 5</t>
  </si>
  <si>
    <t>1216x1216x89</t>
  </si>
  <si>
    <t>1204x1204x77</t>
  </si>
  <si>
    <t>604x604x14</t>
  </si>
  <si>
    <t>612x612x22</t>
  </si>
  <si>
    <t>620x620x30</t>
  </si>
  <si>
    <t>Smectite 6</t>
  </si>
  <si>
    <t>Mondol Eqtn</t>
  </si>
  <si>
    <t>1236x1236x109</t>
  </si>
  <si>
    <t>smectite 6</t>
  </si>
  <si>
    <t>S6</t>
  </si>
  <si>
    <t>904x904x20</t>
  </si>
  <si>
    <t>912x912x28</t>
  </si>
  <si>
    <t>924x924x40</t>
  </si>
  <si>
    <t>1252x1252x125</t>
  </si>
  <si>
    <t>952x952x38</t>
  </si>
  <si>
    <t>lengtth (nm)</t>
  </si>
  <si>
    <t>664x664x38</t>
  </si>
  <si>
    <t>628x628x38</t>
  </si>
  <si>
    <t>k5</t>
  </si>
  <si>
    <t>kaolinite5</t>
  </si>
  <si>
    <t>kaolinite 5</t>
  </si>
  <si>
    <t>904x904x47</t>
  </si>
  <si>
    <t>916x916x59</t>
  </si>
  <si>
    <t>936x936x79</t>
  </si>
  <si>
    <t>964x964x107</t>
  </si>
  <si>
    <t>1268X1268X141</t>
  </si>
  <si>
    <t>k compaction (m2)</t>
  </si>
  <si>
    <t>(kcomp-km)/km</t>
  </si>
  <si>
    <t>diff</t>
  </si>
  <si>
    <t>lbmu</t>
  </si>
  <si>
    <t>1540x1054x32</t>
  </si>
  <si>
    <t>length</t>
  </si>
  <si>
    <t>thickness</t>
  </si>
  <si>
    <t>s3</t>
  </si>
  <si>
    <t>s5</t>
  </si>
  <si>
    <t>AR</t>
  </si>
  <si>
    <t>908X908X51</t>
  </si>
  <si>
    <t>912x912x55</t>
  </si>
  <si>
    <t>924x924x67</t>
  </si>
  <si>
    <t>952x952x95</t>
  </si>
  <si>
    <t>Mondol smectite (mD)</t>
  </si>
  <si>
    <t>Mondol Smectite (m2)</t>
  </si>
  <si>
    <t>R2</t>
  </si>
  <si>
    <t>976x976x119</t>
  </si>
  <si>
    <t>608x608x18</t>
  </si>
  <si>
    <t>616x616x26</t>
  </si>
  <si>
    <t>Horizontal flow length (m)</t>
  </si>
  <si>
    <t>cross sectional area (m2) for kv</t>
  </si>
  <si>
    <t>cross sectional area (m2) for kh</t>
  </si>
  <si>
    <t>s7</t>
  </si>
  <si>
    <t>904x904x11</t>
  </si>
  <si>
    <t>908x908x15</t>
  </si>
  <si>
    <t>912x912x19</t>
  </si>
  <si>
    <t>916x916x23</t>
  </si>
  <si>
    <t>920x920x27</t>
  </si>
  <si>
    <t>928x928x35</t>
  </si>
  <si>
    <t>smectite 7</t>
  </si>
  <si>
    <t>tv calculated</t>
  </si>
  <si>
    <t>kh calculated</t>
  </si>
  <si>
    <t>636x636x46</t>
  </si>
  <si>
    <t>log (kv)</t>
  </si>
  <si>
    <t>hz flow length (m)</t>
  </si>
  <si>
    <t>cross sectional area for hz flow (m2)</t>
  </si>
  <si>
    <t>height</t>
  </si>
  <si>
    <t>d1 horizontal</t>
  </si>
  <si>
    <t>d2 horizontal</t>
  </si>
  <si>
    <t>length for hz flow (m)</t>
  </si>
  <si>
    <t>length for vertical flow (m)</t>
  </si>
  <si>
    <t>csa for vertical flow (m2)</t>
  </si>
  <si>
    <t>csa for horizontal flow (m2)</t>
  </si>
  <si>
    <t>mondol k (md)</t>
  </si>
  <si>
    <t>mondol k (m2)</t>
  </si>
  <si>
    <t>rsquared</t>
  </si>
  <si>
    <t>1176x1054x32</t>
  </si>
  <si>
    <t>1086x1086x32</t>
  </si>
  <si>
    <t>1310x1054x32</t>
  </si>
  <si>
    <t>1182x1182x32</t>
  </si>
  <si>
    <t>~</t>
  </si>
  <si>
    <t>log kv</t>
  </si>
  <si>
    <t>Fracture diameter (nm)</t>
  </si>
  <si>
    <t>Generalized Mudstone</t>
  </si>
  <si>
    <t>Diameter (m)</t>
  </si>
  <si>
    <t>m = 35</t>
  </si>
  <si>
    <t>m=20</t>
  </si>
  <si>
    <t>File Name</t>
  </si>
  <si>
    <t>sh_seed_Z10_initial</t>
  </si>
  <si>
    <t>1054x1054x23</t>
  </si>
  <si>
    <t>sh_seed_Z24</t>
  </si>
  <si>
    <t>1058X1058X27</t>
  </si>
  <si>
    <t>1062X1062X31</t>
  </si>
  <si>
    <t>1066X1066X35</t>
  </si>
  <si>
    <t>sh_seed_Z34</t>
  </si>
  <si>
    <t>sh_seed_Z42</t>
  </si>
  <si>
    <t>New name</t>
  </si>
  <si>
    <t>m50_z10</t>
  </si>
  <si>
    <t>m50_z24</t>
  </si>
  <si>
    <t>m50_z34</t>
  </si>
  <si>
    <t>m50_z42</t>
  </si>
  <si>
    <t>sh_seed_Z48</t>
  </si>
  <si>
    <t>1070x1070x39</t>
  </si>
  <si>
    <t>sh_seed_Z58</t>
  </si>
  <si>
    <t>m50_z48</t>
  </si>
  <si>
    <t>1078x1078x47</t>
  </si>
  <si>
    <t>(Z) Vertical Permeability 2 (LBM)</t>
  </si>
  <si>
    <t xml:space="preserve"> (X) Hz Permeability (LBM)</t>
  </si>
  <si>
    <t>m50_z58</t>
  </si>
  <si>
    <t>m=18</t>
  </si>
  <si>
    <t>sh_seed_Z4_initial</t>
  </si>
  <si>
    <t>m20_z04</t>
  </si>
  <si>
    <t>sh_seed_Z65</t>
  </si>
  <si>
    <t>m50_z65</t>
  </si>
  <si>
    <t>1086x1086x55</t>
  </si>
  <si>
    <t>sh_seed_Z12</t>
  </si>
  <si>
    <t>sh_seed_Z18</t>
  </si>
  <si>
    <t>m20_z12</t>
  </si>
  <si>
    <t>1054x1054x56</t>
  </si>
  <si>
    <t>1058x1058x60</t>
  </si>
  <si>
    <t>sh_seed_Z72</t>
  </si>
  <si>
    <t>1098x1098x67</t>
  </si>
  <si>
    <t>m20_z18</t>
  </si>
  <si>
    <t>sh_seed_z78</t>
  </si>
  <si>
    <t>m50_z78</t>
  </si>
  <si>
    <t>m50_z72</t>
  </si>
  <si>
    <t>1114x1114x83</t>
  </si>
  <si>
    <t>1062x1062x64</t>
  </si>
  <si>
    <t>sh_seed_Z23</t>
  </si>
  <si>
    <t>m20_z23</t>
  </si>
  <si>
    <t>1066x1066x68</t>
  </si>
  <si>
    <t>sh_seed_Z28</t>
  </si>
  <si>
    <t>m20_z28</t>
  </si>
  <si>
    <t>1070x1070x72</t>
  </si>
  <si>
    <t>sh_seed_Z37</t>
  </si>
  <si>
    <t>m20_z37</t>
  </si>
  <si>
    <t>1078x1078x80</t>
  </si>
  <si>
    <t>1098x1098x100</t>
  </si>
  <si>
    <t>1086x1086x88</t>
  </si>
  <si>
    <t>sh_seed_Z43</t>
  </si>
  <si>
    <t>sh_seed_Z51</t>
  </si>
  <si>
    <t>m20_z43</t>
  </si>
  <si>
    <t>m20_z51</t>
  </si>
  <si>
    <t>sh_seed_Z59</t>
  </si>
  <si>
    <t>m50_z59</t>
  </si>
  <si>
    <t>1114x1114x116</t>
  </si>
  <si>
    <t>orientation = 0 degrees</t>
  </si>
  <si>
    <t>orientation = 45 degrees</t>
  </si>
  <si>
    <t>Initial Rotated Seed</t>
  </si>
  <si>
    <t>1054x1054x32</t>
  </si>
  <si>
    <t>m35_z10_o45</t>
  </si>
  <si>
    <t>m35_z25_o45</t>
  </si>
  <si>
    <t>sh_seed_Z18-25_orient45</t>
  </si>
  <si>
    <t>sh_seed_Z7-10_orient45</t>
  </si>
  <si>
    <t>1058x1058x36</t>
  </si>
  <si>
    <t>sh_seed_Z27-36_orient45</t>
  </si>
  <si>
    <t>1066x1066x44</t>
  </si>
  <si>
    <t>sh_seed_Z34-44_orient45</t>
  </si>
  <si>
    <t>m35_z44_o45</t>
  </si>
  <si>
    <t>m35_z36_o45</t>
  </si>
  <si>
    <t>1070x1070x48</t>
  </si>
  <si>
    <t>sh_seed_Z50-60_orient45</t>
  </si>
  <si>
    <t>m35_z60_o45</t>
  </si>
  <si>
    <t>1078x1078x56</t>
  </si>
  <si>
    <t>sh_seed_Z40-50_orient45</t>
  </si>
  <si>
    <t>m35_z50_o45</t>
  </si>
  <si>
    <t>sh_seed_Z64-73</t>
  </si>
  <si>
    <t>m35_z73_o45</t>
  </si>
  <si>
    <t>sh_seed_Z57-66_orient45</t>
  </si>
  <si>
    <t>m35_z66_o45</t>
  </si>
  <si>
    <t>1086x086x64</t>
  </si>
  <si>
    <t>1098x0198x76</t>
  </si>
  <si>
    <t>m35_z10_o35</t>
  </si>
  <si>
    <t>sh_seed_Z7-10_orient35</t>
  </si>
  <si>
    <t>sh_seed_Z18-25_orient35</t>
  </si>
  <si>
    <t>m35_z25_o35</t>
  </si>
  <si>
    <t>Orientation</t>
  </si>
  <si>
    <t>sh_seed_Z64</t>
  </si>
  <si>
    <t>m50_z64</t>
  </si>
  <si>
    <t>1126x1126x128</t>
  </si>
  <si>
    <t xml:space="preserve">Generalized Mudstone </t>
  </si>
  <si>
    <t>m=35</t>
  </si>
  <si>
    <t>sh_seed_Z18-25_orient5</t>
  </si>
  <si>
    <t>gen_z25_o5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</si>
</sst>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00000000000000000"/>
    <numFmt numFmtId="166" formatCode="0.000000000"/>
    <numFmt numFmtId="167" formatCode="0.000"/>
  </numFmts>
  <fonts count="18"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231F20"/>
      <name val="AdvPS2B41"/>
    </font>
    <font>
      <b/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</fills>
  <borders count="7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medium">
        <color indexed="64"/>
      </top>
      <bottom style="thick">
        <color theme="4" tint="0.499984740745262"/>
      </bottom>
      <diagonal/>
    </border>
    <border>
      <left style="thin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1" applyNumberFormat="0" applyAlignment="0" applyProtection="0"/>
    <xf numFmtId="0" fontId="7" fillId="3" borderId="1" applyNumberFormat="0" applyAlignment="0" applyProtection="0"/>
    <xf numFmtId="0" fontId="8" fillId="0" borderId="5" applyNumberFormat="0" applyFill="0" applyAlignment="0" applyProtection="0"/>
    <xf numFmtId="0" fontId="9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3" borderId="13" applyNumberFormat="0" applyAlignment="0" applyProtection="0"/>
    <xf numFmtId="0" fontId="14" fillId="9" borderId="0" applyNumberFormat="0" applyBorder="0" applyAlignment="0" applyProtection="0"/>
    <xf numFmtId="0" fontId="17" fillId="0" borderId="52" applyNumberFormat="0" applyFill="0" applyAlignment="0" applyProtection="0"/>
  </cellStyleXfs>
  <cellXfs count="368">
    <xf numFmtId="0" fontId="0" fillId="0" borderId="0" xfId="0"/>
    <xf numFmtId="0" fontId="1" fillId="0" borderId="0" xfId="1"/>
    <xf numFmtId="0" fontId="0" fillId="0" borderId="0" xfId="0" applyFont="1"/>
    <xf numFmtId="0" fontId="5" fillId="0" borderId="0" xfId="0" applyFont="1"/>
    <xf numFmtId="0" fontId="0" fillId="0" borderId="0" xfId="0" applyFill="1"/>
    <xf numFmtId="0" fontId="6" fillId="2" borderId="1" xfId="58"/>
    <xf numFmtId="0" fontId="7" fillId="3" borderId="1" xfId="59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8" fillId="0" borderId="5" xfId="60"/>
    <xf numFmtId="0" fontId="8" fillId="0" borderId="8" xfId="60" applyBorder="1"/>
    <xf numFmtId="0" fontId="8" fillId="0" borderId="9" xfId="60" applyBorder="1"/>
    <xf numFmtId="0" fontId="0" fillId="0" borderId="0" xfId="0" applyFill="1" applyBorder="1"/>
    <xf numFmtId="0" fontId="0" fillId="0" borderId="3" xfId="0" applyFill="1" applyBorder="1"/>
    <xf numFmtId="0" fontId="8" fillId="0" borderId="2" xfId="60" applyBorder="1"/>
    <xf numFmtId="0" fontId="8" fillId="0" borderId="4" xfId="60" applyBorder="1"/>
    <xf numFmtId="0" fontId="8" fillId="0" borderId="7" xfId="60" applyBorder="1"/>
    <xf numFmtId="0" fontId="10" fillId="0" borderId="3" xfId="62" applyFont="1" applyFill="1" applyBorder="1"/>
    <xf numFmtId="0" fontId="10" fillId="0" borderId="6" xfId="62" applyFont="1" applyFill="1" applyBorder="1"/>
    <xf numFmtId="0" fontId="0" fillId="0" borderId="10" xfId="0" applyBorder="1"/>
    <xf numFmtId="0" fontId="8" fillId="0" borderId="5" xfId="60" applyBorder="1"/>
    <xf numFmtId="0" fontId="0" fillId="0" borderId="2" xfId="0" applyFill="1" applyBorder="1"/>
    <xf numFmtId="0" fontId="8" fillId="0" borderId="12" xfId="60" applyBorder="1"/>
    <xf numFmtId="0" fontId="0" fillId="0" borderId="11" xfId="0" applyBorder="1"/>
    <xf numFmtId="0" fontId="0" fillId="6" borderId="6" xfId="0" applyFill="1" applyBorder="1"/>
    <xf numFmtId="0" fontId="0" fillId="6" borderId="7" xfId="0" applyFill="1" applyBorder="1"/>
    <xf numFmtId="164" fontId="8" fillId="0" borderId="5" xfId="60" applyNumberFormat="1"/>
    <xf numFmtId="164" fontId="0" fillId="0" borderId="0" xfId="0" applyNumberFormat="1"/>
    <xf numFmtId="164" fontId="0" fillId="0" borderId="2" xfId="0" applyNumberFormat="1" applyBorder="1"/>
    <xf numFmtId="164" fontId="0" fillId="0" borderId="0" xfId="0" applyNumberFormat="1" applyBorder="1"/>
    <xf numFmtId="0" fontId="0" fillId="0" borderId="0" xfId="0" applyAlignment="1">
      <alignment horizontal="left"/>
    </xf>
    <xf numFmtId="0" fontId="12" fillId="3" borderId="13" xfId="63"/>
    <xf numFmtId="0" fontId="0" fillId="7" borderId="0" xfId="0" applyFill="1" applyBorder="1"/>
    <xf numFmtId="0" fontId="0" fillId="7" borderId="3" xfId="0" applyFill="1" applyBorder="1"/>
    <xf numFmtId="0" fontId="0" fillId="7" borderId="0" xfId="0" applyFill="1"/>
    <xf numFmtId="0" fontId="0" fillId="7" borderId="11" xfId="0" applyFill="1" applyBorder="1"/>
    <xf numFmtId="0" fontId="0" fillId="7" borderId="6" xfId="0" applyFill="1" applyBorder="1"/>
    <xf numFmtId="0" fontId="0" fillId="7" borderId="4" xfId="0" applyFill="1" applyBorder="1"/>
    <xf numFmtId="164" fontId="0" fillId="7" borderId="0" xfId="0" applyNumberFormat="1" applyFill="1" applyBorder="1"/>
    <xf numFmtId="164" fontId="0" fillId="7" borderId="0" xfId="0" applyNumberFormat="1" applyFill="1"/>
    <xf numFmtId="0" fontId="10" fillId="7" borderId="11" xfId="61" applyFont="1" applyFill="1" applyBorder="1"/>
    <xf numFmtId="0" fontId="10" fillId="7" borderId="6" xfId="61" applyFont="1" applyFill="1" applyBorder="1"/>
    <xf numFmtId="0" fontId="9" fillId="7" borderId="0" xfId="61" applyFill="1"/>
    <xf numFmtId="0" fontId="0" fillId="7" borderId="2" xfId="0" applyFill="1" applyBorder="1"/>
    <xf numFmtId="0" fontId="0" fillId="7" borderId="10" xfId="0" applyFill="1" applyBorder="1"/>
    <xf numFmtId="0" fontId="0" fillId="7" borderId="7" xfId="0" applyFill="1" applyBorder="1"/>
    <xf numFmtId="164" fontId="0" fillId="7" borderId="2" xfId="0" applyNumberFormat="1" applyFill="1" applyBorder="1"/>
    <xf numFmtId="0" fontId="0" fillId="0" borderId="14" xfId="0" applyBorder="1"/>
    <xf numFmtId="0" fontId="0" fillId="8" borderId="14" xfId="0" applyFill="1" applyBorder="1"/>
    <xf numFmtId="11" fontId="0" fillId="0" borderId="0" xfId="0" applyNumberFormat="1" applyFill="1"/>
    <xf numFmtId="11" fontId="0" fillId="0" borderId="0" xfId="0" applyNumberFormat="1"/>
    <xf numFmtId="0" fontId="10" fillId="0" borderId="0" xfId="62" applyFont="1" applyFill="1"/>
    <xf numFmtId="0" fontId="10" fillId="0" borderId="14" xfId="62" applyFont="1" applyFill="1" applyBorder="1"/>
    <xf numFmtId="11" fontId="9" fillId="4" borderId="0" xfId="61" applyNumberFormat="1"/>
    <xf numFmtId="0" fontId="0" fillId="0" borderId="14" xfId="0" applyFill="1" applyBorder="1"/>
    <xf numFmtId="11" fontId="0" fillId="0" borderId="14" xfId="0" applyNumberFormat="1" applyBorder="1"/>
    <xf numFmtId="0" fontId="13" fillId="0" borderId="0" xfId="0" applyFont="1" applyFill="1"/>
    <xf numFmtId="0" fontId="13" fillId="0" borderId="14" xfId="0" applyFont="1" applyFill="1" applyBorder="1"/>
    <xf numFmtId="11" fontId="13" fillId="0" borderId="0" xfId="0" applyNumberFormat="1" applyFon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0" borderId="0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2" xfId="0" applyFill="1" applyBorder="1"/>
    <xf numFmtId="2" fontId="0" fillId="0" borderId="22" xfId="0" applyNumberFormat="1" applyBorder="1"/>
    <xf numFmtId="0" fontId="11" fillId="5" borderId="0" xfId="62"/>
    <xf numFmtId="0" fontId="14" fillId="9" borderId="0" xfId="64"/>
    <xf numFmtId="0" fontId="0" fillId="0" borderId="25" xfId="0" applyBorder="1"/>
    <xf numFmtId="0" fontId="0" fillId="0" borderId="26" xfId="0" applyBorder="1"/>
    <xf numFmtId="0" fontId="0" fillId="0" borderId="27" xfId="0" applyFill="1" applyBorder="1"/>
    <xf numFmtId="0" fontId="0" fillId="0" borderId="27" xfId="0" applyBorder="1"/>
    <xf numFmtId="0" fontId="0" fillId="0" borderId="28" xfId="0" applyFill="1" applyBorder="1"/>
    <xf numFmtId="0" fontId="0" fillId="0" borderId="29" xfId="0" applyBorder="1"/>
    <xf numFmtId="0" fontId="0" fillId="0" borderId="30" xfId="0" applyBorder="1"/>
    <xf numFmtId="0" fontId="0" fillId="0" borderId="32" xfId="0" applyBorder="1"/>
    <xf numFmtId="0" fontId="0" fillId="0" borderId="31" xfId="0" applyFill="1" applyBorder="1"/>
    <xf numFmtId="0" fontId="0" fillId="0" borderId="31" xfId="0" applyBorder="1"/>
    <xf numFmtId="0" fontId="0" fillId="0" borderId="17" xfId="0" applyFill="1" applyBorder="1"/>
    <xf numFmtId="0" fontId="0" fillId="0" borderId="19" xfId="0" applyFill="1" applyBorder="1"/>
    <xf numFmtId="0" fontId="15" fillId="0" borderId="0" xfId="0" applyFont="1"/>
    <xf numFmtId="0" fontId="9" fillId="4" borderId="0" xfId="61"/>
    <xf numFmtId="0" fontId="9" fillId="4" borderId="2" xfId="61" applyBorder="1"/>
    <xf numFmtId="0" fontId="9" fillId="4" borderId="8" xfId="61" applyBorder="1"/>
    <xf numFmtId="0" fontId="9" fillId="4" borderId="3" xfId="61" applyBorder="1"/>
    <xf numFmtId="0" fontId="9" fillId="4" borderId="4" xfId="61" applyBorder="1"/>
    <xf numFmtId="0" fontId="8" fillId="10" borderId="8" xfId="60" applyFill="1" applyBorder="1"/>
    <xf numFmtId="0" fontId="0" fillId="10" borderId="3" xfId="0" applyFill="1" applyBorder="1"/>
    <xf numFmtId="0" fontId="0" fillId="10" borderId="4" xfId="0" applyFill="1" applyBorder="1"/>
    <xf numFmtId="0" fontId="14" fillId="9" borderId="6" xfId="64" applyBorder="1"/>
    <xf numFmtId="0" fontId="8" fillId="0" borderId="33" xfId="60" applyBorder="1"/>
    <xf numFmtId="0" fontId="8" fillId="0" borderId="34" xfId="60" applyBorder="1"/>
    <xf numFmtId="0" fontId="8" fillId="0" borderId="35" xfId="60" applyBorder="1"/>
    <xf numFmtId="0" fontId="9" fillId="4" borderId="35" xfId="61" applyBorder="1"/>
    <xf numFmtId="0" fontId="8" fillId="10" borderId="35" xfId="60" applyFill="1" applyBorder="1"/>
    <xf numFmtId="0" fontId="8" fillId="0" borderId="36" xfId="60" applyBorder="1"/>
    <xf numFmtId="0" fontId="8" fillId="0" borderId="37" xfId="60" applyBorder="1"/>
    <xf numFmtId="164" fontId="8" fillId="0" borderId="34" xfId="60" applyNumberFormat="1" applyBorder="1"/>
    <xf numFmtId="0" fontId="8" fillId="0" borderId="38" xfId="60" applyBorder="1"/>
    <xf numFmtId="0" fontId="9" fillId="4" borderId="0" xfId="61" applyBorder="1"/>
    <xf numFmtId="0" fontId="0" fillId="0" borderId="39" xfId="0" applyBorder="1"/>
    <xf numFmtId="0" fontId="9" fillId="4" borderId="39" xfId="61" applyBorder="1"/>
    <xf numFmtId="0" fontId="0" fillId="10" borderId="39" xfId="0" applyFill="1" applyBorder="1"/>
    <xf numFmtId="0" fontId="0" fillId="0" borderId="40" xfId="0" applyBorder="1"/>
    <xf numFmtId="0" fontId="0" fillId="0" borderId="41" xfId="0" applyBorder="1"/>
    <xf numFmtId="164" fontId="0" fillId="0" borderId="14" xfId="0" applyNumberFormat="1" applyBorder="1"/>
    <xf numFmtId="0" fontId="11" fillId="5" borderId="0" xfId="62" applyBorder="1"/>
    <xf numFmtId="0" fontId="9" fillId="4" borderId="5" xfId="61" applyBorder="1"/>
    <xf numFmtId="0" fontId="11" fillId="5" borderId="5" xfId="62" applyBorder="1"/>
    <xf numFmtId="0" fontId="14" fillId="9" borderId="5" xfId="64" applyBorder="1"/>
    <xf numFmtId="0" fontId="14" fillId="9" borderId="0" xfId="64" applyBorder="1"/>
    <xf numFmtId="0" fontId="11" fillId="5" borderId="1" xfId="62" applyBorder="1"/>
    <xf numFmtId="0" fontId="12" fillId="3" borderId="43" xfId="63" applyBorder="1"/>
    <xf numFmtId="0" fontId="12" fillId="3" borderId="44" xfId="63" applyBorder="1"/>
    <xf numFmtId="0" fontId="8" fillId="0" borderId="45" xfId="60" applyBorder="1"/>
    <xf numFmtId="0" fontId="12" fillId="3" borderId="47" xfId="63" applyBorder="1"/>
    <xf numFmtId="0" fontId="12" fillId="3" borderId="49" xfId="63" applyBorder="1"/>
    <xf numFmtId="0" fontId="12" fillId="11" borderId="46" xfId="63" applyFill="1" applyBorder="1"/>
    <xf numFmtId="0" fontId="12" fillId="11" borderId="48" xfId="63" applyFill="1" applyBorder="1"/>
    <xf numFmtId="0" fontId="12" fillId="11" borderId="42" xfId="63" applyFill="1" applyBorder="1"/>
    <xf numFmtId="0" fontId="0" fillId="11" borderId="0" xfId="0" applyFill="1"/>
    <xf numFmtId="0" fontId="8" fillId="11" borderId="5" xfId="60" applyFill="1"/>
    <xf numFmtId="0" fontId="0" fillId="11" borderId="18" xfId="0" applyFill="1" applyBorder="1"/>
    <xf numFmtId="0" fontId="0" fillId="11" borderId="0" xfId="0" applyFill="1" applyBorder="1"/>
    <xf numFmtId="0" fontId="8" fillId="0" borderId="0" xfId="60" applyFill="1" applyBorder="1"/>
    <xf numFmtId="0" fontId="12" fillId="3" borderId="50" xfId="63" applyBorder="1"/>
    <xf numFmtId="0" fontId="16" fillId="0" borderId="3" xfId="0" applyFont="1" applyFill="1" applyBorder="1"/>
    <xf numFmtId="0" fontId="16" fillId="0" borderId="6" xfId="0" applyFont="1" applyFill="1" applyBorder="1"/>
    <xf numFmtId="11" fontId="0" fillId="0" borderId="18" xfId="0" applyNumberFormat="1" applyBorder="1"/>
    <xf numFmtId="11" fontId="0" fillId="0" borderId="19" xfId="0" applyNumberFormat="1" applyBorder="1"/>
    <xf numFmtId="11" fontId="0" fillId="0" borderId="20" xfId="0" applyNumberFormat="1" applyBorder="1"/>
    <xf numFmtId="0" fontId="0" fillId="0" borderId="28" xfId="0" applyBorder="1"/>
    <xf numFmtId="0" fontId="0" fillId="0" borderId="15" xfId="0" applyFill="1" applyBorder="1"/>
    <xf numFmtId="0" fontId="0" fillId="12" borderId="17" xfId="0" applyFill="1" applyBorder="1"/>
    <xf numFmtId="0" fontId="0" fillId="12" borderId="19" xfId="0" applyFill="1" applyBorder="1"/>
    <xf numFmtId="0" fontId="0" fillId="12" borderId="21" xfId="0" applyFill="1" applyBorder="1"/>
    <xf numFmtId="164" fontId="12" fillId="3" borderId="13" xfId="63" applyNumberFormat="1"/>
    <xf numFmtId="164" fontId="12" fillId="3" borderId="50" xfId="63" applyNumberFormat="1" applyBorder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17" fillId="0" borderId="52" xfId="65"/>
    <xf numFmtId="0" fontId="17" fillId="0" borderId="53" xfId="65" applyBorder="1"/>
    <xf numFmtId="0" fontId="17" fillId="0" borderId="52" xfId="65" applyBorder="1"/>
    <xf numFmtId="11" fontId="0" fillId="0" borderId="3" xfId="0" applyNumberForma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6" fillId="2" borderId="54" xfId="58" applyBorder="1"/>
    <xf numFmtId="11" fontId="7" fillId="3" borderId="1" xfId="59" applyNumberFormat="1"/>
    <xf numFmtId="0" fontId="10" fillId="0" borderId="16" xfId="62" applyFont="1" applyFill="1" applyBorder="1"/>
    <xf numFmtId="0" fontId="10" fillId="0" borderId="0" xfId="62" applyFont="1" applyFill="1" applyBorder="1"/>
    <xf numFmtId="0" fontId="17" fillId="0" borderId="55" xfId="65" applyBorder="1"/>
    <xf numFmtId="0" fontId="0" fillId="0" borderId="39" xfId="0" applyFill="1" applyBorder="1"/>
    <xf numFmtId="0" fontId="0" fillId="0" borderId="0" xfId="0" applyAlignment="1">
      <alignment horizontal="center"/>
    </xf>
    <xf numFmtId="0" fontId="11" fillId="5" borderId="0" xfId="62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1" fillId="5" borderId="20" xfId="62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11" fillId="5" borderId="18" xfId="62" applyBorder="1" applyAlignment="1">
      <alignment horizontal="center"/>
    </xf>
    <xf numFmtId="0" fontId="9" fillId="4" borderId="15" xfId="61" applyBorder="1" applyAlignment="1">
      <alignment horizontal="center"/>
    </xf>
    <xf numFmtId="0" fontId="9" fillId="4" borderId="16" xfId="61" applyBorder="1" applyAlignment="1">
      <alignment horizontal="center"/>
    </xf>
    <xf numFmtId="0" fontId="9" fillId="4" borderId="17" xfId="61" applyBorder="1" applyAlignment="1">
      <alignment horizontal="center"/>
    </xf>
    <xf numFmtId="0" fontId="9" fillId="4" borderId="0" xfId="61" applyBorder="1" applyAlignment="1">
      <alignment horizontal="center"/>
    </xf>
    <xf numFmtId="0" fontId="9" fillId="4" borderId="19" xfId="61" applyBorder="1" applyAlignment="1">
      <alignment horizontal="center"/>
    </xf>
    <xf numFmtId="0" fontId="9" fillId="4" borderId="18" xfId="61" applyBorder="1" applyAlignment="1">
      <alignment horizontal="center"/>
    </xf>
    <xf numFmtId="0" fontId="9" fillId="4" borderId="20" xfId="61" applyBorder="1" applyAlignment="1">
      <alignment horizontal="center"/>
    </xf>
    <xf numFmtId="0" fontId="9" fillId="4" borderId="14" xfId="61" applyBorder="1" applyAlignment="1">
      <alignment horizontal="center"/>
    </xf>
    <xf numFmtId="11" fontId="9" fillId="4" borderId="14" xfId="61" applyNumberFormat="1" applyBorder="1" applyAlignment="1">
      <alignment horizontal="center"/>
    </xf>
    <xf numFmtId="0" fontId="9" fillId="4" borderId="21" xfId="6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7" fillId="0" borderId="56" xfId="65" applyBorder="1"/>
    <xf numFmtId="0" fontId="0" fillId="0" borderId="29" xfId="0" applyFill="1" applyBorder="1"/>
    <xf numFmtId="11" fontId="0" fillId="0" borderId="39" xfId="0" applyNumberFormat="1" applyBorder="1"/>
    <xf numFmtId="0" fontId="0" fillId="0" borderId="0" xfId="0" applyNumberFormat="1" applyBorder="1"/>
    <xf numFmtId="0" fontId="0" fillId="0" borderId="3" xfId="0" applyNumberFormat="1" applyBorder="1"/>
    <xf numFmtId="11" fontId="0" fillId="0" borderId="6" xfId="0" applyNumberFormat="1" applyBorder="1"/>
    <xf numFmtId="0" fontId="16" fillId="0" borderId="15" xfId="0" applyFont="1" applyBorder="1"/>
    <xf numFmtId="0" fontId="6" fillId="2" borderId="57" xfId="58" applyBorder="1"/>
    <xf numFmtId="0" fontId="7" fillId="3" borderId="1" xfId="59" applyBorder="1"/>
    <xf numFmtId="11" fontId="7" fillId="3" borderId="58" xfId="59" applyNumberFormat="1" applyBorder="1"/>
    <xf numFmtId="0" fontId="16" fillId="0" borderId="18" xfId="0" applyFont="1" applyBorder="1"/>
    <xf numFmtId="11" fontId="7" fillId="3" borderId="1" xfId="59" applyNumberFormat="1" applyBorder="1"/>
    <xf numFmtId="0" fontId="0" fillId="0" borderId="14" xfId="0" applyNumberFormat="1" applyBorder="1"/>
    <xf numFmtId="0" fontId="0" fillId="0" borderId="39" xfId="0" applyNumberFormat="1" applyBorder="1"/>
    <xf numFmtId="0" fontId="11" fillId="5" borderId="14" xfId="62" applyBorder="1"/>
    <xf numFmtId="0" fontId="9" fillId="4" borderId="0" xfId="6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8" fillId="10" borderId="5" xfId="60" applyFill="1" applyBorder="1"/>
    <xf numFmtId="0" fontId="0" fillId="10" borderId="0" xfId="0" applyFill="1" applyBorder="1"/>
    <xf numFmtId="0" fontId="12" fillId="3" borderId="0" xfId="63" applyBorder="1"/>
    <xf numFmtId="0" fontId="11" fillId="5" borderId="29" xfId="62" applyBorder="1"/>
    <xf numFmtId="0" fontId="0" fillId="0" borderId="11" xfId="0" applyFill="1" applyBorder="1"/>
    <xf numFmtId="0" fontId="0" fillId="0" borderId="61" xfId="0" applyBorder="1"/>
    <xf numFmtId="0" fontId="0" fillId="0" borderId="62" xfId="0" applyBorder="1"/>
    <xf numFmtId="0" fontId="9" fillId="4" borderId="62" xfId="61" applyBorder="1"/>
    <xf numFmtId="0" fontId="0" fillId="10" borderId="62" xfId="0" applyFill="1" applyBorder="1"/>
    <xf numFmtId="0" fontId="0" fillId="0" borderId="61" xfId="0" applyFill="1" applyBorder="1"/>
    <xf numFmtId="0" fontId="0" fillId="0" borderId="63" xfId="0" applyBorder="1"/>
    <xf numFmtId="164" fontId="0" fillId="0" borderId="61" xfId="0" applyNumberFormat="1" applyBorder="1"/>
    <xf numFmtId="0" fontId="11" fillId="5" borderId="25" xfId="62" applyBorder="1"/>
    <xf numFmtId="0" fontId="0" fillId="0" borderId="16" xfId="0" applyFill="1" applyBorder="1"/>
    <xf numFmtId="0" fontId="0" fillId="0" borderId="64" xfId="0" applyBorder="1"/>
    <xf numFmtId="11" fontId="0" fillId="0" borderId="0" xfId="0" applyNumberFormat="1" applyFill="1" applyBorder="1"/>
    <xf numFmtId="0" fontId="0" fillId="0" borderId="60" xfId="0" applyBorder="1"/>
    <xf numFmtId="11" fontId="0" fillId="0" borderId="21" xfId="0" applyNumberFormat="1" applyBorder="1"/>
    <xf numFmtId="11" fontId="0" fillId="0" borderId="16" xfId="0" applyNumberFormat="1" applyBorder="1"/>
    <xf numFmtId="0" fontId="6" fillId="2" borderId="65" xfId="58" applyBorder="1"/>
    <xf numFmtId="11" fontId="0" fillId="0" borderId="64" xfId="0" applyNumberFormat="1" applyBorder="1"/>
    <xf numFmtId="2" fontId="0" fillId="0" borderId="19" xfId="0" applyNumberFormat="1" applyBorder="1"/>
    <xf numFmtId="0" fontId="9" fillId="4" borderId="6" xfId="61" applyBorder="1"/>
    <xf numFmtId="0" fontId="9" fillId="4" borderId="0" xfId="61" applyNumberFormat="1" applyBorder="1"/>
    <xf numFmtId="0" fontId="9" fillId="4" borderId="3" xfId="61" applyNumberFormat="1" applyBorder="1"/>
    <xf numFmtId="0" fontId="9" fillId="4" borderId="29" xfId="61" applyBorder="1"/>
    <xf numFmtId="11" fontId="9" fillId="4" borderId="0" xfId="61" applyNumberFormat="1" applyBorder="1"/>
    <xf numFmtId="0" fontId="9" fillId="4" borderId="14" xfId="61" applyBorder="1"/>
    <xf numFmtId="0" fontId="9" fillId="4" borderId="41" xfId="61" applyBorder="1"/>
    <xf numFmtId="0" fontId="9" fillId="4" borderId="14" xfId="61" applyNumberFormat="1" applyBorder="1"/>
    <xf numFmtId="0" fontId="9" fillId="4" borderId="39" xfId="61" applyNumberFormat="1" applyBorder="1"/>
    <xf numFmtId="0" fontId="9" fillId="4" borderId="30" xfId="61" applyBorder="1"/>
    <xf numFmtId="11" fontId="9" fillId="4" borderId="14" xfId="61" applyNumberFormat="1" applyBorder="1"/>
    <xf numFmtId="0" fontId="9" fillId="4" borderId="59" xfId="61" applyBorder="1"/>
    <xf numFmtId="2" fontId="0" fillId="0" borderId="0" xfId="0" applyNumberFormat="1" applyBorder="1"/>
    <xf numFmtId="2" fontId="0" fillId="0" borderId="14" xfId="0" applyNumberFormat="1" applyBorder="1"/>
    <xf numFmtId="0" fontId="6" fillId="2" borderId="67" xfId="58" applyBorder="1"/>
    <xf numFmtId="11" fontId="11" fillId="5" borderId="14" xfId="62" applyNumberFormat="1" applyBorder="1"/>
    <xf numFmtId="0" fontId="9" fillId="4" borderId="15" xfId="61" applyBorder="1"/>
    <xf numFmtId="0" fontId="9" fillId="4" borderId="16" xfId="61" applyBorder="1"/>
    <xf numFmtId="0" fontId="9" fillId="4" borderId="64" xfId="61" applyBorder="1"/>
    <xf numFmtId="11" fontId="9" fillId="4" borderId="6" xfId="61" applyNumberFormat="1" applyBorder="1"/>
    <xf numFmtId="0" fontId="9" fillId="4" borderId="28" xfId="61" applyBorder="1"/>
    <xf numFmtId="11" fontId="9" fillId="4" borderId="16" xfId="61" applyNumberFormat="1" applyBorder="1"/>
    <xf numFmtId="0" fontId="9" fillId="4" borderId="66" xfId="61" applyBorder="1"/>
    <xf numFmtId="0" fontId="9" fillId="4" borderId="18" xfId="61" applyBorder="1"/>
    <xf numFmtId="0" fontId="9" fillId="4" borderId="20" xfId="61" applyBorder="1"/>
    <xf numFmtId="0" fontId="17" fillId="0" borderId="3" xfId="65" applyBorder="1"/>
    <xf numFmtId="2" fontId="0" fillId="0" borderId="21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11" fillId="5" borderId="6" xfId="62" applyBorder="1"/>
    <xf numFmtId="165" fontId="0" fillId="6" borderId="63" xfId="0" applyNumberFormat="1" applyFill="1" applyBorder="1"/>
    <xf numFmtId="0" fontId="0" fillId="0" borderId="68" xfId="0" applyBorder="1"/>
    <xf numFmtId="11" fontId="0" fillId="0" borderId="68" xfId="0" applyNumberFormat="1" applyBorder="1"/>
    <xf numFmtId="2" fontId="0" fillId="0" borderId="0" xfId="0" applyNumberFormat="1"/>
    <xf numFmtId="2" fontId="11" fillId="5" borderId="0" xfId="62" applyNumberFormat="1"/>
    <xf numFmtId="2" fontId="0" fillId="0" borderId="16" xfId="0" applyNumberFormat="1" applyBorder="1"/>
    <xf numFmtId="2" fontId="0" fillId="0" borderId="68" xfId="0" applyNumberFormat="1" applyBorder="1"/>
    <xf numFmtId="2" fontId="14" fillId="9" borderId="0" xfId="64" applyNumberFormat="1"/>
    <xf numFmtId="11" fontId="14" fillId="9" borderId="0" xfId="64" applyNumberFormat="1"/>
    <xf numFmtId="2" fontId="0" fillId="0" borderId="28" xfId="0" applyNumberFormat="1" applyBorder="1"/>
    <xf numFmtId="11" fontId="0" fillId="13" borderId="0" xfId="0" applyNumberFormat="1" applyFill="1" applyBorder="1"/>
    <xf numFmtId="11" fontId="0" fillId="0" borderId="14" xfId="0" applyNumberFormat="1" applyFill="1" applyBorder="1"/>
    <xf numFmtId="0" fontId="0" fillId="13" borderId="0" xfId="0" applyFill="1" applyBorder="1"/>
    <xf numFmtId="0" fontId="0" fillId="13" borderId="0" xfId="0" applyFill="1"/>
    <xf numFmtId="166" fontId="11" fillId="5" borderId="64" xfId="62" applyNumberFormat="1" applyBorder="1"/>
    <xf numFmtId="0" fontId="11" fillId="13" borderId="0" xfId="62" applyFill="1"/>
    <xf numFmtId="0" fontId="11" fillId="13" borderId="2" xfId="62" applyFill="1" applyBorder="1"/>
    <xf numFmtId="0" fontId="0" fillId="13" borderId="3" xfId="0" applyFill="1" applyBorder="1"/>
    <xf numFmtId="0" fontId="6" fillId="13" borderId="1" xfId="58" applyFill="1"/>
    <xf numFmtId="0" fontId="9" fillId="13" borderId="3" xfId="61" applyFill="1" applyBorder="1"/>
    <xf numFmtId="0" fontId="0" fillId="13" borderId="11" xfId="0" applyFill="1" applyBorder="1"/>
    <xf numFmtId="11" fontId="0" fillId="13" borderId="3" xfId="0" applyNumberFormat="1" applyFill="1" applyBorder="1"/>
    <xf numFmtId="0" fontId="0" fillId="13" borderId="6" xfId="0" applyFill="1" applyBorder="1"/>
    <xf numFmtId="0" fontId="0" fillId="13" borderId="4" xfId="0" applyFill="1" applyBorder="1"/>
    <xf numFmtId="164" fontId="0" fillId="13" borderId="0" xfId="0" applyNumberFormat="1" applyFill="1"/>
    <xf numFmtId="0" fontId="0" fillId="14" borderId="20" xfId="0" applyFill="1" applyBorder="1"/>
    <xf numFmtId="0" fontId="0" fillId="14" borderId="14" xfId="0" applyFill="1" applyBorder="1"/>
    <xf numFmtId="11" fontId="0" fillId="14" borderId="0" xfId="0" applyNumberFormat="1" applyFill="1" applyBorder="1"/>
    <xf numFmtId="2" fontId="0" fillId="14" borderId="14" xfId="0" applyNumberFormat="1" applyFill="1" applyBorder="1"/>
    <xf numFmtId="11" fontId="0" fillId="14" borderId="14" xfId="0" applyNumberFormat="1" applyFill="1" applyBorder="1"/>
    <xf numFmtId="11" fontId="0" fillId="14" borderId="19" xfId="0" applyNumberFormat="1" applyFill="1" applyBorder="1"/>
    <xf numFmtId="11" fontId="0" fillId="14" borderId="20" xfId="0" applyNumberFormat="1" applyFill="1" applyBorder="1"/>
    <xf numFmtId="0" fontId="0" fillId="14" borderId="21" xfId="0" applyFill="1" applyBorder="1"/>
    <xf numFmtId="11" fontId="0" fillId="14" borderId="21" xfId="0" applyNumberFormat="1" applyFill="1" applyBorder="1"/>
    <xf numFmtId="0" fontId="0" fillId="14" borderId="2" xfId="0" applyFill="1" applyBorder="1"/>
    <xf numFmtId="0" fontId="0" fillId="14" borderId="4" xfId="0" applyFill="1" applyBorder="1"/>
    <xf numFmtId="0" fontId="14" fillId="14" borderId="2" xfId="64" applyFill="1" applyBorder="1"/>
    <xf numFmtId="0" fontId="11" fillId="14" borderId="2" xfId="62" applyFill="1" applyBorder="1"/>
    <xf numFmtId="0" fontId="9" fillId="14" borderId="4" xfId="61" applyFill="1" applyBorder="1"/>
    <xf numFmtId="0" fontId="0" fillId="14" borderId="29" xfId="0" applyFill="1" applyBorder="1"/>
    <xf numFmtId="0" fontId="11" fillId="14" borderId="10" xfId="62" applyFill="1" applyBorder="1"/>
    <xf numFmtId="0" fontId="11" fillId="14" borderId="0" xfId="62" applyFill="1" applyBorder="1"/>
    <xf numFmtId="164" fontId="12" fillId="14" borderId="51" xfId="63" applyNumberFormat="1" applyFill="1" applyBorder="1"/>
    <xf numFmtId="164" fontId="12" fillId="14" borderId="13" xfId="63" applyNumberFormat="1" applyFill="1"/>
    <xf numFmtId="0" fontId="0" fillId="14" borderId="10" xfId="0" applyFill="1" applyBorder="1"/>
    <xf numFmtId="0" fontId="0" fillId="14" borderId="7" xfId="0" applyFill="1" applyBorder="1"/>
    <xf numFmtId="164" fontId="0" fillId="14" borderId="2" xfId="0" applyNumberFormat="1" applyFill="1" applyBorder="1"/>
    <xf numFmtId="2" fontId="0" fillId="0" borderId="3" xfId="0" applyNumberFormat="1" applyBorder="1"/>
    <xf numFmtId="2" fontId="0" fillId="13" borderId="3" xfId="0" applyNumberFormat="1" applyFill="1" applyBorder="1"/>
    <xf numFmtId="167" fontId="12" fillId="3" borderId="13" xfId="63" applyNumberFormat="1"/>
    <xf numFmtId="167" fontId="12" fillId="14" borderId="13" xfId="63" applyNumberFormat="1" applyFill="1"/>
    <xf numFmtId="11" fontId="0" fillId="0" borderId="3" xfId="0" applyNumberFormat="1" applyFill="1" applyBorder="1"/>
    <xf numFmtId="0" fontId="0" fillId="15" borderId="18" xfId="0" applyFill="1" applyBorder="1"/>
    <xf numFmtId="0" fontId="0" fillId="15" borderId="0" xfId="0" applyFill="1" applyBorder="1"/>
    <xf numFmtId="11" fontId="0" fillId="15" borderId="0" xfId="0" applyNumberFormat="1" applyFill="1" applyBorder="1"/>
    <xf numFmtId="2" fontId="0" fillId="15" borderId="0" xfId="0" applyNumberFormat="1" applyFill="1" applyBorder="1"/>
    <xf numFmtId="11" fontId="0" fillId="15" borderId="19" xfId="0" applyNumberFormat="1" applyFill="1" applyBorder="1"/>
    <xf numFmtId="11" fontId="0" fillId="15" borderId="18" xfId="0" applyNumberFormat="1" applyFill="1" applyBorder="1"/>
    <xf numFmtId="0" fontId="0" fillId="15" borderId="19" xfId="0" applyFill="1" applyBorder="1"/>
    <xf numFmtId="0" fontId="0" fillId="15" borderId="0" xfId="0" applyFill="1"/>
    <xf numFmtId="2" fontId="0" fillId="15" borderId="29" xfId="0" applyNumberFormat="1" applyFill="1" applyBorder="1"/>
    <xf numFmtId="2" fontId="0" fillId="14" borderId="30" xfId="0" applyNumberFormat="1" applyFill="1" applyBorder="1"/>
    <xf numFmtId="0" fontId="0" fillId="0" borderId="18" xfId="0" applyFill="1" applyBorder="1"/>
    <xf numFmtId="2" fontId="0" fillId="0" borderId="0" xfId="0" applyNumberFormat="1" applyFill="1" applyBorder="1"/>
    <xf numFmtId="11" fontId="0" fillId="0" borderId="19" xfId="0" applyNumberFormat="1" applyFill="1" applyBorder="1"/>
    <xf numFmtId="0" fontId="0" fillId="0" borderId="69" xfId="0" applyBorder="1"/>
    <xf numFmtId="0" fontId="0" fillId="0" borderId="70" xfId="0" applyBorder="1"/>
    <xf numFmtId="11" fontId="0" fillId="0" borderId="70" xfId="0" applyNumberFormat="1" applyBorder="1"/>
    <xf numFmtId="2" fontId="0" fillId="0" borderId="70" xfId="0" applyNumberFormat="1" applyBorder="1"/>
    <xf numFmtId="11" fontId="0" fillId="0" borderId="71" xfId="0" applyNumberFormat="1" applyBorder="1"/>
    <xf numFmtId="2" fontId="0" fillId="0" borderId="72" xfId="0" applyNumberFormat="1" applyBorder="1"/>
    <xf numFmtId="11" fontId="0" fillId="0" borderId="73" xfId="0" applyNumberFormat="1" applyBorder="1"/>
    <xf numFmtId="0" fontId="0" fillId="0" borderId="74" xfId="0" applyBorder="1"/>
    <xf numFmtId="11" fontId="0" fillId="0" borderId="75" xfId="0" applyNumberFormat="1" applyBorder="1"/>
    <xf numFmtId="2" fontId="0" fillId="0" borderId="76" xfId="0" applyNumberFormat="1" applyBorder="1"/>
    <xf numFmtId="11" fontId="0" fillId="0" borderId="77" xfId="0" applyNumberFormat="1" applyBorder="1"/>
    <xf numFmtId="11" fontId="0" fillId="0" borderId="27" xfId="0" applyNumberFormat="1" applyBorder="1"/>
    <xf numFmtId="2" fontId="0" fillId="0" borderId="27" xfId="0" applyNumberFormat="1" applyBorder="1"/>
    <xf numFmtId="0" fontId="0" fillId="0" borderId="75" xfId="0" applyBorder="1"/>
    <xf numFmtId="2" fontId="11" fillId="5" borderId="72" xfId="62" applyNumberFormat="1" applyBorder="1"/>
    <xf numFmtId="0" fontId="0" fillId="0" borderId="4" xfId="0" applyFill="1" applyBorder="1"/>
    <xf numFmtId="0" fontId="11" fillId="5" borderId="2" xfId="62" applyBorder="1"/>
    <xf numFmtId="0" fontId="14" fillId="9" borderId="2" xfId="64" applyBorder="1"/>
    <xf numFmtId="0" fontId="9" fillId="4" borderId="18" xfId="61" applyBorder="1" applyAlignment="1">
      <alignment horizontal="center"/>
    </xf>
    <xf numFmtId="0" fontId="9" fillId="4" borderId="0" xfId="6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11" fontId="0" fillId="0" borderId="2" xfId="0" applyNumberFormat="1" applyBorder="1"/>
    <xf numFmtId="11" fontId="0" fillId="0" borderId="4" xfId="0" applyNumberFormat="1" applyBorder="1"/>
    <xf numFmtId="0" fontId="17" fillId="0" borderId="0" xfId="65" applyBorder="1"/>
  </cellXfs>
  <cellStyles count="66">
    <cellStyle name="Bad" xfId="61" builtinId="27"/>
    <cellStyle name="Calculation" xfId="59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Good" xfId="62" builtinId="26"/>
    <cellStyle name="Heading 2" xfId="60" builtinId="17"/>
    <cellStyle name="Heading 3" xfId="65" builtinId="18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Input" xfId="58" builtinId="20"/>
    <cellStyle name="Neutral" xfId="64" builtinId="28"/>
    <cellStyle name="Normal" xfId="0" builtinId="0"/>
    <cellStyle name="Output" xfId="63" builtinId="21"/>
    <cellStyle name="Title" xfId="1" builtinId="15"/>
  </cellStyles>
  <dxfs count="0"/>
  <tableStyles count="0" defaultTableStyle="TableStyleMedium9" defaultPivotStyle="PivotStyleMedium4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95953256165606E-2"/>
          <c:y val="4.4915291242177698E-2"/>
          <c:w val="0.88937253985481102"/>
          <c:h val="0.85281663970652599"/>
        </c:manualLayout>
      </c:layout>
      <c:scatterChart>
        <c:scatterStyle val="smoothMarker"/>
        <c:varyColors val="0"/>
        <c:ser>
          <c:idx val="0"/>
          <c:order val="0"/>
          <c:tx>
            <c:v>Dilation</c:v>
          </c:tx>
          <c:spPr>
            <a:ln w="1270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Plates'!$AO$4:$AO$12</c:f>
              <c:numCache>
                <c:formatCode>General</c:formatCode>
                <c:ptCount val="9"/>
                <c:pt idx="0">
                  <c:v>-18.397065210829048</c:v>
                </c:pt>
                <c:pt idx="1">
                  <c:v>-17.300213934701947</c:v>
                </c:pt>
                <c:pt idx="2">
                  <c:v>-16.713324710428637</c:v>
                </c:pt>
                <c:pt idx="3">
                  <c:v>-16.324528424246861</c:v>
                </c:pt>
                <c:pt idx="4">
                  <c:v>-16.036924892206841</c:v>
                </c:pt>
                <c:pt idx="5">
                  <c:v>-15.623329505792048</c:v>
                </c:pt>
                <c:pt idx="6">
                  <c:v>-15.328003231484741</c:v>
                </c:pt>
                <c:pt idx="7">
                  <c:v>-15.001864549812741</c:v>
                </c:pt>
                <c:pt idx="8">
                  <c:v>-14.686121765367171</c:v>
                </c:pt>
              </c:numCache>
            </c:numRef>
          </c:xVal>
          <c:yVal>
            <c:numRef>
              <c:f>'LBM Large Plates'!$AI$4:$AI$12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C19-49DC-9FA6-6354631BD899}"/>
            </c:ext>
          </c:extLst>
        </c:ser>
        <c:ser>
          <c:idx val="1"/>
          <c:order val="1"/>
          <c:tx>
            <c:v>MF-parallel</c:v>
          </c:tx>
          <c:spPr>
            <a:ln w="1270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Plates'!$AO$13:$AO$20</c:f>
              <c:numCache>
                <c:formatCode>General</c:formatCode>
                <c:ptCount val="8"/>
                <c:pt idx="0">
                  <c:v>-18.397065210829048</c:v>
                </c:pt>
                <c:pt idx="1">
                  <c:v>-17.334494821397143</c:v>
                </c:pt>
                <c:pt idx="2">
                  <c:v>-16.749453342788016</c:v>
                </c:pt>
                <c:pt idx="3">
                  <c:v>-16.362783194290753</c:v>
                </c:pt>
                <c:pt idx="4">
                  <c:v>-15.85374536630836</c:v>
                </c:pt>
                <c:pt idx="5">
                  <c:v>-15.514896769244261</c:v>
                </c:pt>
                <c:pt idx="6">
                  <c:v>-15.15850262341826</c:v>
                </c:pt>
                <c:pt idx="7">
                  <c:v>-14.900147484379415</c:v>
                </c:pt>
              </c:numCache>
            </c:numRef>
          </c:xVal>
          <c:yVal>
            <c:numRef>
              <c:f>'LBM Large Plates'!$AI$13:$AI$20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0.17399999999999999</c:v>
                </c:pt>
                <c:pt idx="2">
                  <c:v>0.25600000000000001</c:v>
                </c:pt>
                <c:pt idx="3">
                  <c:v>0.32400000000000001</c:v>
                </c:pt>
                <c:pt idx="4">
                  <c:v>0.42799999999999999</c:v>
                </c:pt>
                <c:pt idx="5">
                  <c:v>0.504</c:v>
                </c:pt>
                <c:pt idx="6">
                  <c:v>0.58699999999999997</c:v>
                </c:pt>
                <c:pt idx="7">
                  <c:v>0.64600000000000002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C19-49DC-9FA6-6354631BD899}"/>
            </c:ext>
          </c:extLst>
        </c:ser>
        <c:ser>
          <c:idx val="2"/>
          <c:order val="2"/>
          <c:tx>
            <c:v>Mf-perpendicular</c:v>
          </c:tx>
          <c:spPr>
            <a:ln w="1270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Plates'!$AO$21:$AO$31</c:f>
              <c:numCache>
                <c:formatCode>General</c:formatCode>
                <c:ptCount val="11"/>
                <c:pt idx="0">
                  <c:v>-18.397065210829048</c:v>
                </c:pt>
                <c:pt idx="1">
                  <c:v>-17.45843298126368</c:v>
                </c:pt>
                <c:pt idx="2">
                  <c:v>-17.014994248196235</c:v>
                </c:pt>
                <c:pt idx="3">
                  <c:v>-16.661896875212197</c:v>
                </c:pt>
                <c:pt idx="4">
                  <c:v>-16.399467152799641</c:v>
                </c:pt>
                <c:pt idx="5">
                  <c:v>-16.275829832176523</c:v>
                </c:pt>
                <c:pt idx="6">
                  <c:v>-16.164432106690516</c:v>
                </c:pt>
                <c:pt idx="7">
                  <c:v>-16.004249510196129</c:v>
                </c:pt>
                <c:pt idx="8">
                  <c:v>-15.84434426297693</c:v>
                </c:pt>
                <c:pt idx="9">
                  <c:v>-15.688330887599388</c:v>
                </c:pt>
                <c:pt idx="10">
                  <c:v>-15.476170747557124</c:v>
                </c:pt>
              </c:numCache>
            </c:numRef>
          </c:xVal>
          <c:yVal>
            <c:numRef>
              <c:f>'LBM Large Plates'!$AI$21:$AI$31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  <c:pt idx="10">
                  <c:v>0.66400000000000003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C19-49DC-9FA6-6354631BD899}"/>
            </c:ext>
          </c:extLst>
        </c:ser>
        <c:ser>
          <c:idx val="3"/>
          <c:order val="3"/>
          <c:tx>
            <c:v>Frac-parallel</c:v>
          </c:tx>
          <c:spPr>
            <a:ln w="1270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Plates'!$AO$32:$AO$40</c:f>
              <c:numCache>
                <c:formatCode>General</c:formatCode>
                <c:ptCount val="9"/>
                <c:pt idx="0">
                  <c:v>-18.397065210829048</c:v>
                </c:pt>
                <c:pt idx="1">
                  <c:v>-16.996971585632693</c:v>
                </c:pt>
                <c:pt idx="2">
                  <c:v>-16.29824245885661</c:v>
                </c:pt>
                <c:pt idx="3">
                  <c:v>-15.7002275547454</c:v>
                </c:pt>
                <c:pt idx="4">
                  <c:v>-15.318091584521776</c:v>
                </c:pt>
                <c:pt idx="5">
                  <c:v>-14.962553336822335</c:v>
                </c:pt>
                <c:pt idx="6">
                  <c:v>-14.594245492320828</c:v>
                </c:pt>
                <c:pt idx="7">
                  <c:v>-14.256757812111971</c:v>
                </c:pt>
                <c:pt idx="8">
                  <c:v>-14.184818156935878</c:v>
                </c:pt>
              </c:numCache>
            </c:numRef>
          </c:xVal>
          <c:yVal>
            <c:numRef>
              <c:f>'LBM Large Plates'!$AI$32:$AI$40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0.17399999999999999</c:v>
                </c:pt>
                <c:pt idx="2">
                  <c:v>0.25600000000000001</c:v>
                </c:pt>
                <c:pt idx="3">
                  <c:v>0.35299999999999998</c:v>
                </c:pt>
                <c:pt idx="4">
                  <c:v>0.42799999999999999</c:v>
                </c:pt>
                <c:pt idx="5">
                  <c:v>0.504</c:v>
                </c:pt>
                <c:pt idx="6">
                  <c:v>0.58699999999999997</c:v>
                </c:pt>
                <c:pt idx="7">
                  <c:v>0.66200000000000003</c:v>
                </c:pt>
                <c:pt idx="8">
                  <c:v>0.70799999999999996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C19-49DC-9FA6-6354631BD899}"/>
            </c:ext>
          </c:extLst>
        </c:ser>
        <c:ser>
          <c:idx val="4"/>
          <c:order val="4"/>
          <c:tx>
            <c:v>Frac-perpendicular</c:v>
          </c:tx>
          <c:spPr>
            <a:ln w="1270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Plates'!$AO$41:$AO$51</c:f>
              <c:numCache>
                <c:formatCode>General</c:formatCode>
                <c:ptCount val="11"/>
                <c:pt idx="0">
                  <c:v>-18.397065210829048</c:v>
                </c:pt>
                <c:pt idx="1">
                  <c:v>-18.339393139856259</c:v>
                </c:pt>
                <c:pt idx="2">
                  <c:v>-18.233295859277504</c:v>
                </c:pt>
                <c:pt idx="3">
                  <c:v>-18.134438236401696</c:v>
                </c:pt>
                <c:pt idx="4">
                  <c:v>-18.10125512296224</c:v>
                </c:pt>
                <c:pt idx="5">
                  <c:v>-18.040117131717384</c:v>
                </c:pt>
                <c:pt idx="6">
                  <c:v>-17.993646792045475</c:v>
                </c:pt>
                <c:pt idx="7">
                  <c:v>-17.945246283261508</c:v>
                </c:pt>
                <c:pt idx="8">
                  <c:v>-17.868271901941078</c:v>
                </c:pt>
                <c:pt idx="9">
                  <c:v>-17.767995620927749</c:v>
                </c:pt>
                <c:pt idx="10">
                  <c:v>-17.654186495667027</c:v>
                </c:pt>
              </c:numCache>
            </c:numRef>
          </c:xVal>
          <c:yVal>
            <c:numRef>
              <c:f>'LBM Large Plates'!$AI$41:$AI$51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0.123</c:v>
                </c:pt>
                <c:pt idx="2">
                  <c:v>0.16700000000000001</c:v>
                </c:pt>
                <c:pt idx="3">
                  <c:v>0.21299999999999999</c:v>
                </c:pt>
                <c:pt idx="4">
                  <c:v>0.252</c:v>
                </c:pt>
                <c:pt idx="5">
                  <c:v>0.318</c:v>
                </c:pt>
                <c:pt idx="6">
                  <c:v>0.36399999999999999</c:v>
                </c:pt>
                <c:pt idx="7">
                  <c:v>0.40699999999999997</c:v>
                </c:pt>
                <c:pt idx="8">
                  <c:v>0.47099999999999997</c:v>
                </c:pt>
                <c:pt idx="9">
                  <c:v>0.54500000000000004</c:v>
                </c:pt>
                <c:pt idx="10">
                  <c:v>0.61599999999999999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C19-49DC-9FA6-6354631BD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6112"/>
        <c:axId val="-1839041216"/>
        <c:extLst/>
      </c:scatterChart>
      <c:valAx>
        <c:axId val="-1839046112"/>
        <c:scaling>
          <c:orientation val="minMax"/>
          <c:max val="-12"/>
          <c:min val="-23"/>
        </c:scaling>
        <c:delete val="1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crossAx val="-1839041216"/>
        <c:crosses val="autoZero"/>
        <c:crossBetween val="midCat"/>
        <c:majorUnit val="1"/>
      </c:valAx>
      <c:valAx>
        <c:axId val="-1839041216"/>
        <c:scaling>
          <c:orientation val="minMax"/>
        </c:scaling>
        <c:delete val="1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high"/>
        <c:crossAx val="-1839046112"/>
        <c:crosses val="autoZero"/>
        <c:crossBetween val="midCat"/>
      </c:valAx>
      <c:spPr>
        <a:solidFill>
          <a:schemeClr val="bg1">
            <a:alpha val="20000"/>
          </a:schemeClr>
        </a:solidFill>
        <a:ln w="25400" cap="flat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910847268927193E-2"/>
          <c:y val="2.0871961917469591E-2"/>
          <c:w val="0.88937253985481102"/>
          <c:h val="0.85281663970652599"/>
        </c:manualLayout>
      </c:layout>
      <c:scatterChart>
        <c:scatterStyle val="smoothMarker"/>
        <c:varyColors val="0"/>
        <c:ser>
          <c:idx val="0"/>
          <c:order val="0"/>
          <c:tx>
            <c:v>Isotropic Expansion</c:v>
          </c:tx>
          <c:spPr>
            <a:ln w="1270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Plates'!$AL$4:$AL$12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-18.889078975422589</c:v>
                </c:pt>
                <c:pt idx="2">
                  <c:v>-18.264800125426838</c:v>
                </c:pt>
                <c:pt idx="3">
                  <c:v>-17.829428903119158</c:v>
                </c:pt>
                <c:pt idx="4">
                  <c:v>-17.494360165702997</c:v>
                </c:pt>
                <c:pt idx="5">
                  <c:v>-16.991629288091204</c:v>
                </c:pt>
                <c:pt idx="6">
                  <c:v>-16.616982317387592</c:v>
                </c:pt>
                <c:pt idx="7">
                  <c:v>-16.189244240203546</c:v>
                </c:pt>
                <c:pt idx="8">
                  <c:v>-15.763493174533663</c:v>
                </c:pt>
              </c:numCache>
            </c:numRef>
          </c:xVal>
          <c:yVal>
            <c:numRef>
              <c:f>'LBM Large Plates'!$AI$4:$AI$12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F-41FB-AD5D-254BC8AF5EA4}"/>
            </c:ext>
          </c:extLst>
        </c:ser>
        <c:ser>
          <c:idx val="1"/>
          <c:order val="1"/>
          <c:tx>
            <c:v>MF-parallel</c:v>
          </c:tx>
          <c:spPr>
            <a:ln w="12700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Plates'!$AL$13:$AL$20</c:f>
              <c:numCache>
                <c:formatCode>General</c:formatCode>
                <c:ptCount val="8"/>
                <c:pt idx="0">
                  <c:v>-19.989514510736544</c:v>
                </c:pt>
                <c:pt idx="1">
                  <c:v>-19.23523420485148</c:v>
                </c:pt>
                <c:pt idx="2">
                  <c:v>-18.963410208542474</c:v>
                </c:pt>
                <c:pt idx="3">
                  <c:v>-18.846670298748741</c:v>
                </c:pt>
                <c:pt idx="4">
                  <c:v>-18.697190389178008</c:v>
                </c:pt>
                <c:pt idx="5">
                  <c:v>-18.645737228238172</c:v>
                </c:pt>
                <c:pt idx="6">
                  <c:v>-18.558034277924779</c:v>
                </c:pt>
                <c:pt idx="7">
                  <c:v>-18.487036079799676</c:v>
                </c:pt>
              </c:numCache>
            </c:numRef>
          </c:xVal>
          <c:yVal>
            <c:numRef>
              <c:f>'LBM Large Plates'!$AI$13:$AI$20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0.17399999999999999</c:v>
                </c:pt>
                <c:pt idx="2">
                  <c:v>0.25600000000000001</c:v>
                </c:pt>
                <c:pt idx="3">
                  <c:v>0.32400000000000001</c:v>
                </c:pt>
                <c:pt idx="4">
                  <c:v>0.42799999999999999</c:v>
                </c:pt>
                <c:pt idx="5">
                  <c:v>0.504</c:v>
                </c:pt>
                <c:pt idx="6">
                  <c:v>0.58699999999999997</c:v>
                </c:pt>
                <c:pt idx="7">
                  <c:v>0.64600000000000002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EF-41FB-AD5D-254BC8AF5EA4}"/>
            </c:ext>
          </c:extLst>
        </c:ser>
        <c:ser>
          <c:idx val="2"/>
          <c:order val="2"/>
          <c:tx>
            <c:v>MF-perpendicular</c:v>
          </c:tx>
          <c:spPr>
            <a:ln w="1270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Plates'!$AL$21:$AL$31</c:f>
              <c:numCache>
                <c:formatCode>General</c:formatCode>
                <c:ptCount val="11"/>
                <c:pt idx="0">
                  <c:v>-19.989514510736544</c:v>
                </c:pt>
                <c:pt idx="1">
                  <c:v>-18.538624729567115</c:v>
                </c:pt>
                <c:pt idx="2">
                  <c:v>-17.71044744796718</c:v>
                </c:pt>
                <c:pt idx="3">
                  <c:v>-16.830659111644863</c:v>
                </c:pt>
                <c:pt idx="4">
                  <c:v>-16.062648349495433</c:v>
                </c:pt>
                <c:pt idx="5">
                  <c:v>-15.683487071996156</c:v>
                </c:pt>
                <c:pt idx="6">
                  <c:v>-15.339703064640089</c:v>
                </c:pt>
                <c:pt idx="7">
                  <c:v>-14.852776342411355</c:v>
                </c:pt>
                <c:pt idx="8">
                  <c:v>-14.396640842983768</c:v>
                </c:pt>
                <c:pt idx="9">
                  <c:v>-14.017975528133856</c:v>
                </c:pt>
                <c:pt idx="10">
                  <c:v>-13.65364766433561</c:v>
                </c:pt>
              </c:numCache>
            </c:numRef>
          </c:xVal>
          <c:yVal>
            <c:numRef>
              <c:f>'LBM Large Plates'!$AI$21:$AI$31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  <c:pt idx="10">
                  <c:v>0.66400000000000003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F-41FB-AD5D-254BC8AF5EA4}"/>
            </c:ext>
          </c:extLst>
        </c:ser>
        <c:ser>
          <c:idx val="3"/>
          <c:order val="3"/>
          <c:tx>
            <c:v>Frac-parallel</c:v>
          </c:tx>
          <c:spPr>
            <a:ln w="1270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Plates'!$AL$32:$AL$40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-19.644153785693138</c:v>
                </c:pt>
                <c:pt idx="2">
                  <c:v>-19.528739430864334</c:v>
                </c:pt>
                <c:pt idx="3">
                  <c:v>-19.366988546327779</c:v>
                </c:pt>
                <c:pt idx="4">
                  <c:v>-19.237884511832817</c:v>
                </c:pt>
                <c:pt idx="5">
                  <c:v>-19.104933930533488</c:v>
                </c:pt>
                <c:pt idx="6">
                  <c:v>-18.956876812168758</c:v>
                </c:pt>
                <c:pt idx="7">
                  <c:v>-18.813242410592011</c:v>
                </c:pt>
                <c:pt idx="8">
                  <c:v>-18.716773375905827</c:v>
                </c:pt>
              </c:numCache>
            </c:numRef>
          </c:xVal>
          <c:yVal>
            <c:numRef>
              <c:f>'LBM Large Plates'!$AI$32:$AI$40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0.17399999999999999</c:v>
                </c:pt>
                <c:pt idx="2">
                  <c:v>0.25600000000000001</c:v>
                </c:pt>
                <c:pt idx="3">
                  <c:v>0.35299999999999998</c:v>
                </c:pt>
                <c:pt idx="4">
                  <c:v>0.42799999999999999</c:v>
                </c:pt>
                <c:pt idx="5">
                  <c:v>0.504</c:v>
                </c:pt>
                <c:pt idx="6">
                  <c:v>0.58699999999999997</c:v>
                </c:pt>
                <c:pt idx="7">
                  <c:v>0.66200000000000003</c:v>
                </c:pt>
                <c:pt idx="8">
                  <c:v>0.70799999999999996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EF-41FB-AD5D-254BC8AF5EA4}"/>
            </c:ext>
          </c:extLst>
        </c:ser>
        <c:ser>
          <c:idx val="4"/>
          <c:order val="4"/>
          <c:tx>
            <c:v>Frac-perpendicular</c:v>
          </c:tx>
          <c:spPr>
            <a:ln w="1270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Plates'!$AL$41:$AL$51</c:f>
              <c:numCache>
                <c:formatCode>General</c:formatCode>
                <c:ptCount val="11"/>
                <c:pt idx="0">
                  <c:v>-19.989514510736544</c:v>
                </c:pt>
                <c:pt idx="1">
                  <c:v>-19.759428747206112</c:v>
                </c:pt>
                <c:pt idx="2">
                  <c:v>-19.663538632393678</c:v>
                </c:pt>
                <c:pt idx="3">
                  <c:v>-18.150018822714188</c:v>
                </c:pt>
                <c:pt idx="4">
                  <c:v>-16.96884323976284</c:v>
                </c:pt>
                <c:pt idx="5">
                  <c:v>-15.91101994680103</c:v>
                </c:pt>
                <c:pt idx="6">
                  <c:v>-14.255540325782666</c:v>
                </c:pt>
                <c:pt idx="7">
                  <c:v>-13.866143177245744</c:v>
                </c:pt>
                <c:pt idx="8">
                  <c:v>-13.598428982506459</c:v>
                </c:pt>
                <c:pt idx="9">
                  <c:v>-13.413785750844296</c:v>
                </c:pt>
                <c:pt idx="10">
                  <c:v>-13.288233388470468</c:v>
                </c:pt>
              </c:numCache>
            </c:numRef>
          </c:xVal>
          <c:yVal>
            <c:numRef>
              <c:f>'LBM Large Plates'!$AI$41:$AI$51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0.123</c:v>
                </c:pt>
                <c:pt idx="2">
                  <c:v>0.16700000000000001</c:v>
                </c:pt>
                <c:pt idx="3">
                  <c:v>0.21299999999999999</c:v>
                </c:pt>
                <c:pt idx="4">
                  <c:v>0.252</c:v>
                </c:pt>
                <c:pt idx="5">
                  <c:v>0.318</c:v>
                </c:pt>
                <c:pt idx="6">
                  <c:v>0.36399999999999999</c:v>
                </c:pt>
                <c:pt idx="7">
                  <c:v>0.40699999999999997</c:v>
                </c:pt>
                <c:pt idx="8">
                  <c:v>0.47099999999999997</c:v>
                </c:pt>
                <c:pt idx="9">
                  <c:v>0.54500000000000004</c:v>
                </c:pt>
                <c:pt idx="10">
                  <c:v>0.61599999999999999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EF-41FB-AD5D-254BC8AF5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6112"/>
        <c:axId val="-1839041216"/>
        <c:extLst/>
      </c:scatterChart>
      <c:valAx>
        <c:axId val="-1839046112"/>
        <c:scaling>
          <c:orientation val="minMax"/>
          <c:max val="-12"/>
          <c:min val="-23"/>
        </c:scaling>
        <c:delete val="1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1839041216"/>
        <c:crosses val="autoZero"/>
        <c:crossBetween val="midCat"/>
        <c:majorUnit val="1"/>
      </c:valAx>
      <c:valAx>
        <c:axId val="-1839041216"/>
        <c:scaling>
          <c:orientation val="minMax"/>
        </c:scaling>
        <c:delete val="1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1839046112"/>
        <c:crosses val="autoZero"/>
        <c:crossBetween val="midCat"/>
      </c:valAx>
      <c:spPr>
        <a:solidFill>
          <a:schemeClr val="bg1">
            <a:alpha val="20000"/>
          </a:schemeClr>
        </a:solidFill>
        <a:ln w="25400" cap="flat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2.7402000695634678E-2"/>
          <c:y val="6.1388984494042995E-2"/>
          <c:w val="0.28811593309658717"/>
          <c:h val="0.19454064122309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910847268927193E-2"/>
          <c:y val="2.0871961917469591E-2"/>
          <c:w val="0.88937253985481102"/>
          <c:h val="0.85281663970652599"/>
        </c:manualLayout>
      </c:layout>
      <c:scatterChart>
        <c:scatterStyle val="smoothMarker"/>
        <c:varyColors val="0"/>
        <c:ser>
          <c:idx val="0"/>
          <c:order val="0"/>
          <c:tx>
            <c:v>Isotropic Expansion</c:v>
          </c:tx>
          <c:spPr>
            <a:ln w="1270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Plates'!$AL$4:$AL$12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-18.889078975422589</c:v>
                </c:pt>
                <c:pt idx="2">
                  <c:v>-18.264800125426838</c:v>
                </c:pt>
                <c:pt idx="3">
                  <c:v>-17.829428903119158</c:v>
                </c:pt>
                <c:pt idx="4">
                  <c:v>-17.494360165702997</c:v>
                </c:pt>
                <c:pt idx="5">
                  <c:v>-16.991629288091204</c:v>
                </c:pt>
                <c:pt idx="6">
                  <c:v>-16.616982317387592</c:v>
                </c:pt>
                <c:pt idx="7">
                  <c:v>-16.189244240203546</c:v>
                </c:pt>
                <c:pt idx="8">
                  <c:v>-15.763493174533663</c:v>
                </c:pt>
              </c:numCache>
            </c:numRef>
          </c:xVal>
          <c:yVal>
            <c:numRef>
              <c:f>'LBM Large Plates'!$AI$4:$AI$12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D9-49AD-9E7C-C26C7D2C24B5}"/>
            </c:ext>
          </c:extLst>
        </c:ser>
        <c:ser>
          <c:idx val="1"/>
          <c:order val="1"/>
          <c:tx>
            <c:v>MF-parallel</c:v>
          </c:tx>
          <c:spPr>
            <a:ln w="12700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Plates'!$AL$13:$AL$20</c:f>
              <c:numCache>
                <c:formatCode>General</c:formatCode>
                <c:ptCount val="8"/>
                <c:pt idx="0">
                  <c:v>-19.989514510736544</c:v>
                </c:pt>
                <c:pt idx="1">
                  <c:v>-19.23523420485148</c:v>
                </c:pt>
                <c:pt idx="2">
                  <c:v>-18.963410208542474</c:v>
                </c:pt>
                <c:pt idx="3">
                  <c:v>-18.846670298748741</c:v>
                </c:pt>
                <c:pt idx="4">
                  <c:v>-18.697190389178008</c:v>
                </c:pt>
                <c:pt idx="5">
                  <c:v>-18.645737228238172</c:v>
                </c:pt>
                <c:pt idx="6">
                  <c:v>-18.558034277924779</c:v>
                </c:pt>
                <c:pt idx="7">
                  <c:v>-18.487036079799676</c:v>
                </c:pt>
              </c:numCache>
            </c:numRef>
          </c:xVal>
          <c:yVal>
            <c:numRef>
              <c:f>'LBM Large Plates'!$AI$13:$AI$20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0.17399999999999999</c:v>
                </c:pt>
                <c:pt idx="2">
                  <c:v>0.25600000000000001</c:v>
                </c:pt>
                <c:pt idx="3">
                  <c:v>0.32400000000000001</c:v>
                </c:pt>
                <c:pt idx="4">
                  <c:v>0.42799999999999999</c:v>
                </c:pt>
                <c:pt idx="5">
                  <c:v>0.504</c:v>
                </c:pt>
                <c:pt idx="6">
                  <c:v>0.58699999999999997</c:v>
                </c:pt>
                <c:pt idx="7">
                  <c:v>0.64600000000000002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D9-49AD-9E7C-C26C7D2C24B5}"/>
            </c:ext>
          </c:extLst>
        </c:ser>
        <c:ser>
          <c:idx val="2"/>
          <c:order val="2"/>
          <c:tx>
            <c:v>MF-perpendicular</c:v>
          </c:tx>
          <c:spPr>
            <a:ln w="1270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Plates'!$AL$21:$AL$31</c:f>
              <c:numCache>
                <c:formatCode>General</c:formatCode>
                <c:ptCount val="11"/>
                <c:pt idx="0">
                  <c:v>-19.989514510736544</c:v>
                </c:pt>
                <c:pt idx="1">
                  <c:v>-18.538624729567115</c:v>
                </c:pt>
                <c:pt idx="2">
                  <c:v>-17.71044744796718</c:v>
                </c:pt>
                <c:pt idx="3">
                  <c:v>-16.830659111644863</c:v>
                </c:pt>
                <c:pt idx="4">
                  <c:v>-16.062648349495433</c:v>
                </c:pt>
                <c:pt idx="5">
                  <c:v>-15.683487071996156</c:v>
                </c:pt>
                <c:pt idx="6">
                  <c:v>-15.339703064640089</c:v>
                </c:pt>
                <c:pt idx="7">
                  <c:v>-14.852776342411355</c:v>
                </c:pt>
                <c:pt idx="8">
                  <c:v>-14.396640842983768</c:v>
                </c:pt>
                <c:pt idx="9">
                  <c:v>-14.017975528133856</c:v>
                </c:pt>
                <c:pt idx="10">
                  <c:v>-13.65364766433561</c:v>
                </c:pt>
              </c:numCache>
            </c:numRef>
          </c:xVal>
          <c:yVal>
            <c:numRef>
              <c:f>'LBM Large Plates'!$AI$21:$AI$31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  <c:pt idx="10">
                  <c:v>0.66400000000000003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D9-49AD-9E7C-C26C7D2C24B5}"/>
            </c:ext>
          </c:extLst>
        </c:ser>
        <c:ser>
          <c:idx val="3"/>
          <c:order val="3"/>
          <c:tx>
            <c:v>Frac-parallel</c:v>
          </c:tx>
          <c:spPr>
            <a:ln w="1270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Plates'!$AL$32:$AL$40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-19.644153785693138</c:v>
                </c:pt>
                <c:pt idx="2">
                  <c:v>-19.528739430864334</c:v>
                </c:pt>
                <c:pt idx="3">
                  <c:v>-19.366988546327779</c:v>
                </c:pt>
                <c:pt idx="4">
                  <c:v>-19.237884511832817</c:v>
                </c:pt>
                <c:pt idx="5">
                  <c:v>-19.104933930533488</c:v>
                </c:pt>
                <c:pt idx="6">
                  <c:v>-18.956876812168758</c:v>
                </c:pt>
                <c:pt idx="7">
                  <c:v>-18.813242410592011</c:v>
                </c:pt>
                <c:pt idx="8">
                  <c:v>-18.716773375905827</c:v>
                </c:pt>
              </c:numCache>
            </c:numRef>
          </c:xVal>
          <c:yVal>
            <c:numRef>
              <c:f>'LBM Large Plates'!$AI$32:$AI$40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0.17399999999999999</c:v>
                </c:pt>
                <c:pt idx="2">
                  <c:v>0.25600000000000001</c:v>
                </c:pt>
                <c:pt idx="3">
                  <c:v>0.35299999999999998</c:v>
                </c:pt>
                <c:pt idx="4">
                  <c:v>0.42799999999999999</c:v>
                </c:pt>
                <c:pt idx="5">
                  <c:v>0.504</c:v>
                </c:pt>
                <c:pt idx="6">
                  <c:v>0.58699999999999997</c:v>
                </c:pt>
                <c:pt idx="7">
                  <c:v>0.66200000000000003</c:v>
                </c:pt>
                <c:pt idx="8">
                  <c:v>0.70799999999999996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D9-49AD-9E7C-C26C7D2C24B5}"/>
            </c:ext>
          </c:extLst>
        </c:ser>
        <c:ser>
          <c:idx val="4"/>
          <c:order val="4"/>
          <c:tx>
            <c:v>Frac-perpendicular</c:v>
          </c:tx>
          <c:spPr>
            <a:ln w="1270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054280368544698"/>
                  <c:y val="-0.10372238848893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'LBM Large Plates'!$AL$42:$AL$49</c:f>
              <c:numCache>
                <c:formatCode>General</c:formatCode>
                <c:ptCount val="8"/>
                <c:pt idx="0">
                  <c:v>-19.759428747206112</c:v>
                </c:pt>
                <c:pt idx="1">
                  <c:v>-19.663538632393678</c:v>
                </c:pt>
                <c:pt idx="2">
                  <c:v>-18.150018822714188</c:v>
                </c:pt>
                <c:pt idx="3">
                  <c:v>-16.96884323976284</c:v>
                </c:pt>
                <c:pt idx="4">
                  <c:v>-15.91101994680103</c:v>
                </c:pt>
                <c:pt idx="5">
                  <c:v>-14.255540325782666</c:v>
                </c:pt>
                <c:pt idx="6">
                  <c:v>-13.866143177245744</c:v>
                </c:pt>
                <c:pt idx="7">
                  <c:v>-13.598428982506459</c:v>
                </c:pt>
              </c:numCache>
            </c:numRef>
          </c:xVal>
          <c:yVal>
            <c:numRef>
              <c:f>'LBM Large Plates'!$AI$42:$AI$48</c:f>
              <c:numCache>
                <c:formatCode>General</c:formatCode>
                <c:ptCount val="7"/>
                <c:pt idx="0">
                  <c:v>0.123</c:v>
                </c:pt>
                <c:pt idx="1">
                  <c:v>0.16700000000000001</c:v>
                </c:pt>
                <c:pt idx="2">
                  <c:v>0.21299999999999999</c:v>
                </c:pt>
                <c:pt idx="3">
                  <c:v>0.252</c:v>
                </c:pt>
                <c:pt idx="4">
                  <c:v>0.318</c:v>
                </c:pt>
                <c:pt idx="5">
                  <c:v>0.36399999999999999</c:v>
                </c:pt>
                <c:pt idx="6">
                  <c:v>0.40699999999999997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D9-49AD-9E7C-C26C7D2C2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6112"/>
        <c:axId val="-1839041216"/>
        <c:extLst/>
      </c:scatterChart>
      <c:valAx>
        <c:axId val="-1839046112"/>
        <c:scaling>
          <c:orientation val="minMax"/>
          <c:max val="-12"/>
          <c:min val="-23"/>
        </c:scaling>
        <c:delete val="1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1839041216"/>
        <c:crosses val="autoZero"/>
        <c:crossBetween val="midCat"/>
        <c:majorUnit val="1"/>
      </c:valAx>
      <c:valAx>
        <c:axId val="-1839041216"/>
        <c:scaling>
          <c:orientation val="minMax"/>
        </c:scaling>
        <c:delete val="1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1839046112"/>
        <c:crosses val="autoZero"/>
        <c:crossBetween val="midCat"/>
      </c:valAx>
      <c:spPr>
        <a:solidFill>
          <a:schemeClr val="bg1">
            <a:alpha val="20000"/>
          </a:schemeClr>
        </a:solidFill>
        <a:ln w="25400" cap="flat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2.7402000695634678E-2"/>
          <c:y val="6.1388984494042995E-2"/>
          <c:w val="0.28811593309658717"/>
          <c:h val="0.19454064122309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96798763360972"/>
          <c:y val="2.0871961917469591E-2"/>
          <c:w val="0.81447121659947663"/>
          <c:h val="0.81781666666666664"/>
        </c:manualLayout>
      </c:layout>
      <c:scatterChart>
        <c:scatterStyle val="smoothMarker"/>
        <c:varyColors val="0"/>
        <c:ser>
          <c:idx val="0"/>
          <c:order val="0"/>
          <c:tx>
            <c:v>Isotropic Expansion</c:v>
          </c:tx>
          <c:spPr>
            <a:ln w="1270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Plates'!$AL$4:$AL$12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-18.889078975422589</c:v>
                </c:pt>
                <c:pt idx="2">
                  <c:v>-18.264800125426838</c:v>
                </c:pt>
                <c:pt idx="3">
                  <c:v>-17.829428903119158</c:v>
                </c:pt>
                <c:pt idx="4">
                  <c:v>-17.494360165702997</c:v>
                </c:pt>
                <c:pt idx="5">
                  <c:v>-16.991629288091204</c:v>
                </c:pt>
                <c:pt idx="6">
                  <c:v>-16.616982317387592</c:v>
                </c:pt>
                <c:pt idx="7">
                  <c:v>-16.189244240203546</c:v>
                </c:pt>
                <c:pt idx="8">
                  <c:v>-15.763493174533663</c:v>
                </c:pt>
              </c:numCache>
            </c:numRef>
          </c:xVal>
          <c:yVal>
            <c:numRef>
              <c:f>'LBM Large Plates'!$AI$4:$AI$12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A-438C-A39C-ABBC22B36DA3}"/>
            </c:ext>
          </c:extLst>
        </c:ser>
        <c:ser>
          <c:idx val="2"/>
          <c:order val="1"/>
          <c:tx>
            <c:v>MF-perpendicular</c:v>
          </c:tx>
          <c:spPr>
            <a:ln w="1270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Plates'!$AL$21:$AL$31</c:f>
              <c:numCache>
                <c:formatCode>General</c:formatCode>
                <c:ptCount val="11"/>
                <c:pt idx="0">
                  <c:v>-19.989514510736544</c:v>
                </c:pt>
                <c:pt idx="1">
                  <c:v>-18.538624729567115</c:v>
                </c:pt>
                <c:pt idx="2">
                  <c:v>-17.71044744796718</c:v>
                </c:pt>
                <c:pt idx="3">
                  <c:v>-16.830659111644863</c:v>
                </c:pt>
                <c:pt idx="4">
                  <c:v>-16.062648349495433</c:v>
                </c:pt>
                <c:pt idx="5">
                  <c:v>-15.683487071996156</c:v>
                </c:pt>
                <c:pt idx="6">
                  <c:v>-15.339703064640089</c:v>
                </c:pt>
                <c:pt idx="7">
                  <c:v>-14.852776342411355</c:v>
                </c:pt>
                <c:pt idx="8">
                  <c:v>-14.396640842983768</c:v>
                </c:pt>
                <c:pt idx="9">
                  <c:v>-14.017975528133856</c:v>
                </c:pt>
                <c:pt idx="10">
                  <c:v>-13.65364766433561</c:v>
                </c:pt>
              </c:numCache>
            </c:numRef>
          </c:xVal>
          <c:yVal>
            <c:numRef>
              <c:f>'LBM Large Plates'!$AI$21:$AI$31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  <c:pt idx="10">
                  <c:v>0.66400000000000003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AA-438C-A39C-ABBC22B36DA3}"/>
            </c:ext>
          </c:extLst>
        </c:ser>
        <c:ser>
          <c:idx val="4"/>
          <c:order val="2"/>
          <c:tx>
            <c:v>Frac-perp</c:v>
          </c:tx>
          <c:spPr>
            <a:ln w="1270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Plates'!$AL$41:$AL$51</c:f>
              <c:numCache>
                <c:formatCode>General</c:formatCode>
                <c:ptCount val="11"/>
                <c:pt idx="0">
                  <c:v>-19.989514510736544</c:v>
                </c:pt>
                <c:pt idx="1">
                  <c:v>-19.759428747206112</c:v>
                </c:pt>
                <c:pt idx="2">
                  <c:v>-19.663538632393678</c:v>
                </c:pt>
                <c:pt idx="3">
                  <c:v>-18.150018822714188</c:v>
                </c:pt>
                <c:pt idx="4">
                  <c:v>-16.96884323976284</c:v>
                </c:pt>
                <c:pt idx="5">
                  <c:v>-15.91101994680103</c:v>
                </c:pt>
                <c:pt idx="6">
                  <c:v>-14.255540325782666</c:v>
                </c:pt>
                <c:pt idx="7">
                  <c:v>-13.866143177245744</c:v>
                </c:pt>
                <c:pt idx="8">
                  <c:v>-13.598428982506459</c:v>
                </c:pt>
                <c:pt idx="9">
                  <c:v>-13.413785750844296</c:v>
                </c:pt>
                <c:pt idx="10">
                  <c:v>-13.288233388470468</c:v>
                </c:pt>
              </c:numCache>
            </c:numRef>
          </c:xVal>
          <c:yVal>
            <c:numRef>
              <c:f>'LBM Large Plates'!$AI$41:$AI$51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0.123</c:v>
                </c:pt>
                <c:pt idx="2">
                  <c:v>0.16700000000000001</c:v>
                </c:pt>
                <c:pt idx="3">
                  <c:v>0.21299999999999999</c:v>
                </c:pt>
                <c:pt idx="4">
                  <c:v>0.252</c:v>
                </c:pt>
                <c:pt idx="5">
                  <c:v>0.318</c:v>
                </c:pt>
                <c:pt idx="6">
                  <c:v>0.36399999999999999</c:v>
                </c:pt>
                <c:pt idx="7">
                  <c:v>0.40699999999999997</c:v>
                </c:pt>
                <c:pt idx="8">
                  <c:v>0.47099999999999997</c:v>
                </c:pt>
                <c:pt idx="9">
                  <c:v>0.54500000000000004</c:v>
                </c:pt>
                <c:pt idx="10">
                  <c:v>0.61599999999999999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AA-438C-A39C-ABBC22B36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6112"/>
        <c:axId val="-1839041216"/>
        <c:extLst/>
      </c:scatterChart>
      <c:valAx>
        <c:axId val="-1839046112"/>
        <c:scaling>
          <c:orientation val="minMax"/>
          <c:max val="-12"/>
          <c:min val="-23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log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041216"/>
        <c:crossesAt val="0"/>
        <c:crossBetween val="midCat"/>
        <c:majorUnit val="1"/>
      </c:valAx>
      <c:valAx>
        <c:axId val="-1839041216"/>
        <c:scaling>
          <c:orientation val="minMax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Porosity </a:t>
                </a:r>
              </a:p>
            </c:rich>
          </c:tx>
          <c:layout>
            <c:manualLayout>
              <c:xMode val="edge"/>
              <c:yMode val="edge"/>
              <c:x val="1.0554996416628378E-3"/>
              <c:y val="0.35786561679790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046112"/>
        <c:crossesAt val="-23"/>
        <c:crossBetween val="midCat"/>
      </c:valAx>
      <c:spPr>
        <a:solidFill>
          <a:schemeClr val="bg1">
            <a:alpha val="20000"/>
          </a:schemeClr>
        </a:solidFill>
        <a:ln w="25400" cap="flat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472114825936432"/>
          <c:y val="7.8055643044619427E-2"/>
          <c:w val="0.28811593309658717"/>
          <c:h val="0.19454064122309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1467031666477"/>
          <c:y val="3.3418332623680054E-2"/>
          <c:w val="0.82807705152719158"/>
          <c:h val="0.80312857518355385"/>
        </c:manualLayout>
      </c:layout>
      <c:scatterChart>
        <c:scatterStyle val="lineMarker"/>
        <c:varyColors val="0"/>
        <c:ser>
          <c:idx val="2"/>
          <c:order val="0"/>
          <c:tx>
            <c:v>Compaction</c:v>
          </c:tx>
          <c:spPr>
            <a:ln w="95250" cap="rnd">
              <a:solidFill>
                <a:srgbClr val="00B050"/>
              </a:solidFill>
              <a:round/>
              <a:headEnd type="arrow" w="sm" len="sm"/>
            </a:ln>
            <a:effectLst/>
          </c:spPr>
          <c:marker>
            <c:symbol val="none"/>
          </c:marker>
          <c:xVal>
            <c:numRef>
              <c:f>'LBM Large Plates'!$L$4:$L$12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xVal>
          <c:yVal>
            <c:numRef>
              <c:f>'LBM Large Plates'!$AR$4:$AR$12</c:f>
              <c:numCache>
                <c:formatCode>General</c:formatCode>
                <c:ptCount val="9"/>
                <c:pt idx="0">
                  <c:v>39.124544996716963</c:v>
                </c:pt>
                <c:pt idx="1">
                  <c:v>38.802976497607268</c:v>
                </c:pt>
                <c:pt idx="2">
                  <c:v>35.602083546113782</c:v>
                </c:pt>
                <c:pt idx="3">
                  <c:v>31.981621480996441</c:v>
                </c:pt>
                <c:pt idx="4">
                  <c:v>28.670500435223104</c:v>
                </c:pt>
                <c:pt idx="5">
                  <c:v>23.350693443515585</c:v>
                </c:pt>
                <c:pt idx="6">
                  <c:v>19.452664021682562</c:v>
                </c:pt>
                <c:pt idx="7">
                  <c:v>15.394999899028656</c:v>
                </c:pt>
                <c:pt idx="8">
                  <c:v>11.950096412836354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6-4A81-B940-CFDF1123EE1F}"/>
            </c:ext>
          </c:extLst>
        </c:ser>
        <c:ser>
          <c:idx val="3"/>
          <c:order val="1"/>
          <c:tx>
            <c:v>Microfracture Network</c:v>
          </c:tx>
          <c:spPr>
            <a:ln w="95250" cap="rnd">
              <a:solidFill>
                <a:srgbClr val="C00000"/>
              </a:solidFill>
              <a:round/>
              <a:tailEnd type="arrow" w="sm" len="sm"/>
            </a:ln>
            <a:effectLst/>
          </c:spPr>
          <c:marker>
            <c:symbol val="none"/>
          </c:marker>
          <c:xVal>
            <c:numRef>
              <c:f>'LBM Large Plates'!$L$21:$L$31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  <c:pt idx="10">
                  <c:v>0.66400000000000003</c:v>
                </c:pt>
              </c:numCache>
            </c:numRef>
          </c:xVal>
          <c:yVal>
            <c:numRef>
              <c:f>'LBM Large Plates'!$AR$21:$AR$31</c:f>
              <c:numCache>
                <c:formatCode>General</c:formatCode>
                <c:ptCount val="11"/>
                <c:pt idx="0">
                  <c:v>39.124544996716963</c:v>
                </c:pt>
                <c:pt idx="1">
                  <c:v>12.027953717456173</c:v>
                </c:pt>
                <c:pt idx="2">
                  <c:v>4.9596747831188956</c:v>
                </c:pt>
                <c:pt idx="3">
                  <c:v>1.4748988480841936</c:v>
                </c:pt>
                <c:pt idx="4">
                  <c:v>0.46044864226682397</c:v>
                </c:pt>
                <c:pt idx="5">
                  <c:v>0.25565673593496452</c:v>
                </c:pt>
                <c:pt idx="6">
                  <c:v>0.14971694543793146</c:v>
                </c:pt>
                <c:pt idx="7">
                  <c:v>7.0554843392666447E-2</c:v>
                </c:pt>
                <c:pt idx="8">
                  <c:v>3.5669463729072898E-2</c:v>
                </c:pt>
                <c:pt idx="9">
                  <c:v>2.1362134273549941E-2</c:v>
                </c:pt>
                <c:pt idx="10">
                  <c:v>1.5047935352727122E-2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6-4A81-B940-CFDF1123EE1F}"/>
            </c:ext>
          </c:extLst>
        </c:ser>
        <c:ser>
          <c:idx val="4"/>
          <c:order val="2"/>
          <c:tx>
            <c:v>Fracture propagation</c:v>
          </c:tx>
          <c:spPr>
            <a:ln w="95250" cap="rnd">
              <a:solidFill>
                <a:schemeClr val="accent4"/>
              </a:solidFill>
              <a:round/>
              <a:tailEnd type="arrow" w="sm" len="sm"/>
            </a:ln>
            <a:effectLst/>
          </c:spPr>
          <c:marker>
            <c:symbol val="none"/>
          </c:marker>
          <c:xVal>
            <c:numRef>
              <c:f>'LBM Large Plates'!$L$41:$L$52</c:f>
              <c:numCache>
                <c:formatCode>General</c:formatCode>
                <c:ptCount val="12"/>
                <c:pt idx="0">
                  <c:v>7.0000000000000007E-2</c:v>
                </c:pt>
                <c:pt idx="1">
                  <c:v>0.123</c:v>
                </c:pt>
                <c:pt idx="2">
                  <c:v>0.16700000000000001</c:v>
                </c:pt>
                <c:pt idx="3">
                  <c:v>0.21299999999999999</c:v>
                </c:pt>
                <c:pt idx="4">
                  <c:v>0.252</c:v>
                </c:pt>
                <c:pt idx="5">
                  <c:v>0.318</c:v>
                </c:pt>
                <c:pt idx="6">
                  <c:v>0.36399999999999999</c:v>
                </c:pt>
                <c:pt idx="7">
                  <c:v>0.40699999999999997</c:v>
                </c:pt>
                <c:pt idx="8">
                  <c:v>0.47099999999999997</c:v>
                </c:pt>
                <c:pt idx="9">
                  <c:v>0.54500000000000004</c:v>
                </c:pt>
                <c:pt idx="10">
                  <c:v>0.61599999999999999</c:v>
                </c:pt>
                <c:pt idx="11">
                  <c:v>0.67900000000000005</c:v>
                </c:pt>
              </c:numCache>
            </c:numRef>
          </c:xVal>
          <c:yVal>
            <c:numRef>
              <c:f>'LBM Large Plates'!$AR$41:$AR$52</c:f>
              <c:numCache>
                <c:formatCode>General</c:formatCode>
                <c:ptCount val="12"/>
                <c:pt idx="0">
                  <c:v>39.124544996716963</c:v>
                </c:pt>
                <c:pt idx="1">
                  <c:v>26.304836536548933</c:v>
                </c:pt>
                <c:pt idx="2">
                  <c:v>26.930398079947036</c:v>
                </c:pt>
                <c:pt idx="3">
                  <c:v>1.0365269212496369</c:v>
                </c:pt>
                <c:pt idx="4">
                  <c:v>7.3720473637501976E-2</c:v>
                </c:pt>
                <c:pt idx="5">
                  <c:v>7.4285288624742624E-3</c:v>
                </c:pt>
                <c:pt idx="6">
                  <c:v>1.8276521166354966E-4</c:v>
                </c:pt>
                <c:pt idx="7">
                  <c:v>8.3348328354986161E-5</c:v>
                </c:pt>
                <c:pt idx="8">
                  <c:v>5.3722607126712807E-5</c:v>
                </c:pt>
                <c:pt idx="9">
                  <c:v>4.423745459779361E-5</c:v>
                </c:pt>
                <c:pt idx="10">
                  <c:v>4.3057309897022267E-5</c:v>
                </c:pt>
                <c:pt idx="11">
                  <c:v>4.6873163387155385E-5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46-4A81-B940-CFDF1123E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34792"/>
        <c:axId val="413833808"/>
      </c:scatterChart>
      <c:valAx>
        <c:axId val="413834792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33808"/>
        <c:crossesAt val="-5"/>
        <c:crossBetween val="midCat"/>
      </c:valAx>
      <c:valAx>
        <c:axId val="41383380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kh/kv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347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3708215034197885"/>
          <c:y val="0.55212034080200123"/>
          <c:w val="0.32399260545402847"/>
          <c:h val="0.26051151754425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4758022070128"/>
          <c:y val="2.5746908181746641E-2"/>
          <c:w val="0.81447121659947663"/>
          <c:h val="0.81781666666666664"/>
        </c:manualLayout>
      </c:layout>
      <c:scatterChart>
        <c:scatterStyle val="smoothMarker"/>
        <c:varyColors val="0"/>
        <c:ser>
          <c:idx val="0"/>
          <c:order val="0"/>
          <c:tx>
            <c:v>Compaction</c:v>
          </c:tx>
          <c:spPr>
            <a:ln w="1270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Plates'!$AL$4:$AL$12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-18.889078975422589</c:v>
                </c:pt>
                <c:pt idx="2">
                  <c:v>-18.264800125426838</c:v>
                </c:pt>
                <c:pt idx="3">
                  <c:v>-17.829428903119158</c:v>
                </c:pt>
                <c:pt idx="4">
                  <c:v>-17.494360165702997</c:v>
                </c:pt>
                <c:pt idx="5">
                  <c:v>-16.991629288091204</c:v>
                </c:pt>
                <c:pt idx="6">
                  <c:v>-16.616982317387592</c:v>
                </c:pt>
                <c:pt idx="7">
                  <c:v>-16.189244240203546</c:v>
                </c:pt>
                <c:pt idx="8">
                  <c:v>-15.763493174533663</c:v>
                </c:pt>
              </c:numCache>
            </c:numRef>
          </c:xVal>
          <c:yVal>
            <c:numRef>
              <c:f>'LBM Large Plates'!$AI$4:$AI$12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5-460C-9709-FC1B51978366}"/>
            </c:ext>
          </c:extLst>
        </c:ser>
        <c:ser>
          <c:idx val="2"/>
          <c:order val="1"/>
          <c:tx>
            <c:v>MF-perpendicular</c:v>
          </c:tx>
          <c:spPr>
            <a:ln w="1270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Plates'!$AL$21:$AL$31</c:f>
              <c:numCache>
                <c:formatCode>General</c:formatCode>
                <c:ptCount val="11"/>
                <c:pt idx="0">
                  <c:v>-19.989514510736544</c:v>
                </c:pt>
                <c:pt idx="1">
                  <c:v>-18.538624729567115</c:v>
                </c:pt>
                <c:pt idx="2">
                  <c:v>-17.71044744796718</c:v>
                </c:pt>
                <c:pt idx="3">
                  <c:v>-16.830659111644863</c:v>
                </c:pt>
                <c:pt idx="4">
                  <c:v>-16.062648349495433</c:v>
                </c:pt>
                <c:pt idx="5">
                  <c:v>-15.683487071996156</c:v>
                </c:pt>
                <c:pt idx="6">
                  <c:v>-15.339703064640089</c:v>
                </c:pt>
                <c:pt idx="7">
                  <c:v>-14.852776342411355</c:v>
                </c:pt>
                <c:pt idx="8">
                  <c:v>-14.396640842983768</c:v>
                </c:pt>
                <c:pt idx="9">
                  <c:v>-14.017975528133856</c:v>
                </c:pt>
                <c:pt idx="10">
                  <c:v>-13.65364766433561</c:v>
                </c:pt>
              </c:numCache>
            </c:numRef>
          </c:xVal>
          <c:yVal>
            <c:numRef>
              <c:f>'LBM Large Plates'!$AI$21:$AI$31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  <c:pt idx="10">
                  <c:v>0.66400000000000003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5-460C-9709-FC1B51978366}"/>
            </c:ext>
          </c:extLst>
        </c:ser>
        <c:ser>
          <c:idx val="4"/>
          <c:order val="2"/>
          <c:tx>
            <c:v>Frac-perp</c:v>
          </c:tx>
          <c:spPr>
            <a:ln w="1270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Plates'!$AL$41:$AL$51</c:f>
              <c:numCache>
                <c:formatCode>General</c:formatCode>
                <c:ptCount val="11"/>
                <c:pt idx="0">
                  <c:v>-19.989514510736544</c:v>
                </c:pt>
                <c:pt idx="1">
                  <c:v>-19.759428747206112</c:v>
                </c:pt>
                <c:pt idx="2">
                  <c:v>-19.663538632393678</c:v>
                </c:pt>
                <c:pt idx="3">
                  <c:v>-18.150018822714188</c:v>
                </c:pt>
                <c:pt idx="4">
                  <c:v>-16.96884323976284</c:v>
                </c:pt>
                <c:pt idx="5">
                  <c:v>-15.91101994680103</c:v>
                </c:pt>
                <c:pt idx="6">
                  <c:v>-14.255540325782666</c:v>
                </c:pt>
                <c:pt idx="7">
                  <c:v>-13.866143177245744</c:v>
                </c:pt>
                <c:pt idx="8">
                  <c:v>-13.598428982506459</c:v>
                </c:pt>
                <c:pt idx="9">
                  <c:v>-13.413785750844296</c:v>
                </c:pt>
                <c:pt idx="10">
                  <c:v>-13.288233388470468</c:v>
                </c:pt>
              </c:numCache>
            </c:numRef>
          </c:xVal>
          <c:yVal>
            <c:numRef>
              <c:f>'LBM Large Plates'!$AI$41:$AI$51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0.123</c:v>
                </c:pt>
                <c:pt idx="2">
                  <c:v>0.16700000000000001</c:v>
                </c:pt>
                <c:pt idx="3">
                  <c:v>0.21299999999999999</c:v>
                </c:pt>
                <c:pt idx="4">
                  <c:v>0.252</c:v>
                </c:pt>
                <c:pt idx="5">
                  <c:v>0.318</c:v>
                </c:pt>
                <c:pt idx="6">
                  <c:v>0.36399999999999999</c:v>
                </c:pt>
                <c:pt idx="7">
                  <c:v>0.40699999999999997</c:v>
                </c:pt>
                <c:pt idx="8">
                  <c:v>0.47099999999999997</c:v>
                </c:pt>
                <c:pt idx="9">
                  <c:v>0.54500000000000004</c:v>
                </c:pt>
                <c:pt idx="10">
                  <c:v>0.61599999999999999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45-460C-9709-FC1B51978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6112"/>
        <c:axId val="-1839041216"/>
        <c:extLst/>
      </c:scatterChart>
      <c:valAx>
        <c:axId val="-1839046112"/>
        <c:scaling>
          <c:orientation val="minMax"/>
          <c:max val="-12"/>
          <c:min val="-23"/>
        </c:scaling>
        <c:delete val="1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1839041216"/>
        <c:crossesAt val="0"/>
        <c:crossBetween val="midCat"/>
        <c:majorUnit val="1"/>
      </c:valAx>
      <c:valAx>
        <c:axId val="-1839041216"/>
        <c:scaling>
          <c:orientation val="minMax"/>
        </c:scaling>
        <c:delete val="1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1839046112"/>
        <c:crossesAt val="-23"/>
        <c:crossBetween val="midCat"/>
      </c:valAx>
      <c:spPr>
        <a:solidFill>
          <a:schemeClr val="bg1">
            <a:alpha val="20000"/>
          </a:schemeClr>
        </a:solidFill>
        <a:ln w="25400" cap="flat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472114825936432"/>
          <c:y val="7.8055643044619427E-2"/>
          <c:w val="0.28811593309658717"/>
          <c:h val="0.19454064122309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42173638148562"/>
          <c:y val="2.5903334794102301E-2"/>
          <c:w val="0.79068568725718358"/>
          <c:h val="0.83635075418086202"/>
        </c:manualLayout>
      </c:layout>
      <c:scatterChart>
        <c:scatterStyle val="smoothMarker"/>
        <c:varyColors val="0"/>
        <c:ser>
          <c:idx val="4"/>
          <c:order val="0"/>
          <c:tx>
            <c:v>Isotropic Expansion</c:v>
          </c:tx>
          <c:spPr>
            <a:ln w="1524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6350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2546798673329602"/>
                  <c:y val="0.23960934305024256"/>
                </c:manualLayout>
              </c:layout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4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'LBM Large Plates'!$L$4:$L$12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xVal>
          <c:yVal>
            <c:numRef>
              <c:f>'LBM Large Plates'!$AK$4:$AK$12</c:f>
              <c:numCache>
                <c:formatCode>General</c:formatCode>
                <c:ptCount val="9"/>
                <c:pt idx="0">
                  <c:v>1.0244375510204081E-20</c:v>
                </c:pt>
                <c:pt idx="1">
                  <c:v>1.2909844897959183E-19</c:v>
                </c:pt>
                <c:pt idx="2">
                  <c:v>5.435004081632652E-19</c:v>
                </c:pt>
                <c:pt idx="3">
                  <c:v>1.481054693877551E-18</c:v>
                </c:pt>
                <c:pt idx="4">
                  <c:v>3.2036114285714286E-18</c:v>
                </c:pt>
                <c:pt idx="5">
                  <c:v>1.0194612244897959E-17</c:v>
                </c:pt>
                <c:pt idx="6">
                  <c:v>2.4155591836734693E-17</c:v>
                </c:pt>
                <c:pt idx="7">
                  <c:v>6.4677877551020415E-17</c:v>
                </c:pt>
                <c:pt idx="8">
                  <c:v>1.7238791836734695E-16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6E-4762-B6C3-4DA19ECE8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2304"/>
        <c:axId val="-183904012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v> Kh Dilation</c:v>
                </c:tx>
                <c:spPr>
                  <a:ln w="152400" cap="rnd">
                    <a:solidFill>
                      <a:srgbClr val="00B05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'LBM Large Plates'!$L$4:$L$12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7.0000000000000007E-2</c:v>
                      </c:pt>
                      <c:pt idx="1">
                        <c:v>0.18099999999999999</c:v>
                      </c:pt>
                      <c:pt idx="2">
                        <c:v>0.26900000000000002</c:v>
                      </c:pt>
                      <c:pt idx="3">
                        <c:v>0.34100000000000003</c:v>
                      </c:pt>
                      <c:pt idx="4">
                        <c:v>0.40100000000000002</c:v>
                      </c:pt>
                      <c:pt idx="5">
                        <c:v>0.496</c:v>
                      </c:pt>
                      <c:pt idx="6">
                        <c:v>0.56599999999999995</c:v>
                      </c:pt>
                      <c:pt idx="7">
                        <c:v>0.64400000000000002</c:v>
                      </c:pt>
                      <c:pt idx="8">
                        <c:v>0.71599999999999997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'LBM Large Plates'!$AM$4:$AM$12</c15:sqref>
                        </c15:formulaRef>
                      </c:ext>
                    </c:extLst>
                    <c:numCache>
                      <c:formatCode>0.000E+00</c:formatCode>
                      <c:ptCount val="9"/>
                      <c:pt idx="0">
                        <c:v>4.0612679158196874E-4</c:v>
                      </c:pt>
                      <c:pt idx="1">
                        <c:v>5.0758983500178876E-3</c:v>
                      </c:pt>
                      <c:pt idx="2">
                        <c:v>1.9606593311151596E-2</c:v>
                      </c:pt>
                      <c:pt idx="3">
                        <c:v>4.7995268631315126E-2</c:v>
                      </c:pt>
                      <c:pt idx="4">
                        <c:v>9.3068338086070387E-2</c:v>
                      </c:pt>
                      <c:pt idx="5">
                        <c:v>0.24121113112384485</c:v>
                      </c:pt>
                      <c:pt idx="6">
                        <c:v>0.4761278875720924</c:v>
                      </c:pt>
                      <c:pt idx="7">
                        <c:v>1.0089329398797722</c:v>
                      </c:pt>
                      <c:pt idx="8">
                        <c:v>2.0873971475306101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06E-4762-B6C3-4DA19ECE87A2}"/>
                  </c:ext>
                </c:extLst>
              </c15:ser>
            </c15:filteredScatterSeries>
          </c:ext>
        </c:extLst>
      </c:scatterChart>
      <c:valAx>
        <c:axId val="-1839042304"/>
        <c:scaling>
          <c:orientation val="minMax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Porosity</a:t>
                </a:r>
                <a:r>
                  <a:rPr lang="en-US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Φ</a:t>
                </a:r>
                <a:r>
                  <a:rPr lang="en-US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36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69350352442647"/>
              <c:y val="0.9359575905794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39040128"/>
        <c:crosses val="autoZero"/>
        <c:crossBetween val="midCat"/>
        <c:majorUnit val="0.1"/>
      </c:valAx>
      <c:valAx>
        <c:axId val="-1839040128"/>
        <c:scaling>
          <c:orientation val="minMax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Vertical Permeability (m2)</a:t>
                </a:r>
              </a:p>
            </c:rich>
          </c:tx>
          <c:layout>
            <c:manualLayout>
              <c:xMode val="edge"/>
              <c:yMode val="edge"/>
              <c:x val="1.7598917920719142E-2"/>
              <c:y val="0.17029182613650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39042304"/>
        <c:crosses val="autoZero"/>
        <c:crossBetween val="midCat"/>
      </c:valAx>
      <c:spPr>
        <a:solidFill>
          <a:schemeClr val="bg1"/>
        </a:solidFill>
        <a:ln w="25400" cap="flat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5757298075183244"/>
          <c:y val="0.11055127089125065"/>
          <c:w val="0.3084806766467878"/>
          <c:h val="0.1322326163456739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42173638148562"/>
          <c:y val="2.5903334794102301E-2"/>
          <c:w val="0.79068568725718358"/>
          <c:h val="0.83635075418086202"/>
        </c:manualLayout>
      </c:layout>
      <c:scatterChart>
        <c:scatterStyle val="smoothMarker"/>
        <c:varyColors val="0"/>
        <c:ser>
          <c:idx val="4"/>
          <c:order val="0"/>
          <c:tx>
            <c:v>Isotropic Expansion</c:v>
          </c:tx>
          <c:spPr>
            <a:ln w="1524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6350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15360179439355"/>
                  <c:y val="0.23969592050905211"/>
                </c:manualLayout>
              </c:layout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4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'LBM Large Plates'!$L$7:$L$12</c:f>
              <c:numCache>
                <c:formatCode>General</c:formatCode>
                <c:ptCount val="6"/>
                <c:pt idx="0">
                  <c:v>0.34100000000000003</c:v>
                </c:pt>
                <c:pt idx="1">
                  <c:v>0.40100000000000002</c:v>
                </c:pt>
                <c:pt idx="2">
                  <c:v>0.496</c:v>
                </c:pt>
                <c:pt idx="3">
                  <c:v>0.56599999999999995</c:v>
                </c:pt>
                <c:pt idx="4">
                  <c:v>0.64400000000000002</c:v>
                </c:pt>
                <c:pt idx="5">
                  <c:v>0.71599999999999997</c:v>
                </c:pt>
              </c:numCache>
            </c:numRef>
          </c:xVal>
          <c:yVal>
            <c:numRef>
              <c:f>'LBM Large Plates'!$AK$7:$AK$12</c:f>
              <c:numCache>
                <c:formatCode>General</c:formatCode>
                <c:ptCount val="6"/>
                <c:pt idx="0">
                  <c:v>1.481054693877551E-18</c:v>
                </c:pt>
                <c:pt idx="1">
                  <c:v>3.2036114285714286E-18</c:v>
                </c:pt>
                <c:pt idx="2">
                  <c:v>1.0194612244897959E-17</c:v>
                </c:pt>
                <c:pt idx="3">
                  <c:v>2.4155591836734693E-17</c:v>
                </c:pt>
                <c:pt idx="4">
                  <c:v>6.4677877551020415E-17</c:v>
                </c:pt>
                <c:pt idx="5">
                  <c:v>1.7238791836734695E-16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5F-4592-AE06-23574F4D7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2304"/>
        <c:axId val="-183904012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v> Kh Dilation</c:v>
                </c:tx>
                <c:spPr>
                  <a:ln w="152400" cap="rnd">
                    <a:solidFill>
                      <a:srgbClr val="00B05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'LBM Large Plates'!$L$4:$L$12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7.0000000000000007E-2</c:v>
                      </c:pt>
                      <c:pt idx="1">
                        <c:v>0.18099999999999999</c:v>
                      </c:pt>
                      <c:pt idx="2">
                        <c:v>0.26900000000000002</c:v>
                      </c:pt>
                      <c:pt idx="3">
                        <c:v>0.34100000000000003</c:v>
                      </c:pt>
                      <c:pt idx="4">
                        <c:v>0.40100000000000002</c:v>
                      </c:pt>
                      <c:pt idx="5">
                        <c:v>0.496</c:v>
                      </c:pt>
                      <c:pt idx="6">
                        <c:v>0.56599999999999995</c:v>
                      </c:pt>
                      <c:pt idx="7">
                        <c:v>0.64400000000000002</c:v>
                      </c:pt>
                      <c:pt idx="8">
                        <c:v>0.71599999999999997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'LBM Large Plates'!$AM$4:$AM$12</c15:sqref>
                        </c15:formulaRef>
                      </c:ext>
                    </c:extLst>
                    <c:numCache>
                      <c:formatCode>0.000E+00</c:formatCode>
                      <c:ptCount val="9"/>
                      <c:pt idx="0">
                        <c:v>4.0612679158196874E-4</c:v>
                      </c:pt>
                      <c:pt idx="1">
                        <c:v>5.0758983500178876E-3</c:v>
                      </c:pt>
                      <c:pt idx="2">
                        <c:v>1.9606593311151596E-2</c:v>
                      </c:pt>
                      <c:pt idx="3">
                        <c:v>4.7995268631315126E-2</c:v>
                      </c:pt>
                      <c:pt idx="4">
                        <c:v>9.3068338086070387E-2</c:v>
                      </c:pt>
                      <c:pt idx="5">
                        <c:v>0.24121113112384485</c:v>
                      </c:pt>
                      <c:pt idx="6">
                        <c:v>0.4761278875720924</c:v>
                      </c:pt>
                      <c:pt idx="7">
                        <c:v>1.0089329398797722</c:v>
                      </c:pt>
                      <c:pt idx="8">
                        <c:v>2.0873971475306101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F5F-4592-AE06-23574F4D7A95}"/>
                  </c:ext>
                </c:extLst>
              </c15:ser>
            </c15:filteredScatterSeries>
          </c:ext>
        </c:extLst>
      </c:scatterChart>
      <c:valAx>
        <c:axId val="-1839042304"/>
        <c:scaling>
          <c:orientation val="minMax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Porosity</a:t>
                </a:r>
                <a:r>
                  <a:rPr lang="en-US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Φ</a:t>
                </a:r>
                <a:r>
                  <a:rPr lang="en-US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36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69350352442647"/>
              <c:y val="0.9359575905794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39040128"/>
        <c:crosses val="autoZero"/>
        <c:crossBetween val="midCat"/>
        <c:majorUnit val="0.1"/>
      </c:valAx>
      <c:valAx>
        <c:axId val="-1839040128"/>
        <c:scaling>
          <c:orientation val="minMax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Vertical Permeability (m2)</a:t>
                </a:r>
              </a:p>
            </c:rich>
          </c:tx>
          <c:layout>
            <c:manualLayout>
              <c:xMode val="edge"/>
              <c:yMode val="edge"/>
              <c:x val="1.7598917920719142E-2"/>
              <c:y val="0.17029182613650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39042304"/>
        <c:crosses val="autoZero"/>
        <c:crossBetween val="midCat"/>
      </c:valAx>
      <c:spPr>
        <a:solidFill>
          <a:schemeClr val="bg1"/>
        </a:solidFill>
        <a:ln w="25400" cap="flat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5757298075183244"/>
          <c:y val="0.11055127089125065"/>
          <c:w val="0.3084806766467878"/>
          <c:h val="0.1322326163456739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42173638148562"/>
          <c:y val="2.5903334794102301E-2"/>
          <c:w val="0.79068568725718358"/>
          <c:h val="0.83635075418086202"/>
        </c:manualLayout>
      </c:layout>
      <c:scatterChart>
        <c:scatterStyle val="smoothMarker"/>
        <c:varyColors val="0"/>
        <c:ser>
          <c:idx val="4"/>
          <c:order val="0"/>
          <c:tx>
            <c:v>Isotropic Expansion</c:v>
          </c:tx>
          <c:spPr>
            <a:ln w="1524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6350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5726453059362053"/>
                  <c:y val="0.23501100992897536"/>
                </c:manualLayout>
              </c:layout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4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'LBM Large Plates'!$L$4:$L$7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</c:numCache>
            </c:numRef>
          </c:xVal>
          <c:yVal>
            <c:numRef>
              <c:f>'LBM Large Plates'!$AK$4:$AK$7</c:f>
              <c:numCache>
                <c:formatCode>General</c:formatCode>
                <c:ptCount val="4"/>
                <c:pt idx="0">
                  <c:v>1.0244375510204081E-20</c:v>
                </c:pt>
                <c:pt idx="1">
                  <c:v>1.2909844897959183E-19</c:v>
                </c:pt>
                <c:pt idx="2">
                  <c:v>5.435004081632652E-19</c:v>
                </c:pt>
                <c:pt idx="3">
                  <c:v>1.481054693877551E-18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4F-4890-80E0-792089442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2304"/>
        <c:axId val="-183904012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v> Kh Dilation</c:v>
                </c:tx>
                <c:spPr>
                  <a:ln w="152400" cap="rnd">
                    <a:solidFill>
                      <a:srgbClr val="00B05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'LBM Large Plates'!$L$4:$L$12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7.0000000000000007E-2</c:v>
                      </c:pt>
                      <c:pt idx="1">
                        <c:v>0.18099999999999999</c:v>
                      </c:pt>
                      <c:pt idx="2">
                        <c:v>0.26900000000000002</c:v>
                      </c:pt>
                      <c:pt idx="3">
                        <c:v>0.34100000000000003</c:v>
                      </c:pt>
                      <c:pt idx="4">
                        <c:v>0.40100000000000002</c:v>
                      </c:pt>
                      <c:pt idx="5">
                        <c:v>0.496</c:v>
                      </c:pt>
                      <c:pt idx="6">
                        <c:v>0.56599999999999995</c:v>
                      </c:pt>
                      <c:pt idx="7">
                        <c:v>0.64400000000000002</c:v>
                      </c:pt>
                      <c:pt idx="8">
                        <c:v>0.71599999999999997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'LBM Large Plates'!$AM$4:$AM$12</c15:sqref>
                        </c15:formulaRef>
                      </c:ext>
                    </c:extLst>
                    <c:numCache>
                      <c:formatCode>0.000E+00</c:formatCode>
                      <c:ptCount val="9"/>
                      <c:pt idx="0">
                        <c:v>4.0612679158196874E-4</c:v>
                      </c:pt>
                      <c:pt idx="1">
                        <c:v>5.0758983500178876E-3</c:v>
                      </c:pt>
                      <c:pt idx="2">
                        <c:v>1.9606593311151596E-2</c:v>
                      </c:pt>
                      <c:pt idx="3">
                        <c:v>4.7995268631315126E-2</c:v>
                      </c:pt>
                      <c:pt idx="4">
                        <c:v>9.3068338086070387E-2</c:v>
                      </c:pt>
                      <c:pt idx="5">
                        <c:v>0.24121113112384485</c:v>
                      </c:pt>
                      <c:pt idx="6">
                        <c:v>0.4761278875720924</c:v>
                      </c:pt>
                      <c:pt idx="7">
                        <c:v>1.0089329398797722</c:v>
                      </c:pt>
                      <c:pt idx="8">
                        <c:v>2.0873971475306101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84F-4890-80E0-79208944257E}"/>
                  </c:ext>
                </c:extLst>
              </c15:ser>
            </c15:filteredScatterSeries>
          </c:ext>
        </c:extLst>
      </c:scatterChart>
      <c:valAx>
        <c:axId val="-1839042304"/>
        <c:scaling>
          <c:orientation val="minMax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Porosity</a:t>
                </a:r>
                <a:r>
                  <a:rPr lang="en-US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Φ</a:t>
                </a:r>
                <a:r>
                  <a:rPr lang="en-US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36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69350352442647"/>
              <c:y val="0.9359575905794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39040128"/>
        <c:crosses val="autoZero"/>
        <c:crossBetween val="midCat"/>
        <c:majorUnit val="0.1"/>
      </c:valAx>
      <c:valAx>
        <c:axId val="-1839040128"/>
        <c:scaling>
          <c:orientation val="minMax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Vertical Permeability (m2)</a:t>
                </a:r>
              </a:p>
            </c:rich>
          </c:tx>
          <c:layout>
            <c:manualLayout>
              <c:xMode val="edge"/>
              <c:yMode val="edge"/>
              <c:x val="1.7598917920719142E-2"/>
              <c:y val="0.17029182613650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39042304"/>
        <c:crosses val="autoZero"/>
        <c:crossBetween val="midCat"/>
      </c:valAx>
      <c:spPr>
        <a:solidFill>
          <a:schemeClr val="bg1"/>
        </a:solidFill>
        <a:ln w="25400" cap="flat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5757298075183244"/>
          <c:y val="0.11055127089125065"/>
          <c:w val="0.3084806766467878"/>
          <c:h val="0.1322326163456739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42173638148562"/>
          <c:y val="2.5903334794102301E-2"/>
          <c:w val="0.79068568725718358"/>
          <c:h val="0.83635075418086202"/>
        </c:manualLayout>
      </c:layout>
      <c:scatterChart>
        <c:scatterStyle val="smoothMarker"/>
        <c:varyColors val="0"/>
        <c:ser>
          <c:idx val="4"/>
          <c:order val="0"/>
          <c:tx>
            <c:v>Isotropic Expansion</c:v>
          </c:tx>
          <c:spPr>
            <a:ln w="1524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6350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5667955847936871"/>
                  <c:y val="0.21814004201860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4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'LBM Large Plates'!$L$4:$L$12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xVal>
          <c:yVal>
            <c:numRef>
              <c:f>'LBM Large Plates'!$AM$4:$AM$12</c:f>
              <c:numCache>
                <c:formatCode>0.000E+00</c:formatCode>
                <c:ptCount val="9"/>
                <c:pt idx="0">
                  <c:v>4.0612679158196874E-4</c:v>
                </c:pt>
                <c:pt idx="1">
                  <c:v>5.0758983500178876E-3</c:v>
                </c:pt>
                <c:pt idx="2">
                  <c:v>1.9606593311151596E-2</c:v>
                </c:pt>
                <c:pt idx="3">
                  <c:v>4.7995268631315126E-2</c:v>
                </c:pt>
                <c:pt idx="4">
                  <c:v>9.3068338086070387E-2</c:v>
                </c:pt>
                <c:pt idx="5">
                  <c:v>0.24121113112384485</c:v>
                </c:pt>
                <c:pt idx="6">
                  <c:v>0.4761278875720924</c:v>
                </c:pt>
                <c:pt idx="7">
                  <c:v>1.0089329398797722</c:v>
                </c:pt>
                <c:pt idx="8">
                  <c:v>2.0873971475306101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12-4860-B649-56AC83482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2304"/>
        <c:axId val="-183904012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v> Kh Dilation</c:v>
                </c:tx>
                <c:spPr>
                  <a:ln w="152400" cap="rnd">
                    <a:solidFill>
                      <a:srgbClr val="00B05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'LBM Large Plates'!$L$4:$L$12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7.0000000000000007E-2</c:v>
                      </c:pt>
                      <c:pt idx="1">
                        <c:v>0.18099999999999999</c:v>
                      </c:pt>
                      <c:pt idx="2">
                        <c:v>0.26900000000000002</c:v>
                      </c:pt>
                      <c:pt idx="3">
                        <c:v>0.34100000000000003</c:v>
                      </c:pt>
                      <c:pt idx="4">
                        <c:v>0.40100000000000002</c:v>
                      </c:pt>
                      <c:pt idx="5">
                        <c:v>0.496</c:v>
                      </c:pt>
                      <c:pt idx="6">
                        <c:v>0.56599999999999995</c:v>
                      </c:pt>
                      <c:pt idx="7">
                        <c:v>0.64400000000000002</c:v>
                      </c:pt>
                      <c:pt idx="8">
                        <c:v>0.71599999999999997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'LBM Large Plates'!$AM$4:$AM$12</c15:sqref>
                        </c15:formulaRef>
                      </c:ext>
                    </c:extLst>
                    <c:numCache>
                      <c:formatCode>0.000E+00</c:formatCode>
                      <c:ptCount val="9"/>
                      <c:pt idx="0">
                        <c:v>4.0612679158196874E-4</c:v>
                      </c:pt>
                      <c:pt idx="1">
                        <c:v>5.0758983500178876E-3</c:v>
                      </c:pt>
                      <c:pt idx="2">
                        <c:v>1.9606593311151596E-2</c:v>
                      </c:pt>
                      <c:pt idx="3">
                        <c:v>4.7995268631315126E-2</c:v>
                      </c:pt>
                      <c:pt idx="4">
                        <c:v>9.3068338086070387E-2</c:v>
                      </c:pt>
                      <c:pt idx="5">
                        <c:v>0.24121113112384485</c:v>
                      </c:pt>
                      <c:pt idx="6">
                        <c:v>0.4761278875720924</c:v>
                      </c:pt>
                      <c:pt idx="7">
                        <c:v>1.0089329398797722</c:v>
                      </c:pt>
                      <c:pt idx="8">
                        <c:v>2.0873971475306101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912-4860-B649-56AC834828D9}"/>
                  </c:ext>
                </c:extLst>
              </c15:ser>
            </c15:filteredScatterSeries>
          </c:ext>
        </c:extLst>
      </c:scatterChart>
      <c:valAx>
        <c:axId val="-1839042304"/>
        <c:scaling>
          <c:orientation val="minMax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Porosity</a:t>
                </a:r>
                <a:r>
                  <a:rPr lang="en-US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Φ</a:t>
                </a:r>
                <a:r>
                  <a:rPr lang="en-US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36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69350352442647"/>
              <c:y val="0.9359575905794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39040128"/>
        <c:crosses val="autoZero"/>
        <c:crossBetween val="midCat"/>
        <c:majorUnit val="0.1"/>
      </c:valAx>
      <c:valAx>
        <c:axId val="-1839040128"/>
        <c:scaling>
          <c:orientation val="minMax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Hz Permeability (m2)</a:t>
                </a:r>
              </a:p>
            </c:rich>
          </c:tx>
          <c:layout>
            <c:manualLayout>
              <c:xMode val="edge"/>
              <c:yMode val="edge"/>
              <c:x val="1.7598917920719142E-2"/>
              <c:y val="0.17029182613650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39042304"/>
        <c:crosses val="autoZero"/>
        <c:crossBetween val="midCat"/>
      </c:valAx>
      <c:spPr>
        <a:solidFill>
          <a:schemeClr val="bg1"/>
        </a:solidFill>
        <a:ln w="25400" cap="flat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5757298075183244"/>
          <c:y val="0.11055127089125065"/>
          <c:w val="0.3084806766467878"/>
          <c:h val="0.1322326163456739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42173638148562"/>
          <c:y val="2.5903334794102301E-2"/>
          <c:w val="0.79068568725718358"/>
          <c:h val="0.83635075418086202"/>
        </c:manualLayout>
      </c:layout>
      <c:scatterChart>
        <c:scatterStyle val="smoothMarker"/>
        <c:varyColors val="0"/>
        <c:ser>
          <c:idx val="4"/>
          <c:order val="0"/>
          <c:tx>
            <c:v>MF</c:v>
          </c:tx>
          <c:spPr>
            <a:ln w="1524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6350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6306376397115327"/>
                  <c:y val="0.35531946171585255"/>
                </c:manualLayout>
              </c:layout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4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'LBM Large Plates'!$L$21:$L$30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</c:numCache>
            </c:numRef>
          </c:xVal>
          <c:yVal>
            <c:numRef>
              <c:f>'LBM Large Plates'!$AK$21:$AK$30</c:f>
              <c:numCache>
                <c:formatCode>General</c:formatCode>
                <c:ptCount val="10"/>
                <c:pt idx="0">
                  <c:v>1.0244375510204081E-20</c:v>
                </c:pt>
                <c:pt idx="1">
                  <c:v>2.8931787755102047E-19</c:v>
                </c:pt>
                <c:pt idx="2">
                  <c:v>1.9478367346938778E-18</c:v>
                </c:pt>
                <c:pt idx="3">
                  <c:v>1.4768653061224491E-17</c:v>
                </c:pt>
                <c:pt idx="4">
                  <c:v>8.6566857142857172E-17</c:v>
                </c:pt>
                <c:pt idx="5">
                  <c:v>2.0725877551020406E-16</c:v>
                </c:pt>
                <c:pt idx="6">
                  <c:v>4.574008163265306E-16</c:v>
                </c:pt>
                <c:pt idx="7">
                  <c:v>1.4035363265306124E-15</c:v>
                </c:pt>
                <c:pt idx="8">
                  <c:v>4.0119836734693885E-15</c:v>
                </c:pt>
                <c:pt idx="9">
                  <c:v>9.5945469387755114E-15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B3-469C-B0AD-593A308C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2304"/>
        <c:axId val="-183904012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v> Kh Dilation</c:v>
                </c:tx>
                <c:spPr>
                  <a:ln w="152400" cap="rnd">
                    <a:solidFill>
                      <a:srgbClr val="00B05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'LBM Large Plates'!$L$4:$L$12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7.0000000000000007E-2</c:v>
                      </c:pt>
                      <c:pt idx="1">
                        <c:v>0.18099999999999999</c:v>
                      </c:pt>
                      <c:pt idx="2">
                        <c:v>0.26900000000000002</c:v>
                      </c:pt>
                      <c:pt idx="3">
                        <c:v>0.34100000000000003</c:v>
                      </c:pt>
                      <c:pt idx="4">
                        <c:v>0.40100000000000002</c:v>
                      </c:pt>
                      <c:pt idx="5">
                        <c:v>0.496</c:v>
                      </c:pt>
                      <c:pt idx="6">
                        <c:v>0.56599999999999995</c:v>
                      </c:pt>
                      <c:pt idx="7">
                        <c:v>0.64400000000000002</c:v>
                      </c:pt>
                      <c:pt idx="8">
                        <c:v>0.71599999999999997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'LBM Large Plates'!$AM$4:$AM$12</c15:sqref>
                        </c15:formulaRef>
                      </c:ext>
                    </c:extLst>
                    <c:numCache>
                      <c:formatCode>0.000E+00</c:formatCode>
                      <c:ptCount val="9"/>
                      <c:pt idx="0">
                        <c:v>4.0612679158196874E-4</c:v>
                      </c:pt>
                      <c:pt idx="1">
                        <c:v>5.0758983500178876E-3</c:v>
                      </c:pt>
                      <c:pt idx="2">
                        <c:v>1.9606593311151596E-2</c:v>
                      </c:pt>
                      <c:pt idx="3">
                        <c:v>4.7995268631315126E-2</c:v>
                      </c:pt>
                      <c:pt idx="4">
                        <c:v>9.3068338086070387E-2</c:v>
                      </c:pt>
                      <c:pt idx="5">
                        <c:v>0.24121113112384485</c:v>
                      </c:pt>
                      <c:pt idx="6">
                        <c:v>0.4761278875720924</c:v>
                      </c:pt>
                      <c:pt idx="7">
                        <c:v>1.0089329398797722</c:v>
                      </c:pt>
                      <c:pt idx="8">
                        <c:v>2.0873971475306101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9B3-469C-B0AD-593A308C99CB}"/>
                  </c:ext>
                </c:extLst>
              </c15:ser>
            </c15:filteredScatterSeries>
          </c:ext>
        </c:extLst>
      </c:scatterChart>
      <c:valAx>
        <c:axId val="-1839042304"/>
        <c:scaling>
          <c:orientation val="minMax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Porosity</a:t>
                </a:r>
                <a:r>
                  <a:rPr lang="en-US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Φ</a:t>
                </a:r>
                <a:r>
                  <a:rPr lang="en-US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36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69350352442647"/>
              <c:y val="0.9359575905794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39040128"/>
        <c:crosses val="autoZero"/>
        <c:crossBetween val="midCat"/>
        <c:majorUnit val="0.1"/>
      </c:valAx>
      <c:valAx>
        <c:axId val="-1839040128"/>
        <c:scaling>
          <c:orientation val="minMax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Vertical Permeability (m2)</a:t>
                </a:r>
              </a:p>
            </c:rich>
          </c:tx>
          <c:layout>
            <c:manualLayout>
              <c:xMode val="edge"/>
              <c:yMode val="edge"/>
              <c:x val="1.7598917920719142E-2"/>
              <c:y val="0.17029182613650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39042304"/>
        <c:crosses val="autoZero"/>
        <c:crossBetween val="midCat"/>
      </c:valAx>
      <c:spPr>
        <a:solidFill>
          <a:schemeClr val="bg1"/>
        </a:solidFill>
        <a:ln w="25400" cap="flat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5757298075183244"/>
          <c:y val="0.11055127089125065"/>
          <c:w val="0.3084806766467878"/>
          <c:h val="0.1322326163456739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3930257278301"/>
          <c:y val="3.3418389057573585E-2"/>
          <c:w val="0.5422118488059644"/>
          <c:h val="0.80312857518355385"/>
        </c:manualLayout>
      </c:layout>
      <c:scatterChart>
        <c:scatterStyle val="lineMarker"/>
        <c:varyColors val="0"/>
        <c:ser>
          <c:idx val="2"/>
          <c:order val="0"/>
          <c:tx>
            <c:v>Dilation</c:v>
          </c:tx>
          <c:spPr>
            <a:ln w="952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Plates'!$L$4:$L$12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xVal>
          <c:yVal>
            <c:numRef>
              <c:f>'LBM Large Plates'!$AB$4:$AB$12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2.16</c:v>
                </c:pt>
                <c:pt idx="2">
                  <c:v>2.12</c:v>
                </c:pt>
                <c:pt idx="3">
                  <c:v>2.0699999999999998</c:v>
                </c:pt>
                <c:pt idx="4">
                  <c:v>2.02</c:v>
                </c:pt>
                <c:pt idx="5">
                  <c:v>1.9606052666577154</c:v>
                </c:pt>
                <c:pt idx="6">
                  <c:v>1.8845604953702433</c:v>
                </c:pt>
                <c:pt idx="7">
                  <c:v>1.7932237526435097</c:v>
                </c:pt>
                <c:pt idx="8">
                  <c:v>1.7056621389267095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BE-4EEF-9225-ABB0AA2B7885}"/>
            </c:ext>
          </c:extLst>
        </c:ser>
        <c:ser>
          <c:idx val="0"/>
          <c:order val="1"/>
          <c:tx>
            <c:v>Microfractures - perpendicular</c:v>
          </c:tx>
          <c:spPr>
            <a:ln w="952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Plates'!$L$21:$L$31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  <c:pt idx="10">
                  <c:v>0.66400000000000003</c:v>
                </c:pt>
              </c:numCache>
            </c:numRef>
          </c:xVal>
          <c:yVal>
            <c:numRef>
              <c:f>'LBM Large Plates'!$AB$21:$AB$31</c:f>
              <c:numCache>
                <c:formatCode>General</c:formatCode>
                <c:ptCount val="11"/>
                <c:pt idx="0">
                  <c:v>2.2000000000000002</c:v>
                </c:pt>
                <c:pt idx="1">
                  <c:v>1.1149992972818488</c:v>
                </c:pt>
                <c:pt idx="2">
                  <c:v>1.019882625143806</c:v>
                </c:pt>
                <c:pt idx="3">
                  <c:v>1.0016860106873879</c:v>
                </c:pt>
                <c:pt idx="4">
                  <c:v>1.0001539031959656</c:v>
                </c:pt>
                <c:pt idx="5">
                  <c:v>1.0000450324580563</c:v>
                </c:pt>
                <c:pt idx="6">
                  <c:v>1.00001475687109</c:v>
                </c:pt>
                <c:pt idx="7">
                  <c:v>1.0000029512610547</c:v>
                </c:pt>
                <c:pt idx="8">
                  <c:v>1.0000006678832489</c:v>
                </c:pt>
                <c:pt idx="9">
                  <c:v>1.0000002078051176</c:v>
                </c:pt>
                <c:pt idx="10">
                  <c:v>1.0000000836413137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E-4EEF-9225-ABB0AA2B7885}"/>
            </c:ext>
          </c:extLst>
        </c:ser>
        <c:ser>
          <c:idx val="3"/>
          <c:order val="2"/>
          <c:tx>
            <c:v>MF - parallel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Plates'!$L$13:$L$20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0.17399999999999999</c:v>
                </c:pt>
                <c:pt idx="2">
                  <c:v>0.25600000000000001</c:v>
                </c:pt>
                <c:pt idx="3">
                  <c:v>0.32400000000000001</c:v>
                </c:pt>
                <c:pt idx="4">
                  <c:v>0.42799999999999999</c:v>
                </c:pt>
                <c:pt idx="5">
                  <c:v>0.504</c:v>
                </c:pt>
                <c:pt idx="6">
                  <c:v>0.58699999999999997</c:v>
                </c:pt>
                <c:pt idx="7">
                  <c:v>0.64600000000000002</c:v>
                </c:pt>
              </c:numCache>
            </c:numRef>
          </c:xVal>
          <c:yVal>
            <c:numRef>
              <c:f>'LBM Large Plates'!$AB$13:$AB$20</c:f>
              <c:numCache>
                <c:formatCode>General</c:formatCode>
                <c:ptCount val="8"/>
                <c:pt idx="0">
                  <c:v>2.1</c:v>
                </c:pt>
                <c:pt idx="1">
                  <c:v>3.8706887348804799</c:v>
                </c:pt>
                <c:pt idx="2">
                  <c:v>8.6306257128432176</c:v>
                </c:pt>
                <c:pt idx="3">
                  <c:v>17.625545046353572</c:v>
                </c:pt>
                <c:pt idx="4">
                  <c:v>47.740812443843701</c:v>
                </c:pt>
                <c:pt idx="5">
                  <c:v>107.11527471115538</c:v>
                </c:pt>
                <c:pt idx="6">
                  <c:v>239.2728032856744</c:v>
                </c:pt>
                <c:pt idx="7">
                  <c:v>427.48114274052966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D-4CB7-85E7-7BA258A99D1D}"/>
            </c:ext>
          </c:extLst>
        </c:ser>
        <c:ser>
          <c:idx val="1"/>
          <c:order val="3"/>
          <c:tx>
            <c:v>Fracture - perpendicular</c:v>
          </c:tx>
          <c:spPr>
            <a:ln w="952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Plates'!$L$41:$L$52</c:f>
              <c:numCache>
                <c:formatCode>General</c:formatCode>
                <c:ptCount val="12"/>
                <c:pt idx="0">
                  <c:v>7.0000000000000007E-2</c:v>
                </c:pt>
                <c:pt idx="1">
                  <c:v>0.123</c:v>
                </c:pt>
                <c:pt idx="2">
                  <c:v>0.16700000000000001</c:v>
                </c:pt>
                <c:pt idx="3">
                  <c:v>0.21299999999999999</c:v>
                </c:pt>
                <c:pt idx="4">
                  <c:v>0.252</c:v>
                </c:pt>
                <c:pt idx="5">
                  <c:v>0.318</c:v>
                </c:pt>
                <c:pt idx="6">
                  <c:v>0.36399999999999999</c:v>
                </c:pt>
                <c:pt idx="7">
                  <c:v>0.40699999999999997</c:v>
                </c:pt>
                <c:pt idx="8">
                  <c:v>0.47099999999999997</c:v>
                </c:pt>
                <c:pt idx="9">
                  <c:v>0.54500000000000004</c:v>
                </c:pt>
                <c:pt idx="10">
                  <c:v>0.61599999999999999</c:v>
                </c:pt>
                <c:pt idx="11">
                  <c:v>0.67900000000000005</c:v>
                </c:pt>
              </c:numCache>
            </c:numRef>
          </c:xVal>
          <c:yVal>
            <c:numRef>
              <c:f>'LBM Large Plates'!$AB$41:$AB$52</c:f>
              <c:numCache>
                <c:formatCode>General</c:formatCode>
                <c:ptCount val="12"/>
                <c:pt idx="0">
                  <c:v>2.2000000000000002</c:v>
                </c:pt>
                <c:pt idx="1">
                  <c:v>1.4373250428309805</c:v>
                </c:pt>
                <c:pt idx="2">
                  <c:v>1.4176132674385238</c:v>
                </c:pt>
                <c:pt idx="3">
                  <c:v>1.0006659250222989</c:v>
                </c:pt>
                <c:pt idx="4">
                  <c:v>1.000304758176646</c:v>
                </c:pt>
                <c:pt idx="5">
                  <c:v>1.0000000256812074</c:v>
                </c:pt>
                <c:pt idx="6" formatCode="0.00000000000000000000">
                  <c:v>1.0000000000135527</c:v>
                </c:pt>
                <c:pt idx="7">
                  <c:v>1.0000000000024434</c:v>
                </c:pt>
                <c:pt idx="8">
                  <c:v>1.0000000000008078</c:v>
                </c:pt>
                <c:pt idx="9">
                  <c:v>1.0000000000004057</c:v>
                </c:pt>
                <c:pt idx="10">
                  <c:v>1.0000000000002733</c:v>
                </c:pt>
                <c:pt idx="11">
                  <c:v>1.0000000000002185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E-4EEF-9225-ABB0AA2B7885}"/>
            </c:ext>
          </c:extLst>
        </c:ser>
        <c:ser>
          <c:idx val="4"/>
          <c:order val="4"/>
          <c:tx>
            <c:v>Fracture - Parallel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('LBM Large Plates'!$L$32:$L$38,'LBM Large Plates'!$L$40)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0.17399999999999999</c:v>
                </c:pt>
                <c:pt idx="2">
                  <c:v>0.25600000000000001</c:v>
                </c:pt>
                <c:pt idx="3">
                  <c:v>0.35299999999999998</c:v>
                </c:pt>
                <c:pt idx="4">
                  <c:v>0.42799999999999999</c:v>
                </c:pt>
                <c:pt idx="5">
                  <c:v>0.504</c:v>
                </c:pt>
                <c:pt idx="6">
                  <c:v>0.58699999999999997</c:v>
                </c:pt>
                <c:pt idx="7">
                  <c:v>0.70799999999999996</c:v>
                </c:pt>
              </c:numCache>
            </c:numRef>
          </c:xVal>
          <c:yVal>
            <c:numRef>
              <c:f>('LBM Large Plates'!$AB$32:$AB$38,'LBM Large Plates'!$AB$40)</c:f>
              <c:numCache>
                <c:formatCode>General</c:formatCode>
                <c:ptCount val="8"/>
                <c:pt idx="0">
                  <c:v>2.1</c:v>
                </c:pt>
                <c:pt idx="1">
                  <c:v>20.882900532955187</c:v>
                </c:pt>
                <c:pt idx="2">
                  <c:v>89.058568938154139</c:v>
                </c:pt>
                <c:pt idx="3">
                  <c:v>280.61407193908383</c:v>
                </c:pt>
                <c:pt idx="4">
                  <c:v>569.44278656378083</c:v>
                </c:pt>
                <c:pt idx="5">
                  <c:v>1099.8112236164659</c:v>
                </c:pt>
                <c:pt idx="6">
                  <c:v>2197.7361971853379</c:v>
                </c:pt>
                <c:pt idx="7">
                  <c:v>6463.0095095302013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D-4CB7-85E7-7BA258A99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34792"/>
        <c:axId val="413833808"/>
      </c:scatterChart>
      <c:valAx>
        <c:axId val="41383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33808"/>
        <c:crosses val="autoZero"/>
        <c:crossBetween val="midCat"/>
      </c:valAx>
      <c:valAx>
        <c:axId val="41383380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Tortuosity - Vertical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34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19278310606483"/>
          <c:y val="0.4129757426959067"/>
          <c:w val="0.27387668568146106"/>
          <c:h val="0.40713668269984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42173638148562"/>
          <c:y val="2.5903334794102301E-2"/>
          <c:w val="0.79068568725718358"/>
          <c:h val="0.83635075418086202"/>
        </c:manualLayout>
      </c:layout>
      <c:scatterChart>
        <c:scatterStyle val="smoothMarker"/>
        <c:varyColors val="0"/>
        <c:ser>
          <c:idx val="4"/>
          <c:order val="0"/>
          <c:tx>
            <c:v>FRACTURE</c:v>
          </c:tx>
          <c:spPr>
            <a:ln w="1524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6350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6306376397115327"/>
                  <c:y val="0.35531946171585255"/>
                </c:manualLayout>
              </c:layout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4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'LBM Large Plates'!$L$41:$L$50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0.123</c:v>
                </c:pt>
                <c:pt idx="2">
                  <c:v>0.16700000000000001</c:v>
                </c:pt>
                <c:pt idx="3">
                  <c:v>0.21299999999999999</c:v>
                </c:pt>
                <c:pt idx="4">
                  <c:v>0.252</c:v>
                </c:pt>
                <c:pt idx="5">
                  <c:v>0.318</c:v>
                </c:pt>
                <c:pt idx="6">
                  <c:v>0.36399999999999999</c:v>
                </c:pt>
                <c:pt idx="7">
                  <c:v>0.40699999999999997</c:v>
                </c:pt>
                <c:pt idx="8">
                  <c:v>0.47099999999999997</c:v>
                </c:pt>
                <c:pt idx="9">
                  <c:v>0.54500000000000004</c:v>
                </c:pt>
              </c:numCache>
            </c:numRef>
          </c:xVal>
          <c:yVal>
            <c:numRef>
              <c:f>'LBM Large Plates'!$AK$41:$AK$50</c:f>
              <c:numCache>
                <c:formatCode>General</c:formatCode>
                <c:ptCount val="10"/>
                <c:pt idx="0">
                  <c:v>1.0244375510204081E-20</c:v>
                </c:pt>
                <c:pt idx="1">
                  <c:v>1.7400881632653065E-20</c:v>
                </c:pt>
                <c:pt idx="2">
                  <c:v>2.170008163265306E-20</c:v>
                </c:pt>
                <c:pt idx="3">
                  <c:v>7.0791510204081632E-19</c:v>
                </c:pt>
                <c:pt idx="4">
                  <c:v>1.074377142857143E-17</c:v>
                </c:pt>
                <c:pt idx="5">
                  <c:v>1.2273828571428573E-16</c:v>
                </c:pt>
                <c:pt idx="6">
                  <c:v>5.5521306122448982E-15</c:v>
                </c:pt>
                <c:pt idx="7">
                  <c:v>1.3609959183673469E-14</c:v>
                </c:pt>
                <c:pt idx="8">
                  <c:v>2.520989387755102E-14</c:v>
                </c:pt>
                <c:pt idx="9">
                  <c:v>3.8566857142857135E-14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EC-4A71-A34E-40C0A58B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2304"/>
        <c:axId val="-183904012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v> Kh Dilation</c:v>
                </c:tx>
                <c:spPr>
                  <a:ln w="152400" cap="rnd">
                    <a:solidFill>
                      <a:srgbClr val="00B05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'LBM Large Plates'!$L$4:$L$12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7.0000000000000007E-2</c:v>
                      </c:pt>
                      <c:pt idx="1">
                        <c:v>0.18099999999999999</c:v>
                      </c:pt>
                      <c:pt idx="2">
                        <c:v>0.26900000000000002</c:v>
                      </c:pt>
                      <c:pt idx="3">
                        <c:v>0.34100000000000003</c:v>
                      </c:pt>
                      <c:pt idx="4">
                        <c:v>0.40100000000000002</c:v>
                      </c:pt>
                      <c:pt idx="5">
                        <c:v>0.496</c:v>
                      </c:pt>
                      <c:pt idx="6">
                        <c:v>0.56599999999999995</c:v>
                      </c:pt>
                      <c:pt idx="7">
                        <c:v>0.64400000000000002</c:v>
                      </c:pt>
                      <c:pt idx="8">
                        <c:v>0.71599999999999997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'LBM Large Plates'!$AM$4:$AM$12</c15:sqref>
                        </c15:formulaRef>
                      </c:ext>
                    </c:extLst>
                    <c:numCache>
                      <c:formatCode>0.000E+00</c:formatCode>
                      <c:ptCount val="9"/>
                      <c:pt idx="0">
                        <c:v>4.0612679158196874E-4</c:v>
                      </c:pt>
                      <c:pt idx="1">
                        <c:v>5.0758983500178876E-3</c:v>
                      </c:pt>
                      <c:pt idx="2">
                        <c:v>1.9606593311151596E-2</c:v>
                      </c:pt>
                      <c:pt idx="3">
                        <c:v>4.7995268631315126E-2</c:v>
                      </c:pt>
                      <c:pt idx="4">
                        <c:v>9.3068338086070387E-2</c:v>
                      </c:pt>
                      <c:pt idx="5">
                        <c:v>0.24121113112384485</c:v>
                      </c:pt>
                      <c:pt idx="6">
                        <c:v>0.4761278875720924</c:v>
                      </c:pt>
                      <c:pt idx="7">
                        <c:v>1.0089329398797722</c:v>
                      </c:pt>
                      <c:pt idx="8">
                        <c:v>2.0873971475306101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1EC-4A71-A34E-40C0A58BD3B8}"/>
                  </c:ext>
                </c:extLst>
              </c15:ser>
            </c15:filteredScatterSeries>
          </c:ext>
        </c:extLst>
      </c:scatterChart>
      <c:valAx>
        <c:axId val="-1839042304"/>
        <c:scaling>
          <c:orientation val="minMax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Porosity</a:t>
                </a:r>
                <a:r>
                  <a:rPr lang="en-US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Φ</a:t>
                </a:r>
                <a:r>
                  <a:rPr lang="en-US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36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69350352442647"/>
              <c:y val="0.9359575905794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39040128"/>
        <c:crosses val="autoZero"/>
        <c:crossBetween val="midCat"/>
        <c:majorUnit val="0.1"/>
      </c:valAx>
      <c:valAx>
        <c:axId val="-1839040128"/>
        <c:scaling>
          <c:orientation val="minMax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Vertical Permeability (m2)</a:t>
                </a:r>
              </a:p>
            </c:rich>
          </c:tx>
          <c:layout>
            <c:manualLayout>
              <c:xMode val="edge"/>
              <c:yMode val="edge"/>
              <c:x val="1.7598917920719142E-2"/>
              <c:y val="0.17029182613650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39042304"/>
        <c:crosses val="autoZero"/>
        <c:crossBetween val="midCat"/>
      </c:valAx>
      <c:spPr>
        <a:solidFill>
          <a:schemeClr val="bg1"/>
        </a:solidFill>
        <a:ln w="25400" cap="flat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5757298075183244"/>
          <c:y val="0.11055127089125065"/>
          <c:w val="0.3084806766467878"/>
          <c:h val="0.1322326163456739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8697293249137"/>
          <c:y val="2.5588625126542516E-2"/>
          <c:w val="0.81447121659947663"/>
          <c:h val="0.81781666666666664"/>
        </c:manualLayout>
      </c:layout>
      <c:scatterChart>
        <c:scatterStyle val="smoothMarker"/>
        <c:varyColors val="0"/>
        <c:ser>
          <c:idx val="0"/>
          <c:order val="0"/>
          <c:tx>
            <c:v>Compaction, Aspect Ratio=35</c:v>
          </c:tx>
          <c:spPr>
            <a:ln w="127000" cap="rnd">
              <a:solidFill>
                <a:srgbClr val="00B050">
                  <a:alpha val="99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Plates'!$AL$4:$AL$12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-18.889078975422589</c:v>
                </c:pt>
                <c:pt idx="2">
                  <c:v>-18.264800125426838</c:v>
                </c:pt>
                <c:pt idx="3">
                  <c:v>-17.829428903119158</c:v>
                </c:pt>
                <c:pt idx="4">
                  <c:v>-17.494360165702997</c:v>
                </c:pt>
                <c:pt idx="5">
                  <c:v>-16.991629288091204</c:v>
                </c:pt>
                <c:pt idx="6">
                  <c:v>-16.616982317387592</c:v>
                </c:pt>
                <c:pt idx="7">
                  <c:v>-16.189244240203546</c:v>
                </c:pt>
                <c:pt idx="8">
                  <c:v>-15.763493174533663</c:v>
                </c:pt>
              </c:numCache>
            </c:numRef>
          </c:xVal>
          <c:yVal>
            <c:numRef>
              <c:f>'LBM Large Plates'!$AI$4:$AI$12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E-4797-A43E-120587F35775}"/>
            </c:ext>
          </c:extLst>
        </c:ser>
        <c:ser>
          <c:idx val="1"/>
          <c:order val="3"/>
          <c:tx>
            <c:v>Aspect Ratio=60</c:v>
          </c:tx>
          <c:spPr>
            <a:ln w="38100" cap="rnd">
              <a:solidFill>
                <a:schemeClr val="tx1"/>
              </a:solidFill>
              <a:prstDash val="dash"/>
              <a:round/>
              <a:headEnd type="arrow"/>
              <a:tailEnd type="none"/>
            </a:ln>
            <a:effectLst/>
          </c:spPr>
          <c:marker>
            <c:symbol val="none"/>
          </c:marker>
          <c:xVal>
            <c:numRef>
              <c:f>Aspect_Ratio_Compaction!$AB$26:$AB$30</c:f>
              <c:numCache>
                <c:formatCode>General</c:formatCode>
                <c:ptCount val="5"/>
                <c:pt idx="0">
                  <c:v>-23.910833463761435</c:v>
                </c:pt>
                <c:pt idx="1">
                  <c:v>-22.171224779442102</c:v>
                </c:pt>
                <c:pt idx="2">
                  <c:v>-21.391208764083473</c:v>
                </c:pt>
                <c:pt idx="3">
                  <c:v>-20.501612245164619</c:v>
                </c:pt>
                <c:pt idx="4">
                  <c:v>-19.945272067917802</c:v>
                </c:pt>
              </c:numCache>
            </c:numRef>
          </c:xVal>
          <c:yVal>
            <c:numRef>
              <c:f>Aspect_Ratio_Compaction!$J$26:$J$30</c:f>
              <c:numCache>
                <c:formatCode>General</c:formatCode>
                <c:ptCount val="5"/>
                <c:pt idx="0">
                  <c:v>6.7000000000000004E-2</c:v>
                </c:pt>
                <c:pt idx="1">
                  <c:v>0.26100000000000001</c:v>
                </c:pt>
                <c:pt idx="2">
                  <c:v>0.39</c:v>
                </c:pt>
                <c:pt idx="3">
                  <c:v>0.55200000000000005</c:v>
                </c:pt>
                <c:pt idx="4">
                  <c:v>0.64900000000000002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4-49FF-88FA-A041AACAB894}"/>
            </c:ext>
          </c:extLst>
        </c:ser>
        <c:ser>
          <c:idx val="5"/>
          <c:order val="5"/>
          <c:tx>
            <c:v>aspect ratio 45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Aspect_Ratio_Compaction!$AB$20:$AB$24</c:f>
              <c:numCache>
                <c:formatCode>General</c:formatCode>
                <c:ptCount val="5"/>
                <c:pt idx="0">
                  <c:v>-21.694766895152032</c:v>
                </c:pt>
                <c:pt idx="1">
                  <c:v>-19.960355904465647</c:v>
                </c:pt>
                <c:pt idx="2">
                  <c:v>-19.185077507763868</c:v>
                </c:pt>
                <c:pt idx="3">
                  <c:v>-18.301480157971593</c:v>
                </c:pt>
                <c:pt idx="4">
                  <c:v>-17.750173287917384</c:v>
                </c:pt>
              </c:numCache>
            </c:numRef>
          </c:xVal>
          <c:yVal>
            <c:numRef>
              <c:f>Aspect_Ratio_Compaction!$J$20:$J$24</c:f>
              <c:numCache>
                <c:formatCode>General</c:formatCode>
                <c:ptCount val="5"/>
                <c:pt idx="0">
                  <c:v>6.8900000000000003E-2</c:v>
                </c:pt>
                <c:pt idx="1">
                  <c:v>0.26500000000000001</c:v>
                </c:pt>
                <c:pt idx="2">
                  <c:v>0.39600000000000002</c:v>
                </c:pt>
                <c:pt idx="3">
                  <c:v>0.55900000000000005</c:v>
                </c:pt>
                <c:pt idx="4">
                  <c:v>0.65600000000000003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A-4F4D-ABA5-D90ED4DA6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6112"/>
        <c:axId val="-18390412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MF-perpendicular</c:v>
                </c:tx>
                <c:spPr>
                  <a:ln w="1270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'LBM Large Plates'!$AL$21:$AL$31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-19.989514510736544</c:v>
                      </c:pt>
                      <c:pt idx="1">
                        <c:v>-18.538624729567115</c:v>
                      </c:pt>
                      <c:pt idx="2">
                        <c:v>-17.71044744796718</c:v>
                      </c:pt>
                      <c:pt idx="3">
                        <c:v>-16.830659111644863</c:v>
                      </c:pt>
                      <c:pt idx="4">
                        <c:v>-16.062648349495433</c:v>
                      </c:pt>
                      <c:pt idx="5">
                        <c:v>-15.683487071996156</c:v>
                      </c:pt>
                      <c:pt idx="6">
                        <c:v>-15.339703064640089</c:v>
                      </c:pt>
                      <c:pt idx="7">
                        <c:v>-14.852776342411355</c:v>
                      </c:pt>
                      <c:pt idx="8">
                        <c:v>-14.396640842983768</c:v>
                      </c:pt>
                      <c:pt idx="9">
                        <c:v>-14.017975528133856</c:v>
                      </c:pt>
                      <c:pt idx="10">
                        <c:v>-13.65364766433561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'LBM Large Plates'!$AI$21:$AI$31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7.0000000000000007E-2</c:v>
                      </c:pt>
                      <c:pt idx="1">
                        <c:v>0.10199999999999999</c:v>
                      </c:pt>
                      <c:pt idx="2">
                        <c:v>0.13300000000000001</c:v>
                      </c:pt>
                      <c:pt idx="3">
                        <c:v>0.183</c:v>
                      </c:pt>
                      <c:pt idx="4">
                        <c:v>0.248</c:v>
                      </c:pt>
                      <c:pt idx="5">
                        <c:v>0.28999999999999998</c:v>
                      </c:pt>
                      <c:pt idx="6">
                        <c:v>0.33300000000000002</c:v>
                      </c:pt>
                      <c:pt idx="7">
                        <c:v>0.40600000000000003</c:v>
                      </c:pt>
                      <c:pt idx="8">
                        <c:v>0.48599999999999999</c:v>
                      </c:pt>
                      <c:pt idx="9">
                        <c:v>0.56699999999999995</c:v>
                      </c:pt>
                      <c:pt idx="10">
                        <c:v>0.66400000000000003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1BE-4797-A43E-120587F35775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Frac-perp</c:v>
                </c:tx>
                <c:spPr>
                  <a:ln w="12700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'LBM Large Plates'!$AL$41:$AL$51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-19.989514510736544</c:v>
                      </c:pt>
                      <c:pt idx="1">
                        <c:v>-19.759428747206112</c:v>
                      </c:pt>
                      <c:pt idx="2">
                        <c:v>-19.663538632393678</c:v>
                      </c:pt>
                      <c:pt idx="3">
                        <c:v>-18.150018822714188</c:v>
                      </c:pt>
                      <c:pt idx="4">
                        <c:v>-16.96884323976284</c:v>
                      </c:pt>
                      <c:pt idx="5">
                        <c:v>-15.91101994680103</c:v>
                      </c:pt>
                      <c:pt idx="6">
                        <c:v>-14.255540325782666</c:v>
                      </c:pt>
                      <c:pt idx="7">
                        <c:v>-13.866143177245744</c:v>
                      </c:pt>
                      <c:pt idx="8">
                        <c:v>-13.598428982506459</c:v>
                      </c:pt>
                      <c:pt idx="9">
                        <c:v>-13.413785750844296</c:v>
                      </c:pt>
                      <c:pt idx="10">
                        <c:v>-13.288233388470468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'LBM Large Plates'!$AI$41:$AI$51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7.0000000000000007E-2</c:v>
                      </c:pt>
                      <c:pt idx="1">
                        <c:v>0.123</c:v>
                      </c:pt>
                      <c:pt idx="2">
                        <c:v>0.16700000000000001</c:v>
                      </c:pt>
                      <c:pt idx="3">
                        <c:v>0.21299999999999999</c:v>
                      </c:pt>
                      <c:pt idx="4">
                        <c:v>0.252</c:v>
                      </c:pt>
                      <c:pt idx="5">
                        <c:v>0.318</c:v>
                      </c:pt>
                      <c:pt idx="6">
                        <c:v>0.36399999999999999</c:v>
                      </c:pt>
                      <c:pt idx="7">
                        <c:v>0.40699999999999997</c:v>
                      </c:pt>
                      <c:pt idx="8">
                        <c:v>0.47099999999999997</c:v>
                      </c:pt>
                      <c:pt idx="9">
                        <c:v>0.54500000000000004</c:v>
                      </c:pt>
                      <c:pt idx="10">
                        <c:v>0.61599999999999999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BE-4797-A43E-120587F35775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mondol smectite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 compare'!$F$50:$F$59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-20.6917733495535</c:v>
                      </c:pt>
                      <c:pt idx="1">
                        <c:v>-20.20340126151989</c:v>
                      </c:pt>
                      <c:pt idx="2">
                        <c:v>-19.872005912428513</c:v>
                      </c:pt>
                      <c:pt idx="3">
                        <c:v>-19.278982669810212</c:v>
                      </c:pt>
                      <c:pt idx="4">
                        <c:v>-18.633633841646869</c:v>
                      </c:pt>
                      <c:pt idx="5">
                        <c:v>-17.778982660306163</c:v>
                      </c:pt>
                      <c:pt idx="6">
                        <c:v>-17.27316870164638</c:v>
                      </c:pt>
                      <c:pt idx="7">
                        <c:v>-16.401075699959772</c:v>
                      </c:pt>
                      <c:pt idx="8">
                        <c:v>-15.703401291519762</c:v>
                      </c:pt>
                      <c:pt idx="9">
                        <c:v>-15.00572685102683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 compare'!$B$50:$B$59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0.34292236000000004</c:v>
                      </c:pt>
                      <c:pt idx="1">
                        <c:v>0.38493149999999998</c:v>
                      </c:pt>
                      <c:pt idx="2">
                        <c:v>0.41780823</c:v>
                      </c:pt>
                      <c:pt idx="3">
                        <c:v>0.46712330000000002</c:v>
                      </c:pt>
                      <c:pt idx="4">
                        <c:v>0.52374428000000006</c:v>
                      </c:pt>
                      <c:pt idx="5">
                        <c:v>0.59863014000000003</c:v>
                      </c:pt>
                      <c:pt idx="6">
                        <c:v>0.64429219999999998</c:v>
                      </c:pt>
                      <c:pt idx="7">
                        <c:v>0.7210046</c:v>
                      </c:pt>
                      <c:pt idx="8">
                        <c:v>0.78127849999999999</c:v>
                      </c:pt>
                      <c:pt idx="9">
                        <c:v>0.83972599999999997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870-4514-8C78-B164B54221B4}"/>
                  </c:ext>
                </c:extLst>
              </c15:ser>
            </c15:filteredScatterSeries>
          </c:ext>
        </c:extLst>
      </c:scatterChart>
      <c:valAx>
        <c:axId val="-1839046112"/>
        <c:scaling>
          <c:orientation val="minMax"/>
          <c:max val="-12"/>
          <c:min val="-24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log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041216"/>
        <c:crosses val="autoZero"/>
        <c:crossBetween val="midCat"/>
        <c:majorUnit val="1"/>
      </c:valAx>
      <c:valAx>
        <c:axId val="-1839041216"/>
        <c:scaling>
          <c:orientation val="minMax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Porosity </a:t>
                </a:r>
              </a:p>
            </c:rich>
          </c:tx>
          <c:layout>
            <c:manualLayout>
              <c:xMode val="edge"/>
              <c:yMode val="edge"/>
              <c:x val="1.0554996416628378E-3"/>
              <c:y val="0.35786561679790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046112"/>
        <c:crosses val="autoZero"/>
        <c:crossBetween val="midCat"/>
      </c:valAx>
      <c:spPr>
        <a:solidFill>
          <a:schemeClr val="bg1">
            <a:alpha val="20000"/>
          </a:schemeClr>
        </a:solidFill>
        <a:ln w="25400" cap="flat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472114825936432"/>
          <c:y val="7.8055643044619427E-2"/>
          <c:w val="0.28953437269698429"/>
          <c:h val="0.26878210181647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464759999303642E-2"/>
          <c:y val="4.5916108405401133E-2"/>
          <c:w val="0.93542531762229197"/>
          <c:h val="0.79841632533189755"/>
        </c:manualLayout>
      </c:layout>
      <c:scatterChart>
        <c:scatterStyle val="lineMarker"/>
        <c:varyColors val="0"/>
        <c:ser>
          <c:idx val="0"/>
          <c:order val="0"/>
          <c:tx>
            <c:v>comp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72989824012997"/>
                  <c:y val="0.24125471527003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consistency!$E$4:$E$12</c:f>
              <c:numCache>
                <c:formatCode>0.00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xVal>
          <c:yVal>
            <c:numRef>
              <c:f>consistency!$P$4:$P$12</c:f>
              <c:numCache>
                <c:formatCode>0.00</c:formatCode>
                <c:ptCount val="9"/>
                <c:pt idx="0">
                  <c:v>2.200685709</c:v>
                </c:pt>
                <c:pt idx="1">
                  <c:v>2.162360971</c:v>
                </c:pt>
                <c:pt idx="2">
                  <c:v>2.122201</c:v>
                </c:pt>
                <c:pt idx="3">
                  <c:v>2.0700908199999999</c:v>
                </c:pt>
                <c:pt idx="4">
                  <c:v>2.0245000000000002</c:v>
                </c:pt>
                <c:pt idx="5">
                  <c:v>1.9606052666577154</c:v>
                </c:pt>
                <c:pt idx="6">
                  <c:v>1.8845604953702433</c:v>
                </c:pt>
                <c:pt idx="7">
                  <c:v>1.7932237526435097</c:v>
                </c:pt>
                <c:pt idx="8">
                  <c:v>1.7056621389267095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B0-47E3-91C0-2D1B248FDAA9}"/>
            </c:ext>
          </c:extLst>
        </c:ser>
        <c:ser>
          <c:idx val="1"/>
          <c:order val="1"/>
          <c:tx>
            <c:v>kaolinite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404874373961094"/>
                  <c:y val="0.1978742309346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consistency!$E$17:$E$24</c:f>
              <c:numCache>
                <c:formatCode>0.00</c:formatCode>
                <c:ptCount val="8"/>
                <c:pt idx="0">
                  <c:v>0.13500000000000001</c:v>
                </c:pt>
                <c:pt idx="1">
                  <c:v>0.20599999999999999</c:v>
                </c:pt>
                <c:pt idx="2">
                  <c:v>0.26800000000000002</c:v>
                </c:pt>
                <c:pt idx="3">
                  <c:v>0.36799999999999999</c:v>
                </c:pt>
                <c:pt idx="4">
                  <c:v>0.48</c:v>
                </c:pt>
                <c:pt idx="5">
                  <c:v>0.58399999999999996</c:v>
                </c:pt>
                <c:pt idx="6">
                  <c:v>0.64100000000000001</c:v>
                </c:pt>
                <c:pt idx="7">
                  <c:v>0.68700000000000006</c:v>
                </c:pt>
              </c:numCache>
            </c:numRef>
          </c:xVal>
          <c:yVal>
            <c:numRef>
              <c:f>consistency!$P$17:$P$24</c:f>
              <c:numCache>
                <c:formatCode>0.00</c:formatCode>
                <c:ptCount val="8"/>
                <c:pt idx="0">
                  <c:v>2.0578002999999998</c:v>
                </c:pt>
                <c:pt idx="1">
                  <c:v>2.0307539999999999</c:v>
                </c:pt>
                <c:pt idx="2">
                  <c:v>2.0010340000000002</c:v>
                </c:pt>
                <c:pt idx="3">
                  <c:v>1.8998740000000001</c:v>
                </c:pt>
                <c:pt idx="4">
                  <c:v>1.7739304171030603</c:v>
                </c:pt>
                <c:pt idx="5">
                  <c:v>1.6578262543928644</c:v>
                </c:pt>
                <c:pt idx="6">
                  <c:v>1.6203259427081687</c:v>
                </c:pt>
                <c:pt idx="7">
                  <c:v>1.5444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7-4AB5-8C42-3A1E894A6A4B}"/>
            </c:ext>
          </c:extLst>
        </c:ser>
        <c:ser>
          <c:idx val="2"/>
          <c:order val="2"/>
          <c:tx>
            <c:v>smectite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198057151076731E-2"/>
                  <c:y val="0.279367139942897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consistency!$E$30:$E$36</c:f>
              <c:numCache>
                <c:formatCode>0.00</c:formatCode>
                <c:ptCount val="7"/>
                <c:pt idx="0">
                  <c:v>0.156</c:v>
                </c:pt>
                <c:pt idx="1">
                  <c:v>0.35299999999999998</c:v>
                </c:pt>
                <c:pt idx="2">
                  <c:v>0.47899999999999998</c:v>
                </c:pt>
                <c:pt idx="3">
                  <c:v>0.56499999999999995</c:v>
                </c:pt>
                <c:pt idx="4">
                  <c:v>0.629</c:v>
                </c:pt>
                <c:pt idx="5">
                  <c:v>0.71599999999999997</c:v>
                </c:pt>
                <c:pt idx="6">
                  <c:v>0.77200000000000002</c:v>
                </c:pt>
              </c:numCache>
            </c:numRef>
          </c:xVal>
          <c:yVal>
            <c:numRef>
              <c:f>consistency!$P$30:$P$36</c:f>
              <c:numCache>
                <c:formatCode>0.00</c:formatCode>
                <c:ptCount val="7"/>
                <c:pt idx="0">
                  <c:v>2.5607099999999998</c:v>
                </c:pt>
                <c:pt idx="1">
                  <c:v>2.3541690000000002</c:v>
                </c:pt>
                <c:pt idx="2">
                  <c:v>2.2177605800000002</c:v>
                </c:pt>
                <c:pt idx="3">
                  <c:v>2.1458599999999999</c:v>
                </c:pt>
                <c:pt idx="4">
                  <c:v>1.998</c:v>
                </c:pt>
                <c:pt idx="5">
                  <c:v>1.8964000000000001</c:v>
                </c:pt>
                <c:pt idx="6">
                  <c:v>1.7728999999999999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E7-4AB5-8C42-3A1E894A6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83600"/>
        <c:axId val="404883928"/>
      </c:scatterChart>
      <c:valAx>
        <c:axId val="4048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83928"/>
        <c:crosses val="autoZero"/>
        <c:crossBetween val="midCat"/>
      </c:valAx>
      <c:valAx>
        <c:axId val="40488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8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frac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consistency!$E$64:$E$73</c:f>
              <c:numCache>
                <c:formatCode>0.00</c:formatCode>
                <c:ptCount val="10"/>
                <c:pt idx="0">
                  <c:v>7.0000000000000007E-2</c:v>
                </c:pt>
                <c:pt idx="1">
                  <c:v>0.123</c:v>
                </c:pt>
                <c:pt idx="2">
                  <c:v>0.16700000000000001</c:v>
                </c:pt>
                <c:pt idx="3">
                  <c:v>0.21299999999999999</c:v>
                </c:pt>
                <c:pt idx="4">
                  <c:v>0.252</c:v>
                </c:pt>
                <c:pt idx="5">
                  <c:v>0.318</c:v>
                </c:pt>
                <c:pt idx="6">
                  <c:v>0.36399999999999999</c:v>
                </c:pt>
                <c:pt idx="7">
                  <c:v>0.40699999999999997</c:v>
                </c:pt>
                <c:pt idx="8">
                  <c:v>0.47099999999999997</c:v>
                </c:pt>
                <c:pt idx="9">
                  <c:v>0.54500000000000004</c:v>
                </c:pt>
              </c:numCache>
            </c:numRef>
          </c:xVal>
          <c:yVal>
            <c:numRef>
              <c:f>consistency!$U$64:$U$73</c:f>
              <c:numCache>
                <c:formatCode>0.00E+00</c:formatCode>
                <c:ptCount val="10"/>
                <c:pt idx="0">
                  <c:v>4.6773224429842449E-19</c:v>
                </c:pt>
                <c:pt idx="1">
                  <c:v>6.2781737004750835E-19</c:v>
                </c:pt>
                <c:pt idx="2">
                  <c:v>6.3465517208249669E-19</c:v>
                </c:pt>
                <c:pt idx="3">
                  <c:v>9.4573309150240343E-18</c:v>
                </c:pt>
                <c:pt idx="4">
                  <c:v>3.1139200692282077E-17</c:v>
                </c:pt>
                <c:pt idx="5">
                  <c:v>2.7951137735236752E-17</c:v>
                </c:pt>
                <c:pt idx="6">
                  <c:v>3.3405259566730911E-17</c:v>
                </c:pt>
                <c:pt idx="7">
                  <c:v>3.2353589928419389E-17</c:v>
                </c:pt>
                <c:pt idx="8">
                  <c:v>4.1569355999885649E-17</c:v>
                </c:pt>
                <c:pt idx="9">
                  <c:v>5.2565635121853169E-17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A3-46C2-A186-A0F7BDF35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33840"/>
        <c:axId val="520238760"/>
      </c:scatterChart>
      <c:scatterChart>
        <c:scatterStyle val="smoothMarker"/>
        <c:varyColors val="0"/>
        <c:ser>
          <c:idx val="0"/>
          <c:order val="0"/>
          <c:tx>
            <c:v>mf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consistency!$E$41:$E$50</c:f>
              <c:numCache>
                <c:formatCode>0.00</c:formatCode>
                <c:ptCount val="10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</c:numCache>
            </c:numRef>
          </c:xVal>
          <c:yVal>
            <c:numRef>
              <c:f>consistency!$U$41:$U$50</c:f>
              <c:numCache>
                <c:formatCode>0.00E+00</c:formatCode>
                <c:ptCount val="10"/>
                <c:pt idx="0">
                  <c:v>4.6773224429842449E-19</c:v>
                </c:pt>
                <c:pt idx="1">
                  <c:v>3.3736247873257077E-18</c:v>
                </c:pt>
                <c:pt idx="2">
                  <c:v>9.3673625691577043E-18</c:v>
                </c:pt>
                <c:pt idx="3">
                  <c:v>2.111977278911513E-17</c:v>
                </c:pt>
                <c:pt idx="4">
                  <c:v>3.8730045700890349E-17</c:v>
                </c:pt>
                <c:pt idx="5">
                  <c:v>5.1374563163219338E-17</c:v>
                </c:pt>
                <c:pt idx="6">
                  <c:v>6.6659858542374382E-17</c:v>
                </c:pt>
                <c:pt idx="7">
                  <c:v>9.5994696776112563E-17</c:v>
                </c:pt>
                <c:pt idx="8">
                  <c:v>1.3873249318609704E-16</c:v>
                </c:pt>
                <c:pt idx="9">
                  <c:v>1.9873165161281436E-16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A3-46C2-A186-A0F7BDF35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33840"/>
        <c:axId val="520238760"/>
      </c:scatterChart>
      <c:valAx>
        <c:axId val="5202338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38760"/>
        <c:crosses val="autoZero"/>
        <c:crossBetween val="midCat"/>
      </c:valAx>
      <c:valAx>
        <c:axId val="520238760"/>
        <c:scaling>
          <c:logBase val="10"/>
          <c:orientation val="minMax"/>
          <c:max val="1.0000000000000008E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3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frac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Fracture_analysis!$Q$12:$Q$21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0.123</c:v>
                </c:pt>
                <c:pt idx="2">
                  <c:v>0.16700000000000001</c:v>
                </c:pt>
                <c:pt idx="3">
                  <c:v>0.21299999999999999</c:v>
                </c:pt>
                <c:pt idx="4">
                  <c:v>0.252</c:v>
                </c:pt>
                <c:pt idx="5">
                  <c:v>0.318</c:v>
                </c:pt>
                <c:pt idx="6">
                  <c:v>0.36399999999999999</c:v>
                </c:pt>
                <c:pt idx="7">
                  <c:v>0.40699999999999997</c:v>
                </c:pt>
                <c:pt idx="8">
                  <c:v>0.47099999999999997</c:v>
                </c:pt>
                <c:pt idx="9">
                  <c:v>0.54500000000000004</c:v>
                </c:pt>
              </c:numCache>
            </c:numRef>
          </c:xVal>
          <c:yVal>
            <c:numRef>
              <c:f>Fracture_analysis!$Z$12:$Z$21</c:f>
              <c:numCache>
                <c:formatCode>0.000E+00</c:formatCode>
                <c:ptCount val="10"/>
                <c:pt idx="1">
                  <c:v>0.69857905104324081</c:v>
                </c:pt>
                <c:pt idx="2">
                  <c:v>0</c:v>
                </c:pt>
                <c:pt idx="3">
                  <c:v>68.102806836364564</c:v>
                </c:pt>
                <c:pt idx="4">
                  <c:v>0</c:v>
                </c:pt>
                <c:pt idx="5">
                  <c:v>11980.041264255709</c:v>
                </c:pt>
                <c:pt idx="6">
                  <c:v>541967.67409971508</c:v>
                </c:pt>
                <c:pt idx="7">
                  <c:v>1328528.901126432</c:v>
                </c:pt>
                <c:pt idx="8">
                  <c:v>2460851.1868844307</c:v>
                </c:pt>
                <c:pt idx="9">
                  <c:v>3764685.0078920349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C-4340-A0F2-0F0B667C1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37992"/>
        <c:axId val="514538320"/>
      </c:scatterChart>
      <c:scatterChart>
        <c:scatterStyle val="smoothMarker"/>
        <c:varyColors val="0"/>
        <c:ser>
          <c:idx val="0"/>
          <c:order val="0"/>
          <c:tx>
            <c:v>mf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Fracture_analysis!$Q$2:$Q$11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</c:numCache>
            </c:numRef>
          </c:xVal>
          <c:yVal>
            <c:numRef>
              <c:f>Fracture_analysis!$Z$2:$Z$11</c:f>
              <c:numCache>
                <c:formatCode>0.000E+00</c:formatCode>
                <c:ptCount val="10"/>
                <c:pt idx="1">
                  <c:v>27.241631445747043</c:v>
                </c:pt>
                <c:pt idx="2">
                  <c:v>189.13718627882221</c:v>
                </c:pt>
                <c:pt idx="3">
                  <c:v>1440.635270643284</c:v>
                </c:pt>
                <c:pt idx="4">
                  <c:v>8449.1839137613424</c:v>
                </c:pt>
                <c:pt idx="5">
                  <c:v>20230.469971377024</c:v>
                </c:pt>
                <c:pt idx="6">
                  <c:v>44647.970146684769</c:v>
                </c:pt>
                <c:pt idx="7">
                  <c:v>137004.55247438914</c:v>
                </c:pt>
                <c:pt idx="8">
                  <c:v>391626.93959213869</c:v>
                </c:pt>
                <c:pt idx="9">
                  <c:v>936566.28311244573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FC-4340-A0F2-0F0B667C1429}"/>
            </c:ext>
          </c:extLst>
        </c:ser>
        <c:ser>
          <c:idx val="2"/>
          <c:order val="2"/>
          <c:tx>
            <c:v>compaction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Fracture_analysis!$Q$2:$Q$11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</c:numCache>
            </c:numRef>
          </c:xVal>
          <c:yVal>
            <c:numRef>
              <c:f>Fracture_analysis!$AA$2:$AA$11</c:f>
              <c:numCache>
                <c:formatCode>0.000E+00</c:formatCode>
                <c:ptCount val="10"/>
                <c:pt idx="1">
                  <c:v>2.4034118820184256</c:v>
                </c:pt>
                <c:pt idx="2">
                  <c:v>4.2980311904390938</c:v>
                </c:pt>
                <c:pt idx="3">
                  <c:v>9.8171913135621427</c:v>
                </c:pt>
                <c:pt idx="4">
                  <c:v>26.359900316567419</c:v>
                </c:pt>
                <c:pt idx="5">
                  <c:v>48.83271059001175</c:v>
                </c:pt>
                <c:pt idx="6">
                  <c:v>91.069229934850526</c:v>
                </c:pt>
                <c:pt idx="7">
                  <c:v>260.04447796015091</c:v>
                </c:pt>
                <c:pt idx="8">
                  <c:v>816.92693620396108</c:v>
                </c:pt>
                <c:pt idx="9">
                  <c:v>2598.6477817391656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1-4857-B612-98FD156BE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37992"/>
        <c:axId val="514538320"/>
      </c:scatterChart>
      <c:valAx>
        <c:axId val="5145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38320"/>
        <c:crosses val="autoZero"/>
        <c:crossBetween val="midCat"/>
      </c:valAx>
      <c:valAx>
        <c:axId val="514538320"/>
        <c:scaling>
          <c:logBase val="10"/>
          <c:orientation val="minMax"/>
        </c:scaling>
        <c:delete val="0"/>
        <c:axPos val="l"/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3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frac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Fracture_analysis!$Q$12:$Q$21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0.123</c:v>
                </c:pt>
                <c:pt idx="2">
                  <c:v>0.16700000000000001</c:v>
                </c:pt>
                <c:pt idx="3">
                  <c:v>0.21299999999999999</c:v>
                </c:pt>
                <c:pt idx="4">
                  <c:v>0.252</c:v>
                </c:pt>
                <c:pt idx="5">
                  <c:v>0.318</c:v>
                </c:pt>
                <c:pt idx="6">
                  <c:v>0.36399999999999999</c:v>
                </c:pt>
                <c:pt idx="7">
                  <c:v>0.40699999999999997</c:v>
                </c:pt>
                <c:pt idx="8">
                  <c:v>0.47099999999999997</c:v>
                </c:pt>
                <c:pt idx="9">
                  <c:v>0.54500000000000004</c:v>
                </c:pt>
              </c:numCache>
            </c:numRef>
          </c:xVal>
          <c:yVal>
            <c:numRef>
              <c:f>Fracture_analysis!$AB$12:$AB$21</c:f>
              <c:numCache>
                <c:formatCode>0.000</c:formatCode>
                <c:ptCount val="10"/>
                <c:pt idx="0">
                  <c:v>0</c:v>
                </c:pt>
                <c:pt idx="1">
                  <c:v>-0.63019629940492616</c:v>
                </c:pt>
                <c:pt idx="2">
                  <c:v>-0.7539284711170966</c:v>
                </c:pt>
                <c:pt idx="3">
                  <c:v>3.1627581262634368</c:v>
                </c:pt>
                <c:pt idx="4">
                  <c:v>35.204017007226064</c:v>
                </c:pt>
                <c:pt idx="5">
                  <c:v>160.20557358567996</c:v>
                </c:pt>
                <c:pt idx="6">
                  <c:v>3780.4614227052716</c:v>
                </c:pt>
                <c:pt idx="7">
                  <c:v>5016.1469644201243</c:v>
                </c:pt>
                <c:pt idx="8">
                  <c:v>3726.0997617665685</c:v>
                </c:pt>
                <c:pt idx="9" formatCode="0.000E+00">
                  <c:v>1981.5048075772072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D-47BA-9E45-FE174E860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37992"/>
        <c:axId val="514538320"/>
      </c:scatterChart>
      <c:scatterChart>
        <c:scatterStyle val="smoothMarker"/>
        <c:varyColors val="0"/>
        <c:ser>
          <c:idx val="0"/>
          <c:order val="0"/>
          <c:tx>
            <c:v>mf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Fracture_analysis!$Q$2:$Q$11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</c:numCache>
            </c:numRef>
          </c:xVal>
          <c:yVal>
            <c:numRef>
              <c:f>Fracture_analysis!$AB$2:$AB$11</c:f>
              <c:numCache>
                <c:formatCode>0.000</c:formatCode>
                <c:ptCount val="10"/>
                <c:pt idx="0">
                  <c:v>0</c:v>
                </c:pt>
                <c:pt idx="1">
                  <c:v>7.2980351555328262</c:v>
                </c:pt>
                <c:pt idx="2">
                  <c:v>34.888272349537424</c:v>
                </c:pt>
                <c:pt idx="3">
                  <c:v>132.27260550858722</c:v>
                </c:pt>
                <c:pt idx="4">
                  <c:v>307.85287650863432</c:v>
                </c:pt>
                <c:pt idx="5">
                  <c:v>404.98774844553867</c:v>
                </c:pt>
                <c:pt idx="6">
                  <c:v>483.94996839094892</c:v>
                </c:pt>
                <c:pt idx="7">
                  <c:v>523.83604918585331</c:v>
                </c:pt>
                <c:pt idx="8">
                  <c:v>477.80552926854705</c:v>
                </c:pt>
                <c:pt idx="9">
                  <c:v>359.26699066358975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3D-47BA-9E45-FE174E860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37992"/>
        <c:axId val="514538320"/>
      </c:scatterChart>
      <c:valAx>
        <c:axId val="5145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38320"/>
        <c:crosses val="autoZero"/>
        <c:crossBetween val="midCat"/>
      </c:valAx>
      <c:valAx>
        <c:axId val="514538320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3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32555544500743"/>
          <c:y val="0.10505897291668924"/>
          <c:w val="0.50516327377604964"/>
          <c:h val="0.82937208841849341"/>
        </c:manualLayout>
      </c:layout>
      <c:scatterChart>
        <c:scatterStyle val="lineMarker"/>
        <c:varyColors val="0"/>
        <c:ser>
          <c:idx val="0"/>
          <c:order val="0"/>
          <c:tx>
            <c:v>smectite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compare'!$B$50:$B$59</c:f>
              <c:numCache>
                <c:formatCode>General</c:formatCode>
                <c:ptCount val="10"/>
                <c:pt idx="0">
                  <c:v>0.34292236000000004</c:v>
                </c:pt>
                <c:pt idx="1">
                  <c:v>0.38493149999999998</c:v>
                </c:pt>
                <c:pt idx="2">
                  <c:v>0.41780823</c:v>
                </c:pt>
                <c:pt idx="3">
                  <c:v>0.46712330000000002</c:v>
                </c:pt>
                <c:pt idx="4">
                  <c:v>0.52374428000000006</c:v>
                </c:pt>
                <c:pt idx="5">
                  <c:v>0.59863014000000003</c:v>
                </c:pt>
                <c:pt idx="6">
                  <c:v>0.64429219999999998</c:v>
                </c:pt>
                <c:pt idx="7">
                  <c:v>0.7210046</c:v>
                </c:pt>
                <c:pt idx="8">
                  <c:v>0.78127849999999999</c:v>
                </c:pt>
                <c:pt idx="9">
                  <c:v>0.83972599999999997</c:v>
                </c:pt>
              </c:numCache>
            </c:numRef>
          </c:xVal>
          <c:yVal>
            <c:numRef>
              <c:f>'k compare'!$F$50:$F$59</c:f>
              <c:numCache>
                <c:formatCode>General</c:formatCode>
                <c:ptCount val="10"/>
                <c:pt idx="0">
                  <c:v>-20.6917733495535</c:v>
                </c:pt>
                <c:pt idx="1">
                  <c:v>-20.20340126151989</c:v>
                </c:pt>
                <c:pt idx="2">
                  <c:v>-19.872005912428513</c:v>
                </c:pt>
                <c:pt idx="3">
                  <c:v>-19.278982669810212</c:v>
                </c:pt>
                <c:pt idx="4">
                  <c:v>-18.633633841646869</c:v>
                </c:pt>
                <c:pt idx="5">
                  <c:v>-17.778982660306163</c:v>
                </c:pt>
                <c:pt idx="6">
                  <c:v>-17.27316870164638</c:v>
                </c:pt>
                <c:pt idx="7">
                  <c:v>-16.401075699959772</c:v>
                </c:pt>
                <c:pt idx="8">
                  <c:v>-15.703401291519762</c:v>
                </c:pt>
                <c:pt idx="9">
                  <c:v>-15.00572685102683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E-44D9-9658-6E660BA11961}"/>
            </c:ext>
          </c:extLst>
        </c:ser>
        <c:ser>
          <c:idx val="1"/>
          <c:order val="1"/>
          <c:tx>
            <c:v>compaction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Aspect_Ratio_Compaction!$X$4:$X$12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xVal>
          <c:yVal>
            <c:numRef>
              <c:f>Aspect_Ratio_Compaction!$AB$4:$AB$12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-18.889078975422589</c:v>
                </c:pt>
                <c:pt idx="2">
                  <c:v>-18.264800125426838</c:v>
                </c:pt>
                <c:pt idx="3">
                  <c:v>-17.829428903119158</c:v>
                </c:pt>
                <c:pt idx="4">
                  <c:v>-17.494360165702997</c:v>
                </c:pt>
                <c:pt idx="5">
                  <c:v>-16.991629288091204</c:v>
                </c:pt>
                <c:pt idx="6">
                  <c:v>-16.616982317387592</c:v>
                </c:pt>
                <c:pt idx="7">
                  <c:v>-16.189244240203546</c:v>
                </c:pt>
                <c:pt idx="8">
                  <c:v>-15.763493174533663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EE-44D9-9658-6E660BA11961}"/>
            </c:ext>
          </c:extLst>
        </c:ser>
        <c:ser>
          <c:idx val="2"/>
          <c:order val="2"/>
          <c:tx>
            <c:v>s5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lbm_smectite!$S$22:$S$27</c:f>
              <c:numCache>
                <c:formatCode>General</c:formatCode>
                <c:ptCount val="6"/>
                <c:pt idx="0">
                  <c:v>0.156</c:v>
                </c:pt>
                <c:pt idx="1">
                  <c:v>0.35299999999999998</c:v>
                </c:pt>
                <c:pt idx="2">
                  <c:v>0.47899999999999998</c:v>
                </c:pt>
                <c:pt idx="3">
                  <c:v>0.56499999999999995</c:v>
                </c:pt>
                <c:pt idx="4">
                  <c:v>0.629</c:v>
                </c:pt>
                <c:pt idx="5">
                  <c:v>0.71599999999999997</c:v>
                </c:pt>
              </c:numCache>
            </c:numRef>
          </c:xVal>
          <c:yVal>
            <c:numRef>
              <c:f>lbm_smectite!$AN$22:$AN$28</c:f>
              <c:numCache>
                <c:formatCode>General</c:formatCode>
                <c:ptCount val="7"/>
                <c:pt idx="0">
                  <c:v>-21.88614852739811</c:v>
                </c:pt>
                <c:pt idx="1">
                  <c:v>-20.777399269449948</c:v>
                </c:pt>
                <c:pt idx="2">
                  <c:v>-20.123565643667153</c:v>
                </c:pt>
                <c:pt idx="3">
                  <c:v>-19.668553975566244</c:v>
                </c:pt>
                <c:pt idx="4">
                  <c:v>-19.319836787882444</c:v>
                </c:pt>
                <c:pt idx="5">
                  <c:v>-18.800236597550136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EE-44D9-9658-6E660BA11961}"/>
            </c:ext>
          </c:extLst>
        </c:ser>
        <c:ser>
          <c:idx val="3"/>
          <c:order val="3"/>
          <c:tx>
            <c:v>k_tester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lbm_smectite!$S$22:$S$28</c:f>
              <c:numCache>
                <c:formatCode>General</c:formatCode>
                <c:ptCount val="7"/>
                <c:pt idx="0">
                  <c:v>0.156</c:v>
                </c:pt>
                <c:pt idx="1">
                  <c:v>0.35299999999999998</c:v>
                </c:pt>
                <c:pt idx="2">
                  <c:v>0.47899999999999998</c:v>
                </c:pt>
                <c:pt idx="3">
                  <c:v>0.56499999999999995</c:v>
                </c:pt>
                <c:pt idx="4">
                  <c:v>0.629</c:v>
                </c:pt>
                <c:pt idx="5">
                  <c:v>0.71599999999999997</c:v>
                </c:pt>
                <c:pt idx="6">
                  <c:v>0.77200000000000002</c:v>
                </c:pt>
              </c:numCache>
            </c:numRef>
          </c:xVal>
          <c:yVal>
            <c:numRef>
              <c:f>lbm_smectite!$AH$22:$AH$28</c:f>
              <c:numCache>
                <c:formatCode>General</c:formatCode>
                <c:ptCount val="7"/>
                <c:pt idx="0">
                  <c:v>-22.88614852739811</c:v>
                </c:pt>
                <c:pt idx="1">
                  <c:v>-20.777399269449948</c:v>
                </c:pt>
                <c:pt idx="2">
                  <c:v>-19.456242276836136</c:v>
                </c:pt>
                <c:pt idx="3">
                  <c:v>-18.50969731349339</c:v>
                </c:pt>
                <c:pt idx="4">
                  <c:v>-17.904882976356959</c:v>
                </c:pt>
                <c:pt idx="5">
                  <c:v>-17.003709471552359</c:v>
                </c:pt>
                <c:pt idx="6">
                  <c:v>-16.518544221030552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EE-44D9-9658-6E660BA11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88248"/>
        <c:axId val="496386608"/>
      </c:scatterChart>
      <c:valAx>
        <c:axId val="49638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86608"/>
        <c:crosses val="autoZero"/>
        <c:crossBetween val="midCat"/>
      </c:valAx>
      <c:valAx>
        <c:axId val="4963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log</a:t>
                </a:r>
                <a:r>
                  <a:rPr lang="en-US" sz="1800" baseline="0"/>
                  <a:t> k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8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8693020437968"/>
          <c:y val="2.5588625150332864E-2"/>
          <c:w val="0.70853983911418683"/>
          <c:h val="0.81781666666666664"/>
        </c:manualLayout>
      </c:layout>
      <c:scatterChart>
        <c:scatterStyle val="smoothMarker"/>
        <c:varyColors val="0"/>
        <c:ser>
          <c:idx val="0"/>
          <c:order val="0"/>
          <c:tx>
            <c:v>Mondol smectite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 compare'!$B$50:$B$59</c:f>
              <c:numCache>
                <c:formatCode>General</c:formatCode>
                <c:ptCount val="10"/>
                <c:pt idx="0">
                  <c:v>0.34292236000000004</c:v>
                </c:pt>
                <c:pt idx="1">
                  <c:v>0.38493149999999998</c:v>
                </c:pt>
                <c:pt idx="2">
                  <c:v>0.41780823</c:v>
                </c:pt>
                <c:pt idx="3">
                  <c:v>0.46712330000000002</c:v>
                </c:pt>
                <c:pt idx="4">
                  <c:v>0.52374428000000006</c:v>
                </c:pt>
                <c:pt idx="5">
                  <c:v>0.59863014000000003</c:v>
                </c:pt>
                <c:pt idx="6">
                  <c:v>0.64429219999999998</c:v>
                </c:pt>
                <c:pt idx="7">
                  <c:v>0.7210046</c:v>
                </c:pt>
                <c:pt idx="8">
                  <c:v>0.78127849999999999</c:v>
                </c:pt>
                <c:pt idx="9">
                  <c:v>0.83972599999999997</c:v>
                </c:pt>
              </c:numCache>
            </c:numRef>
          </c:xVal>
          <c:yVal>
            <c:numRef>
              <c:f>'k compare'!$F$50:$F$59</c:f>
              <c:numCache>
                <c:formatCode>General</c:formatCode>
                <c:ptCount val="10"/>
                <c:pt idx="0">
                  <c:v>-20.6917733495535</c:v>
                </c:pt>
                <c:pt idx="1">
                  <c:v>-20.20340126151989</c:v>
                </c:pt>
                <c:pt idx="2">
                  <c:v>-19.872005912428513</c:v>
                </c:pt>
                <c:pt idx="3">
                  <c:v>-19.278982669810212</c:v>
                </c:pt>
                <c:pt idx="4">
                  <c:v>-18.633633841646869</c:v>
                </c:pt>
                <c:pt idx="5">
                  <c:v>-17.778982660306163</c:v>
                </c:pt>
                <c:pt idx="6">
                  <c:v>-17.27316870164638</c:v>
                </c:pt>
                <c:pt idx="7">
                  <c:v>-16.401075699959772</c:v>
                </c:pt>
                <c:pt idx="8">
                  <c:v>-15.703401291519762</c:v>
                </c:pt>
                <c:pt idx="9">
                  <c:v>-15.00572685102683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3B-4BB3-AD94-4677A7DAADFF}"/>
            </c:ext>
          </c:extLst>
        </c:ser>
        <c:ser>
          <c:idx val="1"/>
          <c:order val="1"/>
          <c:tx>
            <c:v>Mondol Kaolinite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 compare'!$B$63:$B$69</c:f>
              <c:numCache>
                <c:formatCode>General</c:formatCode>
                <c:ptCount val="7"/>
                <c:pt idx="0">
                  <c:v>0.11278539</c:v>
                </c:pt>
                <c:pt idx="1">
                  <c:v>0.2150685</c:v>
                </c:pt>
                <c:pt idx="2">
                  <c:v>0.31187214000000002</c:v>
                </c:pt>
                <c:pt idx="3">
                  <c:v>0.43242010000000003</c:v>
                </c:pt>
                <c:pt idx="4">
                  <c:v>0.52374428000000006</c:v>
                </c:pt>
                <c:pt idx="5">
                  <c:v>0.67899540000000003</c:v>
                </c:pt>
                <c:pt idx="6">
                  <c:v>0.71917810000000004</c:v>
                </c:pt>
              </c:numCache>
            </c:numRef>
          </c:xVal>
          <c:yVal>
            <c:numRef>
              <c:f>'k compare'!$F$63:$F$69</c:f>
              <c:numCache>
                <c:formatCode>General</c:formatCode>
                <c:ptCount val="7"/>
                <c:pt idx="0">
                  <c:v>-18.005726851026829</c:v>
                </c:pt>
                <c:pt idx="1">
                  <c:v>-17.517354739601828</c:v>
                </c:pt>
                <c:pt idx="2">
                  <c:v>-17.011540798513739</c:v>
                </c:pt>
                <c:pt idx="3">
                  <c:v>-16.401075699959772</c:v>
                </c:pt>
                <c:pt idx="4">
                  <c:v>-15.965029174357827</c:v>
                </c:pt>
                <c:pt idx="5">
                  <c:v>-15.180145479637416</c:v>
                </c:pt>
                <c:pt idx="6">
                  <c:v>-14.988284966028079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3B-4BB3-AD94-4677A7DAADFF}"/>
            </c:ext>
          </c:extLst>
        </c:ser>
        <c:ser>
          <c:idx val="5"/>
          <c:order val="5"/>
          <c:tx>
            <c:v>K5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lbm_kaolinite!$S$24:$S$31</c:f>
              <c:numCache>
                <c:formatCode>General</c:formatCode>
                <c:ptCount val="8"/>
                <c:pt idx="0">
                  <c:v>0.13500000000000001</c:v>
                </c:pt>
                <c:pt idx="1">
                  <c:v>0.20599999999999999</c:v>
                </c:pt>
                <c:pt idx="2">
                  <c:v>0.26800000000000002</c:v>
                </c:pt>
                <c:pt idx="3">
                  <c:v>0.36799999999999999</c:v>
                </c:pt>
                <c:pt idx="4">
                  <c:v>0.48</c:v>
                </c:pt>
                <c:pt idx="5">
                  <c:v>0.58399999999999996</c:v>
                </c:pt>
                <c:pt idx="6">
                  <c:v>0.64100000000000001</c:v>
                </c:pt>
                <c:pt idx="7">
                  <c:v>0.68700000000000006</c:v>
                </c:pt>
              </c:numCache>
            </c:numRef>
          </c:xVal>
          <c:yVal>
            <c:numRef>
              <c:f>lbm_kaolinite!$AN$24:$AN$31</c:f>
              <c:numCache>
                <c:formatCode>General</c:formatCode>
                <c:ptCount val="8"/>
                <c:pt idx="0">
                  <c:v>-18.198304114275153</c:v>
                </c:pt>
                <c:pt idx="1">
                  <c:v>-17.59150903073964</c:v>
                </c:pt>
                <c:pt idx="2">
                  <c:v>-17.168760697954223</c:v>
                </c:pt>
                <c:pt idx="3">
                  <c:v>-16.578987049733815</c:v>
                </c:pt>
                <c:pt idx="4">
                  <c:v>-15.991753368590173</c:v>
                </c:pt>
                <c:pt idx="5">
                  <c:v>-15.460417101735818</c:v>
                </c:pt>
                <c:pt idx="6">
                  <c:v>-15.161197488270158</c:v>
                </c:pt>
                <c:pt idx="7">
                  <c:v>-14.91434558048941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72-4739-9730-5CBDE5196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6112"/>
        <c:axId val="-18390412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k1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(lbm_kaolinite!$S$4,lbm_kaolinite!$S$6)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0.23699999999999999</c:v>
                      </c:pt>
                      <c:pt idx="1">
                        <c:v>0.443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(lbm_kaolinite!$AN$4,lbm_kaolinite!$AN$6)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-16.499242355584443</c:v>
                      </c:pt>
                      <c:pt idx="1">
                        <c:v>-15.357539450547181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53B-4BB3-AD94-4677A7DAADF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KAOLINITE2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lbm_kaolinite!$S$10:$S$13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3.1E-2</c:v>
                      </c:pt>
                      <c:pt idx="1">
                        <c:v>0.16900000000000001</c:v>
                      </c:pt>
                      <c:pt idx="2">
                        <c:v>0.36399999999999999</c:v>
                      </c:pt>
                      <c:pt idx="3">
                        <c:v>0.57499999999999996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lbm_kaolinite!$AN$10:$AN$13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-17.048033355841959</c:v>
                      </c:pt>
                      <c:pt idx="2">
                        <c:v>-15.769025134492544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3B-4BB3-AD94-4677A7DAADF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kaolin4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lbm_kaolinite!$S$18:$S$20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0.182</c:v>
                      </c:pt>
                      <c:pt idx="1">
                        <c:v>0.35699999999999998</c:v>
                      </c:pt>
                      <c:pt idx="2">
                        <c:v>0.45600000000000002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lbm_kaolinite!$AN$18:$AN$20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-17.521240396317076</c:v>
                      </c:pt>
                      <c:pt idx="1">
                        <c:v>-16.368911904461473</c:v>
                      </c:pt>
                      <c:pt idx="2">
                        <c:v>-15.847506026108764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572-4739-9730-5CBDE51962EA}"/>
                  </c:ext>
                </c:extLst>
              </c15:ser>
            </c15:filteredScatterSeries>
          </c:ext>
        </c:extLst>
      </c:scatterChart>
      <c:valAx>
        <c:axId val="-1839046112"/>
        <c:scaling>
          <c:orientation val="minMax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log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041216"/>
        <c:crosses val="autoZero"/>
        <c:crossBetween val="midCat"/>
      </c:valAx>
      <c:valAx>
        <c:axId val="-1839041216"/>
        <c:scaling>
          <c:orientation val="minMax"/>
          <c:max val="-12"/>
          <c:min val="-23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Porosity </a:t>
                </a:r>
              </a:p>
            </c:rich>
          </c:tx>
          <c:layout>
            <c:manualLayout>
              <c:xMode val="edge"/>
              <c:yMode val="edge"/>
              <c:x val="1.0554996416628378E-3"/>
              <c:y val="0.35786561679790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046112"/>
        <c:crosses val="autoZero"/>
        <c:crossBetween val="midCat"/>
      </c:valAx>
      <c:spPr>
        <a:solidFill>
          <a:schemeClr val="bg1">
            <a:alpha val="20000"/>
          </a:schemeClr>
        </a:solidFill>
        <a:ln w="25400" cap="flat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619940937172816"/>
          <c:y val="0.41393414634886622"/>
          <c:w val="0.1806026704614638"/>
          <c:h val="0.43611578186983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8693020437968"/>
          <c:y val="2.5588625150332864E-2"/>
          <c:w val="0.81447121659947663"/>
          <c:h val="0.81781666666666664"/>
        </c:manualLayout>
      </c:layout>
      <c:scatterChart>
        <c:scatterStyle val="smoothMarker"/>
        <c:varyColors val="0"/>
        <c:ser>
          <c:idx val="0"/>
          <c:order val="0"/>
          <c:tx>
            <c:v>Compaction</c:v>
          </c:tx>
          <c:spPr>
            <a:ln w="1270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Plates'!$AL$4:$AL$12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-18.889078975422589</c:v>
                </c:pt>
                <c:pt idx="2">
                  <c:v>-18.264800125426838</c:v>
                </c:pt>
                <c:pt idx="3">
                  <c:v>-17.829428903119158</c:v>
                </c:pt>
                <c:pt idx="4">
                  <c:v>-17.494360165702997</c:v>
                </c:pt>
                <c:pt idx="5">
                  <c:v>-16.991629288091204</c:v>
                </c:pt>
                <c:pt idx="6">
                  <c:v>-16.616982317387592</c:v>
                </c:pt>
                <c:pt idx="7">
                  <c:v>-16.189244240203546</c:v>
                </c:pt>
                <c:pt idx="8">
                  <c:v>-15.763493174533663</c:v>
                </c:pt>
              </c:numCache>
            </c:numRef>
          </c:xVal>
          <c:yVal>
            <c:numRef>
              <c:f>'LBM Large Plates'!$AI$4:$AI$12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7-42AB-B5B8-F0FFE8791392}"/>
            </c:ext>
          </c:extLst>
        </c:ser>
        <c:ser>
          <c:idx val="2"/>
          <c:order val="1"/>
          <c:tx>
            <c:v>Microfracture Network</c:v>
          </c:tx>
          <c:spPr>
            <a:ln w="1270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Plates'!$AL$21:$AL$31</c:f>
              <c:numCache>
                <c:formatCode>General</c:formatCode>
                <c:ptCount val="11"/>
                <c:pt idx="0">
                  <c:v>-19.989514510736544</c:v>
                </c:pt>
                <c:pt idx="1">
                  <c:v>-18.538624729567115</c:v>
                </c:pt>
                <c:pt idx="2">
                  <c:v>-17.71044744796718</c:v>
                </c:pt>
                <c:pt idx="3">
                  <c:v>-16.830659111644863</c:v>
                </c:pt>
                <c:pt idx="4">
                  <c:v>-16.062648349495433</c:v>
                </c:pt>
                <c:pt idx="5">
                  <c:v>-15.683487071996156</c:v>
                </c:pt>
                <c:pt idx="6">
                  <c:v>-15.339703064640089</c:v>
                </c:pt>
                <c:pt idx="7">
                  <c:v>-14.852776342411355</c:v>
                </c:pt>
                <c:pt idx="8">
                  <c:v>-14.396640842983768</c:v>
                </c:pt>
                <c:pt idx="9">
                  <c:v>-14.017975528133856</c:v>
                </c:pt>
                <c:pt idx="10">
                  <c:v>-13.65364766433561</c:v>
                </c:pt>
              </c:numCache>
            </c:numRef>
          </c:xVal>
          <c:yVal>
            <c:numRef>
              <c:f>'LBM Large Plates'!$AI$21:$AI$31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  <c:pt idx="10">
                  <c:v>0.66400000000000003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7-42AB-B5B8-F0FFE8791392}"/>
            </c:ext>
          </c:extLst>
        </c:ser>
        <c:ser>
          <c:idx val="4"/>
          <c:order val="2"/>
          <c:tx>
            <c:v>Fracture propagation</c:v>
          </c:tx>
          <c:spPr>
            <a:ln w="1270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Plates'!$AL$41:$AL$51</c:f>
              <c:numCache>
                <c:formatCode>General</c:formatCode>
                <c:ptCount val="11"/>
                <c:pt idx="0">
                  <c:v>-19.989514510736544</c:v>
                </c:pt>
                <c:pt idx="1">
                  <c:v>-19.759428747206112</c:v>
                </c:pt>
                <c:pt idx="2">
                  <c:v>-19.663538632393678</c:v>
                </c:pt>
                <c:pt idx="3">
                  <c:v>-18.150018822714188</c:v>
                </c:pt>
                <c:pt idx="4">
                  <c:v>-16.96884323976284</c:v>
                </c:pt>
                <c:pt idx="5">
                  <c:v>-15.91101994680103</c:v>
                </c:pt>
                <c:pt idx="6">
                  <c:v>-14.255540325782666</c:v>
                </c:pt>
                <c:pt idx="7">
                  <c:v>-13.866143177245744</c:v>
                </c:pt>
                <c:pt idx="8">
                  <c:v>-13.598428982506459</c:v>
                </c:pt>
                <c:pt idx="9">
                  <c:v>-13.413785750844296</c:v>
                </c:pt>
                <c:pt idx="10">
                  <c:v>-13.288233388470468</c:v>
                </c:pt>
              </c:numCache>
            </c:numRef>
          </c:xVal>
          <c:yVal>
            <c:numRef>
              <c:f>'LBM Large Plates'!$AI$41:$AI$51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0.123</c:v>
                </c:pt>
                <c:pt idx="2">
                  <c:v>0.16700000000000001</c:v>
                </c:pt>
                <c:pt idx="3">
                  <c:v>0.21299999999999999</c:v>
                </c:pt>
                <c:pt idx="4">
                  <c:v>0.252</c:v>
                </c:pt>
                <c:pt idx="5">
                  <c:v>0.318</c:v>
                </c:pt>
                <c:pt idx="6">
                  <c:v>0.36399999999999999</c:v>
                </c:pt>
                <c:pt idx="7">
                  <c:v>0.40699999999999997</c:v>
                </c:pt>
                <c:pt idx="8">
                  <c:v>0.47099999999999997</c:v>
                </c:pt>
                <c:pt idx="9">
                  <c:v>0.54500000000000004</c:v>
                </c:pt>
                <c:pt idx="10">
                  <c:v>0.61599999999999999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07-42AB-B5B8-F0FFE8791392}"/>
            </c:ext>
          </c:extLst>
        </c:ser>
        <c:ser>
          <c:idx val="1"/>
          <c:order val="3"/>
          <c:tx>
            <c:v>Mondol, 2008 - smectite</c:v>
          </c:tx>
          <c:spPr>
            <a:ln w="38100" cap="rnd" cmpd="dbl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 compare'!$F$50:$F$59</c:f>
              <c:numCache>
                <c:formatCode>General</c:formatCode>
                <c:ptCount val="10"/>
                <c:pt idx="0">
                  <c:v>-20.6917733495535</c:v>
                </c:pt>
                <c:pt idx="1">
                  <c:v>-20.20340126151989</c:v>
                </c:pt>
                <c:pt idx="2">
                  <c:v>-19.872005912428513</c:v>
                </c:pt>
                <c:pt idx="3">
                  <c:v>-19.278982669810212</c:v>
                </c:pt>
                <c:pt idx="4">
                  <c:v>-18.633633841646869</c:v>
                </c:pt>
                <c:pt idx="5">
                  <c:v>-17.778982660306163</c:v>
                </c:pt>
                <c:pt idx="6">
                  <c:v>-17.27316870164638</c:v>
                </c:pt>
                <c:pt idx="7">
                  <c:v>-16.401075699959772</c:v>
                </c:pt>
                <c:pt idx="8">
                  <c:v>-15.703401291519762</c:v>
                </c:pt>
                <c:pt idx="9">
                  <c:v>-15.00572685102683</c:v>
                </c:pt>
              </c:numCache>
            </c:numRef>
          </c:xVal>
          <c:yVal>
            <c:numRef>
              <c:f>'k compare'!$B$50:$B$59</c:f>
              <c:numCache>
                <c:formatCode>General</c:formatCode>
                <c:ptCount val="10"/>
                <c:pt idx="0">
                  <c:v>0.34292236000000004</c:v>
                </c:pt>
                <c:pt idx="1">
                  <c:v>0.38493149999999998</c:v>
                </c:pt>
                <c:pt idx="2">
                  <c:v>0.41780823</c:v>
                </c:pt>
                <c:pt idx="3">
                  <c:v>0.46712330000000002</c:v>
                </c:pt>
                <c:pt idx="4">
                  <c:v>0.52374428000000006</c:v>
                </c:pt>
                <c:pt idx="5">
                  <c:v>0.59863014000000003</c:v>
                </c:pt>
                <c:pt idx="6">
                  <c:v>0.64429219999999998</c:v>
                </c:pt>
                <c:pt idx="7">
                  <c:v>0.7210046</c:v>
                </c:pt>
                <c:pt idx="8">
                  <c:v>0.78127849999999999</c:v>
                </c:pt>
                <c:pt idx="9">
                  <c:v>0.83972599999999997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07-42AB-B5B8-F0FFE8791392}"/>
            </c:ext>
          </c:extLst>
        </c:ser>
        <c:ser>
          <c:idx val="3"/>
          <c:order val="4"/>
          <c:tx>
            <c:v>Mondol, 2008 - kaolinite</c:v>
          </c:tx>
          <c:spPr>
            <a:ln w="38100" cap="rnd" cmpd="sng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 compare'!$F$63:$F$69</c:f>
              <c:numCache>
                <c:formatCode>General</c:formatCode>
                <c:ptCount val="7"/>
                <c:pt idx="0">
                  <c:v>-18.005726851026829</c:v>
                </c:pt>
                <c:pt idx="1">
                  <c:v>-17.517354739601828</c:v>
                </c:pt>
                <c:pt idx="2">
                  <c:v>-17.011540798513739</c:v>
                </c:pt>
                <c:pt idx="3">
                  <c:v>-16.401075699959772</c:v>
                </c:pt>
                <c:pt idx="4">
                  <c:v>-15.965029174357827</c:v>
                </c:pt>
                <c:pt idx="5">
                  <c:v>-15.180145479637416</c:v>
                </c:pt>
                <c:pt idx="6">
                  <c:v>-14.988284966028079</c:v>
                </c:pt>
              </c:numCache>
            </c:numRef>
          </c:xVal>
          <c:yVal>
            <c:numRef>
              <c:f>'k compare'!$B$63:$B$69</c:f>
              <c:numCache>
                <c:formatCode>General</c:formatCode>
                <c:ptCount val="7"/>
                <c:pt idx="0">
                  <c:v>0.11278539</c:v>
                </c:pt>
                <c:pt idx="1">
                  <c:v>0.2150685</c:v>
                </c:pt>
                <c:pt idx="2">
                  <c:v>0.31187214000000002</c:v>
                </c:pt>
                <c:pt idx="3">
                  <c:v>0.43242010000000003</c:v>
                </c:pt>
                <c:pt idx="4">
                  <c:v>0.52374428000000006</c:v>
                </c:pt>
                <c:pt idx="5">
                  <c:v>0.67899540000000003</c:v>
                </c:pt>
                <c:pt idx="6">
                  <c:v>0.71917810000000004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07-42AB-B5B8-F0FFE8791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6112"/>
        <c:axId val="-1839041216"/>
        <c:extLst/>
      </c:scatterChart>
      <c:valAx>
        <c:axId val="-1839046112"/>
        <c:scaling>
          <c:orientation val="minMax"/>
          <c:max val="-12"/>
          <c:min val="-23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log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041216"/>
        <c:crossesAt val="0"/>
        <c:crossBetween val="midCat"/>
        <c:majorUnit val="1"/>
      </c:valAx>
      <c:valAx>
        <c:axId val="-1839041216"/>
        <c:scaling>
          <c:orientation val="minMax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Porosity </a:t>
                </a:r>
              </a:p>
            </c:rich>
          </c:tx>
          <c:layout>
            <c:manualLayout>
              <c:xMode val="edge"/>
              <c:yMode val="edge"/>
              <c:x val="1.0554996416628378E-3"/>
              <c:y val="0.35786561679790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046112"/>
        <c:crossesAt val="-23"/>
        <c:crossBetween val="midCat"/>
      </c:valAx>
      <c:spPr>
        <a:solidFill>
          <a:schemeClr val="bg1">
            <a:alpha val="20000"/>
          </a:schemeClr>
        </a:solidFill>
        <a:ln w="25400" cap="flat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379538900216122"/>
          <c:y val="3.9114397555489094E-2"/>
          <c:w val="0.36641966599467951"/>
          <c:h val="0.2777860142420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482120426870941"/>
                  <c:y val="-1.2798420725883551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 compare'!$AG$36:$AG$44</c:f>
              <c:numCache>
                <c:formatCode>General</c:formatCode>
                <c:ptCount val="9"/>
                <c:pt idx="0">
                  <c:v>2.6049289107348692E-18</c:v>
                </c:pt>
                <c:pt idx="1">
                  <c:v>5.786590537546895E-17</c:v>
                </c:pt>
                <c:pt idx="2">
                  <c:v>2.3807524790664166E-16</c:v>
                </c:pt>
                <c:pt idx="3">
                  <c:v>5.9571243303843763E-16</c:v>
                </c:pt>
                <c:pt idx="4">
                  <c:v>1.1702807434730217E-15</c:v>
                </c:pt>
                <c:pt idx="5">
                  <c:v>3.1055282373732605E-15</c:v>
                </c:pt>
                <c:pt idx="6">
                  <c:v>6.2082314297159967E-15</c:v>
                </c:pt>
                <c:pt idx="7">
                  <c:v>1.3475146723625677E-14</c:v>
                </c:pt>
                <c:pt idx="8">
                  <c:v>2.8753773047915474E-14</c:v>
                </c:pt>
              </c:numCache>
            </c:numRef>
          </c:xVal>
          <c:yVal>
            <c:numRef>
              <c:f>'k compare'!$Y$36:$Y$44</c:f>
              <c:numCache>
                <c:formatCode>General</c:formatCode>
                <c:ptCount val="9"/>
                <c:pt idx="0">
                  <c:v>1.0244375510204081E-20</c:v>
                </c:pt>
                <c:pt idx="1">
                  <c:v>1.2909844897959183E-19</c:v>
                </c:pt>
                <c:pt idx="2">
                  <c:v>5.435004081632652E-19</c:v>
                </c:pt>
                <c:pt idx="3">
                  <c:v>1.481054693877551E-18</c:v>
                </c:pt>
                <c:pt idx="4">
                  <c:v>3.2036114285714286E-18</c:v>
                </c:pt>
                <c:pt idx="5">
                  <c:v>1.0194612244897959E-17</c:v>
                </c:pt>
                <c:pt idx="6">
                  <c:v>2.4155591836734693E-17</c:v>
                </c:pt>
                <c:pt idx="7">
                  <c:v>6.4677877551020415E-17</c:v>
                </c:pt>
                <c:pt idx="8">
                  <c:v>1.7238791836734695E-16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2-4127-88D6-FDAD1A4A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57712"/>
        <c:axId val="488959352"/>
      </c:scatterChart>
      <c:valAx>
        <c:axId val="48895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9352"/>
        <c:crosses val="autoZero"/>
        <c:crossBetween val="midCat"/>
      </c:valAx>
      <c:valAx>
        <c:axId val="48895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78493498348924"/>
          <c:y val="9.2025141578018152E-2"/>
          <c:w val="0.82169523790462018"/>
          <c:h val="0.77568090208499285"/>
        </c:manualLayout>
      </c:layout>
      <c:scatterChart>
        <c:scatterStyle val="smoothMarker"/>
        <c:varyColors val="0"/>
        <c:ser>
          <c:idx val="2"/>
          <c:order val="0"/>
          <c:tx>
            <c:v>Compaction</c:v>
          </c:tx>
          <c:spPr>
            <a:ln w="95250" cap="rnd">
              <a:solidFill>
                <a:srgbClr val="00B050"/>
              </a:solidFill>
              <a:round/>
              <a:headEnd type="arrow" w="sm" len="sm"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'LBM Large Plates'!$L$4:$L$12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xVal>
          <c:yVal>
            <c:numRef>
              <c:f>'LBM Large Plates'!$AB$4:$AB$12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2.16</c:v>
                </c:pt>
                <c:pt idx="2">
                  <c:v>2.12</c:v>
                </c:pt>
                <c:pt idx="3">
                  <c:v>2.0699999999999998</c:v>
                </c:pt>
                <c:pt idx="4">
                  <c:v>2.02</c:v>
                </c:pt>
                <c:pt idx="5">
                  <c:v>1.9606052666577154</c:v>
                </c:pt>
                <c:pt idx="6">
                  <c:v>1.8845604953702433</c:v>
                </c:pt>
                <c:pt idx="7">
                  <c:v>1.7932237526435097</c:v>
                </c:pt>
                <c:pt idx="8">
                  <c:v>1.7056621389267095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59-4EA5-B679-AF67BA15C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34792"/>
        <c:axId val="413833808"/>
      </c:scatterChart>
      <c:scatterChart>
        <c:scatterStyle val="lineMarker"/>
        <c:varyColors val="0"/>
        <c:ser>
          <c:idx val="3"/>
          <c:order val="1"/>
          <c:tx>
            <c:v>Microfracture network</c:v>
          </c:tx>
          <c:spPr>
            <a:ln w="95250" cap="rnd">
              <a:solidFill>
                <a:srgbClr val="FF0000"/>
              </a:solidFill>
              <a:round/>
              <a:tailEnd type="arrow" w="sm" len="sm"/>
            </a:ln>
            <a:effectLst/>
          </c:spPr>
          <c:marker>
            <c:symbol val="none"/>
          </c:marker>
          <c:xVal>
            <c:numRef>
              <c:f>'LBM Large Plates'!$L$21:$L$31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  <c:pt idx="10">
                  <c:v>0.66400000000000003</c:v>
                </c:pt>
              </c:numCache>
            </c:numRef>
          </c:xVal>
          <c:yVal>
            <c:numRef>
              <c:f>'LBM Large Plates'!$AB$21:$AB$31</c:f>
              <c:numCache>
                <c:formatCode>General</c:formatCode>
                <c:ptCount val="11"/>
                <c:pt idx="0">
                  <c:v>2.2000000000000002</c:v>
                </c:pt>
                <c:pt idx="1">
                  <c:v>1.1149992972818488</c:v>
                </c:pt>
                <c:pt idx="2">
                  <c:v>1.019882625143806</c:v>
                </c:pt>
                <c:pt idx="3">
                  <c:v>1.0016860106873879</c:v>
                </c:pt>
                <c:pt idx="4">
                  <c:v>1.0001539031959656</c:v>
                </c:pt>
                <c:pt idx="5">
                  <c:v>1.0000450324580563</c:v>
                </c:pt>
                <c:pt idx="6">
                  <c:v>1.00001475687109</c:v>
                </c:pt>
                <c:pt idx="7">
                  <c:v>1.0000029512610547</c:v>
                </c:pt>
                <c:pt idx="8">
                  <c:v>1.0000006678832489</c:v>
                </c:pt>
                <c:pt idx="9">
                  <c:v>1.0000002078051176</c:v>
                </c:pt>
                <c:pt idx="10">
                  <c:v>1.0000000836413137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59-4EA5-B679-AF67BA15CAC3}"/>
            </c:ext>
          </c:extLst>
        </c:ser>
        <c:ser>
          <c:idx val="4"/>
          <c:order val="2"/>
          <c:tx>
            <c:v>Fracture propagation</c:v>
          </c:tx>
          <c:spPr>
            <a:ln w="95250" cap="rnd">
              <a:solidFill>
                <a:srgbClr val="7030A0"/>
              </a:solidFill>
              <a:round/>
              <a:tailEnd type="arrow" w="sm" len="sm"/>
            </a:ln>
            <a:effectLst/>
          </c:spPr>
          <c:marker>
            <c:symbol val="none"/>
          </c:marker>
          <c:xVal>
            <c:numRef>
              <c:f>'LBM Large Plates'!$L$41:$L$52</c:f>
              <c:numCache>
                <c:formatCode>General</c:formatCode>
                <c:ptCount val="12"/>
                <c:pt idx="0">
                  <c:v>7.0000000000000007E-2</c:v>
                </c:pt>
                <c:pt idx="1">
                  <c:v>0.123</c:v>
                </c:pt>
                <c:pt idx="2">
                  <c:v>0.16700000000000001</c:v>
                </c:pt>
                <c:pt idx="3">
                  <c:v>0.21299999999999999</c:v>
                </c:pt>
                <c:pt idx="4">
                  <c:v>0.252</c:v>
                </c:pt>
                <c:pt idx="5">
                  <c:v>0.318</c:v>
                </c:pt>
                <c:pt idx="6">
                  <c:v>0.36399999999999999</c:v>
                </c:pt>
                <c:pt idx="7">
                  <c:v>0.40699999999999997</c:v>
                </c:pt>
                <c:pt idx="8">
                  <c:v>0.47099999999999997</c:v>
                </c:pt>
                <c:pt idx="9">
                  <c:v>0.54500000000000004</c:v>
                </c:pt>
                <c:pt idx="10">
                  <c:v>0.61599999999999999</c:v>
                </c:pt>
                <c:pt idx="11">
                  <c:v>0.67900000000000005</c:v>
                </c:pt>
              </c:numCache>
            </c:numRef>
          </c:xVal>
          <c:yVal>
            <c:numRef>
              <c:f>'LBM Large Plates'!$AB$41:$AB$52</c:f>
              <c:numCache>
                <c:formatCode>General</c:formatCode>
                <c:ptCount val="12"/>
                <c:pt idx="0">
                  <c:v>2.2000000000000002</c:v>
                </c:pt>
                <c:pt idx="1">
                  <c:v>1.4373250428309805</c:v>
                </c:pt>
                <c:pt idx="2">
                  <c:v>1.4176132674385238</c:v>
                </c:pt>
                <c:pt idx="3">
                  <c:v>1.0006659250222989</c:v>
                </c:pt>
                <c:pt idx="4">
                  <c:v>1.000304758176646</c:v>
                </c:pt>
                <c:pt idx="5">
                  <c:v>1.0000000256812074</c:v>
                </c:pt>
                <c:pt idx="6" formatCode="0.00000000000000000000">
                  <c:v>1.0000000000135527</c:v>
                </c:pt>
                <c:pt idx="7">
                  <c:v>1.0000000000024434</c:v>
                </c:pt>
                <c:pt idx="8">
                  <c:v>1.0000000000008078</c:v>
                </c:pt>
                <c:pt idx="9">
                  <c:v>1.0000000000004057</c:v>
                </c:pt>
                <c:pt idx="10">
                  <c:v>1.0000000000002733</c:v>
                </c:pt>
                <c:pt idx="11">
                  <c:v>1.0000000000002185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59-4EA5-B679-AF67BA15C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34792"/>
        <c:axId val="413833808"/>
      </c:scatterChart>
      <c:valAx>
        <c:axId val="41383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33808"/>
        <c:crosses val="autoZero"/>
        <c:crossBetween val="midCat"/>
      </c:valAx>
      <c:valAx>
        <c:axId val="413833808"/>
        <c:scaling>
          <c:orientation val="minMax"/>
          <c:max val="2.4"/>
          <c:min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Vertical Torutosity (T</a:t>
                </a:r>
                <a:r>
                  <a:rPr lang="en-US" sz="1800" b="1">
                    <a:solidFill>
                      <a:sysClr val="windowText" lastClr="000000"/>
                    </a:solidFill>
                  </a:rPr>
                  <a:t>v</a:t>
                </a:r>
                <a:r>
                  <a:rPr lang="en-US" sz="2400" b="1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279466422563477E-2"/>
              <c:y val="0.2854288057421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347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566777548609384"/>
          <c:y val="0.1054492426251903"/>
          <c:w val="0.37263867796450534"/>
          <c:h val="0.17416776252507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776720767046976"/>
                  <c:y val="-4.3839416218392032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'k compare'!$AE$36:$AE$44</c:f>
              <c:numCache>
                <c:formatCode>General</c:formatCode>
                <c:ptCount val="9"/>
                <c:pt idx="0">
                  <c:v>57.659622808893779</c:v>
                </c:pt>
                <c:pt idx="1">
                  <c:v>104.60706980091096</c:v>
                </c:pt>
                <c:pt idx="2">
                  <c:v>104.23333861905165</c:v>
                </c:pt>
                <c:pt idx="3">
                  <c:v>95.710116598143074</c:v>
                </c:pt>
                <c:pt idx="4">
                  <c:v>87.436263959239952</c:v>
                </c:pt>
                <c:pt idx="5">
                  <c:v>79.247293838275496</c:v>
                </c:pt>
                <c:pt idx="6">
                  <c:v>72.365247090754394</c:v>
                </c:pt>
                <c:pt idx="7">
                  <c:v>64.790118951107999</c:v>
                </c:pt>
                <c:pt idx="8">
                  <c:v>57.332647399934778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6-42C8-A0C4-FA21431E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01944"/>
        <c:axId val="494702928"/>
      </c:scatterChart>
      <c:valAx>
        <c:axId val="49470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02928"/>
        <c:crosses val="autoZero"/>
        <c:crossBetween val="midCat"/>
      </c:valAx>
      <c:valAx>
        <c:axId val="4947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0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482120426870941"/>
                  <c:y val="-1.2798420725883551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 compare'!$AG$36:$AG$44</c:f>
              <c:numCache>
                <c:formatCode>General</c:formatCode>
                <c:ptCount val="9"/>
                <c:pt idx="0">
                  <c:v>2.6049289107348692E-18</c:v>
                </c:pt>
                <c:pt idx="1">
                  <c:v>5.786590537546895E-17</c:v>
                </c:pt>
                <c:pt idx="2">
                  <c:v>2.3807524790664166E-16</c:v>
                </c:pt>
                <c:pt idx="3">
                  <c:v>5.9571243303843763E-16</c:v>
                </c:pt>
                <c:pt idx="4">
                  <c:v>1.1702807434730217E-15</c:v>
                </c:pt>
                <c:pt idx="5">
                  <c:v>3.1055282373732605E-15</c:v>
                </c:pt>
                <c:pt idx="6">
                  <c:v>6.2082314297159967E-15</c:v>
                </c:pt>
                <c:pt idx="7">
                  <c:v>1.3475146723625677E-14</c:v>
                </c:pt>
                <c:pt idx="8">
                  <c:v>2.8753773047915474E-14</c:v>
                </c:pt>
              </c:numCache>
            </c:numRef>
          </c:xVal>
          <c:yVal>
            <c:numRef>
              <c:f>'k compare'!$Z$36:$Z$44</c:f>
              <c:numCache>
                <c:formatCode>General</c:formatCode>
                <c:ptCount val="9"/>
                <c:pt idx="0">
                  <c:v>4.0080653061224492E-19</c:v>
                </c:pt>
                <c:pt idx="1">
                  <c:v>5.0094040816326531E-18</c:v>
                </c:pt>
                <c:pt idx="2">
                  <c:v>1.9349746938775508E-17</c:v>
                </c:pt>
                <c:pt idx="3">
                  <c:v>4.7366530612244892E-17</c:v>
                </c:pt>
                <c:pt idx="4">
                  <c:v>9.1849142857142857E-17</c:v>
                </c:pt>
                <c:pt idx="5">
                  <c:v>2.3805126530612247E-16</c:v>
                </c:pt>
                <c:pt idx="6">
                  <c:v>4.6989061224489798E-16</c:v>
                </c:pt>
                <c:pt idx="7">
                  <c:v>9.9571591836734712E-16</c:v>
                </c:pt>
                <c:pt idx="8">
                  <c:v>2.0600522448979589E-15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19-49A6-940D-35F9DA617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57712"/>
        <c:axId val="488959352"/>
      </c:scatterChart>
      <c:valAx>
        <c:axId val="48895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9352"/>
        <c:crosses val="autoZero"/>
        <c:crossBetween val="midCat"/>
      </c:valAx>
      <c:valAx>
        <c:axId val="48895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8693020437968"/>
          <c:y val="2.5588625150332864E-2"/>
          <c:w val="0.81447121659947663"/>
          <c:h val="0.81781666666666664"/>
        </c:manualLayout>
      </c:layout>
      <c:scatterChart>
        <c:scatterStyle val="smoothMarker"/>
        <c:varyColors val="0"/>
        <c:ser>
          <c:idx val="0"/>
          <c:order val="0"/>
          <c:tx>
            <c:v>Compaction</c:v>
          </c:tx>
          <c:spPr>
            <a:ln w="1270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Plates'!$AL$4:$AL$12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-18.889078975422589</c:v>
                </c:pt>
                <c:pt idx="2">
                  <c:v>-18.264800125426838</c:v>
                </c:pt>
                <c:pt idx="3">
                  <c:v>-17.829428903119158</c:v>
                </c:pt>
                <c:pt idx="4">
                  <c:v>-17.494360165702997</c:v>
                </c:pt>
                <c:pt idx="5">
                  <c:v>-16.991629288091204</c:v>
                </c:pt>
                <c:pt idx="6">
                  <c:v>-16.616982317387592</c:v>
                </c:pt>
                <c:pt idx="7">
                  <c:v>-16.189244240203546</c:v>
                </c:pt>
                <c:pt idx="8">
                  <c:v>-15.763493174533663</c:v>
                </c:pt>
              </c:numCache>
            </c:numRef>
          </c:xVal>
          <c:yVal>
            <c:numRef>
              <c:f>'LBM Large Plates'!$AI$4:$AI$12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3-438E-A3F9-4B3C5943DD1E}"/>
            </c:ext>
          </c:extLst>
        </c:ser>
        <c:ser>
          <c:idx val="2"/>
          <c:order val="1"/>
          <c:tx>
            <c:v>Microfracture Network</c:v>
          </c:tx>
          <c:spPr>
            <a:ln w="1270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Plates'!$AL$21:$AL$31</c:f>
              <c:numCache>
                <c:formatCode>General</c:formatCode>
                <c:ptCount val="11"/>
                <c:pt idx="0">
                  <c:v>-19.989514510736544</c:v>
                </c:pt>
                <c:pt idx="1">
                  <c:v>-18.538624729567115</c:v>
                </c:pt>
                <c:pt idx="2">
                  <c:v>-17.71044744796718</c:v>
                </c:pt>
                <c:pt idx="3">
                  <c:v>-16.830659111644863</c:v>
                </c:pt>
                <c:pt idx="4">
                  <c:v>-16.062648349495433</c:v>
                </c:pt>
                <c:pt idx="5">
                  <c:v>-15.683487071996156</c:v>
                </c:pt>
                <c:pt idx="6">
                  <c:v>-15.339703064640089</c:v>
                </c:pt>
                <c:pt idx="7">
                  <c:v>-14.852776342411355</c:v>
                </c:pt>
                <c:pt idx="8">
                  <c:v>-14.396640842983768</c:v>
                </c:pt>
                <c:pt idx="9">
                  <c:v>-14.017975528133856</c:v>
                </c:pt>
                <c:pt idx="10">
                  <c:v>-13.65364766433561</c:v>
                </c:pt>
              </c:numCache>
            </c:numRef>
          </c:xVal>
          <c:yVal>
            <c:numRef>
              <c:f>'LBM Large Plates'!$AI$21:$AI$31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  <c:pt idx="10">
                  <c:v>0.66400000000000003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23-438E-A3F9-4B3C5943DD1E}"/>
            </c:ext>
          </c:extLst>
        </c:ser>
        <c:ser>
          <c:idx val="4"/>
          <c:order val="2"/>
          <c:tx>
            <c:v>Fracture propagation</c:v>
          </c:tx>
          <c:spPr>
            <a:ln w="1270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Plates'!$AL$41:$AL$51</c:f>
              <c:numCache>
                <c:formatCode>General</c:formatCode>
                <c:ptCount val="11"/>
                <c:pt idx="0">
                  <c:v>-19.989514510736544</c:v>
                </c:pt>
                <c:pt idx="1">
                  <c:v>-19.759428747206112</c:v>
                </c:pt>
                <c:pt idx="2">
                  <c:v>-19.663538632393678</c:v>
                </c:pt>
                <c:pt idx="3">
                  <c:v>-18.150018822714188</c:v>
                </c:pt>
                <c:pt idx="4">
                  <c:v>-16.96884323976284</c:v>
                </c:pt>
                <c:pt idx="5">
                  <c:v>-15.91101994680103</c:v>
                </c:pt>
                <c:pt idx="6">
                  <c:v>-14.255540325782666</c:v>
                </c:pt>
                <c:pt idx="7">
                  <c:v>-13.866143177245744</c:v>
                </c:pt>
                <c:pt idx="8">
                  <c:v>-13.598428982506459</c:v>
                </c:pt>
                <c:pt idx="9">
                  <c:v>-13.413785750844296</c:v>
                </c:pt>
                <c:pt idx="10">
                  <c:v>-13.288233388470468</c:v>
                </c:pt>
              </c:numCache>
            </c:numRef>
          </c:xVal>
          <c:yVal>
            <c:numRef>
              <c:f>'LBM Large Plates'!$AI$41:$AI$51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0.123</c:v>
                </c:pt>
                <c:pt idx="2">
                  <c:v>0.16700000000000001</c:v>
                </c:pt>
                <c:pt idx="3">
                  <c:v>0.21299999999999999</c:v>
                </c:pt>
                <c:pt idx="4">
                  <c:v>0.252</c:v>
                </c:pt>
                <c:pt idx="5">
                  <c:v>0.318</c:v>
                </c:pt>
                <c:pt idx="6">
                  <c:v>0.36399999999999999</c:v>
                </c:pt>
                <c:pt idx="7">
                  <c:v>0.40699999999999997</c:v>
                </c:pt>
                <c:pt idx="8">
                  <c:v>0.47099999999999997</c:v>
                </c:pt>
                <c:pt idx="9">
                  <c:v>0.54500000000000004</c:v>
                </c:pt>
                <c:pt idx="10">
                  <c:v>0.61599999999999999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23-438E-A3F9-4B3C5943DD1E}"/>
            </c:ext>
          </c:extLst>
        </c:ser>
        <c:ser>
          <c:idx val="1"/>
          <c:order val="3"/>
          <c:tx>
            <c:v>Mondol, 2008 - smectite</c:v>
          </c:tx>
          <c:spPr>
            <a:ln w="38100" cap="rnd" cmpd="dbl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 compare'!$F$50:$F$59</c:f>
              <c:numCache>
                <c:formatCode>General</c:formatCode>
                <c:ptCount val="10"/>
                <c:pt idx="0">
                  <c:v>-20.6917733495535</c:v>
                </c:pt>
                <c:pt idx="1">
                  <c:v>-20.20340126151989</c:v>
                </c:pt>
                <c:pt idx="2">
                  <c:v>-19.872005912428513</c:v>
                </c:pt>
                <c:pt idx="3">
                  <c:v>-19.278982669810212</c:v>
                </c:pt>
                <c:pt idx="4">
                  <c:v>-18.633633841646869</c:v>
                </c:pt>
                <c:pt idx="5">
                  <c:v>-17.778982660306163</c:v>
                </c:pt>
                <c:pt idx="6">
                  <c:v>-17.27316870164638</c:v>
                </c:pt>
                <c:pt idx="7">
                  <c:v>-16.401075699959772</c:v>
                </c:pt>
                <c:pt idx="8">
                  <c:v>-15.703401291519762</c:v>
                </c:pt>
                <c:pt idx="9">
                  <c:v>-15.00572685102683</c:v>
                </c:pt>
              </c:numCache>
            </c:numRef>
          </c:xVal>
          <c:yVal>
            <c:numRef>
              <c:f>'k compare'!$B$50:$B$59</c:f>
              <c:numCache>
                <c:formatCode>General</c:formatCode>
                <c:ptCount val="10"/>
                <c:pt idx="0">
                  <c:v>0.34292236000000004</c:v>
                </c:pt>
                <c:pt idx="1">
                  <c:v>0.38493149999999998</c:v>
                </c:pt>
                <c:pt idx="2">
                  <c:v>0.41780823</c:v>
                </c:pt>
                <c:pt idx="3">
                  <c:v>0.46712330000000002</c:v>
                </c:pt>
                <c:pt idx="4">
                  <c:v>0.52374428000000006</c:v>
                </c:pt>
                <c:pt idx="5">
                  <c:v>0.59863014000000003</c:v>
                </c:pt>
                <c:pt idx="6">
                  <c:v>0.64429219999999998</c:v>
                </c:pt>
                <c:pt idx="7">
                  <c:v>0.7210046</c:v>
                </c:pt>
                <c:pt idx="8">
                  <c:v>0.78127849999999999</c:v>
                </c:pt>
                <c:pt idx="9">
                  <c:v>0.83972599999999997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23-438E-A3F9-4B3C5943DD1E}"/>
            </c:ext>
          </c:extLst>
        </c:ser>
        <c:ser>
          <c:idx val="3"/>
          <c:order val="4"/>
          <c:tx>
            <c:v>Mondol, 2008 - kaolinite</c:v>
          </c:tx>
          <c:spPr>
            <a:ln w="38100" cap="rnd" cmpd="sng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 compare'!$F$63:$F$69</c:f>
              <c:numCache>
                <c:formatCode>General</c:formatCode>
                <c:ptCount val="7"/>
                <c:pt idx="0">
                  <c:v>-18.005726851026829</c:v>
                </c:pt>
                <c:pt idx="1">
                  <c:v>-17.517354739601828</c:v>
                </c:pt>
                <c:pt idx="2">
                  <c:v>-17.011540798513739</c:v>
                </c:pt>
                <c:pt idx="3">
                  <c:v>-16.401075699959772</c:v>
                </c:pt>
                <c:pt idx="4">
                  <c:v>-15.965029174357827</c:v>
                </c:pt>
                <c:pt idx="5">
                  <c:v>-15.180145479637416</c:v>
                </c:pt>
                <c:pt idx="6">
                  <c:v>-14.988284966028079</c:v>
                </c:pt>
              </c:numCache>
            </c:numRef>
          </c:xVal>
          <c:yVal>
            <c:numRef>
              <c:f>'k compare'!$B$63:$B$69</c:f>
              <c:numCache>
                <c:formatCode>General</c:formatCode>
                <c:ptCount val="7"/>
                <c:pt idx="0">
                  <c:v>0.11278539</c:v>
                </c:pt>
                <c:pt idx="1">
                  <c:v>0.2150685</c:v>
                </c:pt>
                <c:pt idx="2">
                  <c:v>0.31187214000000002</c:v>
                </c:pt>
                <c:pt idx="3">
                  <c:v>0.43242010000000003</c:v>
                </c:pt>
                <c:pt idx="4">
                  <c:v>0.52374428000000006</c:v>
                </c:pt>
                <c:pt idx="5">
                  <c:v>0.67899540000000003</c:v>
                </c:pt>
                <c:pt idx="6">
                  <c:v>0.71917810000000004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23-438E-A3F9-4B3C5943D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6112"/>
        <c:axId val="-1839041216"/>
        <c:extLst/>
      </c:scatterChart>
      <c:valAx>
        <c:axId val="-1839046112"/>
        <c:scaling>
          <c:orientation val="minMax"/>
          <c:max val="-12"/>
          <c:min val="-23"/>
        </c:scaling>
        <c:delete val="1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1839041216"/>
        <c:crossesAt val="0"/>
        <c:crossBetween val="midCat"/>
        <c:majorUnit val="1"/>
      </c:valAx>
      <c:valAx>
        <c:axId val="-1839041216"/>
        <c:scaling>
          <c:orientation val="minMax"/>
        </c:scaling>
        <c:delete val="1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1839046112"/>
        <c:crossesAt val="-23"/>
        <c:crossBetween val="midCat"/>
      </c:valAx>
      <c:spPr>
        <a:solidFill>
          <a:schemeClr val="bg1">
            <a:alpha val="20000"/>
          </a:schemeClr>
        </a:solidFill>
        <a:ln w="25400" cap="flat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379538900216122"/>
          <c:y val="3.9114397555489094E-2"/>
          <c:w val="0.36641966599467951"/>
          <c:h val="0.2777860142420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8693020437968"/>
          <c:y val="2.5588625150332864E-2"/>
          <c:w val="0.81447121659947663"/>
          <c:h val="0.81781666666666664"/>
        </c:manualLayout>
      </c:layout>
      <c:scatterChart>
        <c:scatterStyle val="smoothMarker"/>
        <c:varyColors val="0"/>
        <c:ser>
          <c:idx val="0"/>
          <c:order val="0"/>
          <c:tx>
            <c:v>Mondol smectite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 compare'!$B$50:$B$59</c:f>
              <c:numCache>
                <c:formatCode>General</c:formatCode>
                <c:ptCount val="10"/>
                <c:pt idx="0">
                  <c:v>0.34292236000000004</c:v>
                </c:pt>
                <c:pt idx="1">
                  <c:v>0.38493149999999998</c:v>
                </c:pt>
                <c:pt idx="2">
                  <c:v>0.41780823</c:v>
                </c:pt>
                <c:pt idx="3">
                  <c:v>0.46712330000000002</c:v>
                </c:pt>
                <c:pt idx="4">
                  <c:v>0.52374428000000006</c:v>
                </c:pt>
                <c:pt idx="5">
                  <c:v>0.59863014000000003</c:v>
                </c:pt>
                <c:pt idx="6">
                  <c:v>0.64429219999999998</c:v>
                </c:pt>
                <c:pt idx="7">
                  <c:v>0.7210046</c:v>
                </c:pt>
                <c:pt idx="8">
                  <c:v>0.78127849999999999</c:v>
                </c:pt>
                <c:pt idx="9">
                  <c:v>0.83972599999999997</c:v>
                </c:pt>
              </c:numCache>
            </c:numRef>
          </c:xVal>
          <c:yVal>
            <c:numRef>
              <c:f>'k compare'!$F$50:$F$59</c:f>
              <c:numCache>
                <c:formatCode>General</c:formatCode>
                <c:ptCount val="10"/>
                <c:pt idx="0">
                  <c:v>-20.6917733495535</c:v>
                </c:pt>
                <c:pt idx="1">
                  <c:v>-20.20340126151989</c:v>
                </c:pt>
                <c:pt idx="2">
                  <c:v>-19.872005912428513</c:v>
                </c:pt>
                <c:pt idx="3">
                  <c:v>-19.278982669810212</c:v>
                </c:pt>
                <c:pt idx="4">
                  <c:v>-18.633633841646869</c:v>
                </c:pt>
                <c:pt idx="5">
                  <c:v>-17.778982660306163</c:v>
                </c:pt>
                <c:pt idx="6">
                  <c:v>-17.27316870164638</c:v>
                </c:pt>
                <c:pt idx="7">
                  <c:v>-16.401075699959772</c:v>
                </c:pt>
                <c:pt idx="8">
                  <c:v>-15.703401291519762</c:v>
                </c:pt>
                <c:pt idx="9">
                  <c:v>-15.00572685102683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34-4C23-A5D5-5460AF5D5179}"/>
            </c:ext>
          </c:extLst>
        </c:ser>
        <c:ser>
          <c:idx val="1"/>
          <c:order val="1"/>
          <c:tx>
            <c:v>Mondol Kaolinite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 compare'!$B$63:$B$69</c:f>
              <c:numCache>
                <c:formatCode>General</c:formatCode>
                <c:ptCount val="7"/>
                <c:pt idx="0">
                  <c:v>0.11278539</c:v>
                </c:pt>
                <c:pt idx="1">
                  <c:v>0.2150685</c:v>
                </c:pt>
                <c:pt idx="2">
                  <c:v>0.31187214000000002</c:v>
                </c:pt>
                <c:pt idx="3">
                  <c:v>0.43242010000000003</c:v>
                </c:pt>
                <c:pt idx="4">
                  <c:v>0.52374428000000006</c:v>
                </c:pt>
                <c:pt idx="5">
                  <c:v>0.67899540000000003</c:v>
                </c:pt>
                <c:pt idx="6">
                  <c:v>0.71917810000000004</c:v>
                </c:pt>
              </c:numCache>
            </c:numRef>
          </c:xVal>
          <c:yVal>
            <c:numRef>
              <c:f>'k compare'!$F$63:$F$69</c:f>
              <c:numCache>
                <c:formatCode>General</c:formatCode>
                <c:ptCount val="7"/>
                <c:pt idx="0">
                  <c:v>-18.005726851026829</c:v>
                </c:pt>
                <c:pt idx="1">
                  <c:v>-17.517354739601828</c:v>
                </c:pt>
                <c:pt idx="2">
                  <c:v>-17.011540798513739</c:v>
                </c:pt>
                <c:pt idx="3">
                  <c:v>-16.401075699959772</c:v>
                </c:pt>
                <c:pt idx="4">
                  <c:v>-15.965029174357827</c:v>
                </c:pt>
                <c:pt idx="5">
                  <c:v>-15.180145479637416</c:v>
                </c:pt>
                <c:pt idx="6">
                  <c:v>-14.988284966028079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34-4C23-A5D5-5460AF5D5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6112"/>
        <c:axId val="-1839041216"/>
        <c:extLst/>
      </c:scatterChart>
      <c:valAx>
        <c:axId val="-1839046112"/>
        <c:scaling>
          <c:orientation val="minMax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log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041216"/>
        <c:crosses val="autoZero"/>
        <c:crossBetween val="midCat"/>
      </c:valAx>
      <c:valAx>
        <c:axId val="-1839041216"/>
        <c:scaling>
          <c:orientation val="minMax"/>
          <c:max val="-12"/>
          <c:min val="-23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Porosity </a:t>
                </a:r>
              </a:p>
            </c:rich>
          </c:tx>
          <c:layout>
            <c:manualLayout>
              <c:xMode val="edge"/>
              <c:yMode val="edge"/>
              <c:x val="1.0554996416628378E-3"/>
              <c:y val="0.35786561679790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046112"/>
        <c:crosses val="autoZero"/>
        <c:crossBetween val="midCat"/>
      </c:valAx>
      <c:spPr>
        <a:solidFill>
          <a:schemeClr val="bg1">
            <a:alpha val="20000"/>
          </a:schemeClr>
        </a:solidFill>
        <a:ln w="25400" cap="flat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202821465770374"/>
          <c:y val="0.67751448255612967"/>
          <c:w val="0.2113506885045596"/>
          <c:h val="9.2824263783713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078762029746282"/>
                  <c:y val="9.698162729658793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 Calculations'!$Q$6:$Q$13</c:f>
              <c:numCache>
                <c:formatCode>General</c:formatCode>
                <c:ptCount val="8"/>
                <c:pt idx="0">
                  <c:v>0.18099999999999999</c:v>
                </c:pt>
                <c:pt idx="1">
                  <c:v>0.26900000000000002</c:v>
                </c:pt>
                <c:pt idx="2">
                  <c:v>0.34100000000000003</c:v>
                </c:pt>
                <c:pt idx="3">
                  <c:v>0.40100000000000002</c:v>
                </c:pt>
                <c:pt idx="4">
                  <c:v>0.496</c:v>
                </c:pt>
                <c:pt idx="5">
                  <c:v>0.56599999999999995</c:v>
                </c:pt>
                <c:pt idx="6">
                  <c:v>0.64400000000000002</c:v>
                </c:pt>
                <c:pt idx="7">
                  <c:v>0.71599999999999997</c:v>
                </c:pt>
              </c:numCache>
            </c:numRef>
          </c:xVal>
          <c:yVal>
            <c:numRef>
              <c:f>'SA Calculations'!$AJ$6:$AJ$13</c:f>
              <c:numCache>
                <c:formatCode>General</c:formatCode>
                <c:ptCount val="8"/>
                <c:pt idx="0">
                  <c:v>104.01791864699175</c:v>
                </c:pt>
                <c:pt idx="1">
                  <c:v>99.830468534881476</c:v>
                </c:pt>
                <c:pt idx="2">
                  <c:v>88.335982658186509</c:v>
                </c:pt>
                <c:pt idx="3">
                  <c:v>77.804108017968275</c:v>
                </c:pt>
                <c:pt idx="4">
                  <c:v>65.638339245560772</c:v>
                </c:pt>
                <c:pt idx="5">
                  <c:v>55.889303651518077</c:v>
                </c:pt>
                <c:pt idx="6">
                  <c:v>45.194812564374814</c:v>
                </c:pt>
                <c:pt idx="7">
                  <c:v>35.102728234620479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D-4B1D-8DD9-BE6271CE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959424"/>
        <c:axId val="340964016"/>
      </c:scatterChart>
      <c:valAx>
        <c:axId val="34095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64016"/>
        <c:crosses val="autoZero"/>
        <c:crossBetween val="midCat"/>
      </c:valAx>
      <c:valAx>
        <c:axId val="3409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5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597692086908109"/>
                  <c:y val="4.27329741677027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'YA Analysis'!$J$2:$J$10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xVal>
          <c:yVal>
            <c:numRef>
              <c:f>'YA Analysis'!$AZ$2:$AZ$10</c:f>
              <c:numCache>
                <c:formatCode>General</c:formatCode>
                <c:ptCount val="9"/>
                <c:pt idx="0">
                  <c:v>6.7394756597892574E-18</c:v>
                </c:pt>
                <c:pt idx="1">
                  <c:v>2.0668429271420617E-17</c:v>
                </c:pt>
                <c:pt idx="2">
                  <c:v>1.435605913119794E-16</c:v>
                </c:pt>
                <c:pt idx="3">
                  <c:v>9.5247226536436826E-17</c:v>
                </c:pt>
                <c:pt idx="4">
                  <c:v>3.7505183543675221E-16</c:v>
                </c:pt>
                <c:pt idx="5">
                  <c:v>4.012873161708132E-16</c:v>
                </c:pt>
                <c:pt idx="6">
                  <c:v>3.554846419401369E-16</c:v>
                </c:pt>
                <c:pt idx="7">
                  <c:v>6.1860020165744133E-16</c:v>
                </c:pt>
                <c:pt idx="8">
                  <c:v>5.7492169950402586E-16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48-43D1-AEDA-F3E8FBE9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68280"/>
        <c:axId val="482768608"/>
      </c:scatterChart>
      <c:valAx>
        <c:axId val="48276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68608"/>
        <c:crosses val="autoZero"/>
        <c:crossBetween val="midCat"/>
      </c:valAx>
      <c:valAx>
        <c:axId val="4827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6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194905758993"/>
          <c:y val="2.0871961917469591E-2"/>
          <c:w val="0.79360260087247736"/>
          <c:h val="0.76293163061710356"/>
        </c:manualLayout>
      </c:layout>
      <c:scatterChart>
        <c:scatterStyle val="smoothMarker"/>
        <c:varyColors val="0"/>
        <c:ser>
          <c:idx val="0"/>
          <c:order val="0"/>
          <c:tx>
            <c:v>Isotropic Expansion</c:v>
          </c:tx>
          <c:spPr>
            <a:ln w="1270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Plates'!$AL$4:$AL$12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-18.889078975422589</c:v>
                </c:pt>
                <c:pt idx="2">
                  <c:v>-18.264800125426838</c:v>
                </c:pt>
                <c:pt idx="3">
                  <c:v>-17.829428903119158</c:v>
                </c:pt>
                <c:pt idx="4">
                  <c:v>-17.494360165702997</c:v>
                </c:pt>
                <c:pt idx="5">
                  <c:v>-16.991629288091204</c:v>
                </c:pt>
                <c:pt idx="6">
                  <c:v>-16.616982317387592</c:v>
                </c:pt>
                <c:pt idx="7">
                  <c:v>-16.189244240203546</c:v>
                </c:pt>
                <c:pt idx="8">
                  <c:v>-15.763493174533663</c:v>
                </c:pt>
              </c:numCache>
            </c:numRef>
          </c:xVal>
          <c:yVal>
            <c:numRef>
              <c:f>'LBM Large Plates'!$AI$4:$AI$12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8-40E8-AF58-E9BEED970643}"/>
            </c:ext>
          </c:extLst>
        </c:ser>
        <c:ser>
          <c:idx val="2"/>
          <c:order val="1"/>
          <c:tx>
            <c:v>MF-perpendicular</c:v>
          </c:tx>
          <c:spPr>
            <a:ln w="1270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Plates'!$AL$21:$AL$31</c:f>
              <c:numCache>
                <c:formatCode>General</c:formatCode>
                <c:ptCount val="11"/>
                <c:pt idx="0">
                  <c:v>-19.989514510736544</c:v>
                </c:pt>
                <c:pt idx="1">
                  <c:v>-18.538624729567115</c:v>
                </c:pt>
                <c:pt idx="2">
                  <c:v>-17.71044744796718</c:v>
                </c:pt>
                <c:pt idx="3">
                  <c:v>-16.830659111644863</c:v>
                </c:pt>
                <c:pt idx="4">
                  <c:v>-16.062648349495433</c:v>
                </c:pt>
                <c:pt idx="5">
                  <c:v>-15.683487071996156</c:v>
                </c:pt>
                <c:pt idx="6">
                  <c:v>-15.339703064640089</c:v>
                </c:pt>
                <c:pt idx="7">
                  <c:v>-14.852776342411355</c:v>
                </c:pt>
                <c:pt idx="8">
                  <c:v>-14.396640842983768</c:v>
                </c:pt>
                <c:pt idx="9">
                  <c:v>-14.017975528133856</c:v>
                </c:pt>
                <c:pt idx="10">
                  <c:v>-13.65364766433561</c:v>
                </c:pt>
              </c:numCache>
            </c:numRef>
          </c:xVal>
          <c:yVal>
            <c:numRef>
              <c:f>'LBM Large Plates'!$AI$21:$AI$31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  <c:pt idx="10">
                  <c:v>0.66400000000000003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8-40E8-AF58-E9BEED970643}"/>
            </c:ext>
          </c:extLst>
        </c:ser>
        <c:ser>
          <c:idx val="4"/>
          <c:order val="2"/>
          <c:tx>
            <c:v>Frac-perp</c:v>
          </c:tx>
          <c:spPr>
            <a:ln w="1270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Plates'!$AL$41:$AL$51</c:f>
              <c:numCache>
                <c:formatCode>General</c:formatCode>
                <c:ptCount val="11"/>
                <c:pt idx="0">
                  <c:v>-19.989514510736544</c:v>
                </c:pt>
                <c:pt idx="1">
                  <c:v>-19.759428747206112</c:v>
                </c:pt>
                <c:pt idx="2">
                  <c:v>-19.663538632393678</c:v>
                </c:pt>
                <c:pt idx="3">
                  <c:v>-18.150018822714188</c:v>
                </c:pt>
                <c:pt idx="4">
                  <c:v>-16.96884323976284</c:v>
                </c:pt>
                <c:pt idx="5">
                  <c:v>-15.91101994680103</c:v>
                </c:pt>
                <c:pt idx="6">
                  <c:v>-14.255540325782666</c:v>
                </c:pt>
                <c:pt idx="7">
                  <c:v>-13.866143177245744</c:v>
                </c:pt>
                <c:pt idx="8">
                  <c:v>-13.598428982506459</c:v>
                </c:pt>
                <c:pt idx="9">
                  <c:v>-13.413785750844296</c:v>
                </c:pt>
                <c:pt idx="10">
                  <c:v>-13.288233388470468</c:v>
                </c:pt>
              </c:numCache>
            </c:numRef>
          </c:xVal>
          <c:yVal>
            <c:numRef>
              <c:f>'LBM Large Plates'!$AI$41:$AI$51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0.123</c:v>
                </c:pt>
                <c:pt idx="2">
                  <c:v>0.16700000000000001</c:v>
                </c:pt>
                <c:pt idx="3">
                  <c:v>0.21299999999999999</c:v>
                </c:pt>
                <c:pt idx="4">
                  <c:v>0.252</c:v>
                </c:pt>
                <c:pt idx="5">
                  <c:v>0.318</c:v>
                </c:pt>
                <c:pt idx="6">
                  <c:v>0.36399999999999999</c:v>
                </c:pt>
                <c:pt idx="7">
                  <c:v>0.40699999999999997</c:v>
                </c:pt>
                <c:pt idx="8">
                  <c:v>0.47099999999999997</c:v>
                </c:pt>
                <c:pt idx="9">
                  <c:v>0.54500000000000004</c:v>
                </c:pt>
                <c:pt idx="10">
                  <c:v>0.61599999999999999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78-40E8-AF58-E9BEED970643}"/>
            </c:ext>
          </c:extLst>
        </c:ser>
        <c:ser>
          <c:idx val="1"/>
          <c:order val="3"/>
          <c:tx>
            <c:v>Spheres - Dilation</c:v>
          </c:tx>
          <c:spPr>
            <a:ln w="10160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'LBM Spheres Dilation'!$C$2:$C$9</c:f>
              <c:numCache>
                <c:formatCode>General</c:formatCode>
                <c:ptCount val="8"/>
                <c:pt idx="0">
                  <c:v>-14.047382428905886</c:v>
                </c:pt>
                <c:pt idx="1">
                  <c:v>-13.838025075357539</c:v>
                </c:pt>
                <c:pt idx="2">
                  <c:v>-13.65961648349321</c:v>
                </c:pt>
                <c:pt idx="3">
                  <c:v>-13.507016624885203</c:v>
                </c:pt>
                <c:pt idx="4">
                  <c:v>-13.375626934213798</c:v>
                </c:pt>
                <c:pt idx="5">
                  <c:v>-13.26147267766685</c:v>
                </c:pt>
                <c:pt idx="6">
                  <c:v>-13.161433362440659</c:v>
                </c:pt>
                <c:pt idx="7">
                  <c:v>-13.073014820562193</c:v>
                </c:pt>
              </c:numCache>
            </c:numRef>
          </c:xVal>
          <c:yVal>
            <c:numRef>
              <c:f>'LBM Spheres Dilation'!$A$2:$A$9</c:f>
              <c:numCache>
                <c:formatCode>General</c:formatCode>
                <c:ptCount val="8"/>
                <c:pt idx="0">
                  <c:v>0.47599999999999998</c:v>
                </c:pt>
                <c:pt idx="1">
                  <c:v>0.53600000000000003</c:v>
                </c:pt>
                <c:pt idx="2">
                  <c:v>0.58806999999999998</c:v>
                </c:pt>
                <c:pt idx="3">
                  <c:v>0.63217000000000001</c:v>
                </c:pt>
                <c:pt idx="4">
                  <c:v>0.67</c:v>
                </c:pt>
                <c:pt idx="5">
                  <c:v>0.70299999999999996</c:v>
                </c:pt>
                <c:pt idx="6">
                  <c:v>0.73185</c:v>
                </c:pt>
                <c:pt idx="7">
                  <c:v>0.75600000000000001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78-40E8-AF58-E9BEED97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6112"/>
        <c:axId val="-1839041216"/>
        <c:extLst/>
      </c:scatterChart>
      <c:valAx>
        <c:axId val="-1839046112"/>
        <c:scaling>
          <c:orientation val="minMax"/>
          <c:max val="-12"/>
          <c:min val="-23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log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041216"/>
        <c:crossesAt val="0"/>
        <c:crossBetween val="midCat"/>
        <c:majorUnit val="1"/>
      </c:valAx>
      <c:valAx>
        <c:axId val="-1839041216"/>
        <c:scaling>
          <c:orientation val="minMax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Porosity </a:t>
                </a:r>
              </a:p>
            </c:rich>
          </c:tx>
          <c:layout>
            <c:manualLayout>
              <c:xMode val="edge"/>
              <c:yMode val="edge"/>
              <c:x val="1.0554996416628378E-3"/>
              <c:y val="0.35786561679790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046112"/>
        <c:crossesAt val="-23"/>
        <c:crossBetween val="midCat"/>
      </c:valAx>
      <c:spPr>
        <a:solidFill>
          <a:schemeClr val="bg1">
            <a:alpha val="20000"/>
          </a:schemeClr>
        </a:solidFill>
        <a:ln w="25400" cap="flat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041245757578183"/>
          <c:y val="6.2793376204606788E-2"/>
          <c:w val="0.42312412044268494"/>
          <c:h val="0.32605995679111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95953256165606E-2"/>
          <c:y val="4.4915291242177698E-2"/>
          <c:w val="0.88937253985481102"/>
          <c:h val="0.85281663970652599"/>
        </c:manualLayout>
      </c:layout>
      <c:scatterChart>
        <c:scatterStyle val="smoothMarker"/>
        <c:varyColors val="0"/>
        <c:ser>
          <c:idx val="0"/>
          <c:order val="0"/>
          <c:tx>
            <c:v>kv dilation</c:v>
          </c:tx>
          <c:spPr>
            <a:ln w="1270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LBM_Plates!$V$5:$V$9</c:f>
              <c:numCache>
                <c:formatCode>General</c:formatCode>
                <c:ptCount val="5"/>
                <c:pt idx="0">
                  <c:v>-16.843288851306838</c:v>
                </c:pt>
                <c:pt idx="1">
                  <c:v>-15.701949144704272</c:v>
                </c:pt>
                <c:pt idx="2">
                  <c:v>-15.073309074132718</c:v>
                </c:pt>
                <c:pt idx="3">
                  <c:v>-14.643840718193804</c:v>
                </c:pt>
                <c:pt idx="4">
                  <c:v>-14.319805043033051</c:v>
                </c:pt>
              </c:numCache>
            </c:numRef>
          </c:xVal>
          <c:yVal>
            <c:numRef>
              <c:f>LBM_Plates!$I$5:$I$9</c:f>
              <c:numCache>
                <c:formatCode>General</c:formatCode>
                <c:ptCount val="5"/>
                <c:pt idx="0">
                  <c:v>0.30299999999999999</c:v>
                </c:pt>
                <c:pt idx="1">
                  <c:v>0.56999999999999995</c:v>
                </c:pt>
                <c:pt idx="2">
                  <c:v>0.7</c:v>
                </c:pt>
                <c:pt idx="3">
                  <c:v>0.77600000000000002</c:v>
                </c:pt>
                <c:pt idx="4">
                  <c:v>0.82599999999999996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3B-4FA2-873C-933F0F986C9E}"/>
            </c:ext>
          </c:extLst>
        </c:ser>
        <c:ser>
          <c:idx val="2"/>
          <c:order val="2"/>
          <c:tx>
            <c:v>kv mf parallel</c:v>
          </c:tx>
          <c:spPr>
            <a:ln w="1270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LBM_Plates!$V$11:$V$19</c:f>
              <c:numCache>
                <c:formatCode>General</c:formatCode>
                <c:ptCount val="9"/>
                <c:pt idx="0">
                  <c:v>-16.843288851306838</c:v>
                </c:pt>
                <c:pt idx="1">
                  <c:v>-16.397717489765665</c:v>
                </c:pt>
                <c:pt idx="2">
                  <c:v>-16.118723787715915</c:v>
                </c:pt>
                <c:pt idx="3">
                  <c:v>-15.941147103850556</c:v>
                </c:pt>
                <c:pt idx="4">
                  <c:v>-15.820649317651512</c:v>
                </c:pt>
                <c:pt idx="5">
                  <c:v>-15.732721471762771</c:v>
                </c:pt>
                <c:pt idx="6">
                  <c:v>-15.664255840152238</c:v>
                </c:pt>
                <c:pt idx="7">
                  <c:v>-15.608160613459999</c:v>
                </c:pt>
                <c:pt idx="8">
                  <c:v>-15.560438374883134</c:v>
                </c:pt>
              </c:numCache>
            </c:numRef>
          </c:xVal>
          <c:yVal>
            <c:numRef>
              <c:f>LBM_Plates!$I$11:$I$19</c:f>
              <c:numCache>
                <c:formatCode>General</c:formatCode>
                <c:ptCount val="9"/>
                <c:pt idx="0">
                  <c:v>0.30299999999999999</c:v>
                </c:pt>
                <c:pt idx="1">
                  <c:v>0.44400000000000001</c:v>
                </c:pt>
                <c:pt idx="2">
                  <c:v>0.53600000000000003</c:v>
                </c:pt>
                <c:pt idx="3">
                  <c:v>0.60299999999999998</c:v>
                </c:pt>
                <c:pt idx="4">
                  <c:v>0.65200000000000002</c:v>
                </c:pt>
                <c:pt idx="5">
                  <c:v>0.69099999999999995</c:v>
                </c:pt>
                <c:pt idx="6">
                  <c:v>0.72199999999999998</c:v>
                </c:pt>
                <c:pt idx="7">
                  <c:v>0.747</c:v>
                </c:pt>
                <c:pt idx="8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3B-4FA2-873C-933F0F986C9E}"/>
            </c:ext>
          </c:extLst>
        </c:ser>
        <c:ser>
          <c:idx val="4"/>
          <c:order val="4"/>
          <c:tx>
            <c:v>kv mf perp</c:v>
          </c:tx>
          <c:spPr>
            <a:ln w="1270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LBM_Plates!$V$21:$V$30</c:f>
              <c:numCache>
                <c:formatCode>General</c:formatCode>
                <c:ptCount val="10"/>
                <c:pt idx="0">
                  <c:v>-16.843288851306838</c:v>
                </c:pt>
                <c:pt idx="1">
                  <c:v>-16.26949429167048</c:v>
                </c:pt>
                <c:pt idx="2">
                  <c:v>-15.796754915650913</c:v>
                </c:pt>
                <c:pt idx="3">
                  <c:v>-15.416877772927101</c:v>
                </c:pt>
                <c:pt idx="4">
                  <c:v>-15.106028906321688</c:v>
                </c:pt>
                <c:pt idx="5">
                  <c:v>-14.623336831272956</c:v>
                </c:pt>
                <c:pt idx="6">
                  <c:v>-14.259633362392048</c:v>
                </c:pt>
                <c:pt idx="7">
                  <c:v>-13.970872003719137</c:v>
                </c:pt>
                <c:pt idx="8">
                  <c:v>-13.628623621045774</c:v>
                </c:pt>
                <c:pt idx="9">
                  <c:v>-13.358647370123911</c:v>
                </c:pt>
              </c:numCache>
            </c:numRef>
          </c:xVal>
          <c:yVal>
            <c:numRef>
              <c:f>LBM_Plates!$I$21:$I$30</c:f>
              <c:numCache>
                <c:formatCode>General</c:formatCode>
                <c:ptCount val="10"/>
                <c:pt idx="0">
                  <c:v>0.30299999999999999</c:v>
                </c:pt>
                <c:pt idx="1">
                  <c:v>0.35499999999999998</c:v>
                </c:pt>
                <c:pt idx="2">
                  <c:v>0.4</c:v>
                </c:pt>
                <c:pt idx="3">
                  <c:v>0.441</c:v>
                </c:pt>
                <c:pt idx="4">
                  <c:v>0.47799999999999998</c:v>
                </c:pt>
                <c:pt idx="5">
                  <c:v>0.54300000000000004</c:v>
                </c:pt>
                <c:pt idx="6">
                  <c:v>0.59699999999999998</c:v>
                </c:pt>
                <c:pt idx="7">
                  <c:v>0.64300000000000002</c:v>
                </c:pt>
                <c:pt idx="8">
                  <c:v>0.69899999999999995</c:v>
                </c:pt>
                <c:pt idx="9">
                  <c:v>0.74299999999999999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3B-4FA2-873C-933F0F986C9E}"/>
            </c:ext>
          </c:extLst>
        </c:ser>
        <c:ser>
          <c:idx val="6"/>
          <c:order val="6"/>
          <c:tx>
            <c:v>kv frac parallel</c:v>
          </c:tx>
          <c:spPr>
            <a:ln w="1270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LBM_Plates!$V$32:$V$41</c:f>
              <c:numCache>
                <c:formatCode>General</c:formatCode>
                <c:ptCount val="10"/>
                <c:pt idx="0">
                  <c:v>-16.843288851306838</c:v>
                </c:pt>
                <c:pt idx="1">
                  <c:v>-16.662655567372237</c:v>
                </c:pt>
                <c:pt idx="2">
                  <c:v>-16.573179800036645</c:v>
                </c:pt>
                <c:pt idx="3">
                  <c:v>-16.512805042608605</c:v>
                </c:pt>
                <c:pt idx="4">
                  <c:v>-16.4649148473937</c:v>
                </c:pt>
                <c:pt idx="5">
                  <c:v>-16.387435994296027</c:v>
                </c:pt>
                <c:pt idx="6">
                  <c:v>-16.323704294916357</c:v>
                </c:pt>
                <c:pt idx="7">
                  <c:v>-16.268715508663565</c:v>
                </c:pt>
                <c:pt idx="8">
                  <c:v>-16.220116839162035</c:v>
                </c:pt>
                <c:pt idx="9">
                  <c:v>-16.136891365327813</c:v>
                </c:pt>
              </c:numCache>
            </c:numRef>
          </c:xVal>
          <c:yVal>
            <c:numRef>
              <c:f>LBM_Plates!$I$32:$I$41</c:f>
              <c:numCache>
                <c:formatCode>General</c:formatCode>
                <c:ptCount val="10"/>
                <c:pt idx="0">
                  <c:v>0.30299999999999999</c:v>
                </c:pt>
                <c:pt idx="1">
                  <c:v>0.38200000000000001</c:v>
                </c:pt>
                <c:pt idx="2">
                  <c:v>0.44400000000000001</c:v>
                </c:pt>
                <c:pt idx="3">
                  <c:v>0.49399999999999999</c:v>
                </c:pt>
                <c:pt idx="4">
                  <c:v>0.53600000000000003</c:v>
                </c:pt>
                <c:pt idx="5">
                  <c:v>0.60299999999999998</c:v>
                </c:pt>
                <c:pt idx="6">
                  <c:v>0.65200000000000002</c:v>
                </c:pt>
                <c:pt idx="7">
                  <c:v>0.69099999999999995</c:v>
                </c:pt>
                <c:pt idx="8">
                  <c:v>0.72199999999999998</c:v>
                </c:pt>
                <c:pt idx="9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3B-4FA2-873C-933F0F986C9E}"/>
            </c:ext>
          </c:extLst>
        </c:ser>
        <c:ser>
          <c:idx val="8"/>
          <c:order val="8"/>
          <c:tx>
            <c:v>kv frac perp</c:v>
          </c:tx>
          <c:spPr>
            <a:ln w="1270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LBM_Plates!$V$43:$V$53</c:f>
              <c:numCache>
                <c:formatCode>General</c:formatCode>
                <c:ptCount val="11"/>
                <c:pt idx="0">
                  <c:v>-16.843288851306838</c:v>
                </c:pt>
                <c:pt idx="1">
                  <c:v>-16.762590114549095</c:v>
                </c:pt>
                <c:pt idx="2">
                  <c:v>-16.674642402615188</c:v>
                </c:pt>
                <c:pt idx="3">
                  <c:v>-16.58345934195102</c:v>
                </c:pt>
                <c:pt idx="4">
                  <c:v>-16.034993610718633</c:v>
                </c:pt>
                <c:pt idx="5">
                  <c:v>-14.878779221661393</c:v>
                </c:pt>
                <c:pt idx="6">
                  <c:v>-14.211098403661062</c:v>
                </c:pt>
                <c:pt idx="7">
                  <c:v>-13.775833536139887</c:v>
                </c:pt>
                <c:pt idx="8">
                  <c:v>-12.900152819214766</c:v>
                </c:pt>
                <c:pt idx="9">
                  <c:v>-12.530719349169674</c:v>
                </c:pt>
                <c:pt idx="10">
                  <c:v>-12.341278087312199</c:v>
                </c:pt>
              </c:numCache>
            </c:numRef>
          </c:xVal>
          <c:yVal>
            <c:numRef>
              <c:f>LBM_Plates!$I$43:$I$53</c:f>
              <c:numCache>
                <c:formatCode>General</c:formatCode>
                <c:ptCount val="11"/>
                <c:pt idx="0">
                  <c:v>0.30299999999999999</c:v>
                </c:pt>
                <c:pt idx="1">
                  <c:v>0.316</c:v>
                </c:pt>
                <c:pt idx="2">
                  <c:v>0.34699999999999998</c:v>
                </c:pt>
                <c:pt idx="3">
                  <c:v>0.38400000000000001</c:v>
                </c:pt>
                <c:pt idx="4">
                  <c:v>0.44700000000000001</c:v>
                </c:pt>
                <c:pt idx="5">
                  <c:v>0.499</c:v>
                </c:pt>
                <c:pt idx="6">
                  <c:v>0.52100000000000002</c:v>
                </c:pt>
                <c:pt idx="7">
                  <c:v>0.54100000000000004</c:v>
                </c:pt>
                <c:pt idx="8">
                  <c:v>0.60799999999999998</c:v>
                </c:pt>
                <c:pt idx="9">
                  <c:v>0.65800000000000003</c:v>
                </c:pt>
                <c:pt idx="10">
                  <c:v>0.69599999999999995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3B-4FA2-873C-933F0F986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6112"/>
        <c:axId val="-18390412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kh dilation </c:v>
                </c:tx>
                <c:spPr>
                  <a:ln w="127000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LBM_Plates!$X$5:$X$9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-15.838313133041895</c:v>
                      </c:pt>
                      <c:pt idx="1">
                        <c:v>-14.844711798302795</c:v>
                      </c:pt>
                      <c:pt idx="2">
                        <c:v>-14.324634159052101</c:v>
                      </c:pt>
                      <c:pt idx="3">
                        <c:v>-13.97910653552762</c:v>
                      </c:pt>
                      <c:pt idx="4">
                        <c:v>-13.721238398959347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LBM_Plates!$I$5:$I$9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0.30299999999999999</c:v>
                      </c:pt>
                      <c:pt idx="1">
                        <c:v>0.56999999999999995</c:v>
                      </c:pt>
                      <c:pt idx="2">
                        <c:v>0.7</c:v>
                      </c:pt>
                      <c:pt idx="3">
                        <c:v>0.77600000000000002</c:v>
                      </c:pt>
                      <c:pt idx="4">
                        <c:v>0.82599999999999996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A23B-4FA2-873C-933F0F986C9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kh mf parallel</c:v>
                </c:tx>
                <c:spPr>
                  <a:ln w="12700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LBM_Plates!$X$11:$X$19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-15.838313133041895</c:v>
                      </c:pt>
                      <c:pt idx="1">
                        <c:v>-15.310313850503755</c:v>
                      </c:pt>
                      <c:pt idx="2">
                        <c:v>-14.942048770038632</c:v>
                      </c:pt>
                      <c:pt idx="3">
                        <c:v>-14.669216523450331</c:v>
                      </c:pt>
                      <c:pt idx="4">
                        <c:v>-14.455680757931814</c:v>
                      </c:pt>
                      <c:pt idx="5">
                        <c:v>-14.281568900102275</c:v>
                      </c:pt>
                      <c:pt idx="6">
                        <c:v>-14.135245734666395</c:v>
                      </c:pt>
                      <c:pt idx="7">
                        <c:v>-14.009431402928339</c:v>
                      </c:pt>
                      <c:pt idx="8">
                        <c:v>-13.899317633117629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LBM_Plates!$I$11:$I$19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0.30299999999999999</c:v>
                      </c:pt>
                      <c:pt idx="1">
                        <c:v>0.44400000000000001</c:v>
                      </c:pt>
                      <c:pt idx="2">
                        <c:v>0.53600000000000003</c:v>
                      </c:pt>
                      <c:pt idx="3">
                        <c:v>0.60299999999999998</c:v>
                      </c:pt>
                      <c:pt idx="4">
                        <c:v>0.65200000000000002</c:v>
                      </c:pt>
                      <c:pt idx="5">
                        <c:v>0.69099999999999995</c:v>
                      </c:pt>
                      <c:pt idx="6">
                        <c:v>0.72199999999999998</c:v>
                      </c:pt>
                      <c:pt idx="7">
                        <c:v>0.747</c:v>
                      </c:pt>
                      <c:pt idx="8">
                        <c:v>0.76800000000000002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3B-4FA2-873C-933F0F986C9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kh mf perp</c:v>
                </c:tx>
                <c:spPr>
                  <a:ln w="127000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LBM_Plates!$X$21:$X$30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-15.838313133041895</c:v>
                      </c:pt>
                      <c:pt idx="1">
                        <c:v>-15.600386841733096</c:v>
                      </c:pt>
                      <c:pt idx="2">
                        <c:v>-15.413089345100991</c:v>
                      </c:pt>
                      <c:pt idx="3">
                        <c:v>-15.274445664707336</c:v>
                      </c:pt>
                      <c:pt idx="4">
                        <c:v>-15.16628090178032</c:v>
                      </c:pt>
                      <c:pt idx="5">
                        <c:v>-15.002426874176233</c:v>
                      </c:pt>
                      <c:pt idx="6">
                        <c:v>-14.87867903422185</c:v>
                      </c:pt>
                      <c:pt idx="7">
                        <c:v>-14.778185561003001</c:v>
                      </c:pt>
                      <c:pt idx="8">
                        <c:v>-14.652712440263693</c:v>
                      </c:pt>
                      <c:pt idx="9">
                        <c:v>-14.540758335121918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LBM_Plates!$I$21:$I$30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0.30299999999999999</c:v>
                      </c:pt>
                      <c:pt idx="1">
                        <c:v>0.35499999999999998</c:v>
                      </c:pt>
                      <c:pt idx="2">
                        <c:v>0.4</c:v>
                      </c:pt>
                      <c:pt idx="3">
                        <c:v>0.441</c:v>
                      </c:pt>
                      <c:pt idx="4">
                        <c:v>0.47799999999999998</c:v>
                      </c:pt>
                      <c:pt idx="5">
                        <c:v>0.54300000000000004</c:v>
                      </c:pt>
                      <c:pt idx="6">
                        <c:v>0.59699999999999998</c:v>
                      </c:pt>
                      <c:pt idx="7">
                        <c:v>0.64300000000000002</c:v>
                      </c:pt>
                      <c:pt idx="8">
                        <c:v>0.69899999999999995</c:v>
                      </c:pt>
                      <c:pt idx="9">
                        <c:v>0.74299999999999999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23B-4FA2-873C-933F0F986C9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kh frac parallel</c:v>
                </c:tx>
                <c:spPr>
                  <a:ln w="127000" cap="rnd">
                    <a:solidFill>
                      <a:schemeClr val="accent4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LBM_Plates!$X$32:$X$41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-15.838313133041895</c:v>
                      </c:pt>
                      <c:pt idx="1">
                        <c:v>-15.473508875344928</c:v>
                      </c:pt>
                      <c:pt idx="2">
                        <c:v>-15.129132489995611</c:v>
                      </c:pt>
                      <c:pt idx="3">
                        <c:v>-14.849548287003069</c:v>
                      </c:pt>
                      <c:pt idx="4">
                        <c:v>-14.623361461432561</c:v>
                      </c:pt>
                      <c:pt idx="5">
                        <c:v>-14.278356294717812</c:v>
                      </c:pt>
                      <c:pt idx="6">
                        <c:v>-14.022938627000606</c:v>
                      </c:pt>
                      <c:pt idx="7">
                        <c:v>-13.822330779181483</c:v>
                      </c:pt>
                      <c:pt idx="8">
                        <c:v>-13.658215905214327</c:v>
                      </c:pt>
                      <c:pt idx="9">
                        <c:v>-13.400963426288495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LBM_Plates!$I$32:$I$41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0.30299999999999999</c:v>
                      </c:pt>
                      <c:pt idx="1">
                        <c:v>0.38200000000000001</c:v>
                      </c:pt>
                      <c:pt idx="2">
                        <c:v>0.44400000000000001</c:v>
                      </c:pt>
                      <c:pt idx="3">
                        <c:v>0.49399999999999999</c:v>
                      </c:pt>
                      <c:pt idx="4">
                        <c:v>0.53600000000000003</c:v>
                      </c:pt>
                      <c:pt idx="5">
                        <c:v>0.60299999999999998</c:v>
                      </c:pt>
                      <c:pt idx="6">
                        <c:v>0.65200000000000002</c:v>
                      </c:pt>
                      <c:pt idx="7">
                        <c:v>0.69099999999999995</c:v>
                      </c:pt>
                      <c:pt idx="8">
                        <c:v>0.72199999999999998</c:v>
                      </c:pt>
                      <c:pt idx="9">
                        <c:v>0.76800000000000002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3B-4FA2-873C-933F0F986C9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kh frac perp</c:v>
                </c:tx>
                <c:spPr>
                  <a:ln w="127000" cap="rnd">
                    <a:solidFill>
                      <a:srgbClr val="7030A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LBM_Plates!$X$43:$X$53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-15.838313133041895</c:v>
                      </c:pt>
                      <c:pt idx="1">
                        <c:v>-15.825829669231013</c:v>
                      </c:pt>
                      <c:pt idx="2">
                        <c:v>-15.780153613975639</c:v>
                      </c:pt>
                      <c:pt idx="3">
                        <c:v>-15.706250841158832</c:v>
                      </c:pt>
                      <c:pt idx="4">
                        <c:v>-15.622672799829093</c:v>
                      </c:pt>
                      <c:pt idx="5">
                        <c:v>-15.578996933615848</c:v>
                      </c:pt>
                      <c:pt idx="6">
                        <c:v>-15.55953173017785</c:v>
                      </c:pt>
                      <c:pt idx="7">
                        <c:v>-15.540935618962688</c:v>
                      </c:pt>
                      <c:pt idx="8">
                        <c:v>-15.473938708325219</c:v>
                      </c:pt>
                      <c:pt idx="9">
                        <c:v>-15.416328068870614</c:v>
                      </c:pt>
                      <c:pt idx="10">
                        <c:v>-15.365837732741236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LBM_Plates!$I$43:$I$53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0.30299999999999999</c:v>
                      </c:pt>
                      <c:pt idx="1">
                        <c:v>0.316</c:v>
                      </c:pt>
                      <c:pt idx="2">
                        <c:v>0.34699999999999998</c:v>
                      </c:pt>
                      <c:pt idx="3">
                        <c:v>0.38400000000000001</c:v>
                      </c:pt>
                      <c:pt idx="4">
                        <c:v>0.44700000000000001</c:v>
                      </c:pt>
                      <c:pt idx="5">
                        <c:v>0.499</c:v>
                      </c:pt>
                      <c:pt idx="6">
                        <c:v>0.52100000000000002</c:v>
                      </c:pt>
                      <c:pt idx="7">
                        <c:v>0.54100000000000004</c:v>
                      </c:pt>
                      <c:pt idx="8">
                        <c:v>0.60799999999999998</c:v>
                      </c:pt>
                      <c:pt idx="9">
                        <c:v>0.65800000000000003</c:v>
                      </c:pt>
                      <c:pt idx="10">
                        <c:v>0.69599999999999995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23B-4FA2-873C-933F0F986C9E}"/>
                  </c:ext>
                </c:extLst>
              </c15:ser>
            </c15:filteredScatterSeries>
          </c:ext>
        </c:extLst>
      </c:scatterChart>
      <c:valAx>
        <c:axId val="-1839046112"/>
        <c:scaling>
          <c:orientation val="minMax"/>
          <c:max val="-12"/>
          <c:min val="-23"/>
        </c:scaling>
        <c:delete val="1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crossAx val="-1839041216"/>
        <c:crosses val="autoZero"/>
        <c:crossBetween val="midCat"/>
        <c:majorUnit val="1"/>
      </c:valAx>
      <c:valAx>
        <c:axId val="-1839041216"/>
        <c:scaling>
          <c:orientation val="minMax"/>
        </c:scaling>
        <c:delete val="1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high"/>
        <c:crossAx val="-1839046112"/>
        <c:crosses val="autoZero"/>
        <c:crossBetween val="midCat"/>
      </c:valAx>
      <c:spPr>
        <a:solidFill>
          <a:schemeClr val="bg1"/>
        </a:solidFill>
        <a:ln w="25400" cap="flat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05498915590702E-2"/>
          <c:y val="2.5903334794102301E-2"/>
          <c:w val="0.88030186030031898"/>
          <c:h val="0.83635075418086202"/>
        </c:manualLayout>
      </c:layout>
      <c:scatterChart>
        <c:scatterStyle val="smoothMarker"/>
        <c:varyColors val="0"/>
        <c:ser>
          <c:idx val="4"/>
          <c:order val="0"/>
          <c:tx>
            <c:v> Kv Dilation</c:v>
          </c:tx>
          <c:spPr>
            <a:ln w="15240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LBM_Plates!$I$5:$I$9</c:f>
              <c:numCache>
                <c:formatCode>General</c:formatCode>
                <c:ptCount val="5"/>
                <c:pt idx="0">
                  <c:v>0.30299999999999999</c:v>
                </c:pt>
                <c:pt idx="1">
                  <c:v>0.56999999999999995</c:v>
                </c:pt>
                <c:pt idx="2">
                  <c:v>0.7</c:v>
                </c:pt>
                <c:pt idx="3">
                  <c:v>0.77600000000000002</c:v>
                </c:pt>
                <c:pt idx="4">
                  <c:v>0.82599999999999996</c:v>
                </c:pt>
              </c:numCache>
            </c:numRef>
          </c:xVal>
          <c:yVal>
            <c:numRef>
              <c:f>LBM_Plates!$U$5:$U$9</c:f>
              <c:numCache>
                <c:formatCode>General</c:formatCode>
                <c:ptCount val="5"/>
                <c:pt idx="0">
                  <c:v>1.4535768568243995E-2</c:v>
                </c:pt>
                <c:pt idx="1">
                  <c:v>0.20126937886310667</c:v>
                </c:pt>
                <c:pt idx="2">
                  <c:v>0.85588965447360399</c:v>
                </c:pt>
                <c:pt idx="3">
                  <c:v>2.3008384841422633</c:v>
                </c:pt>
                <c:pt idx="4">
                  <c:v>4.8520113486675438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18-4C0E-A0DF-228C54C6089A}"/>
            </c:ext>
          </c:extLst>
        </c:ser>
        <c:ser>
          <c:idx val="5"/>
          <c:order val="1"/>
          <c:tx>
            <c:v> Kh Dilation</c:v>
          </c:tx>
          <c:spPr>
            <a:ln w="1524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LBM_Plates!$I$5:$I$9</c:f>
              <c:numCache>
                <c:formatCode>General</c:formatCode>
                <c:ptCount val="5"/>
                <c:pt idx="0">
                  <c:v>0.30299999999999999</c:v>
                </c:pt>
                <c:pt idx="1">
                  <c:v>0.56999999999999995</c:v>
                </c:pt>
                <c:pt idx="2">
                  <c:v>0.7</c:v>
                </c:pt>
                <c:pt idx="3">
                  <c:v>0.77600000000000002</c:v>
                </c:pt>
                <c:pt idx="4">
                  <c:v>0.82599999999999996</c:v>
                </c:pt>
              </c:numCache>
            </c:numRef>
          </c:xVal>
          <c:yVal>
            <c:numRef>
              <c:f>LBM_Plates!$W$5:$W$9</c:f>
              <c:numCache>
                <c:formatCode>General</c:formatCode>
                <c:ptCount val="5"/>
                <c:pt idx="0">
                  <c:v>0.14703262741919138</c:v>
                </c:pt>
                <c:pt idx="1">
                  <c:v>1.4488220691052791</c:v>
                </c:pt>
                <c:pt idx="2">
                  <c:v>4.7983584963015504</c:v>
                </c:pt>
                <c:pt idx="3">
                  <c:v>10.632130914986321</c:v>
                </c:pt>
                <c:pt idx="4">
                  <c:v>19.252558516567024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18-4C0E-A0DF-228C54C60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2304"/>
        <c:axId val="-1839040128"/>
      </c:scatterChart>
      <c:valAx>
        <c:axId val="-1839042304"/>
        <c:scaling>
          <c:orientation val="minMax"/>
          <c:max val="0.85"/>
          <c:min val="0.25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Porosity</a:t>
                </a:r>
                <a:r>
                  <a:rPr lang="en-US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Φ</a:t>
                </a:r>
                <a:r>
                  <a:rPr lang="en-US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36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69350352442647"/>
              <c:y val="0.9359575905794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39040128"/>
        <c:crosses val="autoZero"/>
        <c:crossBetween val="midCat"/>
        <c:majorUnit val="0.1"/>
      </c:valAx>
      <c:valAx>
        <c:axId val="-1839040128"/>
        <c:scaling>
          <c:orientation val="minMax"/>
          <c:max val="25"/>
          <c:min val="1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Permeability (mD)</a:t>
                </a:r>
              </a:p>
            </c:rich>
          </c:tx>
          <c:layout>
            <c:manualLayout>
              <c:xMode val="edge"/>
              <c:yMode val="edge"/>
              <c:x val="1.52420094462688E-2"/>
              <c:y val="0.24887623517437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39042304"/>
        <c:crosses val="autoZero"/>
        <c:crossBetween val="midCat"/>
        <c:majorUnit val="5"/>
      </c:valAx>
      <c:spPr>
        <a:solidFill>
          <a:schemeClr val="bg1"/>
        </a:solidFill>
        <a:ln w="25400" cap="flat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3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3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2682325520120799"/>
          <c:y val="0.13842228585704799"/>
          <c:w val="0.19959374481131301"/>
          <c:h val="0.46192108005784699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242924683555304E-2"/>
          <c:y val="2.1843936714239998E-2"/>
          <c:w val="0.88416808048152795"/>
          <c:h val="0.83530431360888002"/>
        </c:manualLayout>
      </c:layout>
      <c:scatterChart>
        <c:scatterStyle val="smoothMarker"/>
        <c:varyColors val="0"/>
        <c:ser>
          <c:idx val="4"/>
          <c:order val="0"/>
          <c:tx>
            <c:v> Kv microfractures parallel to beds</c:v>
          </c:tx>
          <c:spPr>
            <a:ln w="152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LBM_Plates!$I$11:$I$19</c:f>
              <c:numCache>
                <c:formatCode>General</c:formatCode>
                <c:ptCount val="9"/>
                <c:pt idx="0">
                  <c:v>0.30299999999999999</c:v>
                </c:pt>
                <c:pt idx="1">
                  <c:v>0.44400000000000001</c:v>
                </c:pt>
                <c:pt idx="2">
                  <c:v>0.53600000000000003</c:v>
                </c:pt>
                <c:pt idx="3">
                  <c:v>0.60299999999999998</c:v>
                </c:pt>
                <c:pt idx="4">
                  <c:v>0.65200000000000002</c:v>
                </c:pt>
                <c:pt idx="5">
                  <c:v>0.69099999999999995</c:v>
                </c:pt>
                <c:pt idx="6">
                  <c:v>0.72199999999999998</c:v>
                </c:pt>
                <c:pt idx="7">
                  <c:v>0.747</c:v>
                </c:pt>
                <c:pt idx="8">
                  <c:v>0.76800000000000002</c:v>
                </c:pt>
              </c:numCache>
            </c:numRef>
          </c:xVal>
          <c:yVal>
            <c:numRef>
              <c:f>LBM_Plates!$U$11:$U$19</c:f>
              <c:numCache>
                <c:formatCode>General</c:formatCode>
                <c:ptCount val="9"/>
                <c:pt idx="0">
                  <c:v>1.4535768568243995E-2</c:v>
                </c:pt>
                <c:pt idx="1">
                  <c:v>4.0551727631978916E-2</c:v>
                </c:pt>
                <c:pt idx="2">
                  <c:v>7.7090890667747478E-2</c:v>
                </c:pt>
                <c:pt idx="3">
                  <c:v>0.1160325260918026</c:v>
                </c:pt>
                <c:pt idx="4">
                  <c:v>0.15313608268314924</c:v>
                </c:pt>
                <c:pt idx="5">
                  <c:v>0.18750177322930386</c:v>
                </c:pt>
                <c:pt idx="6">
                  <c:v>0.21951844158476033</c:v>
                </c:pt>
                <c:pt idx="7">
                  <c:v>0.24978493261728646</c:v>
                </c:pt>
                <c:pt idx="8">
                  <c:v>0.27879724389502475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EA-4ED8-8261-277B7B54E305}"/>
            </c:ext>
          </c:extLst>
        </c:ser>
        <c:ser>
          <c:idx val="5"/>
          <c:order val="1"/>
          <c:tx>
            <c:v> Kh microfractures parallel to beds</c:v>
          </c:tx>
          <c:spPr>
            <a:ln w="152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LBM_Plates!$I$11:$I$19</c:f>
              <c:numCache>
                <c:formatCode>General</c:formatCode>
                <c:ptCount val="9"/>
                <c:pt idx="0">
                  <c:v>0.30299999999999999</c:v>
                </c:pt>
                <c:pt idx="1">
                  <c:v>0.44400000000000001</c:v>
                </c:pt>
                <c:pt idx="2">
                  <c:v>0.53600000000000003</c:v>
                </c:pt>
                <c:pt idx="3">
                  <c:v>0.60299999999999998</c:v>
                </c:pt>
                <c:pt idx="4">
                  <c:v>0.65200000000000002</c:v>
                </c:pt>
                <c:pt idx="5">
                  <c:v>0.69099999999999995</c:v>
                </c:pt>
                <c:pt idx="6">
                  <c:v>0.72199999999999998</c:v>
                </c:pt>
                <c:pt idx="7">
                  <c:v>0.747</c:v>
                </c:pt>
                <c:pt idx="8">
                  <c:v>0.76800000000000002</c:v>
                </c:pt>
              </c:numCache>
            </c:numRef>
          </c:xVal>
          <c:yVal>
            <c:numRef>
              <c:f>LBM_Plates!$W$11:$W$19</c:f>
              <c:numCache>
                <c:formatCode>General</c:formatCode>
                <c:ptCount val="9"/>
                <c:pt idx="0">
                  <c:v>0.14703262741919138</c:v>
                </c:pt>
                <c:pt idx="1">
                  <c:v>0.49592157260107411</c:v>
                </c:pt>
                <c:pt idx="2">
                  <c:v>1.1579187354341878</c:v>
                </c:pt>
                <c:pt idx="3">
                  <c:v>2.1702528118350388</c:v>
                </c:pt>
                <c:pt idx="4">
                  <c:v>3.54851048738474</c:v>
                </c:pt>
                <c:pt idx="5">
                  <c:v>5.2985611510791371</c:v>
                </c:pt>
                <c:pt idx="6">
                  <c:v>7.4213192826020862</c:v>
                </c:pt>
                <c:pt idx="7">
                  <c:v>9.9150623163441072</c:v>
                </c:pt>
                <c:pt idx="8">
                  <c:v>12.776421116627821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EA-4ED8-8261-277B7B54E305}"/>
            </c:ext>
          </c:extLst>
        </c:ser>
        <c:ser>
          <c:idx val="6"/>
          <c:order val="2"/>
          <c:tx>
            <c:v> Kv microfractures pependicular to beds</c:v>
          </c:tx>
          <c:spPr>
            <a:ln w="152400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LBM_Plates!$I$21:$I$30</c:f>
              <c:numCache>
                <c:formatCode>General</c:formatCode>
                <c:ptCount val="10"/>
                <c:pt idx="0">
                  <c:v>0.30299999999999999</c:v>
                </c:pt>
                <c:pt idx="1">
                  <c:v>0.35499999999999998</c:v>
                </c:pt>
                <c:pt idx="2">
                  <c:v>0.4</c:v>
                </c:pt>
                <c:pt idx="3">
                  <c:v>0.441</c:v>
                </c:pt>
                <c:pt idx="4">
                  <c:v>0.47799999999999998</c:v>
                </c:pt>
                <c:pt idx="5">
                  <c:v>0.54300000000000004</c:v>
                </c:pt>
                <c:pt idx="6">
                  <c:v>0.59699999999999998</c:v>
                </c:pt>
                <c:pt idx="7">
                  <c:v>0.64300000000000002</c:v>
                </c:pt>
                <c:pt idx="8">
                  <c:v>0.69899999999999995</c:v>
                </c:pt>
                <c:pt idx="9">
                  <c:v>0.74299999999999999</c:v>
                </c:pt>
              </c:numCache>
            </c:numRef>
          </c:xVal>
          <c:yVal>
            <c:numRef>
              <c:f>LBM_Plates!$U$21:$U$30</c:f>
              <c:numCache>
                <c:formatCode>General</c:formatCode>
                <c:ptCount val="10"/>
                <c:pt idx="0">
                  <c:v>1.4535768568243995E-2</c:v>
                </c:pt>
                <c:pt idx="1">
                  <c:v>5.4479430540074973E-2</c:v>
                </c:pt>
                <c:pt idx="2">
                  <c:v>0.16179754787719119</c:v>
                </c:pt>
                <c:pt idx="3">
                  <c:v>0.38801550309048533</c:v>
                </c:pt>
                <c:pt idx="4">
                  <c:v>0.79377596514337823</c:v>
                </c:pt>
                <c:pt idx="5">
                  <c:v>2.4120706251899882</c:v>
                </c:pt>
                <c:pt idx="6">
                  <c:v>5.5730570473198897</c:v>
                </c:pt>
                <c:pt idx="7">
                  <c:v>10.835646975377442</c:v>
                </c:pt>
                <c:pt idx="8">
                  <c:v>23.828858040328296</c:v>
                </c:pt>
                <c:pt idx="9">
                  <c:v>44.368983686290406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EA-4ED8-8261-277B7B54E305}"/>
            </c:ext>
          </c:extLst>
        </c:ser>
        <c:ser>
          <c:idx val="7"/>
          <c:order val="3"/>
          <c:tx>
            <c:v> Kh microfractures perpendicular to beds</c:v>
          </c:tx>
          <c:spPr>
            <a:ln w="15240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LBM_Plates!$I$21:$I$30</c:f>
              <c:numCache>
                <c:formatCode>General</c:formatCode>
                <c:ptCount val="10"/>
                <c:pt idx="0">
                  <c:v>0.30299999999999999</c:v>
                </c:pt>
                <c:pt idx="1">
                  <c:v>0.35499999999999998</c:v>
                </c:pt>
                <c:pt idx="2">
                  <c:v>0.4</c:v>
                </c:pt>
                <c:pt idx="3">
                  <c:v>0.441</c:v>
                </c:pt>
                <c:pt idx="4">
                  <c:v>0.47799999999999998</c:v>
                </c:pt>
                <c:pt idx="5">
                  <c:v>0.54300000000000004</c:v>
                </c:pt>
                <c:pt idx="6">
                  <c:v>0.59699999999999998</c:v>
                </c:pt>
                <c:pt idx="7">
                  <c:v>0.64300000000000002</c:v>
                </c:pt>
                <c:pt idx="8">
                  <c:v>0.69899999999999995</c:v>
                </c:pt>
                <c:pt idx="9">
                  <c:v>0.74299999999999999</c:v>
                </c:pt>
              </c:numCache>
            </c:numRef>
          </c:xVal>
          <c:yVal>
            <c:numRef>
              <c:f>LBM_Plates!$W$21:$W$30</c:f>
              <c:numCache>
                <c:formatCode>General</c:formatCode>
                <c:ptCount val="10"/>
                <c:pt idx="0">
                  <c:v>0.14703262741919138</c:v>
                </c:pt>
                <c:pt idx="1">
                  <c:v>0.25429628128483128</c:v>
                </c:pt>
                <c:pt idx="2">
                  <c:v>0.39141503698449692</c:v>
                </c:pt>
                <c:pt idx="3">
                  <c:v>0.53861840105380476</c:v>
                </c:pt>
                <c:pt idx="4">
                  <c:v>0.69094893099604804</c:v>
                </c:pt>
                <c:pt idx="5">
                  <c:v>1.0076274191914072</c:v>
                </c:pt>
                <c:pt idx="6">
                  <c:v>1.3398241969804434</c:v>
                </c:pt>
                <c:pt idx="7">
                  <c:v>1.6886563988246022</c:v>
                </c:pt>
                <c:pt idx="8">
                  <c:v>2.2543140135778699</c:v>
                </c:pt>
                <c:pt idx="9">
                  <c:v>2.9172155233559627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EA-4ED8-8261-277B7B54E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2860480"/>
        <c:axId val="-1632858304"/>
      </c:scatterChart>
      <c:valAx>
        <c:axId val="-1632860480"/>
        <c:scaling>
          <c:orientation val="minMax"/>
          <c:max val="0.85"/>
          <c:min val="0.25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Porosity (</a:t>
                </a:r>
                <a:r>
                  <a:rPr lang="el-GR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Φ</a:t>
                </a:r>
                <a:r>
                  <a:rPr lang="en-US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46513061494652902"/>
              <c:y val="0.93546085434363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32858304"/>
        <c:crosses val="autoZero"/>
        <c:crossBetween val="midCat"/>
        <c:majorUnit val="0.1"/>
      </c:valAx>
      <c:valAx>
        <c:axId val="-1632858304"/>
        <c:scaling>
          <c:orientation val="minMax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Permeability (mD)</a:t>
                </a:r>
              </a:p>
            </c:rich>
          </c:tx>
          <c:layout>
            <c:manualLayout>
              <c:xMode val="edge"/>
              <c:yMode val="edge"/>
              <c:x val="7.6902807186067399E-3"/>
              <c:y val="0.244872996213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32860480"/>
        <c:crosses val="autoZero"/>
        <c:crossBetween val="midCat"/>
        <c:majorUnit val="10"/>
      </c:valAx>
      <c:spPr>
        <a:solidFill>
          <a:schemeClr val="bg1"/>
        </a:solidFill>
        <a:ln w="25400" cap="flat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3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3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3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en-US" sz="3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2908517282207499"/>
          <c:y val="0.10476921029050699"/>
          <c:w val="0.48581461734875903"/>
          <c:h val="0.50330896462101504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910847268927193E-2"/>
          <c:y val="2.0871961917469591E-2"/>
          <c:w val="0.88937253985481102"/>
          <c:h val="0.85281663970652599"/>
        </c:manualLayout>
      </c:layout>
      <c:scatterChart>
        <c:scatterStyle val="smoothMarker"/>
        <c:varyColors val="0"/>
        <c:ser>
          <c:idx val="0"/>
          <c:order val="0"/>
          <c:tx>
            <c:v>Dilation</c:v>
          </c:tx>
          <c:spPr>
            <a:ln w="1270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Plates'!$AL$4:$AL$12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-18.889078975422589</c:v>
                </c:pt>
                <c:pt idx="2">
                  <c:v>-18.264800125426838</c:v>
                </c:pt>
                <c:pt idx="3">
                  <c:v>-17.829428903119158</c:v>
                </c:pt>
                <c:pt idx="4">
                  <c:v>-17.494360165702997</c:v>
                </c:pt>
                <c:pt idx="5">
                  <c:v>-16.991629288091204</c:v>
                </c:pt>
                <c:pt idx="6">
                  <c:v>-16.616982317387592</c:v>
                </c:pt>
                <c:pt idx="7">
                  <c:v>-16.189244240203546</c:v>
                </c:pt>
                <c:pt idx="8">
                  <c:v>-15.763493174533663</c:v>
                </c:pt>
              </c:numCache>
            </c:numRef>
          </c:xVal>
          <c:yVal>
            <c:numRef>
              <c:f>'LBM Large Plates'!$AI$4:$AI$12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1B-4C4B-9B6A-E428C96B6E7A}"/>
            </c:ext>
          </c:extLst>
        </c:ser>
        <c:ser>
          <c:idx val="1"/>
          <c:order val="1"/>
          <c:tx>
            <c:v>MF-parallel</c:v>
          </c:tx>
          <c:spPr>
            <a:ln w="1270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Plates'!$AL$13:$AL$20</c:f>
              <c:numCache>
                <c:formatCode>General</c:formatCode>
                <c:ptCount val="8"/>
                <c:pt idx="0">
                  <c:v>-19.989514510736544</c:v>
                </c:pt>
                <c:pt idx="1">
                  <c:v>-19.23523420485148</c:v>
                </c:pt>
                <c:pt idx="2">
                  <c:v>-18.963410208542474</c:v>
                </c:pt>
                <c:pt idx="3">
                  <c:v>-18.846670298748741</c:v>
                </c:pt>
                <c:pt idx="4">
                  <c:v>-18.697190389178008</c:v>
                </c:pt>
                <c:pt idx="5">
                  <c:v>-18.645737228238172</c:v>
                </c:pt>
                <c:pt idx="6">
                  <c:v>-18.558034277924779</c:v>
                </c:pt>
                <c:pt idx="7">
                  <c:v>-18.487036079799676</c:v>
                </c:pt>
              </c:numCache>
            </c:numRef>
          </c:xVal>
          <c:yVal>
            <c:numRef>
              <c:f>'LBM Large Plates'!$AI$13:$AI$20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0.17399999999999999</c:v>
                </c:pt>
                <c:pt idx="2">
                  <c:v>0.25600000000000001</c:v>
                </c:pt>
                <c:pt idx="3">
                  <c:v>0.32400000000000001</c:v>
                </c:pt>
                <c:pt idx="4">
                  <c:v>0.42799999999999999</c:v>
                </c:pt>
                <c:pt idx="5">
                  <c:v>0.504</c:v>
                </c:pt>
                <c:pt idx="6">
                  <c:v>0.58699999999999997</c:v>
                </c:pt>
                <c:pt idx="7">
                  <c:v>0.64600000000000002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1B-4C4B-9B6A-E428C96B6E7A}"/>
            </c:ext>
          </c:extLst>
        </c:ser>
        <c:ser>
          <c:idx val="2"/>
          <c:order val="2"/>
          <c:tx>
            <c:v>MF-perpendicular</c:v>
          </c:tx>
          <c:spPr>
            <a:ln w="1270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Plates'!$AL$21:$AL$31</c:f>
              <c:numCache>
                <c:formatCode>General</c:formatCode>
                <c:ptCount val="11"/>
                <c:pt idx="0">
                  <c:v>-19.989514510736544</c:v>
                </c:pt>
                <c:pt idx="1">
                  <c:v>-18.538624729567115</c:v>
                </c:pt>
                <c:pt idx="2">
                  <c:v>-17.71044744796718</c:v>
                </c:pt>
                <c:pt idx="3">
                  <c:v>-16.830659111644863</c:v>
                </c:pt>
                <c:pt idx="4">
                  <c:v>-16.062648349495433</c:v>
                </c:pt>
                <c:pt idx="5">
                  <c:v>-15.683487071996156</c:v>
                </c:pt>
                <c:pt idx="6">
                  <c:v>-15.339703064640089</c:v>
                </c:pt>
                <c:pt idx="7">
                  <c:v>-14.852776342411355</c:v>
                </c:pt>
                <c:pt idx="8">
                  <c:v>-14.396640842983768</c:v>
                </c:pt>
                <c:pt idx="9">
                  <c:v>-14.017975528133856</c:v>
                </c:pt>
                <c:pt idx="10">
                  <c:v>-13.65364766433561</c:v>
                </c:pt>
              </c:numCache>
            </c:numRef>
          </c:xVal>
          <c:yVal>
            <c:numRef>
              <c:f>'LBM Large Plates'!$AI$21:$AI$31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  <c:pt idx="10">
                  <c:v>0.66400000000000003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1B-4C4B-9B6A-E428C96B6E7A}"/>
            </c:ext>
          </c:extLst>
        </c:ser>
        <c:ser>
          <c:idx val="3"/>
          <c:order val="3"/>
          <c:tx>
            <c:v>Frac-parallel</c:v>
          </c:tx>
          <c:spPr>
            <a:ln w="1270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Plates'!$AL$32:$AL$40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-19.644153785693138</c:v>
                </c:pt>
                <c:pt idx="2">
                  <c:v>-19.528739430864334</c:v>
                </c:pt>
                <c:pt idx="3">
                  <c:v>-19.366988546327779</c:v>
                </c:pt>
                <c:pt idx="4">
                  <c:v>-19.237884511832817</c:v>
                </c:pt>
                <c:pt idx="5">
                  <c:v>-19.104933930533488</c:v>
                </c:pt>
                <c:pt idx="6">
                  <c:v>-18.956876812168758</c:v>
                </c:pt>
                <c:pt idx="7">
                  <c:v>-18.813242410592011</c:v>
                </c:pt>
                <c:pt idx="8">
                  <c:v>-18.716773375905827</c:v>
                </c:pt>
              </c:numCache>
            </c:numRef>
          </c:xVal>
          <c:yVal>
            <c:numRef>
              <c:f>'LBM Large Plates'!$AI$32:$AI$40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0.17399999999999999</c:v>
                </c:pt>
                <c:pt idx="2">
                  <c:v>0.25600000000000001</c:v>
                </c:pt>
                <c:pt idx="3">
                  <c:v>0.35299999999999998</c:v>
                </c:pt>
                <c:pt idx="4">
                  <c:v>0.42799999999999999</c:v>
                </c:pt>
                <c:pt idx="5">
                  <c:v>0.504</c:v>
                </c:pt>
                <c:pt idx="6">
                  <c:v>0.58699999999999997</c:v>
                </c:pt>
                <c:pt idx="7">
                  <c:v>0.66200000000000003</c:v>
                </c:pt>
                <c:pt idx="8">
                  <c:v>0.70799999999999996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1B-4C4B-9B6A-E428C96B6E7A}"/>
            </c:ext>
          </c:extLst>
        </c:ser>
        <c:ser>
          <c:idx val="4"/>
          <c:order val="4"/>
          <c:tx>
            <c:v>Frac-perp</c:v>
          </c:tx>
          <c:spPr>
            <a:ln w="1270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Plates'!$AL$41:$AL$51</c:f>
              <c:numCache>
                <c:formatCode>General</c:formatCode>
                <c:ptCount val="11"/>
                <c:pt idx="0">
                  <c:v>-19.989514510736544</c:v>
                </c:pt>
                <c:pt idx="1">
                  <c:v>-19.759428747206112</c:v>
                </c:pt>
                <c:pt idx="2">
                  <c:v>-19.663538632393678</c:v>
                </c:pt>
                <c:pt idx="3">
                  <c:v>-18.150018822714188</c:v>
                </c:pt>
                <c:pt idx="4">
                  <c:v>-16.96884323976284</c:v>
                </c:pt>
                <c:pt idx="5">
                  <c:v>-15.91101994680103</c:v>
                </c:pt>
                <c:pt idx="6">
                  <c:v>-14.255540325782666</c:v>
                </c:pt>
                <c:pt idx="7">
                  <c:v>-13.866143177245744</c:v>
                </c:pt>
                <c:pt idx="8">
                  <c:v>-13.598428982506459</c:v>
                </c:pt>
                <c:pt idx="9">
                  <c:v>-13.413785750844296</c:v>
                </c:pt>
                <c:pt idx="10">
                  <c:v>-13.288233388470468</c:v>
                </c:pt>
              </c:numCache>
            </c:numRef>
          </c:xVal>
          <c:yVal>
            <c:numRef>
              <c:f>'LBM Large Plates'!$AI$41:$AI$51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0.123</c:v>
                </c:pt>
                <c:pt idx="2">
                  <c:v>0.16700000000000001</c:v>
                </c:pt>
                <c:pt idx="3">
                  <c:v>0.21299999999999999</c:v>
                </c:pt>
                <c:pt idx="4">
                  <c:v>0.252</c:v>
                </c:pt>
                <c:pt idx="5">
                  <c:v>0.318</c:v>
                </c:pt>
                <c:pt idx="6">
                  <c:v>0.36399999999999999</c:v>
                </c:pt>
                <c:pt idx="7">
                  <c:v>0.40699999999999997</c:v>
                </c:pt>
                <c:pt idx="8">
                  <c:v>0.47099999999999997</c:v>
                </c:pt>
                <c:pt idx="9">
                  <c:v>0.54500000000000004</c:v>
                </c:pt>
                <c:pt idx="10">
                  <c:v>0.61599999999999999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1B-4C4B-9B6A-E428C96B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6112"/>
        <c:axId val="-1839041216"/>
        <c:extLst/>
      </c:scatterChart>
      <c:valAx>
        <c:axId val="-1839046112"/>
        <c:scaling>
          <c:orientation val="minMax"/>
          <c:max val="-12"/>
          <c:min val="-23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log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041216"/>
        <c:crosses val="autoZero"/>
        <c:crossBetween val="midCat"/>
        <c:majorUnit val="1"/>
      </c:valAx>
      <c:valAx>
        <c:axId val="-1839041216"/>
        <c:scaling>
          <c:orientation val="minMax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Porosity </a:t>
                </a:r>
              </a:p>
            </c:rich>
          </c:tx>
          <c:layout>
            <c:manualLayout>
              <c:xMode val="edge"/>
              <c:yMode val="edge"/>
              <c:x val="0.92359049571430929"/>
              <c:y val="0.36953228444066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046112"/>
        <c:crosses val="autoZero"/>
        <c:crossBetween val="midCat"/>
      </c:valAx>
      <c:spPr>
        <a:solidFill>
          <a:schemeClr val="bg1">
            <a:alpha val="20000"/>
          </a:schemeClr>
        </a:solidFill>
        <a:ln w="25400" cap="flat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2.7402000695634678E-2"/>
          <c:y val="6.1388984494042995E-2"/>
          <c:w val="0.28811593309658717"/>
          <c:h val="0.19454064122309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03372214028707E-2"/>
          <c:y val="2.19192041029996E-2"/>
          <c:w val="0.89430070193633904"/>
          <c:h val="0.84202515644374598"/>
        </c:manualLayout>
      </c:layout>
      <c:scatterChart>
        <c:scatterStyle val="smoothMarker"/>
        <c:varyColors val="0"/>
        <c:ser>
          <c:idx val="2"/>
          <c:order val="0"/>
          <c:tx>
            <c:v> Kv Fracture parallel to bed</c:v>
          </c:tx>
          <c:spPr>
            <a:ln w="152400" cap="rnd" cmpd="sng">
              <a:solidFill>
                <a:schemeClr val="accent4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LBM_Plates!$I$32:$I$41</c:f>
              <c:numCache>
                <c:formatCode>General</c:formatCode>
                <c:ptCount val="10"/>
                <c:pt idx="0">
                  <c:v>0.30299999999999999</c:v>
                </c:pt>
                <c:pt idx="1">
                  <c:v>0.38200000000000001</c:v>
                </c:pt>
                <c:pt idx="2">
                  <c:v>0.44400000000000001</c:v>
                </c:pt>
                <c:pt idx="3">
                  <c:v>0.49399999999999999</c:v>
                </c:pt>
                <c:pt idx="4">
                  <c:v>0.53600000000000003</c:v>
                </c:pt>
                <c:pt idx="5">
                  <c:v>0.60299999999999998</c:v>
                </c:pt>
                <c:pt idx="6">
                  <c:v>0.65200000000000002</c:v>
                </c:pt>
                <c:pt idx="7">
                  <c:v>0.69099999999999995</c:v>
                </c:pt>
                <c:pt idx="8">
                  <c:v>0.72199999999999998</c:v>
                </c:pt>
                <c:pt idx="9">
                  <c:v>0.76800000000000002</c:v>
                </c:pt>
              </c:numCache>
            </c:numRef>
          </c:xVal>
          <c:yVal>
            <c:numRef>
              <c:f>LBM_Plates!$U$32:$U$41</c:f>
              <c:numCache>
                <c:formatCode>General</c:formatCode>
                <c:ptCount val="10"/>
                <c:pt idx="0">
                  <c:v>1.4535768568243995E-2</c:v>
                </c:pt>
                <c:pt idx="1">
                  <c:v>2.2032880737663386E-2</c:v>
                </c:pt>
                <c:pt idx="2">
                  <c:v>2.7073665011652651E-2</c:v>
                </c:pt>
                <c:pt idx="3">
                  <c:v>3.1111561455061294E-2</c:v>
                </c:pt>
                <c:pt idx="4">
                  <c:v>3.473857533691356E-2</c:v>
                </c:pt>
                <c:pt idx="5">
                  <c:v>4.1523203972033629E-2</c:v>
                </c:pt>
                <c:pt idx="6">
                  <c:v>4.8086432262640581E-2</c:v>
                </c:pt>
                <c:pt idx="7">
                  <c:v>5.4577211470260401E-2</c:v>
                </c:pt>
                <c:pt idx="8">
                  <c:v>6.1039365690546139E-2</c:v>
                </c:pt>
                <c:pt idx="9">
                  <c:v>7.3932515959063722E-2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9-4FC6-9055-6CC65CDC6E04}"/>
            </c:ext>
          </c:extLst>
        </c:ser>
        <c:ser>
          <c:idx val="3"/>
          <c:order val="1"/>
          <c:tx>
            <c:v> Kh Fracture parallel to bed</c:v>
          </c:tx>
          <c:spPr>
            <a:ln w="152400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LBM_Plates!$I$32:$I$41</c:f>
              <c:numCache>
                <c:formatCode>General</c:formatCode>
                <c:ptCount val="10"/>
                <c:pt idx="0">
                  <c:v>0.30299999999999999</c:v>
                </c:pt>
                <c:pt idx="1">
                  <c:v>0.38200000000000001</c:v>
                </c:pt>
                <c:pt idx="2">
                  <c:v>0.44400000000000001</c:v>
                </c:pt>
                <c:pt idx="3">
                  <c:v>0.49399999999999999</c:v>
                </c:pt>
                <c:pt idx="4">
                  <c:v>0.53600000000000003</c:v>
                </c:pt>
                <c:pt idx="5">
                  <c:v>0.60299999999999998</c:v>
                </c:pt>
                <c:pt idx="6">
                  <c:v>0.65200000000000002</c:v>
                </c:pt>
                <c:pt idx="7">
                  <c:v>0.69099999999999995</c:v>
                </c:pt>
                <c:pt idx="8">
                  <c:v>0.72199999999999998</c:v>
                </c:pt>
                <c:pt idx="9">
                  <c:v>0.76800000000000002</c:v>
                </c:pt>
              </c:numCache>
            </c:numRef>
          </c:xVal>
          <c:yVal>
            <c:numRef>
              <c:f>LBM_Plates!$W$32:$W$41</c:f>
              <c:numCache>
                <c:formatCode>General</c:formatCode>
                <c:ptCount val="10"/>
                <c:pt idx="0">
                  <c:v>0.14703262741919138</c:v>
                </c:pt>
                <c:pt idx="1">
                  <c:v>0.34057908602695308</c:v>
                </c:pt>
                <c:pt idx="2">
                  <c:v>0.75265224440166179</c:v>
                </c:pt>
                <c:pt idx="3">
                  <c:v>1.4327768770898772</c:v>
                </c:pt>
                <c:pt idx="4">
                  <c:v>2.4119338332151177</c:v>
                </c:pt>
                <c:pt idx="5">
                  <c:v>5.3379015097780922</c:v>
                </c:pt>
                <c:pt idx="6">
                  <c:v>9.6114347958253106</c:v>
                </c:pt>
                <c:pt idx="7">
                  <c:v>15.254433073259701</c:v>
                </c:pt>
                <c:pt idx="8">
                  <c:v>22.259271456074572</c:v>
                </c:pt>
                <c:pt idx="9">
                  <c:v>40.249772013375207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39-4FC6-9055-6CC65CDC6E04}"/>
            </c:ext>
          </c:extLst>
        </c:ser>
        <c:ser>
          <c:idx val="0"/>
          <c:order val="2"/>
          <c:tx>
            <c:v> Kv Fracture perpendicular to beds</c:v>
          </c:tx>
          <c:spPr>
            <a:ln w="15240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LBM_Plates!$I$43:$I$53</c:f>
              <c:numCache>
                <c:formatCode>General</c:formatCode>
                <c:ptCount val="11"/>
                <c:pt idx="0">
                  <c:v>0.30299999999999999</c:v>
                </c:pt>
                <c:pt idx="1">
                  <c:v>0.316</c:v>
                </c:pt>
                <c:pt idx="2">
                  <c:v>0.34699999999999998</c:v>
                </c:pt>
                <c:pt idx="3">
                  <c:v>0.38400000000000001</c:v>
                </c:pt>
                <c:pt idx="4">
                  <c:v>0.44700000000000001</c:v>
                </c:pt>
                <c:pt idx="5">
                  <c:v>0.499</c:v>
                </c:pt>
                <c:pt idx="6">
                  <c:v>0.52100000000000002</c:v>
                </c:pt>
                <c:pt idx="7">
                  <c:v>0.54100000000000004</c:v>
                </c:pt>
                <c:pt idx="8">
                  <c:v>0.60799999999999998</c:v>
                </c:pt>
                <c:pt idx="9">
                  <c:v>0.65800000000000003</c:v>
                </c:pt>
                <c:pt idx="10">
                  <c:v>0.69599999999999995</c:v>
                </c:pt>
              </c:numCache>
            </c:numRef>
          </c:xVal>
          <c:yVal>
            <c:numRef>
              <c:f>LBM_Plates!$U$43:$U$53</c:f>
              <c:numCache>
                <c:formatCode>General</c:formatCode>
                <c:ptCount val="11"/>
                <c:pt idx="0">
                  <c:v>1.4535768568243995E-2</c:v>
                </c:pt>
                <c:pt idx="1">
                  <c:v>1.7503977100010129E-2</c:v>
                </c:pt>
                <c:pt idx="2">
                  <c:v>2.1433073259702097E-2</c:v>
                </c:pt>
                <c:pt idx="3">
                  <c:v>2.6440368831695208E-2</c:v>
                </c:pt>
                <c:pt idx="4">
                  <c:v>9.3483128989765935E-2</c:v>
                </c:pt>
                <c:pt idx="5">
                  <c:v>1.3395151484446242</c:v>
                </c:pt>
                <c:pt idx="6">
                  <c:v>6.2320143884892074</c:v>
                </c:pt>
                <c:pt idx="7">
                  <c:v>16.978265275103858</c:v>
                </c:pt>
                <c:pt idx="8">
                  <c:v>127.51874556692674</c:v>
                </c:pt>
                <c:pt idx="9">
                  <c:v>298.54341878609785</c:v>
                </c:pt>
                <c:pt idx="10">
                  <c:v>461.79450805552733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39-4FC6-9055-6CC65CDC6E04}"/>
            </c:ext>
          </c:extLst>
        </c:ser>
        <c:ser>
          <c:idx val="1"/>
          <c:order val="3"/>
          <c:tx>
            <c:v> Kh Fracture perpendicular to beds</c:v>
          </c:tx>
          <c:spPr>
            <a:ln w="152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LBM_Plates!$I$43:$I$53</c:f>
              <c:numCache>
                <c:formatCode>General</c:formatCode>
                <c:ptCount val="11"/>
                <c:pt idx="0">
                  <c:v>0.30299999999999999</c:v>
                </c:pt>
                <c:pt idx="1">
                  <c:v>0.316</c:v>
                </c:pt>
                <c:pt idx="2">
                  <c:v>0.34699999999999998</c:v>
                </c:pt>
                <c:pt idx="3">
                  <c:v>0.38400000000000001</c:v>
                </c:pt>
                <c:pt idx="4">
                  <c:v>0.44700000000000001</c:v>
                </c:pt>
                <c:pt idx="5">
                  <c:v>0.499</c:v>
                </c:pt>
                <c:pt idx="6">
                  <c:v>0.52100000000000002</c:v>
                </c:pt>
                <c:pt idx="7">
                  <c:v>0.54100000000000004</c:v>
                </c:pt>
                <c:pt idx="8">
                  <c:v>0.60799999999999998</c:v>
                </c:pt>
                <c:pt idx="9">
                  <c:v>0.65800000000000003</c:v>
                </c:pt>
                <c:pt idx="10">
                  <c:v>0.69599999999999995</c:v>
                </c:pt>
              </c:numCache>
            </c:numRef>
          </c:xVal>
          <c:yVal>
            <c:numRef>
              <c:f>LBM_Plates!$W$43:$W$53</c:f>
              <c:numCache>
                <c:formatCode>General</c:formatCode>
                <c:ptCount val="11"/>
                <c:pt idx="0">
                  <c:v>0.14703262741919138</c:v>
                </c:pt>
                <c:pt idx="1">
                  <c:v>0.15132029587597529</c:v>
                </c:pt>
                <c:pt idx="2">
                  <c:v>0.16810213800790352</c:v>
                </c:pt>
                <c:pt idx="3">
                  <c:v>0.19928564190900799</c:v>
                </c:pt>
                <c:pt idx="4">
                  <c:v>0.24157614753267803</c:v>
                </c:pt>
                <c:pt idx="5">
                  <c:v>0.26713446144492858</c:v>
                </c:pt>
                <c:pt idx="6">
                  <c:v>0.27937987638058565</c:v>
                </c:pt>
                <c:pt idx="7">
                  <c:v>0.29160249265376426</c:v>
                </c:pt>
                <c:pt idx="8">
                  <c:v>0.34024217245921573</c:v>
                </c:pt>
                <c:pt idx="9">
                  <c:v>0.38850694092613225</c:v>
                </c:pt>
                <c:pt idx="10">
                  <c:v>0.43640439760867361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39-4FC6-9055-6CC65CDC6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2859936"/>
        <c:axId val="-1632868640"/>
      </c:scatterChart>
      <c:valAx>
        <c:axId val="-1632859936"/>
        <c:scaling>
          <c:orientation val="minMax"/>
          <c:min val="0.25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Porosity (</a:t>
                </a:r>
                <a:r>
                  <a:rPr lang="el-GR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Φ</a:t>
                </a:r>
                <a:r>
                  <a:rPr lang="en-US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48056729645001001"/>
              <c:y val="0.93568683267153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32868640"/>
        <c:crosses val="autoZero"/>
        <c:crossBetween val="midCat"/>
        <c:majorUnit val="0.1"/>
      </c:valAx>
      <c:valAx>
        <c:axId val="-1632868640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Permeability (mD)</a:t>
                </a:r>
              </a:p>
            </c:rich>
          </c:tx>
          <c:layout>
            <c:manualLayout>
              <c:xMode val="edge"/>
              <c:yMode val="edge"/>
              <c:x val="4.2067645260804197E-3"/>
              <c:y val="0.248657116803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32859936"/>
        <c:crosses val="autoZero"/>
        <c:crossBetween val="midCat"/>
        <c:majorUnit val="100"/>
      </c:valAx>
      <c:spPr>
        <a:solidFill>
          <a:schemeClr val="bg1"/>
        </a:solidFill>
        <a:ln w="25400" cap="flat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algn="ctr">
              <a:defRPr lang="en-US" sz="3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ctr">
              <a:defRPr lang="en-US" sz="3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algn="ctr">
              <a:defRPr lang="en-US" sz="3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146496047075"/>
          <c:y val="8.9964108483794894E-2"/>
          <c:w val="0.38604444536592197"/>
          <c:h val="0.489732802620931"/>
        </c:manualLayout>
      </c:layout>
      <c:overlay val="0"/>
      <c:spPr>
        <a:solidFill>
          <a:schemeClr val="bg1"/>
        </a:solidFill>
        <a:ln w="25400" cmpd="sng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95953256165606E-2"/>
          <c:y val="4.4915291242177698E-2"/>
          <c:w val="0.88937253985481102"/>
          <c:h val="0.85281663970652599"/>
        </c:manualLayout>
      </c:layout>
      <c:scatterChart>
        <c:scatterStyle val="smoothMarker"/>
        <c:varyColors val="0"/>
        <c:ser>
          <c:idx val="1"/>
          <c:order val="1"/>
          <c:tx>
            <c:v>kh dilation </c:v>
          </c:tx>
          <c:spPr>
            <a:ln w="152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LBM_Plates!$X$5:$X$9</c:f>
              <c:numCache>
                <c:formatCode>General</c:formatCode>
                <c:ptCount val="5"/>
                <c:pt idx="0">
                  <c:v>-15.838313133041895</c:v>
                </c:pt>
                <c:pt idx="1">
                  <c:v>-14.844711798302795</c:v>
                </c:pt>
                <c:pt idx="2">
                  <c:v>-14.324634159052101</c:v>
                </c:pt>
                <c:pt idx="3">
                  <c:v>-13.97910653552762</c:v>
                </c:pt>
                <c:pt idx="4">
                  <c:v>-13.721238398959347</c:v>
                </c:pt>
              </c:numCache>
            </c:numRef>
          </c:xVal>
          <c:yVal>
            <c:numRef>
              <c:f>LBM_Plates!$I$5:$I$9</c:f>
              <c:numCache>
                <c:formatCode>General</c:formatCode>
                <c:ptCount val="5"/>
                <c:pt idx="0">
                  <c:v>0.30299999999999999</c:v>
                </c:pt>
                <c:pt idx="1">
                  <c:v>0.56999999999999995</c:v>
                </c:pt>
                <c:pt idx="2">
                  <c:v>0.7</c:v>
                </c:pt>
                <c:pt idx="3">
                  <c:v>0.77600000000000002</c:v>
                </c:pt>
                <c:pt idx="4">
                  <c:v>0.82599999999999996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54-47A1-9B32-E2407B1885BE}"/>
            </c:ext>
          </c:extLst>
        </c:ser>
        <c:ser>
          <c:idx val="3"/>
          <c:order val="3"/>
          <c:tx>
            <c:v>kh mf parallel</c:v>
          </c:tx>
          <c:spPr>
            <a:ln w="152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LBM_Plates!$X$11:$X$19</c:f>
              <c:numCache>
                <c:formatCode>General</c:formatCode>
                <c:ptCount val="9"/>
                <c:pt idx="0">
                  <c:v>-15.838313133041895</c:v>
                </c:pt>
                <c:pt idx="1">
                  <c:v>-15.310313850503755</c:v>
                </c:pt>
                <c:pt idx="2">
                  <c:v>-14.942048770038632</c:v>
                </c:pt>
                <c:pt idx="3">
                  <c:v>-14.669216523450331</c:v>
                </c:pt>
                <c:pt idx="4">
                  <c:v>-14.455680757931814</c:v>
                </c:pt>
                <c:pt idx="5">
                  <c:v>-14.281568900102275</c:v>
                </c:pt>
                <c:pt idx="6">
                  <c:v>-14.135245734666395</c:v>
                </c:pt>
                <c:pt idx="7">
                  <c:v>-14.009431402928339</c:v>
                </c:pt>
                <c:pt idx="8">
                  <c:v>-13.899317633117629</c:v>
                </c:pt>
              </c:numCache>
            </c:numRef>
          </c:xVal>
          <c:yVal>
            <c:numRef>
              <c:f>LBM_Plates!$I$11:$I$19</c:f>
              <c:numCache>
                <c:formatCode>General</c:formatCode>
                <c:ptCount val="9"/>
                <c:pt idx="0">
                  <c:v>0.30299999999999999</c:v>
                </c:pt>
                <c:pt idx="1">
                  <c:v>0.44400000000000001</c:v>
                </c:pt>
                <c:pt idx="2">
                  <c:v>0.53600000000000003</c:v>
                </c:pt>
                <c:pt idx="3">
                  <c:v>0.60299999999999998</c:v>
                </c:pt>
                <c:pt idx="4">
                  <c:v>0.65200000000000002</c:v>
                </c:pt>
                <c:pt idx="5">
                  <c:v>0.69099999999999995</c:v>
                </c:pt>
                <c:pt idx="6">
                  <c:v>0.72199999999999998</c:v>
                </c:pt>
                <c:pt idx="7">
                  <c:v>0.747</c:v>
                </c:pt>
                <c:pt idx="8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54-47A1-9B32-E2407B1885BE}"/>
            </c:ext>
          </c:extLst>
        </c:ser>
        <c:ser>
          <c:idx val="5"/>
          <c:order val="5"/>
          <c:tx>
            <c:v>kh mf perp</c:v>
          </c:tx>
          <c:spPr>
            <a:ln w="152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LBM_Plates!$X$21:$X$30</c:f>
              <c:numCache>
                <c:formatCode>General</c:formatCode>
                <c:ptCount val="10"/>
                <c:pt idx="0">
                  <c:v>-15.838313133041895</c:v>
                </c:pt>
                <c:pt idx="1">
                  <c:v>-15.600386841733096</c:v>
                </c:pt>
                <c:pt idx="2">
                  <c:v>-15.413089345100991</c:v>
                </c:pt>
                <c:pt idx="3">
                  <c:v>-15.274445664707336</c:v>
                </c:pt>
                <c:pt idx="4">
                  <c:v>-15.16628090178032</c:v>
                </c:pt>
                <c:pt idx="5">
                  <c:v>-15.002426874176233</c:v>
                </c:pt>
                <c:pt idx="6">
                  <c:v>-14.87867903422185</c:v>
                </c:pt>
                <c:pt idx="7">
                  <c:v>-14.778185561003001</c:v>
                </c:pt>
                <c:pt idx="8">
                  <c:v>-14.652712440263693</c:v>
                </c:pt>
                <c:pt idx="9">
                  <c:v>-14.540758335121918</c:v>
                </c:pt>
              </c:numCache>
            </c:numRef>
          </c:xVal>
          <c:yVal>
            <c:numRef>
              <c:f>LBM_Plates!$I$21:$I$30</c:f>
              <c:numCache>
                <c:formatCode>General</c:formatCode>
                <c:ptCount val="10"/>
                <c:pt idx="0">
                  <c:v>0.30299999999999999</c:v>
                </c:pt>
                <c:pt idx="1">
                  <c:v>0.35499999999999998</c:v>
                </c:pt>
                <c:pt idx="2">
                  <c:v>0.4</c:v>
                </c:pt>
                <c:pt idx="3">
                  <c:v>0.441</c:v>
                </c:pt>
                <c:pt idx="4">
                  <c:v>0.47799999999999998</c:v>
                </c:pt>
                <c:pt idx="5">
                  <c:v>0.54300000000000004</c:v>
                </c:pt>
                <c:pt idx="6">
                  <c:v>0.59699999999999998</c:v>
                </c:pt>
                <c:pt idx="7">
                  <c:v>0.64300000000000002</c:v>
                </c:pt>
                <c:pt idx="8">
                  <c:v>0.69899999999999995</c:v>
                </c:pt>
                <c:pt idx="9">
                  <c:v>0.74299999999999999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54-47A1-9B32-E2407B1885BE}"/>
            </c:ext>
          </c:extLst>
        </c:ser>
        <c:ser>
          <c:idx val="7"/>
          <c:order val="7"/>
          <c:tx>
            <c:v>kh frac parallel</c:v>
          </c:tx>
          <c:spPr>
            <a:ln w="152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LBM_Plates!$X$32:$X$41</c:f>
              <c:numCache>
                <c:formatCode>General</c:formatCode>
                <c:ptCount val="10"/>
                <c:pt idx="0">
                  <c:v>-15.838313133041895</c:v>
                </c:pt>
                <c:pt idx="1">
                  <c:v>-15.473508875344928</c:v>
                </c:pt>
                <c:pt idx="2">
                  <c:v>-15.129132489995611</c:v>
                </c:pt>
                <c:pt idx="3">
                  <c:v>-14.849548287003069</c:v>
                </c:pt>
                <c:pt idx="4">
                  <c:v>-14.623361461432561</c:v>
                </c:pt>
                <c:pt idx="5">
                  <c:v>-14.278356294717812</c:v>
                </c:pt>
                <c:pt idx="6">
                  <c:v>-14.022938627000606</c:v>
                </c:pt>
                <c:pt idx="7">
                  <c:v>-13.822330779181483</c:v>
                </c:pt>
                <c:pt idx="8">
                  <c:v>-13.658215905214327</c:v>
                </c:pt>
                <c:pt idx="9">
                  <c:v>-13.400963426288495</c:v>
                </c:pt>
              </c:numCache>
            </c:numRef>
          </c:xVal>
          <c:yVal>
            <c:numRef>
              <c:f>LBM_Plates!$I$32:$I$41</c:f>
              <c:numCache>
                <c:formatCode>General</c:formatCode>
                <c:ptCount val="10"/>
                <c:pt idx="0">
                  <c:v>0.30299999999999999</c:v>
                </c:pt>
                <c:pt idx="1">
                  <c:v>0.38200000000000001</c:v>
                </c:pt>
                <c:pt idx="2">
                  <c:v>0.44400000000000001</c:v>
                </c:pt>
                <c:pt idx="3">
                  <c:v>0.49399999999999999</c:v>
                </c:pt>
                <c:pt idx="4">
                  <c:v>0.53600000000000003</c:v>
                </c:pt>
                <c:pt idx="5">
                  <c:v>0.60299999999999998</c:v>
                </c:pt>
                <c:pt idx="6">
                  <c:v>0.65200000000000002</c:v>
                </c:pt>
                <c:pt idx="7">
                  <c:v>0.69099999999999995</c:v>
                </c:pt>
                <c:pt idx="8">
                  <c:v>0.72199999999999998</c:v>
                </c:pt>
                <c:pt idx="9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54-47A1-9B32-E2407B1885BE}"/>
            </c:ext>
          </c:extLst>
        </c:ser>
        <c:ser>
          <c:idx val="9"/>
          <c:order val="9"/>
          <c:tx>
            <c:v>kh frac perp</c:v>
          </c:tx>
          <c:spPr>
            <a:ln w="152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LBM_Plates!$X$43:$X$53</c:f>
              <c:numCache>
                <c:formatCode>General</c:formatCode>
                <c:ptCount val="11"/>
                <c:pt idx="0">
                  <c:v>-15.838313133041895</c:v>
                </c:pt>
                <c:pt idx="1">
                  <c:v>-15.825829669231013</c:v>
                </c:pt>
                <c:pt idx="2">
                  <c:v>-15.780153613975639</c:v>
                </c:pt>
                <c:pt idx="3">
                  <c:v>-15.706250841158832</c:v>
                </c:pt>
                <c:pt idx="4">
                  <c:v>-15.622672799829093</c:v>
                </c:pt>
                <c:pt idx="5">
                  <c:v>-15.578996933615848</c:v>
                </c:pt>
                <c:pt idx="6">
                  <c:v>-15.55953173017785</c:v>
                </c:pt>
                <c:pt idx="7">
                  <c:v>-15.540935618962688</c:v>
                </c:pt>
                <c:pt idx="8">
                  <c:v>-15.473938708325219</c:v>
                </c:pt>
                <c:pt idx="9">
                  <c:v>-15.416328068870614</c:v>
                </c:pt>
                <c:pt idx="10">
                  <c:v>-15.365837732741236</c:v>
                </c:pt>
              </c:numCache>
            </c:numRef>
          </c:xVal>
          <c:yVal>
            <c:numRef>
              <c:f>LBM_Plates!$I$43:$I$53</c:f>
              <c:numCache>
                <c:formatCode>General</c:formatCode>
                <c:ptCount val="11"/>
                <c:pt idx="0">
                  <c:v>0.30299999999999999</c:v>
                </c:pt>
                <c:pt idx="1">
                  <c:v>0.316</c:v>
                </c:pt>
                <c:pt idx="2">
                  <c:v>0.34699999999999998</c:v>
                </c:pt>
                <c:pt idx="3">
                  <c:v>0.38400000000000001</c:v>
                </c:pt>
                <c:pt idx="4">
                  <c:v>0.44700000000000001</c:v>
                </c:pt>
                <c:pt idx="5">
                  <c:v>0.499</c:v>
                </c:pt>
                <c:pt idx="6">
                  <c:v>0.52100000000000002</c:v>
                </c:pt>
                <c:pt idx="7">
                  <c:v>0.54100000000000004</c:v>
                </c:pt>
                <c:pt idx="8">
                  <c:v>0.60799999999999998</c:v>
                </c:pt>
                <c:pt idx="9">
                  <c:v>0.65800000000000003</c:v>
                </c:pt>
                <c:pt idx="10">
                  <c:v>0.69599999999999995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54-47A1-9B32-E2407B188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2857760"/>
        <c:axId val="-16328621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kv dilation</c:v>
                </c:tx>
                <c:spPr>
                  <a:ln w="1270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LBM_Plates!$V$5:$V$9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-16.843288851306838</c:v>
                      </c:pt>
                      <c:pt idx="1">
                        <c:v>-15.701949144704272</c:v>
                      </c:pt>
                      <c:pt idx="2">
                        <c:v>-15.073309074132718</c:v>
                      </c:pt>
                      <c:pt idx="3">
                        <c:v>-14.643840718193804</c:v>
                      </c:pt>
                      <c:pt idx="4">
                        <c:v>-14.319805043033051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LBM_Plates!$I$5:$I$9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0.30299999999999999</c:v>
                      </c:pt>
                      <c:pt idx="1">
                        <c:v>0.56999999999999995</c:v>
                      </c:pt>
                      <c:pt idx="2">
                        <c:v>0.7</c:v>
                      </c:pt>
                      <c:pt idx="3">
                        <c:v>0.77600000000000002</c:v>
                      </c:pt>
                      <c:pt idx="4">
                        <c:v>0.82599999999999996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6154-47A1-9B32-E2407B1885B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kv mf parallel</c:v>
                </c:tx>
                <c:spPr>
                  <a:ln w="1270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LBM_Plates!$V$11:$V$19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-16.843288851306838</c:v>
                      </c:pt>
                      <c:pt idx="1">
                        <c:v>-16.397717489765665</c:v>
                      </c:pt>
                      <c:pt idx="2">
                        <c:v>-16.118723787715915</c:v>
                      </c:pt>
                      <c:pt idx="3">
                        <c:v>-15.941147103850556</c:v>
                      </c:pt>
                      <c:pt idx="4">
                        <c:v>-15.820649317651512</c:v>
                      </c:pt>
                      <c:pt idx="5">
                        <c:v>-15.732721471762771</c:v>
                      </c:pt>
                      <c:pt idx="6">
                        <c:v>-15.664255840152238</c:v>
                      </c:pt>
                      <c:pt idx="7">
                        <c:v>-15.608160613459999</c:v>
                      </c:pt>
                      <c:pt idx="8">
                        <c:v>-15.560438374883134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LBM_Plates!$I$11:$I$19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0.30299999999999999</c:v>
                      </c:pt>
                      <c:pt idx="1">
                        <c:v>0.44400000000000001</c:v>
                      </c:pt>
                      <c:pt idx="2">
                        <c:v>0.53600000000000003</c:v>
                      </c:pt>
                      <c:pt idx="3">
                        <c:v>0.60299999999999998</c:v>
                      </c:pt>
                      <c:pt idx="4">
                        <c:v>0.65200000000000002</c:v>
                      </c:pt>
                      <c:pt idx="5">
                        <c:v>0.69099999999999995</c:v>
                      </c:pt>
                      <c:pt idx="6">
                        <c:v>0.72199999999999998</c:v>
                      </c:pt>
                      <c:pt idx="7">
                        <c:v>0.747</c:v>
                      </c:pt>
                      <c:pt idx="8">
                        <c:v>0.76800000000000002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154-47A1-9B32-E2407B1885B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kv mf perp</c:v>
                </c:tx>
                <c:spPr>
                  <a:ln w="1270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LBM_Plates!$V$21:$V$30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-16.843288851306838</c:v>
                      </c:pt>
                      <c:pt idx="1">
                        <c:v>-16.26949429167048</c:v>
                      </c:pt>
                      <c:pt idx="2">
                        <c:v>-15.796754915650913</c:v>
                      </c:pt>
                      <c:pt idx="3">
                        <c:v>-15.416877772927101</c:v>
                      </c:pt>
                      <c:pt idx="4">
                        <c:v>-15.106028906321688</c:v>
                      </c:pt>
                      <c:pt idx="5">
                        <c:v>-14.623336831272956</c:v>
                      </c:pt>
                      <c:pt idx="6">
                        <c:v>-14.259633362392048</c:v>
                      </c:pt>
                      <c:pt idx="7">
                        <c:v>-13.970872003719137</c:v>
                      </c:pt>
                      <c:pt idx="8">
                        <c:v>-13.628623621045774</c:v>
                      </c:pt>
                      <c:pt idx="9">
                        <c:v>-13.358647370123911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LBM_Plates!$I$21:$I$30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0.30299999999999999</c:v>
                      </c:pt>
                      <c:pt idx="1">
                        <c:v>0.35499999999999998</c:v>
                      </c:pt>
                      <c:pt idx="2">
                        <c:v>0.4</c:v>
                      </c:pt>
                      <c:pt idx="3">
                        <c:v>0.441</c:v>
                      </c:pt>
                      <c:pt idx="4">
                        <c:v>0.47799999999999998</c:v>
                      </c:pt>
                      <c:pt idx="5">
                        <c:v>0.54300000000000004</c:v>
                      </c:pt>
                      <c:pt idx="6">
                        <c:v>0.59699999999999998</c:v>
                      </c:pt>
                      <c:pt idx="7">
                        <c:v>0.64300000000000002</c:v>
                      </c:pt>
                      <c:pt idx="8">
                        <c:v>0.69899999999999995</c:v>
                      </c:pt>
                      <c:pt idx="9">
                        <c:v>0.74299999999999999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154-47A1-9B32-E2407B1885B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kv frac parallel</c:v>
                </c:tx>
                <c:spPr>
                  <a:ln w="1270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LBM_Plates!$V$32:$V$41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-16.843288851306838</c:v>
                      </c:pt>
                      <c:pt idx="1">
                        <c:v>-16.662655567372237</c:v>
                      </c:pt>
                      <c:pt idx="2">
                        <c:v>-16.573179800036645</c:v>
                      </c:pt>
                      <c:pt idx="3">
                        <c:v>-16.512805042608605</c:v>
                      </c:pt>
                      <c:pt idx="4">
                        <c:v>-16.4649148473937</c:v>
                      </c:pt>
                      <c:pt idx="5">
                        <c:v>-16.387435994296027</c:v>
                      </c:pt>
                      <c:pt idx="6">
                        <c:v>-16.323704294916357</c:v>
                      </c:pt>
                      <c:pt idx="7">
                        <c:v>-16.268715508663565</c:v>
                      </c:pt>
                      <c:pt idx="8">
                        <c:v>-16.220116839162035</c:v>
                      </c:pt>
                      <c:pt idx="9">
                        <c:v>-16.136891365327813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LBM_Plates!$I$32:$I$41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0.30299999999999999</c:v>
                      </c:pt>
                      <c:pt idx="1">
                        <c:v>0.38200000000000001</c:v>
                      </c:pt>
                      <c:pt idx="2">
                        <c:v>0.44400000000000001</c:v>
                      </c:pt>
                      <c:pt idx="3">
                        <c:v>0.49399999999999999</c:v>
                      </c:pt>
                      <c:pt idx="4">
                        <c:v>0.53600000000000003</c:v>
                      </c:pt>
                      <c:pt idx="5">
                        <c:v>0.60299999999999998</c:v>
                      </c:pt>
                      <c:pt idx="6">
                        <c:v>0.65200000000000002</c:v>
                      </c:pt>
                      <c:pt idx="7">
                        <c:v>0.69099999999999995</c:v>
                      </c:pt>
                      <c:pt idx="8">
                        <c:v>0.72199999999999998</c:v>
                      </c:pt>
                      <c:pt idx="9">
                        <c:v>0.76800000000000002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154-47A1-9B32-E2407B1885B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kv frac perp</c:v>
                </c:tx>
                <c:spPr>
                  <a:ln w="12700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LBM_Plates!$V$43:$V$53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-16.843288851306838</c:v>
                      </c:pt>
                      <c:pt idx="1">
                        <c:v>-16.762590114549095</c:v>
                      </c:pt>
                      <c:pt idx="2">
                        <c:v>-16.674642402615188</c:v>
                      </c:pt>
                      <c:pt idx="3">
                        <c:v>-16.58345934195102</c:v>
                      </c:pt>
                      <c:pt idx="4">
                        <c:v>-16.034993610718633</c:v>
                      </c:pt>
                      <c:pt idx="5">
                        <c:v>-14.878779221661393</c:v>
                      </c:pt>
                      <c:pt idx="6">
                        <c:v>-14.211098403661062</c:v>
                      </c:pt>
                      <c:pt idx="7">
                        <c:v>-13.775833536139887</c:v>
                      </c:pt>
                      <c:pt idx="8">
                        <c:v>-12.900152819214766</c:v>
                      </c:pt>
                      <c:pt idx="9">
                        <c:v>-12.530719349169674</c:v>
                      </c:pt>
                      <c:pt idx="10">
                        <c:v>-12.341278087312199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LBM_Plates!$I$43:$I$53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0.30299999999999999</c:v>
                      </c:pt>
                      <c:pt idx="1">
                        <c:v>0.316</c:v>
                      </c:pt>
                      <c:pt idx="2">
                        <c:v>0.34699999999999998</c:v>
                      </c:pt>
                      <c:pt idx="3">
                        <c:v>0.38400000000000001</c:v>
                      </c:pt>
                      <c:pt idx="4">
                        <c:v>0.44700000000000001</c:v>
                      </c:pt>
                      <c:pt idx="5">
                        <c:v>0.499</c:v>
                      </c:pt>
                      <c:pt idx="6">
                        <c:v>0.52100000000000002</c:v>
                      </c:pt>
                      <c:pt idx="7">
                        <c:v>0.54100000000000004</c:v>
                      </c:pt>
                      <c:pt idx="8">
                        <c:v>0.60799999999999998</c:v>
                      </c:pt>
                      <c:pt idx="9">
                        <c:v>0.65800000000000003</c:v>
                      </c:pt>
                      <c:pt idx="10">
                        <c:v>0.69599999999999995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154-47A1-9B32-E2407B1885BE}"/>
                  </c:ext>
                </c:extLst>
              </c15:ser>
            </c15:filteredScatterSeries>
          </c:ext>
        </c:extLst>
      </c:scatterChart>
      <c:valAx>
        <c:axId val="-1632857760"/>
        <c:scaling>
          <c:orientation val="minMax"/>
          <c:max val="-12"/>
          <c:min val="-23"/>
        </c:scaling>
        <c:delete val="1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crossAx val="-1632862112"/>
        <c:crosses val="autoZero"/>
        <c:crossBetween val="midCat"/>
        <c:majorUnit val="1"/>
      </c:valAx>
      <c:valAx>
        <c:axId val="-1632862112"/>
        <c:scaling>
          <c:orientation val="minMax"/>
        </c:scaling>
        <c:delete val="1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high"/>
        <c:crossAx val="-1632857760"/>
        <c:crosses val="autoZero"/>
        <c:crossBetween val="midCat"/>
      </c:valAx>
      <c:spPr>
        <a:solidFill>
          <a:schemeClr val="bg1"/>
        </a:solidFill>
        <a:ln w="25400" cap="flat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95953256165606E-2"/>
          <c:y val="4.4915291242177698E-2"/>
          <c:w val="0.88937253985481102"/>
          <c:h val="0.85281663970652599"/>
        </c:manualLayout>
      </c:layout>
      <c:scatterChart>
        <c:scatterStyle val="smoothMarker"/>
        <c:varyColors val="0"/>
        <c:ser>
          <c:idx val="0"/>
          <c:order val="0"/>
          <c:tx>
            <c:v>kv dilation</c:v>
          </c:tx>
          <c:spPr>
            <a:ln w="1270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LBM_Plates!$V$5:$V$9</c:f>
              <c:numCache>
                <c:formatCode>General</c:formatCode>
                <c:ptCount val="5"/>
                <c:pt idx="0">
                  <c:v>-16.843288851306838</c:v>
                </c:pt>
                <c:pt idx="1">
                  <c:v>-15.701949144704272</c:v>
                </c:pt>
                <c:pt idx="2">
                  <c:v>-15.073309074132718</c:v>
                </c:pt>
                <c:pt idx="3">
                  <c:v>-14.643840718193804</c:v>
                </c:pt>
                <c:pt idx="4">
                  <c:v>-14.319805043033051</c:v>
                </c:pt>
              </c:numCache>
            </c:numRef>
          </c:xVal>
          <c:yVal>
            <c:numRef>
              <c:f>LBM_Plates!$I$5:$I$9</c:f>
              <c:numCache>
                <c:formatCode>General</c:formatCode>
                <c:ptCount val="5"/>
                <c:pt idx="0">
                  <c:v>0.30299999999999999</c:v>
                </c:pt>
                <c:pt idx="1">
                  <c:v>0.56999999999999995</c:v>
                </c:pt>
                <c:pt idx="2">
                  <c:v>0.7</c:v>
                </c:pt>
                <c:pt idx="3">
                  <c:v>0.77600000000000002</c:v>
                </c:pt>
                <c:pt idx="4">
                  <c:v>0.82599999999999996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C5-4314-9521-41AC07B66F29}"/>
            </c:ext>
          </c:extLst>
        </c:ser>
        <c:ser>
          <c:idx val="2"/>
          <c:order val="2"/>
          <c:tx>
            <c:v>kv mf parallel</c:v>
          </c:tx>
          <c:spPr>
            <a:ln w="1270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LBM_Plates!$V$11:$V$19</c:f>
              <c:numCache>
                <c:formatCode>General</c:formatCode>
                <c:ptCount val="9"/>
                <c:pt idx="0">
                  <c:v>-16.843288851306838</c:v>
                </c:pt>
                <c:pt idx="1">
                  <c:v>-16.397717489765665</c:v>
                </c:pt>
                <c:pt idx="2">
                  <c:v>-16.118723787715915</c:v>
                </c:pt>
                <c:pt idx="3">
                  <c:v>-15.941147103850556</c:v>
                </c:pt>
                <c:pt idx="4">
                  <c:v>-15.820649317651512</c:v>
                </c:pt>
                <c:pt idx="5">
                  <c:v>-15.732721471762771</c:v>
                </c:pt>
                <c:pt idx="6">
                  <c:v>-15.664255840152238</c:v>
                </c:pt>
                <c:pt idx="7">
                  <c:v>-15.608160613459999</c:v>
                </c:pt>
                <c:pt idx="8">
                  <c:v>-15.560438374883134</c:v>
                </c:pt>
              </c:numCache>
            </c:numRef>
          </c:xVal>
          <c:yVal>
            <c:numRef>
              <c:f>LBM_Plates!$I$11:$I$19</c:f>
              <c:numCache>
                <c:formatCode>General</c:formatCode>
                <c:ptCount val="9"/>
                <c:pt idx="0">
                  <c:v>0.30299999999999999</c:v>
                </c:pt>
                <c:pt idx="1">
                  <c:v>0.44400000000000001</c:v>
                </c:pt>
                <c:pt idx="2">
                  <c:v>0.53600000000000003</c:v>
                </c:pt>
                <c:pt idx="3">
                  <c:v>0.60299999999999998</c:v>
                </c:pt>
                <c:pt idx="4">
                  <c:v>0.65200000000000002</c:v>
                </c:pt>
                <c:pt idx="5">
                  <c:v>0.69099999999999995</c:v>
                </c:pt>
                <c:pt idx="6">
                  <c:v>0.72199999999999998</c:v>
                </c:pt>
                <c:pt idx="7">
                  <c:v>0.747</c:v>
                </c:pt>
                <c:pt idx="8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C5-4314-9521-41AC07B66F29}"/>
            </c:ext>
          </c:extLst>
        </c:ser>
        <c:ser>
          <c:idx val="4"/>
          <c:order val="4"/>
          <c:tx>
            <c:v>kv mf perp</c:v>
          </c:tx>
          <c:spPr>
            <a:ln w="1270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LBM_Plates!$V$21:$V$30</c:f>
              <c:numCache>
                <c:formatCode>General</c:formatCode>
                <c:ptCount val="10"/>
                <c:pt idx="0">
                  <c:v>-16.843288851306838</c:v>
                </c:pt>
                <c:pt idx="1">
                  <c:v>-16.26949429167048</c:v>
                </c:pt>
                <c:pt idx="2">
                  <c:v>-15.796754915650913</c:v>
                </c:pt>
                <c:pt idx="3">
                  <c:v>-15.416877772927101</c:v>
                </c:pt>
                <c:pt idx="4">
                  <c:v>-15.106028906321688</c:v>
                </c:pt>
                <c:pt idx="5">
                  <c:v>-14.623336831272956</c:v>
                </c:pt>
                <c:pt idx="6">
                  <c:v>-14.259633362392048</c:v>
                </c:pt>
                <c:pt idx="7">
                  <c:v>-13.970872003719137</c:v>
                </c:pt>
                <c:pt idx="8">
                  <c:v>-13.628623621045774</c:v>
                </c:pt>
                <c:pt idx="9">
                  <c:v>-13.358647370123911</c:v>
                </c:pt>
              </c:numCache>
            </c:numRef>
          </c:xVal>
          <c:yVal>
            <c:numRef>
              <c:f>LBM_Plates!$I$21:$I$30</c:f>
              <c:numCache>
                <c:formatCode>General</c:formatCode>
                <c:ptCount val="10"/>
                <c:pt idx="0">
                  <c:v>0.30299999999999999</c:v>
                </c:pt>
                <c:pt idx="1">
                  <c:v>0.35499999999999998</c:v>
                </c:pt>
                <c:pt idx="2">
                  <c:v>0.4</c:v>
                </c:pt>
                <c:pt idx="3">
                  <c:v>0.441</c:v>
                </c:pt>
                <c:pt idx="4">
                  <c:v>0.47799999999999998</c:v>
                </c:pt>
                <c:pt idx="5">
                  <c:v>0.54300000000000004</c:v>
                </c:pt>
                <c:pt idx="6">
                  <c:v>0.59699999999999998</c:v>
                </c:pt>
                <c:pt idx="7">
                  <c:v>0.64300000000000002</c:v>
                </c:pt>
                <c:pt idx="8">
                  <c:v>0.69899999999999995</c:v>
                </c:pt>
                <c:pt idx="9">
                  <c:v>0.74299999999999999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C5-4314-9521-41AC07B66F29}"/>
            </c:ext>
          </c:extLst>
        </c:ser>
        <c:ser>
          <c:idx val="6"/>
          <c:order val="6"/>
          <c:tx>
            <c:v>kv frac parallel</c:v>
          </c:tx>
          <c:spPr>
            <a:ln w="1270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LBM_Plates!$V$32:$V$41</c:f>
              <c:numCache>
                <c:formatCode>General</c:formatCode>
                <c:ptCount val="10"/>
                <c:pt idx="0">
                  <c:v>-16.843288851306838</c:v>
                </c:pt>
                <c:pt idx="1">
                  <c:v>-16.662655567372237</c:v>
                </c:pt>
                <c:pt idx="2">
                  <c:v>-16.573179800036645</c:v>
                </c:pt>
                <c:pt idx="3">
                  <c:v>-16.512805042608605</c:v>
                </c:pt>
                <c:pt idx="4">
                  <c:v>-16.4649148473937</c:v>
                </c:pt>
                <c:pt idx="5">
                  <c:v>-16.387435994296027</c:v>
                </c:pt>
                <c:pt idx="6">
                  <c:v>-16.323704294916357</c:v>
                </c:pt>
                <c:pt idx="7">
                  <c:v>-16.268715508663565</c:v>
                </c:pt>
                <c:pt idx="8">
                  <c:v>-16.220116839162035</c:v>
                </c:pt>
                <c:pt idx="9">
                  <c:v>-16.136891365327813</c:v>
                </c:pt>
              </c:numCache>
            </c:numRef>
          </c:xVal>
          <c:yVal>
            <c:numRef>
              <c:f>LBM_Plates!$I$32:$I$41</c:f>
              <c:numCache>
                <c:formatCode>General</c:formatCode>
                <c:ptCount val="10"/>
                <c:pt idx="0">
                  <c:v>0.30299999999999999</c:v>
                </c:pt>
                <c:pt idx="1">
                  <c:v>0.38200000000000001</c:v>
                </c:pt>
                <c:pt idx="2">
                  <c:v>0.44400000000000001</c:v>
                </c:pt>
                <c:pt idx="3">
                  <c:v>0.49399999999999999</c:v>
                </c:pt>
                <c:pt idx="4">
                  <c:v>0.53600000000000003</c:v>
                </c:pt>
                <c:pt idx="5">
                  <c:v>0.60299999999999998</c:v>
                </c:pt>
                <c:pt idx="6">
                  <c:v>0.65200000000000002</c:v>
                </c:pt>
                <c:pt idx="7">
                  <c:v>0.69099999999999995</c:v>
                </c:pt>
                <c:pt idx="8">
                  <c:v>0.72199999999999998</c:v>
                </c:pt>
                <c:pt idx="9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C5-4314-9521-41AC07B66F29}"/>
            </c:ext>
          </c:extLst>
        </c:ser>
        <c:ser>
          <c:idx val="8"/>
          <c:order val="8"/>
          <c:tx>
            <c:v>kv frac perp</c:v>
          </c:tx>
          <c:spPr>
            <a:ln w="1270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LBM_Plates!$V$43:$V$53</c:f>
              <c:numCache>
                <c:formatCode>General</c:formatCode>
                <c:ptCount val="11"/>
                <c:pt idx="0">
                  <c:v>-16.843288851306838</c:v>
                </c:pt>
                <c:pt idx="1">
                  <c:v>-16.762590114549095</c:v>
                </c:pt>
                <c:pt idx="2">
                  <c:v>-16.674642402615188</c:v>
                </c:pt>
                <c:pt idx="3">
                  <c:v>-16.58345934195102</c:v>
                </c:pt>
                <c:pt idx="4">
                  <c:v>-16.034993610718633</c:v>
                </c:pt>
                <c:pt idx="5">
                  <c:v>-14.878779221661393</c:v>
                </c:pt>
                <c:pt idx="6">
                  <c:v>-14.211098403661062</c:v>
                </c:pt>
                <c:pt idx="7">
                  <c:v>-13.775833536139887</c:v>
                </c:pt>
                <c:pt idx="8">
                  <c:v>-12.900152819214766</c:v>
                </c:pt>
                <c:pt idx="9">
                  <c:v>-12.530719349169674</c:v>
                </c:pt>
                <c:pt idx="10">
                  <c:v>-12.341278087312199</c:v>
                </c:pt>
              </c:numCache>
            </c:numRef>
          </c:xVal>
          <c:yVal>
            <c:numRef>
              <c:f>LBM_Plates!$I$43:$I$53</c:f>
              <c:numCache>
                <c:formatCode>General</c:formatCode>
                <c:ptCount val="11"/>
                <c:pt idx="0">
                  <c:v>0.30299999999999999</c:v>
                </c:pt>
                <c:pt idx="1">
                  <c:v>0.316</c:v>
                </c:pt>
                <c:pt idx="2">
                  <c:v>0.34699999999999998</c:v>
                </c:pt>
                <c:pt idx="3">
                  <c:v>0.38400000000000001</c:v>
                </c:pt>
                <c:pt idx="4">
                  <c:v>0.44700000000000001</c:v>
                </c:pt>
                <c:pt idx="5">
                  <c:v>0.499</c:v>
                </c:pt>
                <c:pt idx="6">
                  <c:v>0.52100000000000002</c:v>
                </c:pt>
                <c:pt idx="7">
                  <c:v>0.54100000000000004</c:v>
                </c:pt>
                <c:pt idx="8">
                  <c:v>0.60799999999999998</c:v>
                </c:pt>
                <c:pt idx="9">
                  <c:v>0.65800000000000003</c:v>
                </c:pt>
                <c:pt idx="10">
                  <c:v>0.69599999999999995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C5-4314-9521-41AC07B6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6112"/>
        <c:axId val="-18390412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kh dilation </c:v>
                </c:tx>
                <c:spPr>
                  <a:ln w="127000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LBM_Plates!$X$5:$X$9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-15.838313133041895</c:v>
                      </c:pt>
                      <c:pt idx="1">
                        <c:v>-14.844711798302795</c:v>
                      </c:pt>
                      <c:pt idx="2">
                        <c:v>-14.324634159052101</c:v>
                      </c:pt>
                      <c:pt idx="3">
                        <c:v>-13.97910653552762</c:v>
                      </c:pt>
                      <c:pt idx="4">
                        <c:v>-13.721238398959347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LBM_Plates!$I$5:$I$9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0.30299999999999999</c:v>
                      </c:pt>
                      <c:pt idx="1">
                        <c:v>0.56999999999999995</c:v>
                      </c:pt>
                      <c:pt idx="2">
                        <c:v>0.7</c:v>
                      </c:pt>
                      <c:pt idx="3">
                        <c:v>0.77600000000000002</c:v>
                      </c:pt>
                      <c:pt idx="4">
                        <c:v>0.82599999999999996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8AC5-4314-9521-41AC07B66F2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kh mf parallel</c:v>
                </c:tx>
                <c:spPr>
                  <a:ln w="12700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LBM_Plates!$X$11:$X$19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-15.838313133041895</c:v>
                      </c:pt>
                      <c:pt idx="1">
                        <c:v>-15.310313850503755</c:v>
                      </c:pt>
                      <c:pt idx="2">
                        <c:v>-14.942048770038632</c:v>
                      </c:pt>
                      <c:pt idx="3">
                        <c:v>-14.669216523450331</c:v>
                      </c:pt>
                      <c:pt idx="4">
                        <c:v>-14.455680757931814</c:v>
                      </c:pt>
                      <c:pt idx="5">
                        <c:v>-14.281568900102275</c:v>
                      </c:pt>
                      <c:pt idx="6">
                        <c:v>-14.135245734666395</c:v>
                      </c:pt>
                      <c:pt idx="7">
                        <c:v>-14.009431402928339</c:v>
                      </c:pt>
                      <c:pt idx="8">
                        <c:v>-13.899317633117629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LBM_Plates!$I$11:$I$19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0.30299999999999999</c:v>
                      </c:pt>
                      <c:pt idx="1">
                        <c:v>0.44400000000000001</c:v>
                      </c:pt>
                      <c:pt idx="2">
                        <c:v>0.53600000000000003</c:v>
                      </c:pt>
                      <c:pt idx="3">
                        <c:v>0.60299999999999998</c:v>
                      </c:pt>
                      <c:pt idx="4">
                        <c:v>0.65200000000000002</c:v>
                      </c:pt>
                      <c:pt idx="5">
                        <c:v>0.69099999999999995</c:v>
                      </c:pt>
                      <c:pt idx="6">
                        <c:v>0.72199999999999998</c:v>
                      </c:pt>
                      <c:pt idx="7">
                        <c:v>0.747</c:v>
                      </c:pt>
                      <c:pt idx="8">
                        <c:v>0.76800000000000002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C5-4314-9521-41AC07B66F2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kh mf perp</c:v>
                </c:tx>
                <c:spPr>
                  <a:ln w="127000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LBM_Plates!$X$21:$X$30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-15.838313133041895</c:v>
                      </c:pt>
                      <c:pt idx="1">
                        <c:v>-15.600386841733096</c:v>
                      </c:pt>
                      <c:pt idx="2">
                        <c:v>-15.413089345100991</c:v>
                      </c:pt>
                      <c:pt idx="3">
                        <c:v>-15.274445664707336</c:v>
                      </c:pt>
                      <c:pt idx="4">
                        <c:v>-15.16628090178032</c:v>
                      </c:pt>
                      <c:pt idx="5">
                        <c:v>-15.002426874176233</c:v>
                      </c:pt>
                      <c:pt idx="6">
                        <c:v>-14.87867903422185</c:v>
                      </c:pt>
                      <c:pt idx="7">
                        <c:v>-14.778185561003001</c:v>
                      </c:pt>
                      <c:pt idx="8">
                        <c:v>-14.652712440263693</c:v>
                      </c:pt>
                      <c:pt idx="9">
                        <c:v>-14.540758335121918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LBM_Plates!$I$21:$I$30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0.30299999999999999</c:v>
                      </c:pt>
                      <c:pt idx="1">
                        <c:v>0.35499999999999998</c:v>
                      </c:pt>
                      <c:pt idx="2">
                        <c:v>0.4</c:v>
                      </c:pt>
                      <c:pt idx="3">
                        <c:v>0.441</c:v>
                      </c:pt>
                      <c:pt idx="4">
                        <c:v>0.47799999999999998</c:v>
                      </c:pt>
                      <c:pt idx="5">
                        <c:v>0.54300000000000004</c:v>
                      </c:pt>
                      <c:pt idx="6">
                        <c:v>0.59699999999999998</c:v>
                      </c:pt>
                      <c:pt idx="7">
                        <c:v>0.64300000000000002</c:v>
                      </c:pt>
                      <c:pt idx="8">
                        <c:v>0.69899999999999995</c:v>
                      </c:pt>
                      <c:pt idx="9">
                        <c:v>0.74299999999999999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AC5-4314-9521-41AC07B66F2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kh frac parallel</c:v>
                </c:tx>
                <c:spPr>
                  <a:ln w="127000" cap="rnd">
                    <a:solidFill>
                      <a:schemeClr val="accent4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LBM_Plates!$X$32:$X$41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-15.838313133041895</c:v>
                      </c:pt>
                      <c:pt idx="1">
                        <c:v>-15.473508875344928</c:v>
                      </c:pt>
                      <c:pt idx="2">
                        <c:v>-15.129132489995611</c:v>
                      </c:pt>
                      <c:pt idx="3">
                        <c:v>-14.849548287003069</c:v>
                      </c:pt>
                      <c:pt idx="4">
                        <c:v>-14.623361461432561</c:v>
                      </c:pt>
                      <c:pt idx="5">
                        <c:v>-14.278356294717812</c:v>
                      </c:pt>
                      <c:pt idx="6">
                        <c:v>-14.022938627000606</c:v>
                      </c:pt>
                      <c:pt idx="7">
                        <c:v>-13.822330779181483</c:v>
                      </c:pt>
                      <c:pt idx="8">
                        <c:v>-13.658215905214327</c:v>
                      </c:pt>
                      <c:pt idx="9">
                        <c:v>-13.400963426288495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LBM_Plates!$I$32:$I$41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0.30299999999999999</c:v>
                      </c:pt>
                      <c:pt idx="1">
                        <c:v>0.38200000000000001</c:v>
                      </c:pt>
                      <c:pt idx="2">
                        <c:v>0.44400000000000001</c:v>
                      </c:pt>
                      <c:pt idx="3">
                        <c:v>0.49399999999999999</c:v>
                      </c:pt>
                      <c:pt idx="4">
                        <c:v>0.53600000000000003</c:v>
                      </c:pt>
                      <c:pt idx="5">
                        <c:v>0.60299999999999998</c:v>
                      </c:pt>
                      <c:pt idx="6">
                        <c:v>0.65200000000000002</c:v>
                      </c:pt>
                      <c:pt idx="7">
                        <c:v>0.69099999999999995</c:v>
                      </c:pt>
                      <c:pt idx="8">
                        <c:v>0.72199999999999998</c:v>
                      </c:pt>
                      <c:pt idx="9">
                        <c:v>0.76800000000000002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AC5-4314-9521-41AC07B66F2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kh frac perp</c:v>
                </c:tx>
                <c:spPr>
                  <a:ln w="127000" cap="rnd">
                    <a:solidFill>
                      <a:srgbClr val="7030A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LBM_Plates!$X$43:$X$53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-15.838313133041895</c:v>
                      </c:pt>
                      <c:pt idx="1">
                        <c:v>-15.825829669231013</c:v>
                      </c:pt>
                      <c:pt idx="2">
                        <c:v>-15.780153613975639</c:v>
                      </c:pt>
                      <c:pt idx="3">
                        <c:v>-15.706250841158832</c:v>
                      </c:pt>
                      <c:pt idx="4">
                        <c:v>-15.622672799829093</c:v>
                      </c:pt>
                      <c:pt idx="5">
                        <c:v>-15.578996933615848</c:v>
                      </c:pt>
                      <c:pt idx="6">
                        <c:v>-15.55953173017785</c:v>
                      </c:pt>
                      <c:pt idx="7">
                        <c:v>-15.540935618962688</c:v>
                      </c:pt>
                      <c:pt idx="8">
                        <c:v>-15.473938708325219</c:v>
                      </c:pt>
                      <c:pt idx="9">
                        <c:v>-15.416328068870614</c:v>
                      </c:pt>
                      <c:pt idx="10">
                        <c:v>-15.365837732741236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LBM_Plates!$I$43:$I$53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0.30299999999999999</c:v>
                      </c:pt>
                      <c:pt idx="1">
                        <c:v>0.316</c:v>
                      </c:pt>
                      <c:pt idx="2">
                        <c:v>0.34699999999999998</c:v>
                      </c:pt>
                      <c:pt idx="3">
                        <c:v>0.38400000000000001</c:v>
                      </c:pt>
                      <c:pt idx="4">
                        <c:v>0.44700000000000001</c:v>
                      </c:pt>
                      <c:pt idx="5">
                        <c:v>0.499</c:v>
                      </c:pt>
                      <c:pt idx="6">
                        <c:v>0.52100000000000002</c:v>
                      </c:pt>
                      <c:pt idx="7">
                        <c:v>0.54100000000000004</c:v>
                      </c:pt>
                      <c:pt idx="8">
                        <c:v>0.60799999999999998</c:v>
                      </c:pt>
                      <c:pt idx="9">
                        <c:v>0.65800000000000003</c:v>
                      </c:pt>
                      <c:pt idx="10">
                        <c:v>0.69599999999999995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AC5-4314-9521-41AC07B66F29}"/>
                  </c:ext>
                </c:extLst>
              </c15:ser>
            </c15:filteredScatterSeries>
          </c:ext>
        </c:extLst>
      </c:scatterChart>
      <c:valAx>
        <c:axId val="-1839046112"/>
        <c:scaling>
          <c:orientation val="minMax"/>
          <c:max val="-12"/>
          <c:min val="-23"/>
        </c:scaling>
        <c:delete val="1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crossAx val="-1839041216"/>
        <c:crosses val="autoZero"/>
        <c:crossBetween val="midCat"/>
        <c:majorUnit val="1"/>
      </c:valAx>
      <c:valAx>
        <c:axId val="-1839041216"/>
        <c:scaling>
          <c:orientation val="minMax"/>
        </c:scaling>
        <c:delete val="1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high"/>
        <c:crossAx val="-18390461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round+floor kv</c:v>
          </c:tx>
          <c:xVal>
            <c:numRef>
              <c:f>'[1]Main.m - fracture'!$F$2:$F$11</c:f>
              <c:numCache>
                <c:formatCode>General</c:formatCode>
                <c:ptCount val="10"/>
                <c:pt idx="0">
                  <c:v>0.47599999999999998</c:v>
                </c:pt>
                <c:pt idx="1">
                  <c:v>0.49722</c:v>
                </c:pt>
                <c:pt idx="2">
                  <c:v>0.51600000000000001</c:v>
                </c:pt>
                <c:pt idx="3">
                  <c:v>0.53400000000000003</c:v>
                </c:pt>
                <c:pt idx="4">
                  <c:v>0.55108999999999997</c:v>
                </c:pt>
                <c:pt idx="5">
                  <c:v>0.59399999999999997</c:v>
                </c:pt>
                <c:pt idx="6">
                  <c:v>0.63</c:v>
                </c:pt>
                <c:pt idx="7">
                  <c:v>0.67710000000000004</c:v>
                </c:pt>
                <c:pt idx="8">
                  <c:v>0.71399999999999997</c:v>
                </c:pt>
                <c:pt idx="9">
                  <c:v>0.73799999999999999</c:v>
                </c:pt>
              </c:numCache>
            </c:numRef>
          </c:xVal>
          <c:yVal>
            <c:numRef>
              <c:f>'[1]Main.m - fracture'!$H$2:$H$11</c:f>
              <c:numCache>
                <c:formatCode>General</c:formatCode>
                <c:ptCount val="10"/>
                <c:pt idx="0">
                  <c:v>1.2911600000000001</c:v>
                </c:pt>
                <c:pt idx="1">
                  <c:v>1.6412199999999999</c:v>
                </c:pt>
                <c:pt idx="2">
                  <c:v>2.0640299999999998</c:v>
                </c:pt>
                <c:pt idx="3">
                  <c:v>2.55389</c:v>
                </c:pt>
                <c:pt idx="4">
                  <c:v>3.10216</c:v>
                </c:pt>
                <c:pt idx="5">
                  <c:v>5.0049099999999997</c:v>
                </c:pt>
                <c:pt idx="6">
                  <c:v>7.1273499999999999</c:v>
                </c:pt>
                <c:pt idx="7">
                  <c:v>10.7475</c:v>
                </c:pt>
                <c:pt idx="8">
                  <c:v>14.144399999999999</c:v>
                </c:pt>
                <c:pt idx="9">
                  <c:v>16.592300000000002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06-49CF-B6BD-08D482C54EF5}"/>
            </c:ext>
          </c:extLst>
        </c:ser>
        <c:ser>
          <c:idx val="1"/>
          <c:order val="1"/>
          <c:tx>
            <c:v>round+floor kh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square"/>
            <c:size val="9"/>
            <c:spPr>
              <a:solidFill>
                <a:schemeClr val="accent1"/>
              </a:solidFill>
              <a:ln cap="flat">
                <a:solidFill>
                  <a:schemeClr val="accent1"/>
                </a:solidFill>
                <a:prstDash val="sysDash"/>
              </a:ln>
            </c:spPr>
          </c:marker>
          <c:xVal>
            <c:numRef>
              <c:f>'[1]Main.m - fracture'!$F$2:$F$11</c:f>
              <c:numCache>
                <c:formatCode>General</c:formatCode>
                <c:ptCount val="10"/>
                <c:pt idx="0">
                  <c:v>0.47599999999999998</c:v>
                </c:pt>
                <c:pt idx="1">
                  <c:v>0.49722</c:v>
                </c:pt>
                <c:pt idx="2">
                  <c:v>0.51600000000000001</c:v>
                </c:pt>
                <c:pt idx="3">
                  <c:v>0.53400000000000003</c:v>
                </c:pt>
                <c:pt idx="4">
                  <c:v>0.55108999999999997</c:v>
                </c:pt>
                <c:pt idx="5">
                  <c:v>0.59399999999999997</c:v>
                </c:pt>
                <c:pt idx="6">
                  <c:v>0.63</c:v>
                </c:pt>
                <c:pt idx="7">
                  <c:v>0.67710000000000004</c:v>
                </c:pt>
                <c:pt idx="8">
                  <c:v>0.71399999999999997</c:v>
                </c:pt>
                <c:pt idx="9">
                  <c:v>0.73799999999999999</c:v>
                </c:pt>
              </c:numCache>
            </c:numRef>
          </c:xVal>
          <c:yVal>
            <c:numRef>
              <c:f>'[1]Main.m - fracture'!$I$2:$I$11</c:f>
              <c:numCache>
                <c:formatCode>General</c:formatCode>
                <c:ptCount val="10"/>
                <c:pt idx="0">
                  <c:v>1.2911600000000001</c:v>
                </c:pt>
                <c:pt idx="1">
                  <c:v>1.3949400000000001</c:v>
                </c:pt>
                <c:pt idx="2">
                  <c:v>1.4439599999999999</c:v>
                </c:pt>
                <c:pt idx="3">
                  <c:v>1.49336</c:v>
                </c:pt>
                <c:pt idx="4">
                  <c:v>1.5430699999999999</c:v>
                </c:pt>
                <c:pt idx="5">
                  <c:v>1.6933100000000001</c:v>
                </c:pt>
                <c:pt idx="6">
                  <c:v>1.84399</c:v>
                </c:pt>
                <c:pt idx="7">
                  <c:v>2.0928200000000001</c:v>
                </c:pt>
                <c:pt idx="8">
                  <c:v>2.33623</c:v>
                </c:pt>
                <c:pt idx="9">
                  <c:v>2.5264899999999999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06-49CF-B6BD-08D482C54EF5}"/>
            </c:ext>
          </c:extLst>
        </c:ser>
        <c:ser>
          <c:idx val="2"/>
          <c:order val="2"/>
          <c:tx>
            <c:v>round kv</c:v>
          </c:tx>
          <c:xVal>
            <c:numRef>
              <c:f>'[1]Main.m - fracture'!$F$13:$F$21</c:f>
              <c:numCache>
                <c:formatCode>General</c:formatCode>
                <c:ptCount val="9"/>
                <c:pt idx="0">
                  <c:v>0.51851999999999998</c:v>
                </c:pt>
                <c:pt idx="1">
                  <c:v>0.53778000000000004</c:v>
                </c:pt>
                <c:pt idx="2">
                  <c:v>0.58699999999999997</c:v>
                </c:pt>
                <c:pt idx="3">
                  <c:v>0.627</c:v>
                </c:pt>
                <c:pt idx="4">
                  <c:v>0.66</c:v>
                </c:pt>
                <c:pt idx="5">
                  <c:v>0.68700000000000006</c:v>
                </c:pt>
                <c:pt idx="6">
                  <c:v>0.71799999999999997</c:v>
                </c:pt>
                <c:pt idx="7">
                  <c:v>0.73699999999999999</c:v>
                </c:pt>
                <c:pt idx="8">
                  <c:v>0.75900000000000001</c:v>
                </c:pt>
              </c:numCache>
            </c:numRef>
          </c:xVal>
          <c:yVal>
            <c:numRef>
              <c:f>'[1]Main.m - fracture'!$H$13:$H$21</c:f>
              <c:numCache>
                <c:formatCode>General</c:formatCode>
                <c:ptCount val="9"/>
                <c:pt idx="0">
                  <c:v>1.85005</c:v>
                </c:pt>
                <c:pt idx="1">
                  <c:v>2.2761399999999998</c:v>
                </c:pt>
                <c:pt idx="2">
                  <c:v>3.9453800000000001</c:v>
                </c:pt>
                <c:pt idx="3">
                  <c:v>5.9952199999999998</c:v>
                </c:pt>
                <c:pt idx="4">
                  <c:v>8.2015600000000006</c:v>
                </c:pt>
                <c:pt idx="5">
                  <c:v>10.419499999999999</c:v>
                </c:pt>
                <c:pt idx="6">
                  <c:v>13.2506</c:v>
                </c:pt>
                <c:pt idx="7">
                  <c:v>15.2233</c:v>
                </c:pt>
                <c:pt idx="8">
                  <c:v>17.621500000000001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06-49CF-B6BD-08D482C54EF5}"/>
            </c:ext>
          </c:extLst>
        </c:ser>
        <c:ser>
          <c:idx val="3"/>
          <c:order val="3"/>
          <c:tx>
            <c:v>round kh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'[1]Main.m - fracture'!$F$13:$F$21</c:f>
              <c:numCache>
                <c:formatCode>General</c:formatCode>
                <c:ptCount val="9"/>
                <c:pt idx="0">
                  <c:v>0.51851999999999998</c:v>
                </c:pt>
                <c:pt idx="1">
                  <c:v>0.53778000000000004</c:v>
                </c:pt>
                <c:pt idx="2">
                  <c:v>0.58699999999999997</c:v>
                </c:pt>
                <c:pt idx="3">
                  <c:v>0.627</c:v>
                </c:pt>
                <c:pt idx="4">
                  <c:v>0.66</c:v>
                </c:pt>
                <c:pt idx="5">
                  <c:v>0.68700000000000006</c:v>
                </c:pt>
                <c:pt idx="6">
                  <c:v>0.71799999999999997</c:v>
                </c:pt>
                <c:pt idx="7">
                  <c:v>0.73699999999999999</c:v>
                </c:pt>
                <c:pt idx="8">
                  <c:v>0.75900000000000001</c:v>
                </c:pt>
              </c:numCache>
            </c:numRef>
          </c:xVal>
          <c:yVal>
            <c:numRef>
              <c:f>'[1]Main.m - fracture'!$I$13:$I$21</c:f>
              <c:numCache>
                <c:formatCode>General</c:formatCode>
                <c:ptCount val="9"/>
                <c:pt idx="0">
                  <c:v>1.9021600000000001</c:v>
                </c:pt>
                <c:pt idx="1">
                  <c:v>1.96818</c:v>
                </c:pt>
                <c:pt idx="2">
                  <c:v>2.1693099999999998</c:v>
                </c:pt>
                <c:pt idx="3">
                  <c:v>2.3725800000000001</c:v>
                </c:pt>
                <c:pt idx="4">
                  <c:v>2.5754100000000002</c:v>
                </c:pt>
                <c:pt idx="5">
                  <c:v>2.77583</c:v>
                </c:pt>
                <c:pt idx="6">
                  <c:v>3.0374599999999998</c:v>
                </c:pt>
                <c:pt idx="7">
                  <c:v>3.2289400000000001</c:v>
                </c:pt>
                <c:pt idx="8">
                  <c:v>3.47783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06-49CF-B6BD-08D482C54EF5}"/>
            </c:ext>
          </c:extLst>
        </c:ser>
        <c:ser>
          <c:idx val="4"/>
          <c:order val="4"/>
          <c:tx>
            <c:v>sphere kv</c:v>
          </c:tx>
          <c:xVal>
            <c:numRef>
              <c:f>'[1]Main.m - fracture'!$F$23:$F$31</c:f>
              <c:numCache>
                <c:formatCode>General</c:formatCode>
                <c:ptCount val="9"/>
                <c:pt idx="0">
                  <c:v>0.57118000000000002</c:v>
                </c:pt>
                <c:pt idx="1">
                  <c:v>0.58799999999999997</c:v>
                </c:pt>
                <c:pt idx="2">
                  <c:v>0.63244</c:v>
                </c:pt>
                <c:pt idx="3">
                  <c:v>0.66800000000000004</c:v>
                </c:pt>
                <c:pt idx="4">
                  <c:v>0.69730000000000003</c:v>
                </c:pt>
                <c:pt idx="5">
                  <c:v>0.72184999999999999</c:v>
                </c:pt>
                <c:pt idx="6">
                  <c:v>0.748</c:v>
                </c:pt>
                <c:pt idx="7">
                  <c:v>0.7661</c:v>
                </c:pt>
                <c:pt idx="8">
                  <c:v>0.78559000000000001</c:v>
                </c:pt>
              </c:numCache>
            </c:numRef>
          </c:xVal>
          <c:yVal>
            <c:numRef>
              <c:f>'[1]Main.m - fracture'!$H$23:$H$31</c:f>
              <c:numCache>
                <c:formatCode>General</c:formatCode>
                <c:ptCount val="9"/>
                <c:pt idx="0">
                  <c:v>2.71394</c:v>
                </c:pt>
                <c:pt idx="1">
                  <c:v>3.2437800000000001</c:v>
                </c:pt>
                <c:pt idx="2">
                  <c:v>5.1736500000000003</c:v>
                </c:pt>
                <c:pt idx="3">
                  <c:v>7.3845099999999997</c:v>
                </c:pt>
                <c:pt idx="4">
                  <c:v>9.6695600000000006</c:v>
                </c:pt>
                <c:pt idx="5">
                  <c:v>11.9086</c:v>
                </c:pt>
                <c:pt idx="6">
                  <c:v>14.712300000000001</c:v>
                </c:pt>
                <c:pt idx="7">
                  <c:v>16.640899999999998</c:v>
                </c:pt>
                <c:pt idx="8">
                  <c:v>18.966100000000001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06-49CF-B6BD-08D482C54EF5}"/>
            </c:ext>
          </c:extLst>
        </c:ser>
        <c:ser>
          <c:idx val="5"/>
          <c:order val="5"/>
          <c:tx>
            <c:v>sphere kh</c:v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circl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'[1]Main.m - fracture'!$F$23:$F$31</c:f>
              <c:numCache>
                <c:formatCode>General</c:formatCode>
                <c:ptCount val="9"/>
                <c:pt idx="0">
                  <c:v>0.57118000000000002</c:v>
                </c:pt>
                <c:pt idx="1">
                  <c:v>0.58799999999999997</c:v>
                </c:pt>
                <c:pt idx="2">
                  <c:v>0.63244</c:v>
                </c:pt>
                <c:pt idx="3">
                  <c:v>0.66800000000000004</c:v>
                </c:pt>
                <c:pt idx="4">
                  <c:v>0.69730000000000003</c:v>
                </c:pt>
                <c:pt idx="5">
                  <c:v>0.72184999999999999</c:v>
                </c:pt>
                <c:pt idx="6">
                  <c:v>0.748</c:v>
                </c:pt>
                <c:pt idx="7">
                  <c:v>0.7661</c:v>
                </c:pt>
                <c:pt idx="8">
                  <c:v>0.78559000000000001</c:v>
                </c:pt>
              </c:numCache>
            </c:numRef>
          </c:xVal>
          <c:yVal>
            <c:numRef>
              <c:f>'[1]Main.m - fracture'!$I$23:$I$31</c:f>
              <c:numCache>
                <c:formatCode>General</c:formatCode>
                <c:ptCount val="9"/>
                <c:pt idx="0">
                  <c:v>2.71394</c:v>
                </c:pt>
                <c:pt idx="1">
                  <c:v>2.80383</c:v>
                </c:pt>
                <c:pt idx="2">
                  <c:v>3.07633</c:v>
                </c:pt>
                <c:pt idx="3">
                  <c:v>3.3495200000000001</c:v>
                </c:pt>
                <c:pt idx="4">
                  <c:v>3.6195599999999999</c:v>
                </c:pt>
                <c:pt idx="5">
                  <c:v>3.8837600000000001</c:v>
                </c:pt>
                <c:pt idx="6">
                  <c:v>4.2248000000000001</c:v>
                </c:pt>
                <c:pt idx="7">
                  <c:v>4.4717700000000002</c:v>
                </c:pt>
                <c:pt idx="8">
                  <c:v>4.7895899999999996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06-49CF-B6BD-08D482C54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9328208"/>
        <c:axId val="-1799330928"/>
      </c:scatterChart>
      <c:valAx>
        <c:axId val="-1799328208"/>
        <c:scaling>
          <c:orientation val="minMax"/>
          <c:min val="0.3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799330928"/>
        <c:crosses val="autoZero"/>
        <c:crossBetween val="midCat"/>
      </c:valAx>
      <c:valAx>
        <c:axId val="-17993309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LBM</a:t>
                </a:r>
                <a:r>
                  <a:rPr lang="en-US" baseline="0"/>
                  <a:t> Permeability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799328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round+floor kv</c:v>
          </c:tx>
          <c:xVal>
            <c:numRef>
              <c:f>'[1]Main.m - fracture'!$F$2:$F$11</c:f>
              <c:numCache>
                <c:formatCode>General</c:formatCode>
                <c:ptCount val="10"/>
                <c:pt idx="0">
                  <c:v>0.47599999999999998</c:v>
                </c:pt>
                <c:pt idx="1">
                  <c:v>0.49722</c:v>
                </c:pt>
                <c:pt idx="2">
                  <c:v>0.51600000000000001</c:v>
                </c:pt>
                <c:pt idx="3">
                  <c:v>0.53400000000000003</c:v>
                </c:pt>
                <c:pt idx="4">
                  <c:v>0.55108999999999997</c:v>
                </c:pt>
                <c:pt idx="5">
                  <c:v>0.59399999999999997</c:v>
                </c:pt>
                <c:pt idx="6">
                  <c:v>0.63</c:v>
                </c:pt>
                <c:pt idx="7">
                  <c:v>0.67710000000000004</c:v>
                </c:pt>
                <c:pt idx="8">
                  <c:v>0.71399999999999997</c:v>
                </c:pt>
                <c:pt idx="9">
                  <c:v>0.73799999999999999</c:v>
                </c:pt>
              </c:numCache>
            </c:numRef>
          </c:xVal>
          <c:yVal>
            <c:numRef>
              <c:f>'[1]Main.m - fracture'!$M$2:$M$11</c:f>
              <c:numCache>
                <c:formatCode>General</c:formatCode>
                <c:ptCount val="10"/>
                <c:pt idx="0">
                  <c:v>9.0854077301539036</c:v>
                </c:pt>
                <c:pt idx="1">
                  <c:v>11.548648405219483</c:v>
                </c:pt>
                <c:pt idx="2">
                  <c:v>14.523803492417327</c:v>
                </c:pt>
                <c:pt idx="3">
                  <c:v>17.970764233683472</c:v>
                </c:pt>
                <c:pt idx="4">
                  <c:v>21.828734195741994</c:v>
                </c:pt>
                <c:pt idx="5">
                  <c:v>35.217670933675592</c:v>
                </c:pt>
                <c:pt idx="6">
                  <c:v>50.152483646885294</c:v>
                </c:pt>
                <c:pt idx="7">
                  <c:v>75.626118823251247</c:v>
                </c:pt>
                <c:pt idx="8">
                  <c:v>99.528827642111622</c:v>
                </c:pt>
                <c:pt idx="9">
                  <c:v>116.75378007453192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7D-429C-BE53-6478073FDE4C}"/>
            </c:ext>
          </c:extLst>
        </c:ser>
        <c:ser>
          <c:idx val="1"/>
          <c:order val="1"/>
          <c:tx>
            <c:v>round+floor kh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square"/>
            <c:size val="9"/>
            <c:spPr>
              <a:solidFill>
                <a:schemeClr val="accent1"/>
              </a:solidFill>
              <a:ln cap="flat">
                <a:solidFill>
                  <a:schemeClr val="accent1"/>
                </a:solidFill>
                <a:prstDash val="sysDash"/>
              </a:ln>
            </c:spPr>
          </c:marker>
          <c:xVal>
            <c:numRef>
              <c:f>'[1]Main.m - fracture'!$F$2:$F$11</c:f>
              <c:numCache>
                <c:formatCode>General</c:formatCode>
                <c:ptCount val="10"/>
                <c:pt idx="0">
                  <c:v>0.47599999999999998</c:v>
                </c:pt>
                <c:pt idx="1">
                  <c:v>0.49722</c:v>
                </c:pt>
                <c:pt idx="2">
                  <c:v>0.51600000000000001</c:v>
                </c:pt>
                <c:pt idx="3">
                  <c:v>0.53400000000000003</c:v>
                </c:pt>
                <c:pt idx="4">
                  <c:v>0.55108999999999997</c:v>
                </c:pt>
                <c:pt idx="5">
                  <c:v>0.59399999999999997</c:v>
                </c:pt>
                <c:pt idx="6">
                  <c:v>0.63</c:v>
                </c:pt>
                <c:pt idx="7">
                  <c:v>0.67710000000000004</c:v>
                </c:pt>
                <c:pt idx="8">
                  <c:v>0.71399999999999997</c:v>
                </c:pt>
                <c:pt idx="9">
                  <c:v>0.73799999999999999</c:v>
                </c:pt>
              </c:numCache>
            </c:numRef>
          </c:xVal>
          <c:yVal>
            <c:numRef>
              <c:f>'[1]Main.m - fracture'!$N$2:$N$11</c:f>
              <c:numCache>
                <c:formatCode>General</c:formatCode>
                <c:ptCount val="10"/>
                <c:pt idx="0">
                  <c:v>9.0854077301539036</c:v>
                </c:pt>
                <c:pt idx="1">
                  <c:v>9.8156685918870519</c:v>
                </c:pt>
                <c:pt idx="2">
                  <c:v>10.160603911237203</c:v>
                </c:pt>
                <c:pt idx="3">
                  <c:v>10.508213147791624</c:v>
                </c:pt>
                <c:pt idx="4">
                  <c:v>10.858003737854784</c:v>
                </c:pt>
                <c:pt idx="5">
                  <c:v>11.915186160930407</c:v>
                </c:pt>
                <c:pt idx="6">
                  <c:v>12.975464698663602</c:v>
                </c:pt>
                <c:pt idx="7">
                  <c:v>14.726387903761497</c:v>
                </c:pt>
                <c:pt idx="8">
                  <c:v>16.439172605577507</c:v>
                </c:pt>
                <c:pt idx="9">
                  <c:v>17.777960730007536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7D-429C-BE53-6478073FDE4C}"/>
            </c:ext>
          </c:extLst>
        </c:ser>
        <c:ser>
          <c:idx val="2"/>
          <c:order val="2"/>
          <c:tx>
            <c:v>round kv</c:v>
          </c:tx>
          <c:xVal>
            <c:numRef>
              <c:f>'[1]Main.m - fracture'!$F$13:$F$21</c:f>
              <c:numCache>
                <c:formatCode>General</c:formatCode>
                <c:ptCount val="9"/>
                <c:pt idx="0">
                  <c:v>0.51851999999999998</c:v>
                </c:pt>
                <c:pt idx="1">
                  <c:v>0.53778000000000004</c:v>
                </c:pt>
                <c:pt idx="2">
                  <c:v>0.58699999999999997</c:v>
                </c:pt>
                <c:pt idx="3">
                  <c:v>0.627</c:v>
                </c:pt>
                <c:pt idx="4">
                  <c:v>0.66</c:v>
                </c:pt>
                <c:pt idx="5">
                  <c:v>0.68700000000000006</c:v>
                </c:pt>
                <c:pt idx="6">
                  <c:v>0.71799999999999997</c:v>
                </c:pt>
                <c:pt idx="7">
                  <c:v>0.73699999999999999</c:v>
                </c:pt>
                <c:pt idx="8">
                  <c:v>0.75900000000000001</c:v>
                </c:pt>
              </c:numCache>
            </c:numRef>
          </c:xVal>
          <c:yVal>
            <c:numRef>
              <c:f>'[1]Main.m - fracture'!$M$13:$M$21</c:f>
              <c:numCache>
                <c:formatCode>General</c:formatCode>
                <c:ptCount val="9"/>
                <c:pt idx="0">
                  <c:v>13.018106641447403</c:v>
                </c:pt>
                <c:pt idx="1">
                  <c:v>16.016341856092588</c:v>
                </c:pt>
                <c:pt idx="2">
                  <c:v>27.76215647200549</c:v>
                </c:pt>
                <c:pt idx="3">
                  <c:v>42.186110266716192</c:v>
                </c:pt>
                <c:pt idx="4">
                  <c:v>57.711295752130681</c:v>
                </c:pt>
                <c:pt idx="5">
                  <c:v>73.318106078517445</c:v>
                </c:pt>
                <c:pt idx="6">
                  <c:v>93.239492912712066</c:v>
                </c:pt>
                <c:pt idx="7">
                  <c:v>107.12064151495703</c:v>
                </c:pt>
                <c:pt idx="8">
                  <c:v>123.99587372355633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7D-429C-BE53-6478073FDE4C}"/>
            </c:ext>
          </c:extLst>
        </c:ser>
        <c:ser>
          <c:idx val="3"/>
          <c:order val="3"/>
          <c:tx>
            <c:v>round kh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'[1]Main.m - fracture'!$F$13:$F$21</c:f>
              <c:numCache>
                <c:formatCode>General</c:formatCode>
                <c:ptCount val="9"/>
                <c:pt idx="0">
                  <c:v>0.51851999999999998</c:v>
                </c:pt>
                <c:pt idx="1">
                  <c:v>0.53778000000000004</c:v>
                </c:pt>
                <c:pt idx="2">
                  <c:v>0.58699999999999997</c:v>
                </c:pt>
                <c:pt idx="3">
                  <c:v>0.627</c:v>
                </c:pt>
                <c:pt idx="4">
                  <c:v>0.66</c:v>
                </c:pt>
                <c:pt idx="5">
                  <c:v>0.68700000000000006</c:v>
                </c:pt>
                <c:pt idx="6">
                  <c:v>0.71799999999999997</c:v>
                </c:pt>
                <c:pt idx="7">
                  <c:v>0.73699999999999999</c:v>
                </c:pt>
                <c:pt idx="8">
                  <c:v>0.75900000000000001</c:v>
                </c:pt>
              </c:numCache>
            </c:numRef>
          </c:xVal>
          <c:yVal>
            <c:numRef>
              <c:f>'[1]Main.m - fracture'!$N$13:$N$21</c:f>
              <c:numCache>
                <c:formatCode>General</c:formatCode>
                <c:ptCount val="9"/>
                <c:pt idx="0">
                  <c:v>13.384785129642761</c:v>
                </c:pt>
                <c:pt idx="1">
                  <c:v>13.849343060762653</c:v>
                </c:pt>
                <c:pt idx="2">
                  <c:v>15.2646192904831</c:v>
                </c:pt>
                <c:pt idx="3">
                  <c:v>16.694953896038097</c:v>
                </c:pt>
                <c:pt idx="4">
                  <c:v>18.12219238693552</c:v>
                </c:pt>
                <c:pt idx="5">
                  <c:v>19.532472613458527</c:v>
                </c:pt>
                <c:pt idx="6">
                  <c:v>21.373464608594809</c:v>
                </c:pt>
                <c:pt idx="7">
                  <c:v>22.720837414575374</c:v>
                </c:pt>
                <c:pt idx="8">
                  <c:v>24.472182817126576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7D-429C-BE53-6478073FDE4C}"/>
            </c:ext>
          </c:extLst>
        </c:ser>
        <c:ser>
          <c:idx val="4"/>
          <c:order val="4"/>
          <c:tx>
            <c:v>sphere kv</c:v>
          </c:tx>
          <c:xVal>
            <c:numRef>
              <c:f>'[1]Main.m - fracture'!$F$23:$F$31</c:f>
              <c:numCache>
                <c:formatCode>General</c:formatCode>
                <c:ptCount val="9"/>
                <c:pt idx="0">
                  <c:v>0.57118000000000002</c:v>
                </c:pt>
                <c:pt idx="1">
                  <c:v>0.58799999999999997</c:v>
                </c:pt>
                <c:pt idx="2">
                  <c:v>0.63244</c:v>
                </c:pt>
                <c:pt idx="3">
                  <c:v>0.66800000000000004</c:v>
                </c:pt>
                <c:pt idx="4">
                  <c:v>0.69730000000000003</c:v>
                </c:pt>
                <c:pt idx="5">
                  <c:v>0.72184999999999999</c:v>
                </c:pt>
                <c:pt idx="6">
                  <c:v>0.748</c:v>
                </c:pt>
                <c:pt idx="7">
                  <c:v>0.7661</c:v>
                </c:pt>
                <c:pt idx="8">
                  <c:v>0.78559000000000001</c:v>
                </c:pt>
              </c:numCache>
            </c:numRef>
          </c:xVal>
          <c:yVal>
            <c:numRef>
              <c:f>'[1]Main.m - fracture'!$M$23:$M$31</c:f>
              <c:numCache>
                <c:formatCode>General</c:formatCode>
                <c:ptCount val="9"/>
                <c:pt idx="0">
                  <c:v>19.09697594037446</c:v>
                </c:pt>
                <c:pt idx="1">
                  <c:v>22.825260918026139</c:v>
                </c:pt>
                <c:pt idx="2">
                  <c:v>36.405030904853582</c:v>
                </c:pt>
                <c:pt idx="3">
                  <c:v>51.962021931750364</c:v>
                </c:pt>
                <c:pt idx="4">
                  <c:v>68.041060109658744</c:v>
                </c:pt>
                <c:pt idx="5">
                  <c:v>83.796343207124423</c:v>
                </c:pt>
                <c:pt idx="6">
                  <c:v>103.52492653764311</c:v>
                </c:pt>
                <c:pt idx="7">
                  <c:v>117.0957600117089</c:v>
                </c:pt>
                <c:pt idx="8">
                  <c:v>133.45731865212053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7D-429C-BE53-6478073FDE4C}"/>
            </c:ext>
          </c:extLst>
        </c:ser>
        <c:ser>
          <c:idx val="5"/>
          <c:order val="5"/>
          <c:tx>
            <c:v>sphere kh</c:v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circl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'[1]Main.m - fracture'!$F$23:$F$31</c:f>
              <c:numCache>
                <c:formatCode>General</c:formatCode>
                <c:ptCount val="9"/>
                <c:pt idx="0">
                  <c:v>0.57118000000000002</c:v>
                </c:pt>
                <c:pt idx="1">
                  <c:v>0.58799999999999997</c:v>
                </c:pt>
                <c:pt idx="2">
                  <c:v>0.63244</c:v>
                </c:pt>
                <c:pt idx="3">
                  <c:v>0.66800000000000004</c:v>
                </c:pt>
                <c:pt idx="4">
                  <c:v>0.69730000000000003</c:v>
                </c:pt>
                <c:pt idx="5">
                  <c:v>0.72184999999999999</c:v>
                </c:pt>
                <c:pt idx="6">
                  <c:v>0.748</c:v>
                </c:pt>
                <c:pt idx="7">
                  <c:v>0.7661</c:v>
                </c:pt>
                <c:pt idx="8">
                  <c:v>0.78559000000000001</c:v>
                </c:pt>
              </c:numCache>
            </c:numRef>
          </c:xVal>
          <c:yVal>
            <c:numRef>
              <c:f>'[1]Main.m - fracture'!$N$23:$N$31</c:f>
              <c:numCache>
                <c:formatCode>General</c:formatCode>
                <c:ptCount val="9"/>
                <c:pt idx="0">
                  <c:v>19.09697594037446</c:v>
                </c:pt>
                <c:pt idx="1">
                  <c:v>19.729498091667509</c:v>
                </c:pt>
                <c:pt idx="2">
                  <c:v>21.646978192094206</c:v>
                </c:pt>
                <c:pt idx="3">
                  <c:v>23.569313563233916</c:v>
                </c:pt>
                <c:pt idx="4">
                  <c:v>25.469483568075109</c:v>
                </c:pt>
                <c:pt idx="5">
                  <c:v>27.328559687461293</c:v>
                </c:pt>
                <c:pt idx="6">
                  <c:v>29.72833001204669</c:v>
                </c:pt>
                <c:pt idx="7">
                  <c:v>31.46616509609213</c:v>
                </c:pt>
                <c:pt idx="8">
                  <c:v>33.702545006248513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7D-429C-BE53-6478073F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9322224"/>
        <c:axId val="-1799326576"/>
      </c:scatterChart>
      <c:valAx>
        <c:axId val="-1799322224"/>
        <c:scaling>
          <c:orientation val="minMax"/>
          <c:min val="0.3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799326576"/>
        <c:crosses val="autoZero"/>
        <c:crossBetween val="midCat"/>
      </c:valAx>
      <c:valAx>
        <c:axId val="-17993265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Permeability (mD)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799322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05106145284932"/>
          <c:y val="2.7254074072352554E-2"/>
          <c:w val="0.86644992441847346"/>
          <c:h val="0.84040528843469031"/>
        </c:manualLayout>
      </c:layout>
      <c:scatterChart>
        <c:scatterStyle val="smoothMarker"/>
        <c:varyColors val="0"/>
        <c:ser>
          <c:idx val="4"/>
          <c:order val="0"/>
          <c:tx>
            <c:v> Kv Fracture</c:v>
          </c:tx>
          <c:spPr>
            <a:ln w="1270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'[1]Main.m - fracture'!$F$2:$F$11</c:f>
              <c:numCache>
                <c:formatCode>General</c:formatCode>
                <c:ptCount val="10"/>
                <c:pt idx="0">
                  <c:v>0.47599999999999998</c:v>
                </c:pt>
                <c:pt idx="1">
                  <c:v>0.49722</c:v>
                </c:pt>
                <c:pt idx="2">
                  <c:v>0.51600000000000001</c:v>
                </c:pt>
                <c:pt idx="3">
                  <c:v>0.53400000000000003</c:v>
                </c:pt>
                <c:pt idx="4">
                  <c:v>0.55108999999999997</c:v>
                </c:pt>
                <c:pt idx="5">
                  <c:v>0.59399999999999997</c:v>
                </c:pt>
                <c:pt idx="6">
                  <c:v>0.63</c:v>
                </c:pt>
                <c:pt idx="7">
                  <c:v>0.67710000000000004</c:v>
                </c:pt>
                <c:pt idx="8">
                  <c:v>0.71399999999999997</c:v>
                </c:pt>
                <c:pt idx="9">
                  <c:v>0.73799999999999999</c:v>
                </c:pt>
              </c:numCache>
            </c:numRef>
          </c:xVal>
          <c:yVal>
            <c:numRef>
              <c:f>'[1]Main.m - fracture'!$M$2:$M$11</c:f>
              <c:numCache>
                <c:formatCode>General</c:formatCode>
                <c:ptCount val="10"/>
                <c:pt idx="0">
                  <c:v>9.0854077301539036</c:v>
                </c:pt>
                <c:pt idx="1">
                  <c:v>11.548648405219483</c:v>
                </c:pt>
                <c:pt idx="2">
                  <c:v>14.523803492417327</c:v>
                </c:pt>
                <c:pt idx="3">
                  <c:v>17.970764233683472</c:v>
                </c:pt>
                <c:pt idx="4">
                  <c:v>21.828734195741994</c:v>
                </c:pt>
                <c:pt idx="5">
                  <c:v>35.217670933675592</c:v>
                </c:pt>
                <c:pt idx="6">
                  <c:v>50.152483646885294</c:v>
                </c:pt>
                <c:pt idx="7">
                  <c:v>75.626118823251247</c:v>
                </c:pt>
                <c:pt idx="8">
                  <c:v>99.528827642111622</c:v>
                </c:pt>
                <c:pt idx="9">
                  <c:v>116.75378007453192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A-45B4-8EB3-FBFFAD88628D}"/>
            </c:ext>
          </c:extLst>
        </c:ser>
        <c:ser>
          <c:idx val="5"/>
          <c:order val="1"/>
          <c:tx>
            <c:v> Kh Fracture</c:v>
          </c:tx>
          <c:spPr>
            <a:ln w="1270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'[1]Main.m - fracture'!$F$2:$F$11</c:f>
              <c:numCache>
                <c:formatCode>General</c:formatCode>
                <c:ptCount val="10"/>
                <c:pt idx="0">
                  <c:v>0.47599999999999998</c:v>
                </c:pt>
                <c:pt idx="1">
                  <c:v>0.49722</c:v>
                </c:pt>
                <c:pt idx="2">
                  <c:v>0.51600000000000001</c:v>
                </c:pt>
                <c:pt idx="3">
                  <c:v>0.53400000000000003</c:v>
                </c:pt>
                <c:pt idx="4">
                  <c:v>0.55108999999999997</c:v>
                </c:pt>
                <c:pt idx="5">
                  <c:v>0.59399999999999997</c:v>
                </c:pt>
                <c:pt idx="6">
                  <c:v>0.63</c:v>
                </c:pt>
                <c:pt idx="7">
                  <c:v>0.67710000000000004</c:v>
                </c:pt>
                <c:pt idx="8">
                  <c:v>0.71399999999999997</c:v>
                </c:pt>
                <c:pt idx="9">
                  <c:v>0.73799999999999999</c:v>
                </c:pt>
              </c:numCache>
            </c:numRef>
          </c:xVal>
          <c:yVal>
            <c:numRef>
              <c:f>'[1]Main.m - fracture'!$N$2:$N$11</c:f>
              <c:numCache>
                <c:formatCode>General</c:formatCode>
                <c:ptCount val="10"/>
                <c:pt idx="0">
                  <c:v>9.0854077301539036</c:v>
                </c:pt>
                <c:pt idx="1">
                  <c:v>9.8156685918870519</c:v>
                </c:pt>
                <c:pt idx="2">
                  <c:v>10.160603911237203</c:v>
                </c:pt>
                <c:pt idx="3">
                  <c:v>10.508213147791624</c:v>
                </c:pt>
                <c:pt idx="4">
                  <c:v>10.858003737854784</c:v>
                </c:pt>
                <c:pt idx="5">
                  <c:v>11.915186160930407</c:v>
                </c:pt>
                <c:pt idx="6">
                  <c:v>12.975464698663602</c:v>
                </c:pt>
                <c:pt idx="7">
                  <c:v>14.726387903761497</c:v>
                </c:pt>
                <c:pt idx="8">
                  <c:v>16.439172605577507</c:v>
                </c:pt>
                <c:pt idx="9">
                  <c:v>17.777960730007536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3A-45B4-8EB3-FBFFAD88628D}"/>
            </c:ext>
          </c:extLst>
        </c:ser>
        <c:ser>
          <c:idx val="6"/>
          <c:order val="2"/>
          <c:tx>
            <c:v> K Dilation</c:v>
          </c:tx>
          <c:spPr>
            <a:ln w="1270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'[1]Main.m - 3D Expansion'!$E$2:$E$9</c:f>
              <c:numCache>
                <c:formatCode>General</c:formatCode>
                <c:ptCount val="8"/>
                <c:pt idx="0">
                  <c:v>0.47599999999999998</c:v>
                </c:pt>
                <c:pt idx="1">
                  <c:v>0.53600000000000003</c:v>
                </c:pt>
                <c:pt idx="2">
                  <c:v>0.58806999999999998</c:v>
                </c:pt>
                <c:pt idx="3">
                  <c:v>0.63217000000000001</c:v>
                </c:pt>
                <c:pt idx="4">
                  <c:v>0.67</c:v>
                </c:pt>
                <c:pt idx="5">
                  <c:v>0.70299999999999996</c:v>
                </c:pt>
                <c:pt idx="6">
                  <c:v>0.73185</c:v>
                </c:pt>
                <c:pt idx="7">
                  <c:v>0.75600000000000001</c:v>
                </c:pt>
              </c:numCache>
            </c:numRef>
          </c:xVal>
          <c:yVal>
            <c:numRef>
              <c:f>'[1]Main.m - 3D Expansion'!$K$2:$K$9</c:f>
              <c:numCache>
                <c:formatCode>General</c:formatCode>
                <c:ptCount val="8"/>
                <c:pt idx="0">
                  <c:v>9.0854077301539036</c:v>
                </c:pt>
                <c:pt idx="1">
                  <c:v>14.71301831774017</c:v>
                </c:pt>
                <c:pt idx="2">
                  <c:v>22.187602031051213</c:v>
                </c:pt>
                <c:pt idx="3">
                  <c:v>31.529002150392355</c:v>
                </c:pt>
                <c:pt idx="4">
                  <c:v>42.667767194694939</c:v>
                </c:pt>
                <c:pt idx="5">
                  <c:v>55.495040587248496</c:v>
                </c:pt>
                <c:pt idx="6">
                  <c:v>69.870441674829124</c:v>
                </c:pt>
                <c:pt idx="7">
                  <c:v>85.646975377444505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3A-45B4-8EB3-FBFFAD886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9324400"/>
        <c:axId val="-1799333104"/>
      </c:scatterChart>
      <c:valAx>
        <c:axId val="-1799324400"/>
        <c:scaling>
          <c:orientation val="minMax"/>
          <c:min val="0.4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1">
                    <a:solidFill>
                      <a:sysClr val="windowText" lastClr="000000"/>
                    </a:solidFill>
                  </a:rPr>
                  <a:t>Porosity</a:t>
                </a:r>
              </a:p>
            </c:rich>
          </c:tx>
          <c:layout>
            <c:manualLayout>
              <c:xMode val="edge"/>
              <c:yMode val="edge"/>
              <c:x val="0.49770615632233878"/>
              <c:y val="0.92010636307694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9333104"/>
        <c:crosses val="autoZero"/>
        <c:crossBetween val="midCat"/>
        <c:majorUnit val="5.000000000000001E-2"/>
      </c:valAx>
      <c:valAx>
        <c:axId val="-1799333104"/>
        <c:scaling>
          <c:orientation val="minMax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Permeability (mD)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9324400"/>
        <c:crosses val="autoZero"/>
        <c:crossBetween val="midCat"/>
        <c:majorUnit val="20"/>
      </c:valAx>
      <c:spPr>
        <a:solidFill>
          <a:schemeClr val="bg1"/>
        </a:solidFill>
        <a:ln w="25400" cap="flat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3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3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2908517282207496"/>
          <c:y val="9.6047750749797975E-2"/>
          <c:w val="0.23847769028871391"/>
          <c:h val="0.53657661808231416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05512131517334"/>
          <c:y val="3.1003999500062492E-2"/>
          <c:w val="0.8637805757629865"/>
          <c:h val="0.80707199100112481"/>
        </c:manualLayout>
      </c:layout>
      <c:scatterChart>
        <c:scatterStyle val="smoothMarker"/>
        <c:varyColors val="0"/>
        <c:ser>
          <c:idx val="4"/>
          <c:order val="0"/>
          <c:tx>
            <c:v> Kv Fracture</c:v>
          </c:tx>
          <c:spPr>
            <a:ln w="1270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'[1]Main.m - fracture'!$F$2:$F$11</c:f>
              <c:numCache>
                <c:formatCode>General</c:formatCode>
                <c:ptCount val="10"/>
                <c:pt idx="0">
                  <c:v>0.47599999999999998</c:v>
                </c:pt>
                <c:pt idx="1">
                  <c:v>0.49722</c:v>
                </c:pt>
                <c:pt idx="2">
                  <c:v>0.51600000000000001</c:v>
                </c:pt>
                <c:pt idx="3">
                  <c:v>0.53400000000000003</c:v>
                </c:pt>
                <c:pt idx="4">
                  <c:v>0.55108999999999997</c:v>
                </c:pt>
                <c:pt idx="5">
                  <c:v>0.59399999999999997</c:v>
                </c:pt>
                <c:pt idx="6">
                  <c:v>0.63</c:v>
                </c:pt>
                <c:pt idx="7">
                  <c:v>0.67710000000000004</c:v>
                </c:pt>
                <c:pt idx="8">
                  <c:v>0.71399999999999997</c:v>
                </c:pt>
                <c:pt idx="9">
                  <c:v>0.73799999999999999</c:v>
                </c:pt>
              </c:numCache>
            </c:numRef>
          </c:xVal>
          <c:yVal>
            <c:numRef>
              <c:f>'[1]Main.m - fracture'!$M$2:$M$11</c:f>
              <c:numCache>
                <c:formatCode>General</c:formatCode>
                <c:ptCount val="10"/>
                <c:pt idx="0">
                  <c:v>9.0854077301539036</c:v>
                </c:pt>
                <c:pt idx="1">
                  <c:v>11.548648405219483</c:v>
                </c:pt>
                <c:pt idx="2">
                  <c:v>14.523803492417327</c:v>
                </c:pt>
                <c:pt idx="3">
                  <c:v>17.970764233683472</c:v>
                </c:pt>
                <c:pt idx="4">
                  <c:v>21.828734195741994</c:v>
                </c:pt>
                <c:pt idx="5">
                  <c:v>35.217670933675592</c:v>
                </c:pt>
                <c:pt idx="6">
                  <c:v>50.152483646885294</c:v>
                </c:pt>
                <c:pt idx="7">
                  <c:v>75.626118823251247</c:v>
                </c:pt>
                <c:pt idx="8">
                  <c:v>99.528827642111622</c:v>
                </c:pt>
                <c:pt idx="9">
                  <c:v>116.75378007453192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8-4251-84AD-78B914202BF0}"/>
            </c:ext>
          </c:extLst>
        </c:ser>
        <c:ser>
          <c:idx val="5"/>
          <c:order val="1"/>
          <c:tx>
            <c:v> Kh Fracture</c:v>
          </c:tx>
          <c:spPr>
            <a:ln w="1270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'[1]Main.m - fracture'!$F$2:$F$11</c:f>
              <c:numCache>
                <c:formatCode>General</c:formatCode>
                <c:ptCount val="10"/>
                <c:pt idx="0">
                  <c:v>0.47599999999999998</c:v>
                </c:pt>
                <c:pt idx="1">
                  <c:v>0.49722</c:v>
                </c:pt>
                <c:pt idx="2">
                  <c:v>0.51600000000000001</c:v>
                </c:pt>
                <c:pt idx="3">
                  <c:v>0.53400000000000003</c:v>
                </c:pt>
                <c:pt idx="4">
                  <c:v>0.55108999999999997</c:v>
                </c:pt>
                <c:pt idx="5">
                  <c:v>0.59399999999999997</c:v>
                </c:pt>
                <c:pt idx="6">
                  <c:v>0.63</c:v>
                </c:pt>
                <c:pt idx="7">
                  <c:v>0.67710000000000004</c:v>
                </c:pt>
                <c:pt idx="8">
                  <c:v>0.71399999999999997</c:v>
                </c:pt>
                <c:pt idx="9">
                  <c:v>0.73799999999999999</c:v>
                </c:pt>
              </c:numCache>
            </c:numRef>
          </c:xVal>
          <c:yVal>
            <c:numRef>
              <c:f>'[1]Main.m - fracture'!$N$2:$N$11</c:f>
              <c:numCache>
                <c:formatCode>General</c:formatCode>
                <c:ptCount val="10"/>
                <c:pt idx="0">
                  <c:v>9.0854077301539036</c:v>
                </c:pt>
                <c:pt idx="1">
                  <c:v>9.8156685918870519</c:v>
                </c:pt>
                <c:pt idx="2">
                  <c:v>10.160603911237203</c:v>
                </c:pt>
                <c:pt idx="3">
                  <c:v>10.508213147791624</c:v>
                </c:pt>
                <c:pt idx="4">
                  <c:v>10.858003737854784</c:v>
                </c:pt>
                <c:pt idx="5">
                  <c:v>11.915186160930407</c:v>
                </c:pt>
                <c:pt idx="6">
                  <c:v>12.975464698663602</c:v>
                </c:pt>
                <c:pt idx="7">
                  <c:v>14.726387903761497</c:v>
                </c:pt>
                <c:pt idx="8">
                  <c:v>16.439172605577507</c:v>
                </c:pt>
                <c:pt idx="9">
                  <c:v>17.777960730007536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B8-4251-84AD-78B914202BF0}"/>
            </c:ext>
          </c:extLst>
        </c:ser>
        <c:ser>
          <c:idx val="6"/>
          <c:order val="2"/>
          <c:tx>
            <c:v> K Dilation</c:v>
          </c:tx>
          <c:spPr>
            <a:ln w="1270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'[1]Main.m - 3D Expansion'!$E$2:$E$9</c:f>
              <c:numCache>
                <c:formatCode>General</c:formatCode>
                <c:ptCount val="8"/>
                <c:pt idx="0">
                  <c:v>0.47599999999999998</c:v>
                </c:pt>
                <c:pt idx="1">
                  <c:v>0.53600000000000003</c:v>
                </c:pt>
                <c:pt idx="2">
                  <c:v>0.58806999999999998</c:v>
                </c:pt>
                <c:pt idx="3">
                  <c:v>0.63217000000000001</c:v>
                </c:pt>
                <c:pt idx="4">
                  <c:v>0.67</c:v>
                </c:pt>
                <c:pt idx="5">
                  <c:v>0.70299999999999996</c:v>
                </c:pt>
                <c:pt idx="6">
                  <c:v>0.73185</c:v>
                </c:pt>
                <c:pt idx="7">
                  <c:v>0.75600000000000001</c:v>
                </c:pt>
              </c:numCache>
            </c:numRef>
          </c:xVal>
          <c:yVal>
            <c:numRef>
              <c:f>'[1]Main.m - 3D Expansion'!$K$2:$K$9</c:f>
              <c:numCache>
                <c:formatCode>General</c:formatCode>
                <c:ptCount val="8"/>
                <c:pt idx="0">
                  <c:v>9.0854077301539036</c:v>
                </c:pt>
                <c:pt idx="1">
                  <c:v>14.71301831774017</c:v>
                </c:pt>
                <c:pt idx="2">
                  <c:v>22.187602031051213</c:v>
                </c:pt>
                <c:pt idx="3">
                  <c:v>31.529002150392355</c:v>
                </c:pt>
                <c:pt idx="4">
                  <c:v>42.667767194694939</c:v>
                </c:pt>
                <c:pt idx="5">
                  <c:v>55.495040587248496</c:v>
                </c:pt>
                <c:pt idx="6">
                  <c:v>69.870441674829124</c:v>
                </c:pt>
                <c:pt idx="7">
                  <c:v>85.646975377444505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B8-4251-84AD-78B914202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5987280"/>
        <c:axId val="-1795985104"/>
      </c:scatterChart>
      <c:valAx>
        <c:axId val="-1795987280"/>
        <c:scaling>
          <c:orientation val="minMax"/>
          <c:min val="0.4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Porosity (</a:t>
                </a:r>
                <a:r>
                  <a:rPr lang="el-GR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Φ</a:t>
                </a:r>
                <a:r>
                  <a:rPr lang="en-US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48435930658907694"/>
              <c:y val="0.92010636170478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985104"/>
        <c:crosses val="autoZero"/>
        <c:crossBetween val="midCat"/>
        <c:majorUnit val="5.000000000000001E-2"/>
      </c:valAx>
      <c:valAx>
        <c:axId val="-1795985104"/>
        <c:scaling>
          <c:orientation val="minMax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Permeability (mD)</a:t>
                </a:r>
              </a:p>
            </c:rich>
          </c:tx>
          <c:layout>
            <c:manualLayout>
              <c:xMode val="edge"/>
              <c:yMode val="edge"/>
              <c:x val="2.5465093781734945E-2"/>
              <c:y val="0.1872280964879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987280"/>
        <c:crosses val="autoZero"/>
        <c:crossBetween val="midCat"/>
        <c:majorUnit val="20"/>
      </c:valAx>
      <c:spPr>
        <a:solidFill>
          <a:schemeClr val="bg1"/>
        </a:solidFill>
        <a:ln w="25400" cap="flat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3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3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41984105873686"/>
          <c:y val="8.0174728158980121E-2"/>
          <c:w val="0.34954146142349735"/>
          <c:h val="0.52739007624046996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95953256165606E-2"/>
          <c:y val="4.4915291242177698E-2"/>
          <c:w val="0.88937253985481102"/>
          <c:h val="0.85281663970652599"/>
        </c:manualLayout>
      </c:layout>
      <c:scatterChart>
        <c:scatterStyle val="smoothMarker"/>
        <c:varyColors val="0"/>
        <c:ser>
          <c:idx val="0"/>
          <c:order val="0"/>
          <c:tx>
            <c:v>Dilation</c:v>
          </c:tx>
          <c:spPr>
            <a:ln w="88900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Plates'!$AL$4:$AL$12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-18.889078975422589</c:v>
                </c:pt>
                <c:pt idx="2">
                  <c:v>-18.264800125426838</c:v>
                </c:pt>
                <c:pt idx="3">
                  <c:v>-17.829428903119158</c:v>
                </c:pt>
                <c:pt idx="4">
                  <c:v>-17.494360165702997</c:v>
                </c:pt>
                <c:pt idx="5">
                  <c:v>-16.991629288091204</c:v>
                </c:pt>
                <c:pt idx="6">
                  <c:v>-16.616982317387592</c:v>
                </c:pt>
                <c:pt idx="7">
                  <c:v>-16.189244240203546</c:v>
                </c:pt>
                <c:pt idx="8">
                  <c:v>-15.763493174533663</c:v>
                </c:pt>
              </c:numCache>
            </c:numRef>
          </c:xVal>
          <c:yVal>
            <c:numRef>
              <c:f>'LBM Large Plates'!$AI$4:$AI$12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AA-4B3E-A208-8C0E99F0A106}"/>
            </c:ext>
          </c:extLst>
        </c:ser>
        <c:ser>
          <c:idx val="1"/>
          <c:order val="1"/>
          <c:tx>
            <c:v>MF-parallel</c:v>
          </c:tx>
          <c:spPr>
            <a:ln w="88900" cap="rnd">
              <a:solidFill>
                <a:schemeClr val="accent2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Plates'!$AL$13:$AL$20</c:f>
              <c:numCache>
                <c:formatCode>General</c:formatCode>
                <c:ptCount val="8"/>
                <c:pt idx="0">
                  <c:v>-19.989514510736544</c:v>
                </c:pt>
                <c:pt idx="1">
                  <c:v>-19.23523420485148</c:v>
                </c:pt>
                <c:pt idx="2">
                  <c:v>-18.963410208542474</c:v>
                </c:pt>
                <c:pt idx="3">
                  <c:v>-18.846670298748741</c:v>
                </c:pt>
                <c:pt idx="4">
                  <c:v>-18.697190389178008</c:v>
                </c:pt>
                <c:pt idx="5">
                  <c:v>-18.645737228238172</c:v>
                </c:pt>
                <c:pt idx="6">
                  <c:v>-18.558034277924779</c:v>
                </c:pt>
                <c:pt idx="7">
                  <c:v>-18.487036079799676</c:v>
                </c:pt>
              </c:numCache>
            </c:numRef>
          </c:xVal>
          <c:yVal>
            <c:numRef>
              <c:f>'LBM Large Plates'!$AI$13:$AI$20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0.17399999999999999</c:v>
                </c:pt>
                <c:pt idx="2">
                  <c:v>0.25600000000000001</c:v>
                </c:pt>
                <c:pt idx="3">
                  <c:v>0.32400000000000001</c:v>
                </c:pt>
                <c:pt idx="4">
                  <c:v>0.42799999999999999</c:v>
                </c:pt>
                <c:pt idx="5">
                  <c:v>0.504</c:v>
                </c:pt>
                <c:pt idx="6">
                  <c:v>0.58699999999999997</c:v>
                </c:pt>
                <c:pt idx="7">
                  <c:v>0.64600000000000002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AA-4B3E-A208-8C0E99F0A106}"/>
            </c:ext>
          </c:extLst>
        </c:ser>
        <c:ser>
          <c:idx val="2"/>
          <c:order val="2"/>
          <c:tx>
            <c:v>MF-perpendicular</c:v>
          </c:tx>
          <c:spPr>
            <a:ln w="88900" cap="rnd">
              <a:solidFill>
                <a:schemeClr val="accent2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Plates'!$AL$21:$AL$31</c:f>
              <c:numCache>
                <c:formatCode>General</c:formatCode>
                <c:ptCount val="11"/>
                <c:pt idx="0">
                  <c:v>-19.989514510736544</c:v>
                </c:pt>
                <c:pt idx="1">
                  <c:v>-18.538624729567115</c:v>
                </c:pt>
                <c:pt idx="2">
                  <c:v>-17.71044744796718</c:v>
                </c:pt>
                <c:pt idx="3">
                  <c:v>-16.830659111644863</c:v>
                </c:pt>
                <c:pt idx="4">
                  <c:v>-16.062648349495433</c:v>
                </c:pt>
                <c:pt idx="5">
                  <c:v>-15.683487071996156</c:v>
                </c:pt>
                <c:pt idx="6">
                  <c:v>-15.339703064640089</c:v>
                </c:pt>
                <c:pt idx="7">
                  <c:v>-14.852776342411355</c:v>
                </c:pt>
                <c:pt idx="8">
                  <c:v>-14.396640842983768</c:v>
                </c:pt>
                <c:pt idx="9">
                  <c:v>-14.017975528133856</c:v>
                </c:pt>
                <c:pt idx="10">
                  <c:v>-13.65364766433561</c:v>
                </c:pt>
              </c:numCache>
            </c:numRef>
          </c:xVal>
          <c:yVal>
            <c:numRef>
              <c:f>'LBM Large Plates'!$AI$21:$AI$31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  <c:pt idx="10">
                  <c:v>0.66400000000000003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AA-4B3E-A208-8C0E99F0A106}"/>
            </c:ext>
          </c:extLst>
        </c:ser>
        <c:ser>
          <c:idx val="3"/>
          <c:order val="3"/>
          <c:tx>
            <c:v>Frac-parallel</c:v>
          </c:tx>
          <c:spPr>
            <a:ln w="88900" cap="rnd">
              <a:solidFill>
                <a:schemeClr val="accent4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Plates'!$AL$32:$AL$40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-19.644153785693138</c:v>
                </c:pt>
                <c:pt idx="2">
                  <c:v>-19.528739430864334</c:v>
                </c:pt>
                <c:pt idx="3">
                  <c:v>-19.366988546327779</c:v>
                </c:pt>
                <c:pt idx="4">
                  <c:v>-19.237884511832817</c:v>
                </c:pt>
                <c:pt idx="5">
                  <c:v>-19.104933930533488</c:v>
                </c:pt>
                <c:pt idx="6">
                  <c:v>-18.956876812168758</c:v>
                </c:pt>
                <c:pt idx="7">
                  <c:v>-18.813242410592011</c:v>
                </c:pt>
                <c:pt idx="8">
                  <c:v>-18.716773375905827</c:v>
                </c:pt>
              </c:numCache>
            </c:numRef>
          </c:xVal>
          <c:yVal>
            <c:numRef>
              <c:f>'LBM Large Plates'!$AI$32:$AI$40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0.17399999999999999</c:v>
                </c:pt>
                <c:pt idx="2">
                  <c:v>0.25600000000000001</c:v>
                </c:pt>
                <c:pt idx="3">
                  <c:v>0.35299999999999998</c:v>
                </c:pt>
                <c:pt idx="4">
                  <c:v>0.42799999999999999</c:v>
                </c:pt>
                <c:pt idx="5">
                  <c:v>0.504</c:v>
                </c:pt>
                <c:pt idx="6">
                  <c:v>0.58699999999999997</c:v>
                </c:pt>
                <c:pt idx="7">
                  <c:v>0.66200000000000003</c:v>
                </c:pt>
                <c:pt idx="8">
                  <c:v>0.70799999999999996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AA-4B3E-A208-8C0E99F0A106}"/>
            </c:ext>
          </c:extLst>
        </c:ser>
        <c:ser>
          <c:idx val="4"/>
          <c:order val="4"/>
          <c:tx>
            <c:v>Frac-perp</c:v>
          </c:tx>
          <c:spPr>
            <a:ln w="88900" cap="rnd">
              <a:solidFill>
                <a:schemeClr val="accent4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Plates'!$AL$41:$AL$51</c:f>
              <c:numCache>
                <c:formatCode>General</c:formatCode>
                <c:ptCount val="11"/>
                <c:pt idx="0">
                  <c:v>-19.989514510736544</c:v>
                </c:pt>
                <c:pt idx="1">
                  <c:v>-19.759428747206112</c:v>
                </c:pt>
                <c:pt idx="2">
                  <c:v>-19.663538632393678</c:v>
                </c:pt>
                <c:pt idx="3">
                  <c:v>-18.150018822714188</c:v>
                </c:pt>
                <c:pt idx="4">
                  <c:v>-16.96884323976284</c:v>
                </c:pt>
                <c:pt idx="5">
                  <c:v>-15.91101994680103</c:v>
                </c:pt>
                <c:pt idx="6">
                  <c:v>-14.255540325782666</c:v>
                </c:pt>
                <c:pt idx="7">
                  <c:v>-13.866143177245744</c:v>
                </c:pt>
                <c:pt idx="8">
                  <c:v>-13.598428982506459</c:v>
                </c:pt>
                <c:pt idx="9">
                  <c:v>-13.413785750844296</c:v>
                </c:pt>
                <c:pt idx="10">
                  <c:v>-13.288233388470468</c:v>
                </c:pt>
              </c:numCache>
            </c:numRef>
          </c:xVal>
          <c:yVal>
            <c:numRef>
              <c:f>'LBM Large Plates'!$AI$41:$AI$51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0.123</c:v>
                </c:pt>
                <c:pt idx="2">
                  <c:v>0.16700000000000001</c:v>
                </c:pt>
                <c:pt idx="3">
                  <c:v>0.21299999999999999</c:v>
                </c:pt>
                <c:pt idx="4">
                  <c:v>0.252</c:v>
                </c:pt>
                <c:pt idx="5">
                  <c:v>0.318</c:v>
                </c:pt>
                <c:pt idx="6">
                  <c:v>0.36399999999999999</c:v>
                </c:pt>
                <c:pt idx="7">
                  <c:v>0.40699999999999997</c:v>
                </c:pt>
                <c:pt idx="8">
                  <c:v>0.47099999999999997</c:v>
                </c:pt>
                <c:pt idx="9">
                  <c:v>0.54500000000000004</c:v>
                </c:pt>
                <c:pt idx="10">
                  <c:v>0.61599999999999999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AA-4B3E-A208-8C0E99F0A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6112"/>
        <c:axId val="-1839041216"/>
        <c:extLst/>
      </c:scatterChart>
      <c:valAx>
        <c:axId val="-1839046112"/>
        <c:scaling>
          <c:orientation val="minMax"/>
          <c:max val="-12"/>
          <c:min val="-23"/>
        </c:scaling>
        <c:delete val="1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1839041216"/>
        <c:crosses val="autoZero"/>
        <c:crossBetween val="midCat"/>
        <c:majorUnit val="1"/>
      </c:valAx>
      <c:valAx>
        <c:axId val="-1839041216"/>
        <c:scaling>
          <c:orientation val="minMax"/>
        </c:scaling>
        <c:delete val="1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18390461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242924683555304E-2"/>
          <c:y val="2.1843936714239998E-2"/>
          <c:w val="0.88416808048152795"/>
          <c:h val="0.83530431360888002"/>
        </c:manualLayout>
      </c:layout>
      <c:scatterChart>
        <c:scatterStyle val="smoothMarker"/>
        <c:varyColors val="0"/>
        <c:ser>
          <c:idx val="4"/>
          <c:order val="0"/>
          <c:tx>
            <c:v> Microfractures parallel to beds</c:v>
          </c:tx>
          <c:spPr>
            <a:ln w="152400" cap="rnd">
              <a:solidFill>
                <a:srgbClr val="FF00FF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6168051613564584E-2"/>
                  <c:y val="-0.1321441677321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'LBM Large Plates'!$L$13:$L$20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0.17399999999999999</c:v>
                </c:pt>
                <c:pt idx="2">
                  <c:v>0.25600000000000001</c:v>
                </c:pt>
                <c:pt idx="3">
                  <c:v>0.32400000000000001</c:v>
                </c:pt>
                <c:pt idx="4">
                  <c:v>0.42799999999999999</c:v>
                </c:pt>
                <c:pt idx="5">
                  <c:v>0.504</c:v>
                </c:pt>
                <c:pt idx="6">
                  <c:v>0.58699999999999997</c:v>
                </c:pt>
                <c:pt idx="7">
                  <c:v>0.64600000000000002</c:v>
                </c:pt>
              </c:numCache>
            </c:numRef>
          </c:xVal>
          <c:yVal>
            <c:numRef>
              <c:f>'LBM Large Plates'!$AJ$13:$AJ$20</c:f>
              <c:numCache>
                <c:formatCode>General</c:formatCode>
                <c:ptCount val="8"/>
                <c:pt idx="0">
                  <c:v>1.0380358202658914E-5</c:v>
                </c:pt>
                <c:pt idx="1">
                  <c:v>5.8951199488813677E-5</c:v>
                </c:pt>
                <c:pt idx="2">
                  <c:v>1.1023427305870164E-4</c:v>
                </c:pt>
                <c:pt idx="3">
                  <c:v>1.4423031508682105E-4</c:v>
                </c:pt>
                <c:pt idx="4">
                  <c:v>2.0348690291802204E-4</c:v>
                </c:pt>
                <c:pt idx="5">
                  <c:v>2.2908129144858874E-4</c:v>
                </c:pt>
                <c:pt idx="6">
                  <c:v>2.8034484398683991E-4</c:v>
                </c:pt>
                <c:pt idx="7">
                  <c:v>3.3013439320403411E-4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2-478A-8497-90B3371BD95F}"/>
            </c:ext>
          </c:extLst>
        </c:ser>
        <c:ser>
          <c:idx val="6"/>
          <c:order val="2"/>
          <c:tx>
            <c:v>Microfractures pependicular to beds</c:v>
          </c:tx>
          <c:spPr>
            <a:ln w="152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'LBM Large Plates'!$L$21:$L$31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  <c:pt idx="10">
                  <c:v>0.66400000000000003</c:v>
                </c:pt>
              </c:numCache>
            </c:numRef>
          </c:xVal>
          <c:yVal>
            <c:numRef>
              <c:f>'LBM Large Plates'!$AJ$21:$AJ$31</c:f>
              <c:numCache>
                <c:formatCode>General</c:formatCode>
                <c:ptCount val="11"/>
                <c:pt idx="0">
                  <c:v>1.0380358202658914E-5</c:v>
                </c:pt>
                <c:pt idx="1">
                  <c:v>2.931582506343302E-4</c:v>
                </c:pt>
                <c:pt idx="2">
                  <c:v>1.973692101219858E-3</c:v>
                </c:pt>
                <c:pt idx="3">
                  <c:v>1.4964690506864416E-2</c:v>
                </c:pt>
                <c:pt idx="4">
                  <c:v>8.7715935903188949E-2</c:v>
                </c:pt>
                <c:pt idx="5">
                  <c:v>0.210009905269231</c:v>
                </c:pt>
                <c:pt idx="6">
                  <c:v>0.4634723035024122</c:v>
                </c:pt>
                <c:pt idx="7">
                  <c:v>1.4221667104373417</c:v>
                </c:pt>
                <c:pt idx="8">
                  <c:v>4.065238295135666</c:v>
                </c:pt>
                <c:pt idx="9">
                  <c:v>9.7219038795982495</c:v>
                </c:pt>
                <c:pt idx="10">
                  <c:v>22.494647225594061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62-478A-8497-90B3371BD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2860480"/>
        <c:axId val="-163285830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v> Kh microfractures parallel to beds</c:v>
                </c:tx>
                <c:spPr>
                  <a:ln w="152400" cap="rnd">
                    <a:solidFill>
                      <a:srgbClr val="FF000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'LBM Large Plates'!$L$13:$L$20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7.0000000000000007E-2</c:v>
                      </c:pt>
                      <c:pt idx="1">
                        <c:v>0.17399999999999999</c:v>
                      </c:pt>
                      <c:pt idx="2">
                        <c:v>0.25600000000000001</c:v>
                      </c:pt>
                      <c:pt idx="3">
                        <c:v>0.32400000000000001</c:v>
                      </c:pt>
                      <c:pt idx="4">
                        <c:v>0.42799999999999999</c:v>
                      </c:pt>
                      <c:pt idx="5">
                        <c:v>0.504</c:v>
                      </c:pt>
                      <c:pt idx="6">
                        <c:v>0.58699999999999997</c:v>
                      </c:pt>
                      <c:pt idx="7">
                        <c:v>0.64600000000000002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'LBM Large Plates'!$AM$13:$AM$20</c15:sqref>
                        </c15:formulaRef>
                      </c:ext>
                    </c:extLst>
                    <c:numCache>
                      <c:formatCode>0.000E+00</c:formatCode>
                      <c:ptCount val="8"/>
                      <c:pt idx="0">
                        <c:v>4.0612679158196874E-4</c:v>
                      </c:pt>
                      <c:pt idx="1">
                        <c:v>4.6906392103908141E-3</c:v>
                      </c:pt>
                      <c:pt idx="2">
                        <c:v>1.8041535957781636E-2</c:v>
                      </c:pt>
                      <c:pt idx="3">
                        <c:v>4.3948459513504463E-2</c:v>
                      </c:pt>
                      <c:pt idx="4">
                        <c:v>0.14189970242834193</c:v>
                      </c:pt>
                      <c:pt idx="5">
                        <c:v>0.30962076673814726</c:v>
                      </c:pt>
                      <c:pt idx="6">
                        <c:v>0.70343541206126803</c:v>
                      </c:pt>
                      <c:pt idx="7">
                        <c:v>1.2752031200564127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262-478A-8497-90B3371BD95F}"/>
                  </c:ext>
                </c:extLst>
              </c15:ser>
            </c15:filteredScatterSeries>
            <c15:filteredScatterSeries>
              <c15:ser>
                <c:idx val="7"/>
                <c:order val="3"/>
                <c:tx>
                  <c:v> Kh microfractures perpendicular to beds</c:v>
                </c:tx>
                <c:spPr>
                  <a:ln w="152400" cap="rnd">
                    <a:solidFill>
                      <a:schemeClr val="accent2">
                        <a:lumMod val="7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'LBM Large Plates'!$L$21:$L$31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7.0000000000000007E-2</c:v>
                      </c:pt>
                      <c:pt idx="1">
                        <c:v>0.10199999999999999</c:v>
                      </c:pt>
                      <c:pt idx="2">
                        <c:v>0.13300000000000001</c:v>
                      </c:pt>
                      <c:pt idx="3">
                        <c:v>0.183</c:v>
                      </c:pt>
                      <c:pt idx="4">
                        <c:v>0.248</c:v>
                      </c:pt>
                      <c:pt idx="5">
                        <c:v>0.28999999999999998</c:v>
                      </c:pt>
                      <c:pt idx="6">
                        <c:v>0.33300000000000002</c:v>
                      </c:pt>
                      <c:pt idx="7">
                        <c:v>0.40600000000000003</c:v>
                      </c:pt>
                      <c:pt idx="8">
                        <c:v>0.48599999999999999</c:v>
                      </c:pt>
                      <c:pt idx="9">
                        <c:v>0.56699999999999995</c:v>
                      </c:pt>
                      <c:pt idx="10">
                        <c:v>0.66400000000000003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'LBM Large Plates'!$AM$21:$AM$31</c15:sqref>
                        </c15:formulaRef>
                      </c:ext>
                    </c:extLst>
                    <c:numCache>
                      <c:formatCode>0.000E+00</c:formatCode>
                      <c:ptCount val="11"/>
                      <c:pt idx="0">
                        <c:v>4.0612679158196874E-4</c:v>
                      </c:pt>
                      <c:pt idx="1">
                        <c:v>3.5260938705201405E-3</c:v>
                      </c:pt>
                      <c:pt idx="2">
                        <c:v>9.7888709440610774E-3</c:v>
                      </c:pt>
                      <c:pt idx="3">
                        <c:v>2.2071404790510795E-2</c:v>
                      </c:pt>
                      <c:pt idx="4">
                        <c:v>4.0388683591787107E-2</c:v>
                      </c:pt>
                      <c:pt idx="5">
                        <c:v>5.3690446895142706E-2</c:v>
                      </c:pt>
                      <c:pt idx="6">
                        <c:v>6.938965757546306E-2</c:v>
                      </c:pt>
                      <c:pt idx="7">
                        <c:v>0.10034074953317025</c:v>
                      </c:pt>
                      <c:pt idx="8">
                        <c:v>0.14500486991837977</c:v>
                      </c:pt>
                      <c:pt idx="9">
                        <c:v>0.2076806160705239</c:v>
                      </c:pt>
                      <c:pt idx="10">
                        <c:v>0.33849799723314195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62-478A-8497-90B3371BD95F}"/>
                  </c:ext>
                </c:extLst>
              </c15:ser>
            </c15:filteredScatterSeries>
          </c:ext>
        </c:extLst>
      </c:scatterChart>
      <c:valAx>
        <c:axId val="-1632860480"/>
        <c:scaling>
          <c:orientation val="minMax"/>
          <c:max val="0.8"/>
          <c:min val="0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Porosity (</a:t>
                </a:r>
                <a:r>
                  <a:rPr lang="el-GR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Φ</a:t>
                </a:r>
                <a:r>
                  <a:rPr lang="en-US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46513061494652902"/>
              <c:y val="0.93546085434363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32858304"/>
        <c:crossesAt val="-2"/>
        <c:crossBetween val="midCat"/>
        <c:majorUnit val="0.1"/>
      </c:valAx>
      <c:valAx>
        <c:axId val="-1632858304"/>
        <c:scaling>
          <c:orientation val="minMax"/>
          <c:max val="25"/>
          <c:min val="-2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Vertical Permeability (mD)</a:t>
                </a:r>
              </a:p>
            </c:rich>
          </c:tx>
          <c:layout>
            <c:manualLayout>
              <c:xMode val="edge"/>
              <c:yMode val="edge"/>
              <c:x val="7.6902647374683056E-3"/>
              <c:y val="0.19835831934496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32860480"/>
        <c:crosses val="autoZero"/>
        <c:crossBetween val="midCat"/>
        <c:majorUnit val="5"/>
      </c:valAx>
      <c:spPr>
        <a:solidFill>
          <a:schemeClr val="bg1"/>
        </a:solidFill>
        <a:ln w="25400" cap="flat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3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3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2908517282207499"/>
          <c:y val="0.10476921029050699"/>
          <c:w val="0.48581461734875903"/>
          <c:h val="0.50330896462101504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03372214028707E-2"/>
          <c:y val="2.19192041029996E-2"/>
          <c:w val="0.89430070193633904"/>
          <c:h val="0.84202515644374598"/>
        </c:manualLayout>
      </c:layout>
      <c:scatterChart>
        <c:scatterStyle val="smoothMarker"/>
        <c:varyColors val="0"/>
        <c:ser>
          <c:idx val="2"/>
          <c:order val="0"/>
          <c:tx>
            <c:v> Fracture parallel to bed</c:v>
          </c:tx>
          <c:spPr>
            <a:ln w="152400" cap="rnd" cmpd="sng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'LBM Large Plates'!$L$32:$L$40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0.17399999999999999</c:v>
                </c:pt>
                <c:pt idx="2">
                  <c:v>0.25600000000000001</c:v>
                </c:pt>
                <c:pt idx="3">
                  <c:v>0.35299999999999998</c:v>
                </c:pt>
                <c:pt idx="4">
                  <c:v>0.42799999999999999</c:v>
                </c:pt>
                <c:pt idx="5">
                  <c:v>0.504</c:v>
                </c:pt>
                <c:pt idx="6">
                  <c:v>0.58699999999999997</c:v>
                </c:pt>
                <c:pt idx="7">
                  <c:v>0.66200000000000003</c:v>
                </c:pt>
                <c:pt idx="8">
                  <c:v>0.70799999999999996</c:v>
                </c:pt>
              </c:numCache>
            </c:numRef>
          </c:xVal>
          <c:yVal>
            <c:numRef>
              <c:f>'LBM Large Plates'!$AJ$32:$AJ$40</c:f>
              <c:numCache>
                <c:formatCode>General</c:formatCode>
                <c:ptCount val="9"/>
                <c:pt idx="0">
                  <c:v>1.0380358202658914E-5</c:v>
                </c:pt>
                <c:pt idx="1">
                  <c:v>2.2991804888943118E-5</c:v>
                </c:pt>
                <c:pt idx="2">
                  <c:v>2.9990756460654996E-5</c:v>
                </c:pt>
                <c:pt idx="3">
                  <c:v>4.3524952386466808E-5</c:v>
                </c:pt>
                <c:pt idx="4">
                  <c:v>5.8592541890603655E-5</c:v>
                </c:pt>
                <c:pt idx="5">
                  <c:v>7.9577981765205835E-5</c:v>
                </c:pt>
                <c:pt idx="6">
                  <c:v>1.1190514102084244E-4</c:v>
                </c:pt>
                <c:pt idx="7">
                  <c:v>1.5577022256871135E-4</c:v>
                </c:pt>
                <c:pt idx="8">
                  <c:v>1.9451516912368354E-4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87-46CC-A5F1-03FBC92D2677}"/>
            </c:ext>
          </c:extLst>
        </c:ser>
        <c:ser>
          <c:idx val="0"/>
          <c:order val="2"/>
          <c:tx>
            <c:v> Fracture perpendicular to beds</c:v>
          </c:tx>
          <c:spPr>
            <a:ln w="15240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'LBM Large Plates'!$L$41:$L$52</c:f>
              <c:numCache>
                <c:formatCode>General</c:formatCode>
                <c:ptCount val="12"/>
                <c:pt idx="0">
                  <c:v>7.0000000000000007E-2</c:v>
                </c:pt>
                <c:pt idx="1">
                  <c:v>0.123</c:v>
                </c:pt>
                <c:pt idx="2">
                  <c:v>0.16700000000000001</c:v>
                </c:pt>
                <c:pt idx="3">
                  <c:v>0.21299999999999999</c:v>
                </c:pt>
                <c:pt idx="4">
                  <c:v>0.252</c:v>
                </c:pt>
                <c:pt idx="5">
                  <c:v>0.318</c:v>
                </c:pt>
                <c:pt idx="6">
                  <c:v>0.36399999999999999</c:v>
                </c:pt>
                <c:pt idx="7">
                  <c:v>0.40699999999999997</c:v>
                </c:pt>
                <c:pt idx="8">
                  <c:v>0.47099999999999997</c:v>
                </c:pt>
                <c:pt idx="9">
                  <c:v>0.54500000000000004</c:v>
                </c:pt>
                <c:pt idx="10">
                  <c:v>0.61599999999999999</c:v>
                </c:pt>
                <c:pt idx="11">
                  <c:v>0.67900000000000005</c:v>
                </c:pt>
              </c:numCache>
            </c:numRef>
          </c:xVal>
          <c:yVal>
            <c:numRef>
              <c:f>'LBM Large Plates'!$AJ$41:$AJ$52</c:f>
              <c:numCache>
                <c:formatCode>General</c:formatCode>
                <c:ptCount val="12"/>
                <c:pt idx="0">
                  <c:v>1.0380358202658914E-5</c:v>
                </c:pt>
                <c:pt idx="1">
                  <c:v>1.76318589853613E-5</c:v>
                </c:pt>
                <c:pt idx="2">
                  <c:v>2.1988126084358154E-5</c:v>
                </c:pt>
                <c:pt idx="3">
                  <c:v>7.1731188777061135E-4</c:v>
                </c:pt>
                <c:pt idx="4">
                  <c:v>1.0886383046480323E-2</c:v>
                </c:pt>
                <c:pt idx="5">
                  <c:v>0.12436749996381166</c:v>
                </c:pt>
                <c:pt idx="6">
                  <c:v>5.6258289717751531</c:v>
                </c:pt>
                <c:pt idx="7">
                  <c:v>13.790616256635394</c:v>
                </c:pt>
                <c:pt idx="8">
                  <c:v>25.544527183656928</c:v>
                </c:pt>
                <c:pt idx="9">
                  <c:v>39.078789282457329</c:v>
                </c:pt>
                <c:pt idx="10">
                  <c:v>52.178724970584042</c:v>
                </c:pt>
                <c:pt idx="11">
                  <c:v>63.727896670878316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87-46CC-A5F1-03FBC92D2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2859936"/>
        <c:axId val="-163286864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 Kh Fracture parallel to bed</c:v>
                </c:tx>
                <c:spPr>
                  <a:ln w="15240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'LBM Large Plates'!$L$32:$L$40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7.0000000000000007E-2</c:v>
                      </c:pt>
                      <c:pt idx="1">
                        <c:v>0.17399999999999999</c:v>
                      </c:pt>
                      <c:pt idx="2">
                        <c:v>0.25600000000000001</c:v>
                      </c:pt>
                      <c:pt idx="3">
                        <c:v>0.35299999999999998</c:v>
                      </c:pt>
                      <c:pt idx="4">
                        <c:v>0.42799999999999999</c:v>
                      </c:pt>
                      <c:pt idx="5">
                        <c:v>0.504</c:v>
                      </c:pt>
                      <c:pt idx="6">
                        <c:v>0.58699999999999997</c:v>
                      </c:pt>
                      <c:pt idx="7">
                        <c:v>0.66200000000000003</c:v>
                      </c:pt>
                      <c:pt idx="8">
                        <c:v>0.70799999999999996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'LBM Large Plates'!$AM$32:$AM$40</c15:sqref>
                        </c15:formulaRef>
                      </c:ext>
                    </c:extLst>
                    <c:numCache>
                      <c:formatCode>0.000E+00</c:formatCode>
                      <c:ptCount val="9"/>
                      <c:pt idx="0">
                        <c:v>4.0612679158196874E-4</c:v>
                      </c:pt>
                      <c:pt idx="1">
                        <c:v>1.0203643236603589E-2</c:v>
                      </c:pt>
                      <c:pt idx="2">
                        <c:v>5.0989927230391606E-2</c:v>
                      </c:pt>
                      <c:pt idx="3">
                        <c:v>0.20206881577233188</c:v>
                      </c:pt>
                      <c:pt idx="4">
                        <c:v>0.4871192209784917</c:v>
                      </c:pt>
                      <c:pt idx="5">
                        <c:v>1.1045198219119445</c:v>
                      </c:pt>
                      <c:pt idx="6">
                        <c:v>2.5791782555559468</c:v>
                      </c:pt>
                      <c:pt idx="7">
                        <c:v>5.6100798004884407</c:v>
                      </c:pt>
                      <c:pt idx="8">
                        <c:v>6.6207729418649626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487-46CC-A5F1-03FBC92D2677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v> Kh Fracture perpendicular to beds</c:v>
                </c:tx>
                <c:spPr>
                  <a:ln w="152400" cap="rnd">
                    <a:solidFill>
                      <a:srgbClr val="7030A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'LBM Large Plates'!$L$41:$L$52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7.0000000000000007E-2</c:v>
                      </c:pt>
                      <c:pt idx="1">
                        <c:v>0.123</c:v>
                      </c:pt>
                      <c:pt idx="2">
                        <c:v>0.16700000000000001</c:v>
                      </c:pt>
                      <c:pt idx="3">
                        <c:v>0.21299999999999999</c:v>
                      </c:pt>
                      <c:pt idx="4">
                        <c:v>0.252</c:v>
                      </c:pt>
                      <c:pt idx="5">
                        <c:v>0.318</c:v>
                      </c:pt>
                      <c:pt idx="6">
                        <c:v>0.36399999999999999</c:v>
                      </c:pt>
                      <c:pt idx="7">
                        <c:v>0.40699999999999997</c:v>
                      </c:pt>
                      <c:pt idx="8">
                        <c:v>0.47099999999999997</c:v>
                      </c:pt>
                      <c:pt idx="9">
                        <c:v>0.54500000000000004</c:v>
                      </c:pt>
                      <c:pt idx="10">
                        <c:v>0.61599999999999999</c:v>
                      </c:pt>
                      <c:pt idx="11">
                        <c:v>0.67900000000000005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'LBM Large Plates'!$AM$41:$AM$52</c15:sqref>
                        </c15:formulaRef>
                      </c:ext>
                    </c:extLst>
                    <c:numCache>
                      <c:formatCode>0.000E+00</c:formatCode>
                      <c:ptCount val="12"/>
                      <c:pt idx="0">
                        <c:v>4.0612679158196874E-4</c:v>
                      </c:pt>
                      <c:pt idx="1">
                        <c:v>4.638031684454105E-4</c:v>
                      </c:pt>
                      <c:pt idx="2">
                        <c:v>5.9214898848383214E-4</c:v>
                      </c:pt>
                      <c:pt idx="3">
                        <c:v>7.4351308260663682E-4</c:v>
                      </c:pt>
                      <c:pt idx="4">
                        <c:v>8.0254931438580109E-4</c:v>
                      </c:pt>
                      <c:pt idx="5">
                        <c:v>9.2386756303494168E-4</c:v>
                      </c:pt>
                      <c:pt idx="6">
                        <c:v>1.0282058228094158E-3</c:v>
                      </c:pt>
                      <c:pt idx="7">
                        <c:v>1.1494248119756569E-3</c:v>
                      </c:pt>
                      <c:pt idx="8">
                        <c:v>1.3723185981252368E-3</c:v>
                      </c:pt>
                      <c:pt idx="9">
                        <c:v>1.7287461666194495E-3</c:v>
                      </c:pt>
                      <c:pt idx="10">
                        <c:v>2.2466755310899312E-3</c:v>
                      </c:pt>
                      <c:pt idx="11">
                        <c:v>2.9871281129738351E-3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87-46CC-A5F1-03FBC92D2677}"/>
                  </c:ext>
                </c:extLst>
              </c15:ser>
            </c15:filteredScatterSeries>
          </c:ext>
        </c:extLst>
      </c:scatterChart>
      <c:valAx>
        <c:axId val="-1632859936"/>
        <c:scaling>
          <c:orientation val="minMax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Porosity (</a:t>
                </a:r>
                <a:r>
                  <a:rPr lang="el-GR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Φ</a:t>
                </a:r>
                <a:r>
                  <a:rPr lang="en-US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48056729645001001"/>
              <c:y val="0.93568683267153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32868640"/>
        <c:crossesAt val="-2"/>
        <c:crossBetween val="midCat"/>
        <c:majorUnit val="0.1"/>
      </c:valAx>
      <c:valAx>
        <c:axId val="-1632868640"/>
        <c:scaling>
          <c:orientation val="minMax"/>
          <c:max val="75"/>
          <c:min val="-2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Permeability (mD)</a:t>
                </a:r>
              </a:p>
            </c:rich>
          </c:tx>
          <c:layout>
            <c:manualLayout>
              <c:xMode val="edge"/>
              <c:yMode val="edge"/>
              <c:x val="4.2067645260804197E-3"/>
              <c:y val="0.248657116803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32859936"/>
        <c:crosses val="autoZero"/>
        <c:crossBetween val="midCat"/>
        <c:majorUnit val="10"/>
      </c:valAx>
      <c:spPr>
        <a:solidFill>
          <a:schemeClr val="bg1"/>
        </a:solidFill>
        <a:ln w="25400" cap="flat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algn="ctr">
              <a:defRPr lang="en-US" sz="3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619671352300759"/>
          <c:y val="8.9964108483794894E-2"/>
          <c:w val="0.4209942033489133"/>
          <c:h val="0.489732802620931"/>
        </c:manualLayout>
      </c:layout>
      <c:overlay val="0"/>
      <c:spPr>
        <a:solidFill>
          <a:schemeClr val="bg1"/>
        </a:solidFill>
        <a:ln w="25400" cmpd="sng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862058909303"/>
          <c:y val="2.5903334794102301E-2"/>
          <c:w val="0.813245353102792"/>
          <c:h val="0.83635075418086202"/>
        </c:manualLayout>
      </c:layout>
      <c:scatterChart>
        <c:scatterStyle val="smoothMarker"/>
        <c:varyColors val="0"/>
        <c:ser>
          <c:idx val="4"/>
          <c:order val="0"/>
          <c:tx>
            <c:v>Isotropic Expansion</c:v>
          </c:tx>
          <c:spPr>
            <a:ln w="1524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166127193284513E-2"/>
                  <c:y val="8.5701283494722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'LBM Large Plates'!$L$4:$L$12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xVal>
          <c:yVal>
            <c:numRef>
              <c:f>'LBM Large Plates'!$AB$4:$AB$12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2.16</c:v>
                </c:pt>
                <c:pt idx="2">
                  <c:v>2.12</c:v>
                </c:pt>
                <c:pt idx="3">
                  <c:v>2.0699999999999998</c:v>
                </c:pt>
                <c:pt idx="4">
                  <c:v>2.02</c:v>
                </c:pt>
                <c:pt idx="5">
                  <c:v>1.9606052666577154</c:v>
                </c:pt>
                <c:pt idx="6">
                  <c:v>1.8845604953702433</c:v>
                </c:pt>
                <c:pt idx="7">
                  <c:v>1.7932237526435097</c:v>
                </c:pt>
                <c:pt idx="8">
                  <c:v>1.7056621389267095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9-40B3-9127-EB4CFD892FC1}"/>
            </c:ext>
          </c:extLst>
        </c:ser>
        <c:ser>
          <c:idx val="0"/>
          <c:order val="2"/>
          <c:tx>
            <c:v>MF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1"/>
            <c:dispEq val="1"/>
            <c:trendlineLbl>
              <c:layout>
                <c:manualLayout>
                  <c:x val="-0.27519778755250918"/>
                  <c:y val="8.96869665767303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40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572206062092839"/>
                  <c:y val="0.10724964667878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40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'LBM Large Plates'!$L$21:$L$30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</c:numCache>
            </c:numRef>
          </c:xVal>
          <c:yVal>
            <c:numRef>
              <c:f>'LBM Large Plates'!$AB$21:$AB$30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1.1149992972818488</c:v>
                </c:pt>
                <c:pt idx="2">
                  <c:v>1.019882625143806</c:v>
                </c:pt>
                <c:pt idx="3">
                  <c:v>1.0016860106873879</c:v>
                </c:pt>
                <c:pt idx="4">
                  <c:v>1.0001539031959656</c:v>
                </c:pt>
                <c:pt idx="5">
                  <c:v>1.0000450324580563</c:v>
                </c:pt>
                <c:pt idx="6">
                  <c:v>1.00001475687109</c:v>
                </c:pt>
                <c:pt idx="7">
                  <c:v>1.0000029512610547</c:v>
                </c:pt>
                <c:pt idx="8">
                  <c:v>1.0000006678832489</c:v>
                </c:pt>
                <c:pt idx="9">
                  <c:v>1.0000002078051176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21-4128-A6B0-7C54743110B3}"/>
            </c:ext>
          </c:extLst>
        </c:ser>
        <c:ser>
          <c:idx val="1"/>
          <c:order val="3"/>
          <c:tx>
            <c:v>FRAC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92333702548797"/>
                  <c:y val="9.48415101958409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44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'LBM Large Plates'!$L$41:$L$50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0.123</c:v>
                </c:pt>
                <c:pt idx="2">
                  <c:v>0.16700000000000001</c:v>
                </c:pt>
                <c:pt idx="3">
                  <c:v>0.21299999999999999</c:v>
                </c:pt>
                <c:pt idx="4">
                  <c:v>0.252</c:v>
                </c:pt>
                <c:pt idx="5">
                  <c:v>0.318</c:v>
                </c:pt>
                <c:pt idx="6">
                  <c:v>0.36399999999999999</c:v>
                </c:pt>
                <c:pt idx="7">
                  <c:v>0.40699999999999997</c:v>
                </c:pt>
                <c:pt idx="8">
                  <c:v>0.47099999999999997</c:v>
                </c:pt>
                <c:pt idx="9">
                  <c:v>0.54500000000000004</c:v>
                </c:pt>
              </c:numCache>
            </c:numRef>
          </c:xVal>
          <c:yVal>
            <c:numRef>
              <c:f>'LBM Large Plates'!$AB$41:$AB$50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1.4373250428309805</c:v>
                </c:pt>
                <c:pt idx="2">
                  <c:v>1.4176132674385238</c:v>
                </c:pt>
                <c:pt idx="3">
                  <c:v>1.0006659250222989</c:v>
                </c:pt>
                <c:pt idx="4">
                  <c:v>1.000304758176646</c:v>
                </c:pt>
                <c:pt idx="5">
                  <c:v>1.0000000256812074</c:v>
                </c:pt>
                <c:pt idx="6" formatCode="0.00000000000000000000">
                  <c:v>1.0000000000135527</c:v>
                </c:pt>
                <c:pt idx="7">
                  <c:v>1.0000000000024434</c:v>
                </c:pt>
                <c:pt idx="8">
                  <c:v>1.0000000000008078</c:v>
                </c:pt>
                <c:pt idx="9">
                  <c:v>1.0000000000004057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21-4128-A6B0-7C5474311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2304"/>
        <c:axId val="-183904012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v> Kh Dilation</c:v>
                </c:tx>
                <c:spPr>
                  <a:ln w="152400" cap="rnd">
                    <a:solidFill>
                      <a:srgbClr val="00B05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'LBM Large Plates'!$L$4:$L$12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7.0000000000000007E-2</c:v>
                      </c:pt>
                      <c:pt idx="1">
                        <c:v>0.18099999999999999</c:v>
                      </c:pt>
                      <c:pt idx="2">
                        <c:v>0.26900000000000002</c:v>
                      </c:pt>
                      <c:pt idx="3">
                        <c:v>0.34100000000000003</c:v>
                      </c:pt>
                      <c:pt idx="4">
                        <c:v>0.40100000000000002</c:v>
                      </c:pt>
                      <c:pt idx="5">
                        <c:v>0.496</c:v>
                      </c:pt>
                      <c:pt idx="6">
                        <c:v>0.56599999999999995</c:v>
                      </c:pt>
                      <c:pt idx="7">
                        <c:v>0.64400000000000002</c:v>
                      </c:pt>
                      <c:pt idx="8">
                        <c:v>0.71599999999999997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'LBM Large Plates'!$AM$4:$AM$12</c15:sqref>
                        </c15:formulaRef>
                      </c:ext>
                    </c:extLst>
                    <c:numCache>
                      <c:formatCode>0.000E+00</c:formatCode>
                      <c:ptCount val="9"/>
                      <c:pt idx="0">
                        <c:v>4.0612679158196874E-4</c:v>
                      </c:pt>
                      <c:pt idx="1">
                        <c:v>5.0758983500178876E-3</c:v>
                      </c:pt>
                      <c:pt idx="2">
                        <c:v>1.9606593311151596E-2</c:v>
                      </c:pt>
                      <c:pt idx="3">
                        <c:v>4.7995268631315126E-2</c:v>
                      </c:pt>
                      <c:pt idx="4">
                        <c:v>9.3068338086070387E-2</c:v>
                      </c:pt>
                      <c:pt idx="5">
                        <c:v>0.24121113112384485</c:v>
                      </c:pt>
                      <c:pt idx="6">
                        <c:v>0.4761278875720924</c:v>
                      </c:pt>
                      <c:pt idx="7">
                        <c:v>1.0089329398797722</c:v>
                      </c:pt>
                      <c:pt idx="8">
                        <c:v>2.0873971475306101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A29-40B3-9127-EB4CFD892FC1}"/>
                  </c:ext>
                </c:extLst>
              </c15:ser>
            </c15:filteredScatterSeries>
          </c:ext>
        </c:extLst>
      </c:scatterChart>
      <c:valAx>
        <c:axId val="-1839042304"/>
        <c:scaling>
          <c:orientation val="minMax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Porosity</a:t>
                </a:r>
                <a:r>
                  <a:rPr lang="en-US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Φ</a:t>
                </a:r>
                <a:r>
                  <a:rPr lang="en-US" sz="3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36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69350352442647"/>
              <c:y val="0.9359575905794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39040128"/>
        <c:crosses val="autoZero"/>
        <c:crossBetween val="midCat"/>
        <c:majorUnit val="0.1"/>
      </c:valAx>
      <c:valAx>
        <c:axId val="-1839040128"/>
        <c:scaling>
          <c:orientation val="minMax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Tortuosity</a:t>
                </a:r>
              </a:p>
            </c:rich>
          </c:tx>
          <c:layout>
            <c:manualLayout>
              <c:xMode val="edge"/>
              <c:yMode val="edge"/>
              <c:x val="3.4713099554653758E-2"/>
              <c:y val="0.30242321865316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3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39042304"/>
        <c:crosses val="autoZero"/>
        <c:crossBetween val="midCat"/>
      </c:valAx>
      <c:spPr>
        <a:solidFill>
          <a:schemeClr val="bg1"/>
        </a:solidFill>
        <a:ln w="25400" cap="flat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23407085475839"/>
          <c:y val="7.0108382431217073E-2"/>
          <c:w val="0.77952262021542307"/>
          <c:h val="3.8047849788007265E-2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96798763360972"/>
          <c:y val="2.0871961917469591E-2"/>
          <c:w val="0.81447121659947663"/>
          <c:h val="0.81781666666666664"/>
        </c:manualLayout>
      </c:layout>
      <c:scatterChart>
        <c:scatterStyle val="smoothMarker"/>
        <c:varyColors val="0"/>
        <c:ser>
          <c:idx val="0"/>
          <c:order val="0"/>
          <c:tx>
            <c:v>Isotropic Expansion</c:v>
          </c:tx>
          <c:spPr>
            <a:ln w="1270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Plates'!$AL$4:$AL$12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-18.889078975422589</c:v>
                </c:pt>
                <c:pt idx="2">
                  <c:v>-18.264800125426838</c:v>
                </c:pt>
                <c:pt idx="3">
                  <c:v>-17.829428903119158</c:v>
                </c:pt>
                <c:pt idx="4">
                  <c:v>-17.494360165702997</c:v>
                </c:pt>
                <c:pt idx="5">
                  <c:v>-16.991629288091204</c:v>
                </c:pt>
                <c:pt idx="6">
                  <c:v>-16.616982317387592</c:v>
                </c:pt>
                <c:pt idx="7">
                  <c:v>-16.189244240203546</c:v>
                </c:pt>
                <c:pt idx="8">
                  <c:v>-15.763493174533663</c:v>
                </c:pt>
              </c:numCache>
            </c:numRef>
          </c:xVal>
          <c:yVal>
            <c:numRef>
              <c:f>'LBM Large Plates'!$AI$4:$AI$12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D5-4FE1-B996-868769DD8EB1}"/>
            </c:ext>
          </c:extLst>
        </c:ser>
        <c:ser>
          <c:idx val="1"/>
          <c:order val="1"/>
          <c:tx>
            <c:v>MF-parallel</c:v>
          </c:tx>
          <c:spPr>
            <a:ln w="12700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Plates'!$AL$13:$AL$20</c:f>
              <c:numCache>
                <c:formatCode>General</c:formatCode>
                <c:ptCount val="8"/>
                <c:pt idx="0">
                  <c:v>-19.989514510736544</c:v>
                </c:pt>
                <c:pt idx="1">
                  <c:v>-19.23523420485148</c:v>
                </c:pt>
                <c:pt idx="2">
                  <c:v>-18.963410208542474</c:v>
                </c:pt>
                <c:pt idx="3">
                  <c:v>-18.846670298748741</c:v>
                </c:pt>
                <c:pt idx="4">
                  <c:v>-18.697190389178008</c:v>
                </c:pt>
                <c:pt idx="5">
                  <c:v>-18.645737228238172</c:v>
                </c:pt>
                <c:pt idx="6">
                  <c:v>-18.558034277924779</c:v>
                </c:pt>
                <c:pt idx="7">
                  <c:v>-18.487036079799676</c:v>
                </c:pt>
              </c:numCache>
            </c:numRef>
          </c:xVal>
          <c:yVal>
            <c:numRef>
              <c:f>'LBM Large Plates'!$AI$13:$AI$20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0.17399999999999999</c:v>
                </c:pt>
                <c:pt idx="2">
                  <c:v>0.25600000000000001</c:v>
                </c:pt>
                <c:pt idx="3">
                  <c:v>0.32400000000000001</c:v>
                </c:pt>
                <c:pt idx="4">
                  <c:v>0.42799999999999999</c:v>
                </c:pt>
                <c:pt idx="5">
                  <c:v>0.504</c:v>
                </c:pt>
                <c:pt idx="6">
                  <c:v>0.58699999999999997</c:v>
                </c:pt>
                <c:pt idx="7">
                  <c:v>0.64600000000000002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D5-4FE1-B996-868769DD8EB1}"/>
            </c:ext>
          </c:extLst>
        </c:ser>
        <c:ser>
          <c:idx val="2"/>
          <c:order val="2"/>
          <c:tx>
            <c:v>MF-perpendicular</c:v>
          </c:tx>
          <c:spPr>
            <a:ln w="1270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Plates'!$AL$21:$AL$31</c:f>
              <c:numCache>
                <c:formatCode>General</c:formatCode>
                <c:ptCount val="11"/>
                <c:pt idx="0">
                  <c:v>-19.989514510736544</c:v>
                </c:pt>
                <c:pt idx="1">
                  <c:v>-18.538624729567115</c:v>
                </c:pt>
                <c:pt idx="2">
                  <c:v>-17.71044744796718</c:v>
                </c:pt>
                <c:pt idx="3">
                  <c:v>-16.830659111644863</c:v>
                </c:pt>
                <c:pt idx="4">
                  <c:v>-16.062648349495433</c:v>
                </c:pt>
                <c:pt idx="5">
                  <c:v>-15.683487071996156</c:v>
                </c:pt>
                <c:pt idx="6">
                  <c:v>-15.339703064640089</c:v>
                </c:pt>
                <c:pt idx="7">
                  <c:v>-14.852776342411355</c:v>
                </c:pt>
                <c:pt idx="8">
                  <c:v>-14.396640842983768</c:v>
                </c:pt>
                <c:pt idx="9">
                  <c:v>-14.017975528133856</c:v>
                </c:pt>
                <c:pt idx="10">
                  <c:v>-13.65364766433561</c:v>
                </c:pt>
              </c:numCache>
            </c:numRef>
          </c:xVal>
          <c:yVal>
            <c:numRef>
              <c:f>'LBM Large Plates'!$AI$21:$AI$31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  <c:pt idx="10">
                  <c:v>0.66400000000000003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D5-4FE1-B996-868769DD8EB1}"/>
            </c:ext>
          </c:extLst>
        </c:ser>
        <c:ser>
          <c:idx val="3"/>
          <c:order val="3"/>
          <c:tx>
            <c:v>Frac-parallel</c:v>
          </c:tx>
          <c:spPr>
            <a:ln w="1270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Plates'!$AL$32:$AL$40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-19.644153785693138</c:v>
                </c:pt>
                <c:pt idx="2">
                  <c:v>-19.528739430864334</c:v>
                </c:pt>
                <c:pt idx="3">
                  <c:v>-19.366988546327779</c:v>
                </c:pt>
                <c:pt idx="4">
                  <c:v>-19.237884511832817</c:v>
                </c:pt>
                <c:pt idx="5">
                  <c:v>-19.104933930533488</c:v>
                </c:pt>
                <c:pt idx="6">
                  <c:v>-18.956876812168758</c:v>
                </c:pt>
                <c:pt idx="7">
                  <c:v>-18.813242410592011</c:v>
                </c:pt>
                <c:pt idx="8">
                  <c:v>-18.716773375905827</c:v>
                </c:pt>
              </c:numCache>
            </c:numRef>
          </c:xVal>
          <c:yVal>
            <c:numRef>
              <c:f>'LBM Large Plates'!$AI$32:$AI$40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0.17399999999999999</c:v>
                </c:pt>
                <c:pt idx="2">
                  <c:v>0.25600000000000001</c:v>
                </c:pt>
                <c:pt idx="3">
                  <c:v>0.35299999999999998</c:v>
                </c:pt>
                <c:pt idx="4">
                  <c:v>0.42799999999999999</c:v>
                </c:pt>
                <c:pt idx="5">
                  <c:v>0.504</c:v>
                </c:pt>
                <c:pt idx="6">
                  <c:v>0.58699999999999997</c:v>
                </c:pt>
                <c:pt idx="7">
                  <c:v>0.66200000000000003</c:v>
                </c:pt>
                <c:pt idx="8">
                  <c:v>0.70799999999999996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D5-4FE1-B996-868769DD8EB1}"/>
            </c:ext>
          </c:extLst>
        </c:ser>
        <c:ser>
          <c:idx val="4"/>
          <c:order val="4"/>
          <c:tx>
            <c:v>Frac-perp</c:v>
          </c:tx>
          <c:spPr>
            <a:ln w="1270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'LBM Large Plates'!$AL$41:$AL$51</c:f>
              <c:numCache>
                <c:formatCode>General</c:formatCode>
                <c:ptCount val="11"/>
                <c:pt idx="0">
                  <c:v>-19.989514510736544</c:v>
                </c:pt>
                <c:pt idx="1">
                  <c:v>-19.759428747206112</c:v>
                </c:pt>
                <c:pt idx="2">
                  <c:v>-19.663538632393678</c:v>
                </c:pt>
                <c:pt idx="3">
                  <c:v>-18.150018822714188</c:v>
                </c:pt>
                <c:pt idx="4">
                  <c:v>-16.96884323976284</c:v>
                </c:pt>
                <c:pt idx="5">
                  <c:v>-15.91101994680103</c:v>
                </c:pt>
                <c:pt idx="6">
                  <c:v>-14.255540325782666</c:v>
                </c:pt>
                <c:pt idx="7">
                  <c:v>-13.866143177245744</c:v>
                </c:pt>
                <c:pt idx="8">
                  <c:v>-13.598428982506459</c:v>
                </c:pt>
                <c:pt idx="9">
                  <c:v>-13.413785750844296</c:v>
                </c:pt>
                <c:pt idx="10">
                  <c:v>-13.288233388470468</c:v>
                </c:pt>
              </c:numCache>
            </c:numRef>
          </c:xVal>
          <c:yVal>
            <c:numRef>
              <c:f>'LBM Large Plates'!$AI$41:$AI$51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0.123</c:v>
                </c:pt>
                <c:pt idx="2">
                  <c:v>0.16700000000000001</c:v>
                </c:pt>
                <c:pt idx="3">
                  <c:v>0.21299999999999999</c:v>
                </c:pt>
                <c:pt idx="4">
                  <c:v>0.252</c:v>
                </c:pt>
                <c:pt idx="5">
                  <c:v>0.318</c:v>
                </c:pt>
                <c:pt idx="6">
                  <c:v>0.36399999999999999</c:v>
                </c:pt>
                <c:pt idx="7">
                  <c:v>0.40699999999999997</c:v>
                </c:pt>
                <c:pt idx="8">
                  <c:v>0.47099999999999997</c:v>
                </c:pt>
                <c:pt idx="9">
                  <c:v>0.54500000000000004</c:v>
                </c:pt>
                <c:pt idx="10">
                  <c:v>0.61599999999999999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D5-4FE1-B996-868769DD8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6112"/>
        <c:axId val="-1839041216"/>
        <c:extLst/>
      </c:scatterChart>
      <c:valAx>
        <c:axId val="-1839046112"/>
        <c:scaling>
          <c:orientation val="minMax"/>
          <c:max val="-12"/>
          <c:min val="-23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log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041216"/>
        <c:crossesAt val="0"/>
        <c:crossBetween val="midCat"/>
        <c:majorUnit val="1"/>
      </c:valAx>
      <c:valAx>
        <c:axId val="-1839041216"/>
        <c:scaling>
          <c:orientation val="minMax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Porosity </a:t>
                </a:r>
              </a:p>
            </c:rich>
          </c:tx>
          <c:layout>
            <c:manualLayout>
              <c:xMode val="edge"/>
              <c:yMode val="edge"/>
              <c:x val="1.0554996416628378E-3"/>
              <c:y val="0.35786561679790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046112"/>
        <c:crossesAt val="-23"/>
        <c:crossBetween val="midCat"/>
      </c:valAx>
      <c:spPr>
        <a:solidFill>
          <a:schemeClr val="bg1">
            <a:alpha val="20000"/>
          </a:schemeClr>
        </a:solidFill>
        <a:ln w="25400" cap="flat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472114825936432"/>
          <c:y val="7.8055643044619427E-2"/>
          <c:w val="0.28811593309658717"/>
          <c:h val="0.19454064122309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image" Target="../media/image1.png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458787</xdr:colOff>
      <xdr:row>6</xdr:row>
      <xdr:rowOff>14288</xdr:rowOff>
    </xdr:from>
    <xdr:to>
      <xdr:col>72</xdr:col>
      <xdr:colOff>195263</xdr:colOff>
      <xdr:row>47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43</xdr:col>
      <xdr:colOff>1059657</xdr:colOff>
      <xdr:row>85</xdr:row>
      <xdr:rowOff>46143</xdr:rowOff>
    </xdr:from>
    <xdr:to>
      <xdr:col>57</xdr:col>
      <xdr:colOff>58001</xdr:colOff>
      <xdr:row>118</xdr:row>
      <xdr:rowOff>24629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58407" y="15381393"/>
          <a:ext cx="9563619" cy="6264986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37</xdr:col>
      <xdr:colOff>3345656</xdr:colOff>
      <xdr:row>90</xdr:row>
      <xdr:rowOff>35719</xdr:rowOff>
    </xdr:from>
    <xdr:to>
      <xdr:col>42</xdr:col>
      <xdr:colOff>1774031</xdr:colOff>
      <xdr:row>120</xdr:row>
      <xdr:rowOff>39267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654554</xdr:colOff>
      <xdr:row>55</xdr:row>
      <xdr:rowOff>71439</xdr:rowOff>
    </xdr:from>
    <xdr:to>
      <xdr:col>38</xdr:col>
      <xdr:colOff>1068659</xdr:colOff>
      <xdr:row>94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72</xdr:col>
      <xdr:colOff>396875</xdr:colOff>
      <xdr:row>5</xdr:row>
      <xdr:rowOff>158750</xdr:rowOff>
    </xdr:from>
    <xdr:to>
      <xdr:col>87</xdr:col>
      <xdr:colOff>569006</xdr:colOff>
      <xdr:row>49</xdr:row>
      <xdr:rowOff>1588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47625</xdr:colOff>
      <xdr:row>50</xdr:row>
      <xdr:rowOff>47625</xdr:rowOff>
    </xdr:from>
    <xdr:to>
      <xdr:col>72</xdr:col>
      <xdr:colOff>66676</xdr:colOff>
      <xdr:row>88</xdr:row>
      <xdr:rowOff>128588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1476031</xdr:colOff>
      <xdr:row>66</xdr:row>
      <xdr:rowOff>165653</xdr:rowOff>
    </xdr:from>
    <xdr:to>
      <xdr:col>32</xdr:col>
      <xdr:colOff>1964359</xdr:colOff>
      <xdr:row>110</xdr:row>
      <xdr:rowOff>21460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1977334</xdr:colOff>
      <xdr:row>117</xdr:row>
      <xdr:rowOff>88374</xdr:rowOff>
    </xdr:from>
    <xdr:to>
      <xdr:col>35</xdr:col>
      <xdr:colOff>1096273</xdr:colOff>
      <xdr:row>166</xdr:row>
      <xdr:rowOff>15899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2562515</xdr:colOff>
      <xdr:row>54</xdr:row>
      <xdr:rowOff>46036</xdr:rowOff>
    </xdr:from>
    <xdr:to>
      <xdr:col>28</xdr:col>
      <xdr:colOff>217057</xdr:colOff>
      <xdr:row>106</xdr:row>
      <xdr:rowOff>46036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317500</xdr:colOff>
      <xdr:row>53</xdr:row>
      <xdr:rowOff>0</xdr:rowOff>
    </xdr:from>
    <xdr:to>
      <xdr:col>88</xdr:col>
      <xdr:colOff>489631</xdr:colOff>
      <xdr:row>93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73</xdr:col>
      <xdr:colOff>500062</xdr:colOff>
      <xdr:row>95</xdr:row>
      <xdr:rowOff>23812</xdr:rowOff>
    </xdr:from>
    <xdr:to>
      <xdr:col>89</xdr:col>
      <xdr:colOff>5443</xdr:colOff>
      <xdr:row>133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58</xdr:col>
      <xdr:colOff>23812</xdr:colOff>
      <xdr:row>93</xdr:row>
      <xdr:rowOff>166688</xdr:rowOff>
    </xdr:from>
    <xdr:to>
      <xdr:col>73</xdr:col>
      <xdr:colOff>195943</xdr:colOff>
      <xdr:row>132</xdr:row>
      <xdr:rowOff>9526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0</xdr:colOff>
      <xdr:row>128</xdr:row>
      <xdr:rowOff>0</xdr:rowOff>
    </xdr:from>
    <xdr:to>
      <xdr:col>60</xdr:col>
      <xdr:colOff>172131</xdr:colOff>
      <xdr:row>168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1281340</xdr:colOff>
      <xdr:row>54</xdr:row>
      <xdr:rowOff>0</xdr:rowOff>
    </xdr:from>
    <xdr:to>
      <xdr:col>56</xdr:col>
      <xdr:colOff>448469</xdr:colOff>
      <xdr:row>82</xdr:row>
      <xdr:rowOff>160341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61</xdr:col>
      <xdr:colOff>333375</xdr:colOff>
      <xdr:row>135</xdr:row>
      <xdr:rowOff>0</xdr:rowOff>
    </xdr:from>
    <xdr:to>
      <xdr:col>76</xdr:col>
      <xdr:colOff>481694</xdr:colOff>
      <xdr:row>175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114</xdr:row>
      <xdr:rowOff>180231</xdr:rowOff>
    </xdr:from>
    <xdr:to>
      <xdr:col>10</xdr:col>
      <xdr:colOff>84968</xdr:colOff>
      <xdr:row>166</xdr:row>
      <xdr:rowOff>180232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70</xdr:row>
      <xdr:rowOff>56241</xdr:rowOff>
    </xdr:from>
    <xdr:to>
      <xdr:col>10</xdr:col>
      <xdr:colOff>121424</xdr:colOff>
      <xdr:row>122</xdr:row>
      <xdr:rowOff>56241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1757E57-298C-47B4-9CA5-0990075EC30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174</xdr:row>
      <xdr:rowOff>0</xdr:rowOff>
    </xdr:from>
    <xdr:to>
      <xdr:col>10</xdr:col>
      <xdr:colOff>966094</xdr:colOff>
      <xdr:row>226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E135976-E843-46ED-A81A-545B51AD2F4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625929</xdr:colOff>
      <xdr:row>223</xdr:row>
      <xdr:rowOff>54429</xdr:rowOff>
    </xdr:from>
    <xdr:to>
      <xdr:col>10</xdr:col>
      <xdr:colOff>724504</xdr:colOff>
      <xdr:row>275</xdr:row>
      <xdr:rowOff>54430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2391A82-41CA-4CAB-80E5-8EF99E4E718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120</xdr:row>
      <xdr:rowOff>0</xdr:rowOff>
    </xdr:from>
    <xdr:to>
      <xdr:col>25</xdr:col>
      <xdr:colOff>1960202</xdr:colOff>
      <xdr:row>172</xdr:row>
      <xdr:rowOff>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CD0BD9-0BD0-4BBC-B70F-1843F793492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177</xdr:row>
      <xdr:rowOff>0</xdr:rowOff>
    </xdr:from>
    <xdr:to>
      <xdr:col>26</xdr:col>
      <xdr:colOff>948171</xdr:colOff>
      <xdr:row>229</xdr:row>
      <xdr:rowOff>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B0DFD58-D79C-44DF-AB4A-C394E61C9A4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585107</xdr:colOff>
      <xdr:row>0</xdr:row>
      <xdr:rowOff>0</xdr:rowOff>
    </xdr:from>
    <xdr:to>
      <xdr:col>17</xdr:col>
      <xdr:colOff>609600</xdr:colOff>
      <xdr:row>29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401637</xdr:colOff>
      <xdr:row>82</xdr:row>
      <xdr:rowOff>44450</xdr:rowOff>
    </xdr:from>
    <xdr:to>
      <xdr:col>43</xdr:col>
      <xdr:colOff>787400</xdr:colOff>
      <xdr:row>118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1000126</xdr:colOff>
      <xdr:row>56</xdr:row>
      <xdr:rowOff>47625</xdr:rowOff>
    </xdr:from>
    <xdr:to>
      <xdr:col>10</xdr:col>
      <xdr:colOff>1406708</xdr:colOff>
      <xdr:row>100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1905001</xdr:colOff>
      <xdr:row>56</xdr:row>
      <xdr:rowOff>66386</xdr:rowOff>
    </xdr:from>
    <xdr:to>
      <xdr:col>20</xdr:col>
      <xdr:colOff>615141</xdr:colOff>
      <xdr:row>99</xdr:row>
      <xdr:rowOff>115454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1269999</xdr:colOff>
      <xdr:row>57</xdr:row>
      <xdr:rowOff>173181</xdr:rowOff>
    </xdr:from>
    <xdr:to>
      <xdr:col>31</xdr:col>
      <xdr:colOff>346363</xdr:colOff>
      <xdr:row>106</xdr:row>
      <xdr:rowOff>100706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95251</xdr:colOff>
      <xdr:row>42</xdr:row>
      <xdr:rowOff>71438</xdr:rowOff>
    </xdr:from>
    <xdr:to>
      <xdr:col>39</xdr:col>
      <xdr:colOff>481014</xdr:colOff>
      <xdr:row>78</xdr:row>
      <xdr:rowOff>128588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2095500</xdr:colOff>
      <xdr:row>108</xdr:row>
      <xdr:rowOff>127000</xdr:rowOff>
    </xdr:from>
    <xdr:to>
      <xdr:col>28</xdr:col>
      <xdr:colOff>449263</xdr:colOff>
      <xdr:row>144</xdr:row>
      <xdr:rowOff>184150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34</xdr:row>
      <xdr:rowOff>165100</xdr:rowOff>
    </xdr:from>
    <xdr:to>
      <xdr:col>7</xdr:col>
      <xdr:colOff>317500</xdr:colOff>
      <xdr:row>57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1219200</xdr:colOff>
      <xdr:row>34</xdr:row>
      <xdr:rowOff>38100</xdr:rowOff>
    </xdr:from>
    <xdr:to>
      <xdr:col>11</xdr:col>
      <xdr:colOff>965200</xdr:colOff>
      <xdr:row>57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57148</xdr:colOff>
      <xdr:row>35</xdr:row>
      <xdr:rowOff>-1</xdr:rowOff>
    </xdr:from>
    <xdr:to>
      <xdr:col>21</xdr:col>
      <xdr:colOff>762000</xdr:colOff>
      <xdr:row>71</xdr:row>
      <xdr:rowOff>30632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253999</xdr:colOff>
      <xdr:row>3</xdr:row>
      <xdr:rowOff>0</xdr:rowOff>
    </xdr:from>
    <xdr:to>
      <xdr:col>47</xdr:col>
      <xdr:colOff>381219</xdr:colOff>
      <xdr:row>55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175533</xdr:colOff>
      <xdr:row>33</xdr:row>
      <xdr:rowOff>185058</xdr:rowOff>
    </xdr:from>
    <xdr:to>
      <xdr:col>28</xdr:col>
      <xdr:colOff>985155</xdr:colOff>
      <xdr:row>75</xdr:row>
      <xdr:rowOff>166007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356358</xdr:colOff>
      <xdr:row>17</xdr:row>
      <xdr:rowOff>206</xdr:rowOff>
    </xdr:from>
    <xdr:to>
      <xdr:col>37</xdr:col>
      <xdr:colOff>844825</xdr:colOff>
      <xdr:row>30</xdr:row>
      <xdr:rowOff>182216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E7D84-0202-40D2-AC9E-C12ED8047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404812</xdr:colOff>
      <xdr:row>50</xdr:row>
      <xdr:rowOff>114300</xdr:rowOff>
    </xdr:from>
    <xdr:to>
      <xdr:col>19</xdr:col>
      <xdr:colOff>952500</xdr:colOff>
      <xdr:row>61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CE21E-CDEE-4C7C-B59D-4196502EB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1181100</xdr:colOff>
      <xdr:row>24</xdr:row>
      <xdr:rowOff>90486</xdr:rowOff>
    </xdr:from>
    <xdr:to>
      <xdr:col>16</xdr:col>
      <xdr:colOff>338817</xdr:colOff>
      <xdr:row>44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5911E-D7D2-4178-AFEC-FAA1F5B52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266700</xdr:colOff>
      <xdr:row>23</xdr:row>
      <xdr:rowOff>95250</xdr:rowOff>
    </xdr:from>
    <xdr:to>
      <xdr:col>26</xdr:col>
      <xdr:colOff>595992</xdr:colOff>
      <xdr:row>43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FC23EC-5628-4A3D-A165-8CDFF1EE4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25003</xdr:colOff>
      <xdr:row>36</xdr:row>
      <xdr:rowOff>127395</xdr:rowOff>
    </xdr:from>
    <xdr:to>
      <xdr:col>34</xdr:col>
      <xdr:colOff>1914525</xdr:colOff>
      <xdr:row>61</xdr:row>
      <xdr:rowOff>192880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6BE169-7BFA-4293-820F-FA94D367E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152805</xdr:colOff>
      <xdr:row>45</xdr:row>
      <xdr:rowOff>31871</xdr:rowOff>
    </xdr:from>
    <xdr:to>
      <xdr:col>15</xdr:col>
      <xdr:colOff>693743</xdr:colOff>
      <xdr:row>71</xdr:row>
      <xdr:rowOff>59086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2DDFB-EA7F-46D7-9DBE-1156482ED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1776413</xdr:colOff>
      <xdr:row>46</xdr:row>
      <xdr:rowOff>52387</xdr:rowOff>
    </xdr:from>
    <xdr:to>
      <xdr:col>16</xdr:col>
      <xdr:colOff>712673</xdr:colOff>
      <xdr:row>86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B386D-BD0F-4521-95B6-AF982D0AE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1469571</xdr:colOff>
      <xdr:row>46</xdr:row>
      <xdr:rowOff>166005</xdr:rowOff>
    </xdr:from>
    <xdr:to>
      <xdr:col>27</xdr:col>
      <xdr:colOff>299357</xdr:colOff>
      <xdr:row>70</xdr:row>
      <xdr:rowOff>149677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B3A925-61B5-40B3-932C-7C54DEA09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68036</xdr:colOff>
      <xdr:row>51</xdr:row>
      <xdr:rowOff>70755</xdr:rowOff>
    </xdr:from>
    <xdr:to>
      <xdr:col>40</xdr:col>
      <xdr:colOff>54429</xdr:colOff>
      <xdr:row>75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4BF8F7-3702-484E-BB30-1839FA689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1973036</xdr:colOff>
      <xdr:row>72</xdr:row>
      <xdr:rowOff>149678</xdr:rowOff>
    </xdr:from>
    <xdr:to>
      <xdr:col>27</xdr:col>
      <xdr:colOff>802822</xdr:colOff>
      <xdr:row>96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E4F5F4-D821-4481-9913-2B59D8995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91</xdr:row>
      <xdr:rowOff>0</xdr:rowOff>
    </xdr:from>
    <xdr:to>
      <xdr:col>16</xdr:col>
      <xdr:colOff>841260</xdr:colOff>
      <xdr:row>132</xdr:row>
      <xdr:rowOff>16669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F65799-810F-4393-B7B2-1745D85DD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95251</xdr:colOff>
      <xdr:row>83</xdr:row>
      <xdr:rowOff>1</xdr:rowOff>
    </xdr:from>
    <xdr:to>
      <xdr:col>6</xdr:col>
      <xdr:colOff>1138917</xdr:colOff>
      <xdr:row>123</xdr:row>
      <xdr:rowOff>159545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EC66A2-D6BE-4341-B872-23CA058C1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352425</xdr:colOff>
      <xdr:row>15</xdr:row>
      <xdr:rowOff>14287</xdr:rowOff>
    </xdr:from>
    <xdr:to>
      <xdr:col>31</xdr:col>
      <xdr:colOff>171450</xdr:colOff>
      <xdr:row>28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862BD-90B1-49B4-9169-8C968957A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142874</xdr:colOff>
      <xdr:row>11</xdr:row>
      <xdr:rowOff>123824</xdr:rowOff>
    </xdr:from>
    <xdr:to>
      <xdr:col>48</xdr:col>
      <xdr:colOff>257174</xdr:colOff>
      <xdr:row>34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B5850-6340-42AC-A3A5-E63D249B1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sh\Google%20Drive\Research\P1%20-%20Petrophysical%20Response%20of%20Shale%20to%20Unloading\checkp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.m - Methods comparison"/>
      <sheetName val="Main.m - 3D Expansion"/>
      <sheetName val="Main.m - fracture"/>
      <sheetName val="checkpore.m"/>
      <sheetName val="Unit conversion"/>
      <sheetName val="LBM - Plates_3d"/>
      <sheetName val="LBM - Plates_frac"/>
      <sheetName val="Sheet1"/>
    </sheetNames>
    <sheetDataSet>
      <sheetData sheetId="0"/>
      <sheetData sheetId="1">
        <row r="2">
          <cell r="E2">
            <v>0.47599999999999998</v>
          </cell>
          <cell r="K2">
            <v>9.0854077301539036</v>
          </cell>
        </row>
        <row r="3">
          <cell r="E3">
            <v>0.53600000000000003</v>
          </cell>
          <cell r="K3">
            <v>14.71301831774017</v>
          </cell>
        </row>
        <row r="4">
          <cell r="E4">
            <v>0.58806999999999998</v>
          </cell>
          <cell r="K4">
            <v>22.187602031051213</v>
          </cell>
        </row>
        <row r="5">
          <cell r="E5">
            <v>0.63217000000000001</v>
          </cell>
          <cell r="K5">
            <v>31.529002150392355</v>
          </cell>
        </row>
        <row r="6">
          <cell r="E6">
            <v>0.67</v>
          </cell>
          <cell r="K6">
            <v>42.667767194694939</v>
          </cell>
        </row>
        <row r="7">
          <cell r="E7">
            <v>0.70299999999999996</v>
          </cell>
          <cell r="K7">
            <v>55.495040587248496</v>
          </cell>
        </row>
        <row r="8">
          <cell r="E8">
            <v>0.73185</v>
          </cell>
          <cell r="K8">
            <v>69.870441674829124</v>
          </cell>
        </row>
        <row r="9">
          <cell r="E9">
            <v>0.75600000000000001</v>
          </cell>
          <cell r="K9">
            <v>85.646975377444505</v>
          </cell>
        </row>
      </sheetData>
      <sheetData sheetId="2">
        <row r="2">
          <cell r="F2">
            <v>0.47599999999999998</v>
          </cell>
          <cell r="H2">
            <v>1.2911600000000001</v>
          </cell>
          <cell r="I2">
            <v>1.2911600000000001</v>
          </cell>
          <cell r="M2">
            <v>9.0854077301539036</v>
          </cell>
          <cell r="N2">
            <v>9.0854077301539036</v>
          </cell>
        </row>
        <row r="3">
          <cell r="F3">
            <v>0.49722</v>
          </cell>
          <cell r="H3">
            <v>1.6412199999999999</v>
          </cell>
          <cell r="I3">
            <v>1.3949400000000001</v>
          </cell>
          <cell r="M3">
            <v>11.548648405219483</v>
          </cell>
          <cell r="N3">
            <v>9.8156685918870519</v>
          </cell>
        </row>
        <row r="4">
          <cell r="F4">
            <v>0.51600000000000001</v>
          </cell>
          <cell r="H4">
            <v>2.0640299999999998</v>
          </cell>
          <cell r="I4">
            <v>1.4439599999999999</v>
          </cell>
          <cell r="M4">
            <v>14.523803492417327</v>
          </cell>
          <cell r="N4">
            <v>10.160603911237203</v>
          </cell>
        </row>
        <row r="5">
          <cell r="F5">
            <v>0.53400000000000003</v>
          </cell>
          <cell r="H5">
            <v>2.55389</v>
          </cell>
          <cell r="I5">
            <v>1.49336</v>
          </cell>
          <cell r="M5">
            <v>17.970764233683472</v>
          </cell>
          <cell r="N5">
            <v>10.508213147791624</v>
          </cell>
        </row>
        <row r="6">
          <cell r="F6">
            <v>0.55108999999999997</v>
          </cell>
          <cell r="H6">
            <v>3.10216</v>
          </cell>
          <cell r="I6">
            <v>1.5430699999999999</v>
          </cell>
          <cell r="M6">
            <v>21.828734195741994</v>
          </cell>
          <cell r="N6">
            <v>10.858003737854784</v>
          </cell>
        </row>
        <row r="7">
          <cell r="F7">
            <v>0.59399999999999997</v>
          </cell>
          <cell r="H7">
            <v>5.0049099999999997</v>
          </cell>
          <cell r="I7">
            <v>1.6933100000000001</v>
          </cell>
          <cell r="M7">
            <v>35.217670933675592</v>
          </cell>
          <cell r="N7">
            <v>11.915186160930407</v>
          </cell>
        </row>
        <row r="8">
          <cell r="F8">
            <v>0.63</v>
          </cell>
          <cell r="H8">
            <v>7.1273499999999999</v>
          </cell>
          <cell r="I8">
            <v>1.84399</v>
          </cell>
          <cell r="M8">
            <v>50.152483646885294</v>
          </cell>
          <cell r="N8">
            <v>12.975464698663602</v>
          </cell>
        </row>
        <row r="9">
          <cell r="F9">
            <v>0.67710000000000004</v>
          </cell>
          <cell r="H9">
            <v>10.7475</v>
          </cell>
          <cell r="I9">
            <v>2.0928200000000001</v>
          </cell>
          <cell r="M9">
            <v>75.626118823251247</v>
          </cell>
          <cell r="N9">
            <v>14.726387903761497</v>
          </cell>
        </row>
        <row r="10">
          <cell r="F10">
            <v>0.71399999999999997</v>
          </cell>
          <cell r="H10">
            <v>14.144399999999999</v>
          </cell>
          <cell r="I10">
            <v>2.33623</v>
          </cell>
          <cell r="M10">
            <v>99.528827642111622</v>
          </cell>
          <cell r="N10">
            <v>16.439172605577507</v>
          </cell>
        </row>
        <row r="11">
          <cell r="F11">
            <v>0.73799999999999999</v>
          </cell>
          <cell r="H11">
            <v>16.592300000000002</v>
          </cell>
          <cell r="I11">
            <v>2.5264899999999999</v>
          </cell>
          <cell r="M11">
            <v>116.75378007453192</v>
          </cell>
          <cell r="N11">
            <v>17.777960730007536</v>
          </cell>
        </row>
        <row r="13">
          <cell r="F13">
            <v>0.51851999999999998</v>
          </cell>
          <cell r="H13">
            <v>1.85005</v>
          </cell>
          <cell r="I13">
            <v>1.9021600000000001</v>
          </cell>
          <cell r="M13">
            <v>13.018106641447403</v>
          </cell>
          <cell r="N13">
            <v>13.384785129642761</v>
          </cell>
        </row>
        <row r="14">
          <cell r="F14">
            <v>0.53778000000000004</v>
          </cell>
          <cell r="H14">
            <v>2.2761399999999998</v>
          </cell>
          <cell r="I14">
            <v>1.96818</v>
          </cell>
          <cell r="M14">
            <v>16.016341856092588</v>
          </cell>
          <cell r="N14">
            <v>13.849343060762653</v>
          </cell>
        </row>
        <row r="15">
          <cell r="F15">
            <v>0.58699999999999997</v>
          </cell>
          <cell r="H15">
            <v>3.9453800000000001</v>
          </cell>
          <cell r="I15">
            <v>2.1693099999999998</v>
          </cell>
          <cell r="M15">
            <v>27.76215647200549</v>
          </cell>
          <cell r="N15">
            <v>15.2646192904831</v>
          </cell>
        </row>
        <row r="16">
          <cell r="F16">
            <v>0.627</v>
          </cell>
          <cell r="H16">
            <v>5.9952199999999998</v>
          </cell>
          <cell r="I16">
            <v>2.3725800000000001</v>
          </cell>
          <cell r="M16">
            <v>42.186110266716192</v>
          </cell>
          <cell r="N16">
            <v>16.694953896038097</v>
          </cell>
        </row>
        <row r="17">
          <cell r="F17">
            <v>0.66</v>
          </cell>
          <cell r="H17">
            <v>8.2015600000000006</v>
          </cell>
          <cell r="I17">
            <v>2.5754100000000002</v>
          </cell>
          <cell r="M17">
            <v>57.711295752130681</v>
          </cell>
          <cell r="N17">
            <v>18.12219238693552</v>
          </cell>
        </row>
        <row r="18">
          <cell r="F18">
            <v>0.68700000000000006</v>
          </cell>
          <cell r="H18">
            <v>10.419499999999999</v>
          </cell>
          <cell r="I18">
            <v>2.77583</v>
          </cell>
          <cell r="M18">
            <v>73.318106078517445</v>
          </cell>
          <cell r="N18">
            <v>19.532472613458527</v>
          </cell>
        </row>
        <row r="19">
          <cell r="F19">
            <v>0.71799999999999997</v>
          </cell>
          <cell r="H19">
            <v>13.2506</v>
          </cell>
          <cell r="I19">
            <v>3.0374599999999998</v>
          </cell>
          <cell r="M19">
            <v>93.239492912712066</v>
          </cell>
          <cell r="N19">
            <v>21.373464608594809</v>
          </cell>
        </row>
        <row r="20">
          <cell r="F20">
            <v>0.73699999999999999</v>
          </cell>
          <cell r="H20">
            <v>15.2233</v>
          </cell>
          <cell r="I20">
            <v>3.2289400000000001</v>
          </cell>
          <cell r="M20">
            <v>107.12064151495703</v>
          </cell>
          <cell r="N20">
            <v>22.720837414575374</v>
          </cell>
        </row>
        <row r="21">
          <cell r="F21">
            <v>0.75900000000000001</v>
          </cell>
          <cell r="H21">
            <v>17.621500000000001</v>
          </cell>
          <cell r="I21">
            <v>3.47783</v>
          </cell>
          <cell r="M21">
            <v>123.99587372355633</v>
          </cell>
          <cell r="N21">
            <v>24.472182817126576</v>
          </cell>
        </row>
        <row r="23">
          <cell r="F23">
            <v>0.57118000000000002</v>
          </cell>
          <cell r="H23">
            <v>2.71394</v>
          </cell>
          <cell r="I23">
            <v>2.71394</v>
          </cell>
          <cell r="M23">
            <v>19.09697594037446</v>
          </cell>
          <cell r="N23">
            <v>19.09697594037446</v>
          </cell>
        </row>
        <row r="24">
          <cell r="F24">
            <v>0.58799999999999997</v>
          </cell>
          <cell r="H24">
            <v>3.2437800000000001</v>
          </cell>
          <cell r="I24">
            <v>2.80383</v>
          </cell>
          <cell r="M24">
            <v>22.825260918026139</v>
          </cell>
          <cell r="N24">
            <v>19.729498091667509</v>
          </cell>
        </row>
        <row r="25">
          <cell r="F25">
            <v>0.63244</v>
          </cell>
          <cell r="H25">
            <v>5.1736500000000003</v>
          </cell>
          <cell r="I25">
            <v>3.07633</v>
          </cell>
          <cell r="M25">
            <v>36.405030904853582</v>
          </cell>
          <cell r="N25">
            <v>21.646978192094206</v>
          </cell>
        </row>
        <row r="26">
          <cell r="F26">
            <v>0.66800000000000004</v>
          </cell>
          <cell r="H26">
            <v>7.3845099999999997</v>
          </cell>
          <cell r="I26">
            <v>3.3495200000000001</v>
          </cell>
          <cell r="M26">
            <v>51.962021931750364</v>
          </cell>
          <cell r="N26">
            <v>23.569313563233916</v>
          </cell>
        </row>
        <row r="27">
          <cell r="F27">
            <v>0.69730000000000003</v>
          </cell>
          <cell r="H27">
            <v>9.6695600000000006</v>
          </cell>
          <cell r="I27">
            <v>3.6195599999999999</v>
          </cell>
          <cell r="M27">
            <v>68.041060109658744</v>
          </cell>
          <cell r="N27">
            <v>25.469483568075109</v>
          </cell>
        </row>
        <row r="28">
          <cell r="F28">
            <v>0.72184999999999999</v>
          </cell>
          <cell r="H28">
            <v>11.9086</v>
          </cell>
          <cell r="I28">
            <v>3.8837600000000001</v>
          </cell>
          <cell r="M28">
            <v>83.796343207124423</v>
          </cell>
          <cell r="N28">
            <v>27.328559687461293</v>
          </cell>
        </row>
        <row r="29">
          <cell r="F29">
            <v>0.748</v>
          </cell>
          <cell r="H29">
            <v>14.712300000000001</v>
          </cell>
          <cell r="I29">
            <v>4.2248000000000001</v>
          </cell>
          <cell r="M29">
            <v>103.52492653764311</v>
          </cell>
          <cell r="N29">
            <v>29.72833001204669</v>
          </cell>
        </row>
        <row r="30">
          <cell r="F30">
            <v>0.7661</v>
          </cell>
          <cell r="H30">
            <v>16.640899999999998</v>
          </cell>
          <cell r="I30">
            <v>4.4717700000000002</v>
          </cell>
          <cell r="M30">
            <v>117.0957600117089</v>
          </cell>
          <cell r="N30">
            <v>31.46616509609213</v>
          </cell>
        </row>
        <row r="31">
          <cell r="F31">
            <v>0.78559000000000001</v>
          </cell>
          <cell r="H31">
            <v>18.966100000000001</v>
          </cell>
          <cell r="I31">
            <v>4.7895899999999996</v>
          </cell>
          <cell r="M31">
            <v>133.45731865212053</v>
          </cell>
          <cell r="N31">
            <v>33.702545006248513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2"/>
  <sheetViews>
    <sheetView topLeftCell="V1" zoomScale="85" zoomScaleNormal="85" zoomScalePageLayoutView="80" workbookViewId="0">
      <selection activeCell="W7" sqref="W7"/>
    </sheetView>
  </sheetViews>
  <sheetFormatPr defaultColWidth="8.875" defaultRowHeight="15.75"/>
  <cols>
    <col min="1" max="1" width="11.125" customWidth="1"/>
    <col min="2" max="2" width="12" customWidth="1"/>
    <col min="3" max="3" width="14.625" bestFit="1" customWidth="1"/>
    <col min="4" max="4" width="14.625" customWidth="1"/>
    <col min="5" max="5" width="28" customWidth="1"/>
    <col min="6" max="6" width="34.875" customWidth="1"/>
    <col min="7" max="7" width="43.625" style="8" customWidth="1"/>
    <col min="8" max="8" width="31.5" customWidth="1"/>
    <col min="9" max="10" width="32.375" customWidth="1"/>
    <col min="11" max="11" width="23.625" style="94" customWidth="1"/>
    <col min="12" max="12" width="15.5" style="97" customWidth="1"/>
    <col min="13" max="13" width="21.375" customWidth="1"/>
    <col min="14" max="16" width="15.5" customWidth="1"/>
    <col min="17" max="17" width="23.375" bestFit="1" customWidth="1"/>
    <col min="18" max="18" width="19" bestFit="1" customWidth="1"/>
    <col min="19" max="19" width="21.625" bestFit="1" customWidth="1"/>
    <col min="20" max="20" width="24" style="8" bestFit="1" customWidth="1"/>
    <col min="21" max="21" width="24" style="8" customWidth="1"/>
    <col min="22" max="22" width="47.125" customWidth="1"/>
    <col min="23" max="23" width="31.375" style="10" bestFit="1" customWidth="1"/>
    <col min="24" max="24" width="39" style="27" customWidth="1"/>
    <col min="25" max="25" width="31.25" style="8" bestFit="1" customWidth="1"/>
    <col min="26" max="26" width="36.875" style="8" bestFit="1" customWidth="1"/>
    <col min="27" max="27" width="36.125" style="8" bestFit="1" customWidth="1"/>
    <col min="28" max="28" width="55.625" style="12" bestFit="1" customWidth="1"/>
    <col min="29" max="29" width="55.625" style="8" customWidth="1"/>
    <col min="30" max="30" width="49.875" style="8" bestFit="1" customWidth="1"/>
    <col min="31" max="31" width="15.375" style="8" bestFit="1" customWidth="1"/>
    <col min="32" max="32" width="21.375" customWidth="1"/>
    <col min="33" max="33" width="28.875" customWidth="1"/>
    <col min="34" max="34" width="11.125" style="8" customWidth="1"/>
    <col min="35" max="35" width="16" style="12" customWidth="1"/>
    <col min="36" max="37" width="38" customWidth="1"/>
    <col min="38" max="38" width="48.125" style="8" bestFit="1" customWidth="1"/>
    <col min="39" max="40" width="38.75" style="31" customWidth="1"/>
    <col min="41" max="41" width="39.5" style="8" bestFit="1" customWidth="1"/>
    <col min="42" max="44" width="24.5" customWidth="1"/>
    <col min="46" max="46" width="8.5" customWidth="1"/>
  </cols>
  <sheetData>
    <row r="1" spans="1:44" s="13" customFormat="1" ht="18" thickBot="1">
      <c r="A1" s="13" t="s">
        <v>0</v>
      </c>
      <c r="B1" s="13" t="s">
        <v>14</v>
      </c>
      <c r="C1" s="13" t="s">
        <v>375</v>
      </c>
      <c r="D1" s="13" t="s">
        <v>1</v>
      </c>
      <c r="E1" s="13" t="s">
        <v>330</v>
      </c>
      <c r="F1" s="13" t="s">
        <v>2</v>
      </c>
      <c r="G1" s="14" t="s">
        <v>3</v>
      </c>
      <c r="H1" s="13" t="s">
        <v>4</v>
      </c>
      <c r="I1" s="13" t="s">
        <v>13</v>
      </c>
      <c r="J1" t="s">
        <v>253</v>
      </c>
      <c r="K1" s="93" t="s">
        <v>5</v>
      </c>
      <c r="L1" s="96" t="s">
        <v>6</v>
      </c>
      <c r="M1" s="13" t="s">
        <v>7</v>
      </c>
      <c r="N1" t="s">
        <v>494</v>
      </c>
      <c r="O1" t="s">
        <v>495</v>
      </c>
      <c r="P1" t="s">
        <v>496</v>
      </c>
      <c r="Q1" t="s">
        <v>498</v>
      </c>
      <c r="R1" t="s">
        <v>497</v>
      </c>
      <c r="S1" t="s">
        <v>499</v>
      </c>
      <c r="T1" s="8" t="s">
        <v>500</v>
      </c>
      <c r="U1" s="17" t="s">
        <v>510</v>
      </c>
      <c r="V1" s="13" t="s">
        <v>19</v>
      </c>
      <c r="W1" s="24" t="s">
        <v>126</v>
      </c>
      <c r="X1" s="26" t="s">
        <v>18</v>
      </c>
      <c r="Y1" s="14" t="s">
        <v>127</v>
      </c>
      <c r="Z1" s="26" t="s">
        <v>161</v>
      </c>
      <c r="AA1" s="14" t="s">
        <v>160</v>
      </c>
      <c r="AB1" s="15" t="s">
        <v>162</v>
      </c>
      <c r="AC1" s="14" t="s">
        <v>165</v>
      </c>
      <c r="AD1" s="14" t="s">
        <v>163</v>
      </c>
      <c r="AE1" s="14" t="s">
        <v>179</v>
      </c>
      <c r="AF1" s="13" t="s">
        <v>7</v>
      </c>
      <c r="AG1" s="13" t="s">
        <v>8</v>
      </c>
      <c r="AH1" s="14" t="s">
        <v>9</v>
      </c>
      <c r="AI1" s="15" t="s">
        <v>6</v>
      </c>
      <c r="AJ1" s="13" t="s">
        <v>10</v>
      </c>
      <c r="AK1" s="13" t="s">
        <v>183</v>
      </c>
      <c r="AL1" s="14" t="s">
        <v>141</v>
      </c>
      <c r="AM1" s="30" t="s">
        <v>78</v>
      </c>
      <c r="AN1" s="30" t="s">
        <v>182</v>
      </c>
      <c r="AO1" s="14" t="s">
        <v>142</v>
      </c>
      <c r="AP1" s="13" t="s">
        <v>11</v>
      </c>
      <c r="AQ1" s="13" t="s">
        <v>164</v>
      </c>
      <c r="AR1" s="13" t="s">
        <v>59</v>
      </c>
    </row>
    <row r="2" spans="1:44" ht="16.5" thickTop="1">
      <c r="Z2" s="27"/>
    </row>
    <row r="3" spans="1:44" s="7" customFormat="1">
      <c r="A3" s="7">
        <v>350</v>
      </c>
      <c r="B3" s="7">
        <v>350</v>
      </c>
      <c r="C3" s="7">
        <f t="shared" ref="C3:C25" si="0">B3*AF3</f>
        <v>1.9999999999999999E-6</v>
      </c>
      <c r="D3" s="7">
        <v>10</v>
      </c>
      <c r="E3">
        <f t="shared" ref="E3:E42" si="1">D3*AF3*10^9</f>
        <v>57.142857142857146</v>
      </c>
      <c r="F3" s="7">
        <v>1</v>
      </c>
      <c r="G3" s="9">
        <v>2</v>
      </c>
      <c r="H3" s="7" t="s">
        <v>15</v>
      </c>
      <c r="I3" s="7">
        <v>0</v>
      </c>
      <c r="J3">
        <f t="shared" ref="J3:J34" si="2">AF3*I3</f>
        <v>0</v>
      </c>
      <c r="K3" s="95" t="s">
        <v>83</v>
      </c>
      <c r="L3" s="98">
        <v>7.0000000000000007E-2</v>
      </c>
      <c r="M3" s="7">
        <v>5.7142857142857144E-9</v>
      </c>
      <c r="N3"/>
      <c r="O3"/>
      <c r="P3"/>
      <c r="Q3"/>
      <c r="R3"/>
      <c r="S3"/>
      <c r="T3" s="8"/>
      <c r="U3" s="8"/>
      <c r="V3" s="7">
        <v>3.1373399999999997E-4</v>
      </c>
      <c r="W3" s="9">
        <f>3.03613*10^-8</f>
        <v>3.0361299999999999E-8</v>
      </c>
      <c r="X3" s="23">
        <v>1.22747E-2</v>
      </c>
      <c r="Y3" s="9">
        <f>3.49706*10^-8</f>
        <v>3.4970600000000001E-8</v>
      </c>
      <c r="Z3" s="23">
        <v>1.22747E-2</v>
      </c>
      <c r="AA3" s="9">
        <v>3.4970600000000001E-8</v>
      </c>
      <c r="AB3" s="11">
        <f>SQRT(W3^2+Y3^2+AA3^2)/W3</f>
        <v>1.9113752831920681</v>
      </c>
      <c r="AC3" s="9">
        <f>LOG10(AB3)</f>
        <v>0.28134596566211695</v>
      </c>
      <c r="AD3" s="9">
        <f>SQRT(W3^2+Y3^2+AA3^2)/Y3</f>
        <v>1.6594464603289432</v>
      </c>
      <c r="AE3" s="9">
        <f>X3/V3</f>
        <v>39.124544996716963</v>
      </c>
      <c r="AF3" s="7">
        <v>5.7142857142857144E-9</v>
      </c>
      <c r="AG3" s="7">
        <v>1000</v>
      </c>
      <c r="AH3" s="9">
        <v>1.3605442176870701E-12</v>
      </c>
      <c r="AI3" s="11">
        <v>7.0000000000000007E-2</v>
      </c>
      <c r="AJ3" s="7">
        <f>((AF3^2)*V3*1000)/(0.9869*(10^-12))</f>
        <v>1.0380358202658914E-5</v>
      </c>
      <c r="AK3" s="7">
        <f>9.869*10^-16*AJ3</f>
        <v>1.0244375510204081E-20</v>
      </c>
      <c r="AL3" s="9">
        <f>LOG10(9.869*10^-16*AJ3)</f>
        <v>-19.989514510736544</v>
      </c>
      <c r="AM3" s="32">
        <f t="shared" ref="AM3:AM52" si="3">((AF3^2)*X3*1000)/(0.9869*(10^-12))</f>
        <v>4.0612679158196874E-4</v>
      </c>
      <c r="AN3" s="7">
        <f>9.869*10^-16*AM3</f>
        <v>4.0080653061224492E-19</v>
      </c>
      <c r="AO3" s="9">
        <f>LOG10(9.869*10^-16*AM3)</f>
        <v>-18.397065210829048</v>
      </c>
      <c r="AP3" s="7">
        <v>5.0000000000000001E-4</v>
      </c>
      <c r="AQ3" s="7">
        <f>(AP3*AF3^2*AG3/AH3^2)/10^6</f>
        <v>8.8200000000000625</v>
      </c>
      <c r="AR3" s="7">
        <f>AM3/AJ3</f>
        <v>39.124544996716963</v>
      </c>
    </row>
    <row r="4" spans="1:44" s="10" customFormat="1">
      <c r="A4" s="10">
        <v>350</v>
      </c>
      <c r="B4" s="10">
        <v>350</v>
      </c>
      <c r="C4" s="7">
        <f t="shared" si="0"/>
        <v>1.9999999999999999E-6</v>
      </c>
      <c r="D4" s="10">
        <v>10</v>
      </c>
      <c r="E4">
        <f t="shared" si="1"/>
        <v>57.142857142857146</v>
      </c>
      <c r="F4" s="10">
        <v>1</v>
      </c>
      <c r="G4" s="8">
        <v>2</v>
      </c>
      <c r="H4" s="10" t="s">
        <v>15</v>
      </c>
      <c r="I4" s="10">
        <v>0</v>
      </c>
      <c r="J4">
        <f t="shared" si="2"/>
        <v>0</v>
      </c>
      <c r="K4" s="94" t="s">
        <v>83</v>
      </c>
      <c r="L4" s="97">
        <v>7.0000000000000007E-2</v>
      </c>
      <c r="M4" s="10">
        <v>5.7142857142857144E-9</v>
      </c>
      <c r="N4"/>
      <c r="O4"/>
      <c r="P4"/>
      <c r="Q4"/>
      <c r="R4"/>
      <c r="S4"/>
      <c r="T4" s="8"/>
      <c r="U4" s="8"/>
      <c r="V4" s="10">
        <v>3.1373399999999997E-4</v>
      </c>
      <c r="W4">
        <f>3.03613*10^-8</f>
        <v>3.0361299999999999E-8</v>
      </c>
      <c r="X4" s="27">
        <v>1.22747E-2</v>
      </c>
      <c r="Y4" s="8">
        <f>3.49706*10^-8</f>
        <v>3.4970600000000001E-8</v>
      </c>
      <c r="Z4" s="27">
        <v>1.22747E-2</v>
      </c>
      <c r="AA4" s="8">
        <v>3.4970600000000001E-8</v>
      </c>
      <c r="AB4" s="12">
        <v>2.2000000000000002</v>
      </c>
      <c r="AC4" s="9">
        <f t="shared" ref="AC4:AC52" si="4">LOG10(AB4)</f>
        <v>0.34242268082220628</v>
      </c>
      <c r="AD4" s="8">
        <f t="shared" ref="AD4:AD52" si="5">SQRT(W4^2+Y4^2+AA4^2)/Y4</f>
        <v>1.6594464603289432</v>
      </c>
      <c r="AE4" s="8">
        <f t="shared" ref="AE4:AE52" si="6">X4/V4</f>
        <v>39.124544996716963</v>
      </c>
      <c r="AF4" s="10">
        <v>5.7142857142857144E-9</v>
      </c>
      <c r="AG4" s="10">
        <v>1000</v>
      </c>
      <c r="AH4" s="10">
        <v>1.3605442176870701E-12</v>
      </c>
      <c r="AI4" s="10">
        <v>7.0000000000000007E-2</v>
      </c>
      <c r="AJ4" s="10">
        <f t="shared" ref="AJ4:AJ52" si="7">((AF4^2)*V4*1000)/(0.9869*(10^-12))</f>
        <v>1.0380358202658914E-5</v>
      </c>
      <c r="AK4" s="10">
        <f t="shared" ref="AK4:AK52" si="8">9.869*10^-16*AJ4</f>
        <v>1.0244375510204081E-20</v>
      </c>
      <c r="AL4" s="10">
        <f>LOG10(9.869*10^-16*AJ4)</f>
        <v>-19.989514510736544</v>
      </c>
      <c r="AM4" s="33">
        <f t="shared" si="3"/>
        <v>4.0612679158196874E-4</v>
      </c>
      <c r="AN4" s="10">
        <f t="shared" ref="AN4:AN52" si="9">9.869*10^-16*AM4</f>
        <v>4.0080653061224492E-19</v>
      </c>
      <c r="AO4" s="10">
        <f>LOG10(9.869*10^-16*AM4)</f>
        <v>-18.397065210829048</v>
      </c>
      <c r="AP4" s="10">
        <v>5.0000000000000001E-4</v>
      </c>
      <c r="AQ4" s="10">
        <f t="shared" ref="AQ4:AQ52" si="10">(AP4*AF4^2*AG4/AH4^2)/10^6</f>
        <v>8.8200000000000625</v>
      </c>
      <c r="AR4" s="10">
        <f t="shared" ref="AR4:AR52" si="11">AM4/AJ4</f>
        <v>39.124544996716963</v>
      </c>
    </row>
    <row r="5" spans="1:44">
      <c r="A5">
        <v>350</v>
      </c>
      <c r="B5">
        <v>350</v>
      </c>
      <c r="C5" s="7">
        <f t="shared" si="0"/>
        <v>1.9999999999999999E-6</v>
      </c>
      <c r="D5">
        <v>10</v>
      </c>
      <c r="E5">
        <f t="shared" si="1"/>
        <v>57.142857142857146</v>
      </c>
      <c r="F5">
        <v>1</v>
      </c>
      <c r="G5" s="8">
        <v>2</v>
      </c>
      <c r="H5" t="s">
        <v>20</v>
      </c>
      <c r="I5">
        <v>2</v>
      </c>
      <c r="J5">
        <f t="shared" si="2"/>
        <v>1.1428571428571429E-8</v>
      </c>
      <c r="K5" s="94" t="s">
        <v>84</v>
      </c>
      <c r="L5" s="97">
        <v>0.18099999999999999</v>
      </c>
      <c r="M5">
        <v>5.7142857142857144E-9</v>
      </c>
      <c r="V5">
        <v>3.9536399999999996E-3</v>
      </c>
      <c r="W5">
        <f>3.38883*10^-7</f>
        <v>3.38883E-7</v>
      </c>
      <c r="X5" s="27">
        <v>0.15341299999999999</v>
      </c>
      <c r="Y5" s="8">
        <f>4.35421*10^-7</f>
        <v>4.3542099999999999E-7</v>
      </c>
      <c r="Z5" s="27">
        <v>0.15341299999999999</v>
      </c>
      <c r="AA5" s="8">
        <v>4.3542099999999999E-7</v>
      </c>
      <c r="AB5" s="12">
        <v>2.16</v>
      </c>
      <c r="AC5" s="9">
        <f t="shared" si="4"/>
        <v>0.3344537511509309</v>
      </c>
      <c r="AD5" s="8">
        <f t="shared" si="5"/>
        <v>1.6142281214639009</v>
      </c>
      <c r="AE5" s="8">
        <f t="shared" si="6"/>
        <v>38.802976497607268</v>
      </c>
      <c r="AF5">
        <v>5.7142857142857144E-9</v>
      </c>
      <c r="AG5">
        <v>1000</v>
      </c>
      <c r="AH5" s="8">
        <v>1.3605442176870747E-12</v>
      </c>
      <c r="AI5" s="12">
        <v>0.18099999999999999</v>
      </c>
      <c r="AJ5">
        <f t="shared" si="7"/>
        <v>1.3081208732353009E-4</v>
      </c>
      <c r="AK5">
        <f t="shared" si="8"/>
        <v>1.2909844897959183E-19</v>
      </c>
      <c r="AL5" s="8">
        <f t="shared" ref="AL5:AL52" si="12">LOG10(9.869*10^-16*AJ5)</f>
        <v>-18.889078975422589</v>
      </c>
      <c r="AM5" s="31">
        <f t="shared" si="3"/>
        <v>5.0758983500178876E-3</v>
      </c>
      <c r="AN5">
        <f t="shared" si="9"/>
        <v>5.0094040816326531E-18</v>
      </c>
      <c r="AO5" s="8">
        <f t="shared" ref="AO5:AO52" si="13">LOG10(9.869*10^-16*AM5)</f>
        <v>-17.300213934701947</v>
      </c>
      <c r="AP5">
        <v>5.0000000000000001E-4</v>
      </c>
      <c r="AQ5">
        <f t="shared" si="10"/>
        <v>8.8200000000000021</v>
      </c>
      <c r="AR5">
        <f t="shared" si="11"/>
        <v>38.802976497607268</v>
      </c>
    </row>
    <row r="6" spans="1:44">
      <c r="A6">
        <v>350</v>
      </c>
      <c r="B6">
        <v>350</v>
      </c>
      <c r="C6" s="7">
        <f t="shared" si="0"/>
        <v>1.9999999999999999E-6</v>
      </c>
      <c r="D6">
        <v>10</v>
      </c>
      <c r="E6">
        <f t="shared" si="1"/>
        <v>57.142857142857146</v>
      </c>
      <c r="F6">
        <v>1</v>
      </c>
      <c r="G6" s="8">
        <v>2</v>
      </c>
      <c r="H6" t="s">
        <v>20</v>
      </c>
      <c r="I6">
        <v>4</v>
      </c>
      <c r="J6">
        <f t="shared" si="2"/>
        <v>2.2857142857142858E-8</v>
      </c>
      <c r="K6" s="91" t="s">
        <v>85</v>
      </c>
      <c r="L6" s="97">
        <v>0.26900000000000002</v>
      </c>
      <c r="M6">
        <v>5.7142857142857144E-9</v>
      </c>
      <c r="V6">
        <v>1.6644699999999998E-2</v>
      </c>
      <c r="W6">
        <f>1.28036*10^-6</f>
        <v>1.2803599999999998E-6</v>
      </c>
      <c r="X6" s="27">
        <v>0.59258599999999995</v>
      </c>
      <c r="Y6" s="8">
        <f>1.67555*10^-6</f>
        <v>1.67555E-6</v>
      </c>
      <c r="Z6" s="27">
        <v>0.59258599999999995</v>
      </c>
      <c r="AA6" s="8">
        <v>1.67555E-6</v>
      </c>
      <c r="AB6" s="12">
        <v>2.12</v>
      </c>
      <c r="AC6" s="9">
        <f t="shared" si="4"/>
        <v>0.32633586092875144</v>
      </c>
      <c r="AD6" s="8">
        <f t="shared" si="5"/>
        <v>1.6074559725049464</v>
      </c>
      <c r="AE6" s="8">
        <f t="shared" si="6"/>
        <v>35.602083546113775</v>
      </c>
      <c r="AF6">
        <v>5.7142857142857144E-9</v>
      </c>
      <c r="AG6">
        <v>1000</v>
      </c>
      <c r="AH6" s="8">
        <v>1.3605442176870747E-12</v>
      </c>
      <c r="AI6" s="12">
        <v>0.26900000000000002</v>
      </c>
      <c r="AJ6">
        <f t="shared" si="7"/>
        <v>5.5071477167217072E-4</v>
      </c>
      <c r="AK6">
        <f t="shared" si="8"/>
        <v>5.435004081632652E-19</v>
      </c>
      <c r="AL6" s="8">
        <f t="shared" si="12"/>
        <v>-18.264800125426838</v>
      </c>
      <c r="AM6" s="31">
        <f t="shared" si="3"/>
        <v>1.9606593311151596E-2</v>
      </c>
      <c r="AN6">
        <f t="shared" si="9"/>
        <v>1.9349746938775508E-17</v>
      </c>
      <c r="AO6" s="8">
        <f t="shared" si="13"/>
        <v>-16.713324710428637</v>
      </c>
      <c r="AP6">
        <v>5.0000000000000001E-4</v>
      </c>
      <c r="AQ6">
        <f t="shared" si="10"/>
        <v>8.8200000000000021</v>
      </c>
      <c r="AR6">
        <f t="shared" si="11"/>
        <v>35.602083546113782</v>
      </c>
    </row>
    <row r="7" spans="1:44" s="7" customFormat="1">
      <c r="A7" s="7">
        <v>350</v>
      </c>
      <c r="B7" s="7">
        <v>350</v>
      </c>
      <c r="C7" s="7">
        <f t="shared" si="0"/>
        <v>1.9999999999999999E-6</v>
      </c>
      <c r="D7" s="7">
        <v>10</v>
      </c>
      <c r="E7">
        <f t="shared" si="1"/>
        <v>57.142857142857146</v>
      </c>
      <c r="F7" s="7">
        <v>1</v>
      </c>
      <c r="G7" s="9">
        <v>2</v>
      </c>
      <c r="H7" s="7" t="s">
        <v>20</v>
      </c>
      <c r="I7" s="7">
        <v>6</v>
      </c>
      <c r="J7" s="7">
        <f t="shared" si="2"/>
        <v>3.4285714285714286E-8</v>
      </c>
      <c r="K7" s="95" t="s">
        <v>86</v>
      </c>
      <c r="L7" s="98">
        <v>0.34100000000000003</v>
      </c>
      <c r="M7" s="7">
        <v>5.7142857142857144E-9</v>
      </c>
      <c r="N7"/>
      <c r="O7"/>
      <c r="P7"/>
      <c r="Q7"/>
      <c r="R7"/>
      <c r="S7"/>
      <c r="T7" s="8"/>
      <c r="U7" s="8"/>
      <c r="V7" s="7">
        <v>4.5357300000000003E-2</v>
      </c>
      <c r="W7" s="7">
        <f>3.16446*10^-6</f>
        <v>3.1644600000000001E-6</v>
      </c>
      <c r="X7" s="23">
        <v>1.4505999999999999</v>
      </c>
      <c r="Y7" s="9">
        <f>4.08618*10^-6</f>
        <v>4.0861799999999994E-6</v>
      </c>
      <c r="Z7" s="23">
        <v>1.4505999999999999</v>
      </c>
      <c r="AA7" s="9">
        <v>4.0861799999999994E-6</v>
      </c>
      <c r="AB7" s="11">
        <v>2.0699999999999998</v>
      </c>
      <c r="AC7" s="9">
        <f t="shared" si="4"/>
        <v>0.31597034545691771</v>
      </c>
      <c r="AD7" s="9">
        <f t="shared" si="5"/>
        <v>1.6123714466112151</v>
      </c>
      <c r="AE7" s="9">
        <f t="shared" si="6"/>
        <v>31.981621480996438</v>
      </c>
      <c r="AF7" s="7">
        <v>5.7142857142857144E-9</v>
      </c>
      <c r="AG7" s="7">
        <v>1000</v>
      </c>
      <c r="AH7" s="9">
        <v>1.3605442176870747E-12</v>
      </c>
      <c r="AI7" s="11">
        <v>0.34100000000000003</v>
      </c>
      <c r="AJ7" s="7">
        <f t="shared" si="7"/>
        <v>1.500714047905108E-3</v>
      </c>
      <c r="AK7" s="7">
        <f t="shared" si="8"/>
        <v>1.481054693877551E-18</v>
      </c>
      <c r="AL7" s="9">
        <f t="shared" si="12"/>
        <v>-17.829428903119158</v>
      </c>
      <c r="AM7" s="32">
        <f t="shared" si="3"/>
        <v>4.7995268631315126E-2</v>
      </c>
      <c r="AN7" s="7">
        <f t="shared" si="9"/>
        <v>4.7366530612244892E-17</v>
      </c>
      <c r="AO7" s="9">
        <f t="shared" si="13"/>
        <v>-16.324528424246861</v>
      </c>
      <c r="AP7" s="7">
        <v>5.0000000000000001E-4</v>
      </c>
      <c r="AQ7" s="7">
        <f t="shared" si="10"/>
        <v>8.8200000000000021</v>
      </c>
      <c r="AR7" s="7">
        <f t="shared" si="11"/>
        <v>31.981621480996441</v>
      </c>
    </row>
    <row r="8" spans="1:44">
      <c r="A8">
        <v>350</v>
      </c>
      <c r="B8">
        <v>350</v>
      </c>
      <c r="C8" s="7">
        <f t="shared" si="0"/>
        <v>1.9999999999999999E-6</v>
      </c>
      <c r="D8">
        <v>10</v>
      </c>
      <c r="E8">
        <f t="shared" si="1"/>
        <v>57.142857142857146</v>
      </c>
      <c r="F8">
        <v>1</v>
      </c>
      <c r="G8" s="8">
        <v>2</v>
      </c>
      <c r="H8" t="s">
        <v>20</v>
      </c>
      <c r="I8">
        <v>8</v>
      </c>
      <c r="J8">
        <f t="shared" si="2"/>
        <v>4.5714285714285715E-8</v>
      </c>
      <c r="K8" s="94" t="s">
        <v>87</v>
      </c>
      <c r="L8" s="97">
        <v>0.40100000000000002</v>
      </c>
      <c r="M8">
        <v>5.7142857142857144E-9</v>
      </c>
      <c r="V8">
        <v>9.8110600000000006E-2</v>
      </c>
      <c r="W8">
        <f>6.26238*10^-6</f>
        <v>6.2623799999999998E-6</v>
      </c>
      <c r="X8" s="27">
        <v>2.8128799999999998</v>
      </c>
      <c r="Y8" s="8">
        <f>7.89396*10^-6</f>
        <v>7.8939599999999999E-6</v>
      </c>
      <c r="Z8" s="27">
        <v>2.8128799999999998</v>
      </c>
      <c r="AA8" s="8">
        <v>7.8939599999999999E-6</v>
      </c>
      <c r="AB8" s="12">
        <v>2.02</v>
      </c>
      <c r="AC8" s="9">
        <f t="shared" si="4"/>
        <v>0.30535136944662378</v>
      </c>
      <c r="AD8" s="8">
        <f t="shared" si="5"/>
        <v>1.6215256078742062</v>
      </c>
      <c r="AE8" s="8">
        <f t="shared" si="6"/>
        <v>28.670500435223101</v>
      </c>
      <c r="AF8">
        <v>5.7142857142857144E-9</v>
      </c>
      <c r="AG8">
        <v>1000</v>
      </c>
      <c r="AH8" s="8">
        <v>1.3605442176870747E-12</v>
      </c>
      <c r="AI8" s="12">
        <v>0.40100000000000002</v>
      </c>
      <c r="AJ8">
        <f t="shared" si="7"/>
        <v>3.2461358076516659E-3</v>
      </c>
      <c r="AK8">
        <f t="shared" si="8"/>
        <v>3.2036114285714286E-18</v>
      </c>
      <c r="AL8" s="8">
        <f t="shared" si="12"/>
        <v>-17.494360165702997</v>
      </c>
      <c r="AM8" s="31">
        <f t="shared" si="3"/>
        <v>9.3068338086070387E-2</v>
      </c>
      <c r="AN8">
        <f t="shared" si="9"/>
        <v>9.1849142857142857E-17</v>
      </c>
      <c r="AO8" s="8">
        <f t="shared" si="13"/>
        <v>-16.036924892206841</v>
      </c>
      <c r="AP8">
        <v>5.0000000000000001E-4</v>
      </c>
      <c r="AQ8">
        <f t="shared" si="10"/>
        <v>8.8200000000000021</v>
      </c>
      <c r="AR8">
        <f t="shared" si="11"/>
        <v>28.670500435223104</v>
      </c>
    </row>
    <row r="9" spans="1:44">
      <c r="A9">
        <v>350</v>
      </c>
      <c r="B9">
        <v>350</v>
      </c>
      <c r="C9" s="7">
        <f t="shared" si="0"/>
        <v>1.9999999999999999E-6</v>
      </c>
      <c r="D9">
        <v>10</v>
      </c>
      <c r="E9">
        <f t="shared" si="1"/>
        <v>57.142857142857146</v>
      </c>
      <c r="F9">
        <v>1</v>
      </c>
      <c r="G9" s="8">
        <v>2</v>
      </c>
      <c r="H9" t="s">
        <v>20</v>
      </c>
      <c r="I9">
        <v>12</v>
      </c>
      <c r="J9">
        <f t="shared" si="2"/>
        <v>6.8571428571428573E-8</v>
      </c>
      <c r="K9" s="94" t="s">
        <v>88</v>
      </c>
      <c r="L9" s="97">
        <v>0.496</v>
      </c>
      <c r="M9">
        <v>5.7142857142857144E-9</v>
      </c>
      <c r="V9">
        <v>0.31220999999999999</v>
      </c>
      <c r="W9">
        <f>1.70296*10^-5</f>
        <v>1.70296E-5</v>
      </c>
      <c r="X9" s="27">
        <v>7.2903200000000004</v>
      </c>
      <c r="Y9" s="8">
        <f>2.03073*10^-5</f>
        <v>2.0307300000000005E-5</v>
      </c>
      <c r="Z9" s="27">
        <v>7.2903200000000004</v>
      </c>
      <c r="AA9" s="8">
        <v>2.0307300000000005E-5</v>
      </c>
      <c r="AB9" s="12">
        <f>SQRT(W9^2+Y9^2+AA9^2)/W9</f>
        <v>1.9606052666577154</v>
      </c>
      <c r="AC9" s="9">
        <f t="shared" si="4"/>
        <v>0.29239016492302283</v>
      </c>
      <c r="AD9" s="8">
        <f t="shared" si="5"/>
        <v>1.6441537500836756</v>
      </c>
      <c r="AE9" s="8">
        <f t="shared" si="6"/>
        <v>23.350693443515585</v>
      </c>
      <c r="AF9">
        <v>5.7142857142857144E-9</v>
      </c>
      <c r="AG9">
        <v>1000</v>
      </c>
      <c r="AH9" s="8">
        <v>1.3605442176870747E-12</v>
      </c>
      <c r="AI9" s="12">
        <v>0.496</v>
      </c>
      <c r="AJ9">
        <f t="shared" si="7"/>
        <v>1.0329934385345992E-2</v>
      </c>
      <c r="AK9">
        <f t="shared" si="8"/>
        <v>1.0194612244897959E-17</v>
      </c>
      <c r="AL9" s="8">
        <f t="shared" si="12"/>
        <v>-16.991629288091204</v>
      </c>
      <c r="AM9" s="31">
        <f t="shared" si="3"/>
        <v>0.24121113112384485</v>
      </c>
      <c r="AN9">
        <f t="shared" si="9"/>
        <v>2.3805126530612247E-16</v>
      </c>
      <c r="AO9" s="8">
        <f t="shared" si="13"/>
        <v>-15.623329505792048</v>
      </c>
      <c r="AP9">
        <v>5.0000000000000001E-4</v>
      </c>
      <c r="AQ9">
        <f t="shared" si="10"/>
        <v>8.8200000000000021</v>
      </c>
      <c r="AR9">
        <f t="shared" si="11"/>
        <v>23.350693443515585</v>
      </c>
    </row>
    <row r="10" spans="1:44">
      <c r="A10">
        <v>350</v>
      </c>
      <c r="B10">
        <v>350</v>
      </c>
      <c r="C10" s="7">
        <f t="shared" si="0"/>
        <v>1.9999999999999999E-6</v>
      </c>
      <c r="D10">
        <v>10</v>
      </c>
      <c r="E10">
        <f t="shared" si="1"/>
        <v>57.142857142857146</v>
      </c>
      <c r="F10">
        <v>1</v>
      </c>
      <c r="G10" s="8">
        <v>2</v>
      </c>
      <c r="H10" t="s">
        <v>20</v>
      </c>
      <c r="I10">
        <v>16</v>
      </c>
      <c r="J10">
        <f t="shared" si="2"/>
        <v>9.142857142857143E-8</v>
      </c>
      <c r="K10" s="94" t="s">
        <v>89</v>
      </c>
      <c r="L10" s="97">
        <v>0.56599999999999995</v>
      </c>
      <c r="M10">
        <v>5.7142857142857144E-9</v>
      </c>
      <c r="V10">
        <v>0.73976500000000001</v>
      </c>
      <c r="W10">
        <f>3.52269*10^-5</f>
        <v>3.52269E-5</v>
      </c>
      <c r="X10" s="27">
        <v>14.3904</v>
      </c>
      <c r="Y10" s="8">
        <f>3.9789*10^-5</f>
        <v>3.9789000000000001E-5</v>
      </c>
      <c r="Z10" s="27">
        <v>14.3904</v>
      </c>
      <c r="AA10" s="8">
        <v>3.9789000000000001E-5</v>
      </c>
      <c r="AB10" s="12">
        <f t="shared" ref="AB10:AB52" si="14">SQRT(W10^2+Y10^2+AA10^2)/W10</f>
        <v>1.8845604953702433</v>
      </c>
      <c r="AC10" s="9">
        <f t="shared" si="4"/>
        <v>0.27521008308771316</v>
      </c>
      <c r="AD10" s="8">
        <f t="shared" si="5"/>
        <v>1.6684818445891585</v>
      </c>
      <c r="AE10" s="8">
        <f t="shared" si="6"/>
        <v>19.452664021682562</v>
      </c>
      <c r="AF10">
        <v>5.7142857142857144E-9</v>
      </c>
      <c r="AG10">
        <v>1000</v>
      </c>
      <c r="AH10" s="8">
        <v>1.3605442176870747E-12</v>
      </c>
      <c r="AI10" s="12">
        <v>0.56599999999999995</v>
      </c>
      <c r="AJ10">
        <f t="shared" si="7"/>
        <v>2.4476230455704424E-2</v>
      </c>
      <c r="AK10">
        <f t="shared" si="8"/>
        <v>2.4155591836734693E-17</v>
      </c>
      <c r="AL10" s="8">
        <f t="shared" si="12"/>
        <v>-16.616982317387592</v>
      </c>
      <c r="AM10" s="31">
        <f t="shared" si="3"/>
        <v>0.4761278875720924</v>
      </c>
      <c r="AN10">
        <f t="shared" si="9"/>
        <v>4.6989061224489798E-16</v>
      </c>
      <c r="AO10" s="8">
        <f t="shared" si="13"/>
        <v>-15.328003231484741</v>
      </c>
      <c r="AP10">
        <v>5.0000000000000001E-4</v>
      </c>
      <c r="AQ10">
        <f t="shared" si="10"/>
        <v>8.8200000000000021</v>
      </c>
      <c r="AR10">
        <f t="shared" si="11"/>
        <v>19.452664021682562</v>
      </c>
    </row>
    <row r="11" spans="1:44">
      <c r="A11">
        <v>350</v>
      </c>
      <c r="B11">
        <v>350</v>
      </c>
      <c r="C11" s="7">
        <f t="shared" si="0"/>
        <v>1.9999999999999999E-6</v>
      </c>
      <c r="D11">
        <v>10</v>
      </c>
      <c r="E11">
        <f t="shared" si="1"/>
        <v>57.142857142857146</v>
      </c>
      <c r="F11">
        <v>1</v>
      </c>
      <c r="G11" s="8">
        <v>2</v>
      </c>
      <c r="H11" t="s">
        <v>20</v>
      </c>
      <c r="I11">
        <v>22</v>
      </c>
      <c r="J11">
        <f t="shared" si="2"/>
        <v>1.2571428571428572E-7</v>
      </c>
      <c r="K11" s="94" t="s">
        <v>91</v>
      </c>
      <c r="L11" s="97">
        <v>0.64400000000000002</v>
      </c>
      <c r="M11">
        <v>5.7142857142857144E-9</v>
      </c>
      <c r="V11">
        <v>1.9807600000000001</v>
      </c>
      <c r="W11" s="10">
        <f>7.92302*10^-5</f>
        <v>7.9230200000000013E-5</v>
      </c>
      <c r="X11" s="27">
        <v>30.4938</v>
      </c>
      <c r="Y11" s="8">
        <f>8.33924*10^-5</f>
        <v>8.3392400000000005E-5</v>
      </c>
      <c r="Z11" s="27">
        <v>30.4938</v>
      </c>
      <c r="AA11" s="8">
        <v>8.3392400000000005E-5</v>
      </c>
      <c r="AB11" s="12">
        <f t="shared" si="14"/>
        <v>1.7932237526435097</v>
      </c>
      <c r="AC11" s="9">
        <f t="shared" si="4"/>
        <v>0.25363448280009332</v>
      </c>
      <c r="AD11" s="8">
        <f t="shared" si="5"/>
        <v>1.703722120561296</v>
      </c>
      <c r="AE11" s="8">
        <f t="shared" si="6"/>
        <v>15.394999899028655</v>
      </c>
      <c r="AF11">
        <v>5.7142857142857144E-9</v>
      </c>
      <c r="AG11">
        <v>1000</v>
      </c>
      <c r="AH11" s="8">
        <v>1.3605442176870747E-12</v>
      </c>
      <c r="AI11" s="12">
        <v>0.64400000000000002</v>
      </c>
      <c r="AJ11">
        <f t="shared" si="7"/>
        <v>6.5536404449306335E-2</v>
      </c>
      <c r="AK11">
        <f t="shared" si="8"/>
        <v>6.4677877551020415E-17</v>
      </c>
      <c r="AL11" s="8">
        <f t="shared" si="12"/>
        <v>-16.189244240203546</v>
      </c>
      <c r="AM11" s="31">
        <f t="shared" si="3"/>
        <v>1.0089329398797722</v>
      </c>
      <c r="AN11">
        <f t="shared" si="9"/>
        <v>9.9571591836734712E-16</v>
      </c>
      <c r="AO11" s="8">
        <f t="shared" si="13"/>
        <v>-15.001864549812741</v>
      </c>
      <c r="AP11">
        <v>5.0000000000000001E-4</v>
      </c>
      <c r="AQ11">
        <f t="shared" si="10"/>
        <v>8.8200000000000021</v>
      </c>
      <c r="AR11">
        <f t="shared" si="11"/>
        <v>15.394999899028656</v>
      </c>
    </row>
    <row r="12" spans="1:44" s="7" customFormat="1">
      <c r="A12" s="7">
        <v>350</v>
      </c>
      <c r="B12" s="7">
        <v>350</v>
      </c>
      <c r="C12" s="7">
        <f t="shared" si="0"/>
        <v>1.9999999999999999E-6</v>
      </c>
      <c r="D12" s="7">
        <v>10</v>
      </c>
      <c r="E12">
        <f t="shared" si="1"/>
        <v>57.142857142857146</v>
      </c>
      <c r="F12" s="7">
        <v>1</v>
      </c>
      <c r="G12" s="9">
        <v>2</v>
      </c>
      <c r="H12" s="7" t="s">
        <v>20</v>
      </c>
      <c r="I12">
        <v>30</v>
      </c>
      <c r="J12">
        <f t="shared" si="2"/>
        <v>1.7142857142857143E-7</v>
      </c>
      <c r="K12" s="95" t="s">
        <v>90</v>
      </c>
      <c r="L12" s="98">
        <v>0.71599999999999997</v>
      </c>
      <c r="M12" s="7">
        <v>5.7142857142857144E-9</v>
      </c>
      <c r="N12"/>
      <c r="O12"/>
      <c r="P12"/>
      <c r="Q12"/>
      <c r="R12"/>
      <c r="S12"/>
      <c r="T12" s="8"/>
      <c r="U12" s="8"/>
      <c r="V12" s="7">
        <v>5.2793799999999997</v>
      </c>
      <c r="W12" s="7">
        <v>1.74045E-4</v>
      </c>
      <c r="X12" s="23">
        <v>63.089100000000002</v>
      </c>
      <c r="Y12" s="9">
        <v>1.7005199999999999E-4</v>
      </c>
      <c r="Z12" s="23">
        <v>63.089100000000002</v>
      </c>
      <c r="AA12" s="9">
        <v>1.7005199999999999E-4</v>
      </c>
      <c r="AB12" s="11">
        <f t="shared" si="14"/>
        <v>1.7056621389267095</v>
      </c>
      <c r="AC12" s="9">
        <f t="shared" si="4"/>
        <v>0.23189300940405413</v>
      </c>
      <c r="AD12" s="9">
        <f t="shared" si="5"/>
        <v>1.7457128817626324</v>
      </c>
      <c r="AE12" s="9">
        <f t="shared" si="6"/>
        <v>11.950096412836357</v>
      </c>
      <c r="AF12" s="7">
        <v>5.7142857142857144E-9</v>
      </c>
      <c r="AG12" s="7">
        <v>1000</v>
      </c>
      <c r="AH12" s="9">
        <v>1.3605442176870747E-12</v>
      </c>
      <c r="AI12" s="11">
        <v>0.71599999999999997</v>
      </c>
      <c r="AJ12" s="7">
        <f t="shared" si="7"/>
        <v>0.17467617627657003</v>
      </c>
      <c r="AK12" s="7">
        <f t="shared" si="8"/>
        <v>1.7238791836734695E-16</v>
      </c>
      <c r="AL12" s="9">
        <f t="shared" si="12"/>
        <v>-15.763493174533663</v>
      </c>
      <c r="AM12" s="32">
        <f t="shared" si="3"/>
        <v>2.0873971475306101</v>
      </c>
      <c r="AN12" s="7">
        <f t="shared" si="9"/>
        <v>2.0600522448979589E-15</v>
      </c>
      <c r="AO12" s="9">
        <f t="shared" si="13"/>
        <v>-14.686121765367171</v>
      </c>
      <c r="AP12" s="7">
        <v>5.0000000000000001E-4</v>
      </c>
      <c r="AQ12" s="7">
        <f t="shared" si="10"/>
        <v>8.8200000000000021</v>
      </c>
      <c r="AR12" s="7">
        <f t="shared" si="11"/>
        <v>11.950096412836354</v>
      </c>
    </row>
    <row r="13" spans="1:44" s="36" customFormat="1">
      <c r="A13" s="36">
        <v>350</v>
      </c>
      <c r="B13" s="36">
        <v>350</v>
      </c>
      <c r="C13" s="7">
        <f t="shared" si="0"/>
        <v>1.9999999999999999E-6</v>
      </c>
      <c r="D13" s="36">
        <v>10</v>
      </c>
      <c r="E13">
        <f t="shared" si="1"/>
        <v>57.142857142857146</v>
      </c>
      <c r="F13" s="36">
        <v>1</v>
      </c>
      <c r="G13" s="37">
        <v>2</v>
      </c>
      <c r="H13" s="36" t="s">
        <v>15</v>
      </c>
      <c r="I13" s="36">
        <v>0</v>
      </c>
      <c r="J13">
        <f t="shared" si="2"/>
        <v>0</v>
      </c>
      <c r="K13" s="94" t="s">
        <v>83</v>
      </c>
      <c r="L13" s="97">
        <v>7.0000000000000007E-2</v>
      </c>
      <c r="M13" s="36">
        <v>5.7142857142857144E-9</v>
      </c>
      <c r="N13"/>
      <c r="O13"/>
      <c r="P13"/>
      <c r="Q13"/>
      <c r="R13"/>
      <c r="S13"/>
      <c r="T13" s="8"/>
      <c r="U13" s="8"/>
      <c r="V13" s="36">
        <v>3.1373399999999997E-4</v>
      </c>
      <c r="W13" s="38">
        <f>3.03613*10^-8</f>
        <v>3.0361299999999999E-8</v>
      </c>
      <c r="X13" s="39">
        <v>1.22747E-2</v>
      </c>
      <c r="Y13" s="37">
        <f>3.49706*10^-8</f>
        <v>3.4970600000000001E-8</v>
      </c>
      <c r="Z13" s="39">
        <v>1.22747E-2</v>
      </c>
      <c r="AA13" s="37">
        <v>3.4970600000000001E-8</v>
      </c>
      <c r="AB13" s="40">
        <v>2.1</v>
      </c>
      <c r="AC13" s="41">
        <f t="shared" si="4"/>
        <v>0.3222192947339193</v>
      </c>
      <c r="AD13" s="37">
        <f t="shared" si="5"/>
        <v>1.6594464603289432</v>
      </c>
      <c r="AE13" s="37">
        <f t="shared" si="6"/>
        <v>39.124544996716963</v>
      </c>
      <c r="AF13" s="36">
        <v>5.7142857142857144E-9</v>
      </c>
      <c r="AG13" s="36">
        <v>1000</v>
      </c>
      <c r="AH13" s="36">
        <v>1.3605442176870701E-12</v>
      </c>
      <c r="AI13" s="36">
        <v>7.0000000000000007E-2</v>
      </c>
      <c r="AJ13" s="36">
        <f t="shared" si="7"/>
        <v>1.0380358202658914E-5</v>
      </c>
      <c r="AK13" s="36">
        <f t="shared" si="8"/>
        <v>1.0244375510204081E-20</v>
      </c>
      <c r="AL13" s="36">
        <f>LOG10(9.869*10^-16*AJ13)</f>
        <v>-19.989514510736544</v>
      </c>
      <c r="AM13" s="42">
        <f t="shared" si="3"/>
        <v>4.0612679158196874E-4</v>
      </c>
      <c r="AN13" s="36">
        <f t="shared" si="9"/>
        <v>4.0080653061224492E-19</v>
      </c>
      <c r="AO13" s="36">
        <f>LOG10(9.869*10^-16*AM13)</f>
        <v>-18.397065210829048</v>
      </c>
      <c r="AP13" s="36">
        <v>5.0000000000000001E-4</v>
      </c>
      <c r="AQ13" s="36">
        <f t="shared" si="10"/>
        <v>8.8200000000000625</v>
      </c>
      <c r="AR13" s="36">
        <f t="shared" si="11"/>
        <v>39.124544996716963</v>
      </c>
    </row>
    <row r="14" spans="1:44" s="38" customFormat="1">
      <c r="A14" s="38">
        <v>350</v>
      </c>
      <c r="B14" s="38">
        <v>350</v>
      </c>
      <c r="C14" s="7">
        <f t="shared" si="0"/>
        <v>1.9999999999999999E-6</v>
      </c>
      <c r="D14" s="38">
        <v>10</v>
      </c>
      <c r="E14">
        <f t="shared" si="1"/>
        <v>57.142857142857146</v>
      </c>
      <c r="F14" s="38">
        <v>1</v>
      </c>
      <c r="G14" s="37">
        <v>2</v>
      </c>
      <c r="H14" s="38" t="s">
        <v>92</v>
      </c>
      <c r="I14" s="38">
        <v>2</v>
      </c>
      <c r="J14">
        <f t="shared" si="2"/>
        <v>1.1428571428571429E-8</v>
      </c>
      <c r="K14" s="94" t="s">
        <v>93</v>
      </c>
      <c r="L14" s="97">
        <v>0.17399999999999999</v>
      </c>
      <c r="M14" s="38">
        <v>5.7142857142857144E-9</v>
      </c>
      <c r="N14"/>
      <c r="O14"/>
      <c r="P14"/>
      <c r="Q14"/>
      <c r="R14"/>
      <c r="S14"/>
      <c r="T14" s="8"/>
      <c r="U14" s="8"/>
      <c r="V14" s="38">
        <v>1.78173E-3</v>
      </c>
      <c r="W14" s="36">
        <f>1.52719*10^-7</f>
        <v>1.5271900000000001E-7</v>
      </c>
      <c r="X14" s="39">
        <v>0.14176900000000001</v>
      </c>
      <c r="Y14" s="37">
        <f>4.038*10^-7</f>
        <v>4.038E-7</v>
      </c>
      <c r="Z14" s="39">
        <v>0.14176900000000001</v>
      </c>
      <c r="AA14" s="37">
        <v>4.038E-7</v>
      </c>
      <c r="AB14" s="40">
        <f t="shared" si="14"/>
        <v>3.8706887348804799</v>
      </c>
      <c r="AC14" s="41">
        <f t="shared" si="4"/>
        <v>0.58778824851889977</v>
      </c>
      <c r="AD14" s="37">
        <f t="shared" si="5"/>
        <v>1.4639121171426748</v>
      </c>
      <c r="AE14" s="37">
        <f t="shared" si="6"/>
        <v>79.568172506496495</v>
      </c>
      <c r="AF14" s="38">
        <v>5.7142857142857144E-9</v>
      </c>
      <c r="AG14" s="38">
        <v>1000</v>
      </c>
      <c r="AH14" s="37">
        <v>1.3605442176870747E-12</v>
      </c>
      <c r="AI14" s="40">
        <v>0.17399999999999999</v>
      </c>
      <c r="AJ14" s="38">
        <f t="shared" si="7"/>
        <v>5.8951199488813677E-5</v>
      </c>
      <c r="AK14" s="38">
        <f t="shared" si="8"/>
        <v>5.8178938775510213E-20</v>
      </c>
      <c r="AL14" s="37">
        <f t="shared" si="12"/>
        <v>-19.23523420485148</v>
      </c>
      <c r="AM14" s="43">
        <f t="shared" si="3"/>
        <v>4.6906392103908141E-3</v>
      </c>
      <c r="AN14" s="38">
        <f t="shared" si="9"/>
        <v>4.6291918367346939E-18</v>
      </c>
      <c r="AO14" s="37">
        <f t="shared" si="13"/>
        <v>-17.334494821397143</v>
      </c>
      <c r="AP14" s="38">
        <v>5.0000000000000001E-4</v>
      </c>
      <c r="AQ14" s="38">
        <f t="shared" si="10"/>
        <v>8.8200000000000021</v>
      </c>
      <c r="AR14" s="38">
        <f t="shared" si="11"/>
        <v>79.568172506496481</v>
      </c>
    </row>
    <row r="15" spans="1:44" s="38" customFormat="1">
      <c r="A15" s="38">
        <v>350</v>
      </c>
      <c r="B15" s="38">
        <v>350</v>
      </c>
      <c r="C15" s="7">
        <f t="shared" si="0"/>
        <v>1.9999999999999999E-6</v>
      </c>
      <c r="D15" s="38">
        <v>10</v>
      </c>
      <c r="E15">
        <f t="shared" si="1"/>
        <v>57.142857142857146</v>
      </c>
      <c r="F15" s="38">
        <v>1</v>
      </c>
      <c r="G15" s="37">
        <v>2</v>
      </c>
      <c r="H15" s="38" t="s">
        <v>92</v>
      </c>
      <c r="I15" s="38">
        <v>4</v>
      </c>
      <c r="J15">
        <f t="shared" si="2"/>
        <v>2.2857142857142858E-8</v>
      </c>
      <c r="K15" s="94" t="s">
        <v>94</v>
      </c>
      <c r="L15" s="97">
        <v>0.25600000000000001</v>
      </c>
      <c r="M15" s="38">
        <v>5.7142857142857144E-9</v>
      </c>
      <c r="N15"/>
      <c r="O15"/>
      <c r="P15"/>
      <c r="Q15"/>
      <c r="R15"/>
      <c r="S15"/>
      <c r="T15" s="8"/>
      <c r="U15" s="8"/>
      <c r="V15" s="38">
        <v>3.3316999999999999E-3</v>
      </c>
      <c r="W15" s="38">
        <f>2.562*10^-7</f>
        <v>2.5619999999999998E-7</v>
      </c>
      <c r="X15" s="39">
        <v>0.54528399999999999</v>
      </c>
      <c r="Y15" s="37">
        <f>1.553*10^-6</f>
        <v>1.5529999999999998E-6</v>
      </c>
      <c r="Z15" s="39">
        <v>0.54528399999999999</v>
      </c>
      <c r="AA15" s="37">
        <v>1.5529999999999998E-6</v>
      </c>
      <c r="AB15" s="40">
        <f t="shared" si="14"/>
        <v>8.6306257128432176</v>
      </c>
      <c r="AC15" s="41">
        <f t="shared" si="4"/>
        <v>0.93604228282809943</v>
      </c>
      <c r="AD15" s="37">
        <f t="shared" si="5"/>
        <v>1.4238031600968657</v>
      </c>
      <c r="AE15" s="37">
        <f t="shared" si="6"/>
        <v>163.66539604406159</v>
      </c>
      <c r="AF15" s="38">
        <v>5.7142857142857144E-9</v>
      </c>
      <c r="AG15" s="38">
        <v>1000</v>
      </c>
      <c r="AH15" s="37">
        <v>1.3605442176870747E-12</v>
      </c>
      <c r="AI15" s="40">
        <v>0.25600000000000001</v>
      </c>
      <c r="AJ15" s="38">
        <f t="shared" si="7"/>
        <v>1.1023427305870164E-4</v>
      </c>
      <c r="AK15" s="38">
        <f t="shared" si="8"/>
        <v>1.0879020408163265E-19</v>
      </c>
      <c r="AL15" s="37">
        <f t="shared" si="12"/>
        <v>-18.963410208542474</v>
      </c>
      <c r="AM15" s="43">
        <f t="shared" si="3"/>
        <v>1.8041535957781636E-2</v>
      </c>
      <c r="AN15" s="38">
        <f t="shared" si="9"/>
        <v>1.7805191836734696E-17</v>
      </c>
      <c r="AO15" s="37">
        <f t="shared" si="13"/>
        <v>-16.749453342788016</v>
      </c>
      <c r="AP15" s="38">
        <v>5.0000000000000001E-4</v>
      </c>
      <c r="AQ15" s="38">
        <f t="shared" si="10"/>
        <v>8.8200000000000021</v>
      </c>
      <c r="AR15" s="38">
        <f t="shared" si="11"/>
        <v>163.66539604406162</v>
      </c>
    </row>
    <row r="16" spans="1:44" s="38" customFormat="1">
      <c r="A16" s="38">
        <v>350</v>
      </c>
      <c r="B16" s="38">
        <v>350</v>
      </c>
      <c r="C16" s="7">
        <f t="shared" si="0"/>
        <v>1.9999999999999999E-6</v>
      </c>
      <c r="D16" s="38">
        <v>10</v>
      </c>
      <c r="E16">
        <f t="shared" si="1"/>
        <v>57.142857142857146</v>
      </c>
      <c r="F16" s="38">
        <v>1</v>
      </c>
      <c r="G16" s="37">
        <v>2</v>
      </c>
      <c r="H16" s="38" t="s">
        <v>92</v>
      </c>
      <c r="I16" s="38">
        <v>6</v>
      </c>
      <c r="J16">
        <f t="shared" si="2"/>
        <v>3.4285714285714286E-8</v>
      </c>
      <c r="K16" s="94" t="s">
        <v>95</v>
      </c>
      <c r="L16" s="97">
        <v>0.32400000000000001</v>
      </c>
      <c r="M16" s="38">
        <v>5.7142857142857144E-9</v>
      </c>
      <c r="N16"/>
      <c r="O16"/>
      <c r="P16"/>
      <c r="Q16"/>
      <c r="R16"/>
      <c r="S16"/>
      <c r="T16" s="8"/>
      <c r="U16" s="8"/>
      <c r="V16" s="38">
        <v>4.3591899999999998E-3</v>
      </c>
      <c r="W16" s="38">
        <f>3.0413*10^-7</f>
        <v>3.0413000000000001E-7</v>
      </c>
      <c r="X16" s="39">
        <v>1.32829</v>
      </c>
      <c r="Y16" s="37">
        <f>3.78431*10^-6</f>
        <v>3.7843099999999998E-6</v>
      </c>
      <c r="Z16" s="39">
        <v>1.32829</v>
      </c>
      <c r="AA16" s="37">
        <v>3.7843099999999998E-6</v>
      </c>
      <c r="AB16" s="40">
        <f t="shared" si="14"/>
        <v>17.625545046353572</v>
      </c>
      <c r="AC16" s="41">
        <f t="shared" si="4"/>
        <v>1.246142555845775</v>
      </c>
      <c r="AD16" s="37">
        <f t="shared" si="5"/>
        <v>1.4164952170798673</v>
      </c>
      <c r="AE16" s="37">
        <f t="shared" si="6"/>
        <v>304.71027874444565</v>
      </c>
      <c r="AF16" s="38">
        <v>5.7142857142857144E-9</v>
      </c>
      <c r="AG16" s="38">
        <v>1000</v>
      </c>
      <c r="AH16" s="37">
        <v>1.3605442176870747E-12</v>
      </c>
      <c r="AI16" s="40">
        <v>0.32400000000000001</v>
      </c>
      <c r="AJ16" s="38">
        <f t="shared" si="7"/>
        <v>1.4423031508682105E-4</v>
      </c>
      <c r="AK16" s="38">
        <f t="shared" si="8"/>
        <v>1.4234089795918368E-19</v>
      </c>
      <c r="AL16" s="37">
        <f t="shared" si="12"/>
        <v>-18.846670298748741</v>
      </c>
      <c r="AM16" s="43">
        <f t="shared" si="3"/>
        <v>4.3948459513504463E-2</v>
      </c>
      <c r="AN16" s="38">
        <f t="shared" si="9"/>
        <v>4.3372734693877549E-17</v>
      </c>
      <c r="AO16" s="37">
        <f t="shared" si="13"/>
        <v>-16.362783194290753</v>
      </c>
      <c r="AP16" s="38">
        <v>5.0000000000000001E-4</v>
      </c>
      <c r="AQ16" s="38">
        <f t="shared" si="10"/>
        <v>8.8200000000000021</v>
      </c>
      <c r="AR16" s="38">
        <f t="shared" si="11"/>
        <v>304.71027874444565</v>
      </c>
    </row>
    <row r="17" spans="1:44" s="38" customFormat="1">
      <c r="A17" s="38">
        <v>350</v>
      </c>
      <c r="B17" s="38">
        <v>350</v>
      </c>
      <c r="C17" s="7">
        <f t="shared" si="0"/>
        <v>1.9999999999999999E-6</v>
      </c>
      <c r="D17" s="38">
        <v>10</v>
      </c>
      <c r="E17">
        <f t="shared" si="1"/>
        <v>57.142857142857146</v>
      </c>
      <c r="F17" s="38">
        <v>1</v>
      </c>
      <c r="G17" s="37">
        <v>2</v>
      </c>
      <c r="H17" s="38" t="s">
        <v>92</v>
      </c>
      <c r="I17" s="38">
        <v>10</v>
      </c>
      <c r="J17">
        <f t="shared" si="2"/>
        <v>5.7142857142857144E-8</v>
      </c>
      <c r="K17" s="94" t="s">
        <v>96</v>
      </c>
      <c r="L17" s="97">
        <v>0.42799999999999999</v>
      </c>
      <c r="M17" s="38">
        <v>5.7142857142857144E-9</v>
      </c>
      <c r="N17"/>
      <c r="O17"/>
      <c r="P17"/>
      <c r="Q17"/>
      <c r="R17"/>
      <c r="S17"/>
      <c r="T17" s="8"/>
      <c r="U17" s="8"/>
      <c r="V17" s="38">
        <v>6.1501500000000001E-3</v>
      </c>
      <c r="W17" s="36">
        <f>3.61773*10^-7</f>
        <v>3.6177299999999997E-7</v>
      </c>
      <c r="X17" s="39">
        <v>4.2887500000000003</v>
      </c>
      <c r="Y17" s="37">
        <f>1.221*10^-5</f>
        <v>1.2210000000000002E-5</v>
      </c>
      <c r="Z17" s="39">
        <v>4.2887500000000003</v>
      </c>
      <c r="AA17" s="37">
        <v>1.2210000000000002E-5</v>
      </c>
      <c r="AB17" s="40">
        <f t="shared" si="14"/>
        <v>47.740812443843701</v>
      </c>
      <c r="AC17" s="41">
        <f t="shared" si="4"/>
        <v>1.6788898054724928</v>
      </c>
      <c r="AD17" s="37">
        <f t="shared" si="5"/>
        <v>1.4145239099301117</v>
      </c>
      <c r="AE17" s="37">
        <f t="shared" si="6"/>
        <v>697.34071526710738</v>
      </c>
      <c r="AF17" s="38">
        <v>5.7142857142857144E-9</v>
      </c>
      <c r="AG17" s="38">
        <v>1000</v>
      </c>
      <c r="AH17" s="37">
        <v>1.3605442176870747E-12</v>
      </c>
      <c r="AI17" s="40">
        <v>0.42799999999999999</v>
      </c>
      <c r="AJ17" s="38">
        <f t="shared" si="7"/>
        <v>2.0348690291802204E-4</v>
      </c>
      <c r="AK17" s="38">
        <f t="shared" si="8"/>
        <v>2.0082122448979594E-19</v>
      </c>
      <c r="AL17" s="37">
        <f t="shared" si="12"/>
        <v>-18.697190389178008</v>
      </c>
      <c r="AM17" s="43">
        <f t="shared" si="3"/>
        <v>0.14189970242834193</v>
      </c>
      <c r="AN17" s="38">
        <f t="shared" si="9"/>
        <v>1.4004081632653066E-16</v>
      </c>
      <c r="AO17" s="37">
        <f t="shared" si="13"/>
        <v>-15.85374536630836</v>
      </c>
      <c r="AP17" s="38">
        <v>5.0000000000000001E-4</v>
      </c>
      <c r="AQ17" s="38">
        <f t="shared" si="10"/>
        <v>8.8200000000000021</v>
      </c>
      <c r="AR17" s="38">
        <f t="shared" si="11"/>
        <v>697.34071526710738</v>
      </c>
    </row>
    <row r="18" spans="1:44" s="38" customFormat="1">
      <c r="A18" s="38">
        <v>350</v>
      </c>
      <c r="B18" s="38">
        <v>350</v>
      </c>
      <c r="C18" s="7">
        <f t="shared" si="0"/>
        <v>1.9999999999999999E-6</v>
      </c>
      <c r="D18" s="38">
        <v>10</v>
      </c>
      <c r="E18">
        <f t="shared" si="1"/>
        <v>57.142857142857146</v>
      </c>
      <c r="F18" s="38">
        <v>1</v>
      </c>
      <c r="G18" s="37">
        <v>2</v>
      </c>
      <c r="H18" s="38" t="s">
        <v>92</v>
      </c>
      <c r="I18" s="38">
        <v>14</v>
      </c>
      <c r="J18">
        <f t="shared" si="2"/>
        <v>8.0000000000000002E-8</v>
      </c>
      <c r="K18" s="94" t="s">
        <v>97</v>
      </c>
      <c r="L18" s="97">
        <v>0.504</v>
      </c>
      <c r="M18" s="38">
        <v>5.7142857142857144E-9</v>
      </c>
      <c r="N18"/>
      <c r="O18"/>
      <c r="P18"/>
      <c r="Q18"/>
      <c r="R18"/>
      <c r="S18"/>
      <c r="T18" s="8"/>
      <c r="U18" s="8"/>
      <c r="V18" s="38">
        <v>6.9237099999999996E-3</v>
      </c>
      <c r="W18" s="36">
        <f>3.52*10^-7</f>
        <v>3.5199999999999998E-7</v>
      </c>
      <c r="X18" s="39">
        <v>9.35792</v>
      </c>
      <c r="Y18" s="37">
        <f>2.666*10^-5</f>
        <v>2.6660000000000002E-5</v>
      </c>
      <c r="Z18" s="39">
        <v>9.35792</v>
      </c>
      <c r="AA18" s="37">
        <v>2.6660000000000002E-5</v>
      </c>
      <c r="AB18" s="40">
        <f t="shared" si="14"/>
        <v>107.11527471115538</v>
      </c>
      <c r="AC18" s="41">
        <f t="shared" si="4"/>
        <v>2.029851405936975</v>
      </c>
      <c r="AD18" s="37">
        <f t="shared" si="5"/>
        <v>1.4142751949859973</v>
      </c>
      <c r="AE18" s="37">
        <f t="shared" si="6"/>
        <v>1351.575961442637</v>
      </c>
      <c r="AF18" s="38">
        <v>5.7142857142857144E-9</v>
      </c>
      <c r="AG18" s="38">
        <v>1000</v>
      </c>
      <c r="AH18" s="37">
        <v>1.3605442176870747E-12</v>
      </c>
      <c r="AI18" s="40">
        <v>0.504</v>
      </c>
      <c r="AJ18" s="38">
        <f t="shared" si="7"/>
        <v>2.2908129144858874E-4</v>
      </c>
      <c r="AK18" s="38">
        <f t="shared" si="8"/>
        <v>2.260803265306122E-19</v>
      </c>
      <c r="AL18" s="37">
        <f t="shared" si="12"/>
        <v>-18.645737228238172</v>
      </c>
      <c r="AM18" s="43">
        <f t="shared" si="3"/>
        <v>0.30962076673814726</v>
      </c>
      <c r="AN18" s="38">
        <f t="shared" si="9"/>
        <v>3.0556473469387751E-16</v>
      </c>
      <c r="AO18" s="37">
        <f t="shared" si="13"/>
        <v>-15.514896769244261</v>
      </c>
      <c r="AP18" s="38">
        <v>5.0000000000000001E-4</v>
      </c>
      <c r="AQ18" s="38">
        <f t="shared" si="10"/>
        <v>8.8200000000000021</v>
      </c>
      <c r="AR18" s="38">
        <f t="shared" si="11"/>
        <v>1351.575961442637</v>
      </c>
    </row>
    <row r="19" spans="1:44" s="38" customFormat="1">
      <c r="A19" s="38">
        <v>350</v>
      </c>
      <c r="B19" s="38">
        <v>350</v>
      </c>
      <c r="C19" s="7">
        <f t="shared" si="0"/>
        <v>1.9999999999999999E-6</v>
      </c>
      <c r="D19" s="38">
        <v>10</v>
      </c>
      <c r="E19">
        <f t="shared" si="1"/>
        <v>57.142857142857146</v>
      </c>
      <c r="F19" s="38">
        <v>1</v>
      </c>
      <c r="G19" s="37">
        <v>2</v>
      </c>
      <c r="H19" s="38" t="s">
        <v>92</v>
      </c>
      <c r="I19" s="38">
        <v>20</v>
      </c>
      <c r="J19">
        <f t="shared" si="2"/>
        <v>1.1428571428571429E-7</v>
      </c>
      <c r="K19" s="94" t="s">
        <v>98</v>
      </c>
      <c r="L19" s="97">
        <v>0.58699999999999997</v>
      </c>
      <c r="M19" s="38">
        <v>5.7142857142857144E-9</v>
      </c>
      <c r="N19"/>
      <c r="O19"/>
      <c r="P19"/>
      <c r="Q19"/>
      <c r="R19"/>
      <c r="S19"/>
      <c r="T19" s="8"/>
      <c r="U19" s="8"/>
      <c r="V19" s="38">
        <v>8.4730900000000008E-3</v>
      </c>
      <c r="W19" s="36">
        <f>3.58*10^-7</f>
        <v>3.58E-7</v>
      </c>
      <c r="X19" s="39">
        <v>21.2605</v>
      </c>
      <c r="Y19" s="37">
        <f>6.057*10^-5</f>
        <v>6.0570000000000011E-5</v>
      </c>
      <c r="Z19" s="39">
        <v>21.2605</v>
      </c>
      <c r="AA19" s="37">
        <v>6.0570000000000011E-5</v>
      </c>
      <c r="AB19" s="40">
        <f t="shared" si="14"/>
        <v>239.2728032856744</v>
      </c>
      <c r="AC19" s="41">
        <f t="shared" si="4"/>
        <v>2.3788933377517707</v>
      </c>
      <c r="AD19" s="37">
        <f t="shared" si="5"/>
        <v>1.4142259134269675</v>
      </c>
      <c r="AE19" s="37">
        <f t="shared" si="6"/>
        <v>2509.1790598235116</v>
      </c>
      <c r="AF19" s="38">
        <v>5.7142857142857144E-9</v>
      </c>
      <c r="AG19" s="38">
        <v>1000</v>
      </c>
      <c r="AH19" s="37">
        <v>1.3605442176870747E-12</v>
      </c>
      <c r="AI19" s="40">
        <v>0.58699999999999997</v>
      </c>
      <c r="AJ19" s="38">
        <f t="shared" si="7"/>
        <v>2.8034484398683991E-4</v>
      </c>
      <c r="AK19" s="38">
        <f t="shared" si="8"/>
        <v>2.7667232653061229E-19</v>
      </c>
      <c r="AL19" s="37">
        <f t="shared" si="12"/>
        <v>-18.558034277924779</v>
      </c>
      <c r="AM19" s="43">
        <f t="shared" si="3"/>
        <v>0.70343541206126803</v>
      </c>
      <c r="AN19" s="38">
        <f t="shared" si="9"/>
        <v>6.9422040816326537E-16</v>
      </c>
      <c r="AO19" s="37">
        <f t="shared" si="13"/>
        <v>-15.15850262341826</v>
      </c>
      <c r="AP19" s="38">
        <v>5.0000000000000001E-4</v>
      </c>
      <c r="AQ19" s="38">
        <f t="shared" si="10"/>
        <v>8.8200000000000021</v>
      </c>
      <c r="AR19" s="38">
        <f t="shared" si="11"/>
        <v>2509.1790598235116</v>
      </c>
    </row>
    <row r="20" spans="1:44" s="47" customFormat="1">
      <c r="A20" s="47">
        <v>350</v>
      </c>
      <c r="B20" s="47">
        <v>350</v>
      </c>
      <c r="C20" s="7">
        <f t="shared" si="0"/>
        <v>1.9999999999999999E-6</v>
      </c>
      <c r="D20" s="47">
        <v>10</v>
      </c>
      <c r="E20">
        <f t="shared" si="1"/>
        <v>57.142857142857146</v>
      </c>
      <c r="F20" s="47">
        <v>1</v>
      </c>
      <c r="G20" s="41">
        <v>2</v>
      </c>
      <c r="H20" s="47" t="s">
        <v>92</v>
      </c>
      <c r="I20" s="47">
        <v>26</v>
      </c>
      <c r="J20">
        <f t="shared" si="2"/>
        <v>1.4857142857142857E-7</v>
      </c>
      <c r="K20" s="95" t="s">
        <v>100</v>
      </c>
      <c r="L20" s="98">
        <v>0.64600000000000002</v>
      </c>
      <c r="M20" s="47">
        <v>5.7142857142857144E-9</v>
      </c>
      <c r="N20"/>
      <c r="O20"/>
      <c r="P20"/>
      <c r="Q20"/>
      <c r="R20"/>
      <c r="S20"/>
      <c r="T20" s="8"/>
      <c r="U20" s="8"/>
      <c r="V20" s="47">
        <v>9.9779199999999995E-3</v>
      </c>
      <c r="W20" s="47">
        <f>3.606*10^-7</f>
        <v>3.6059999999999999E-7</v>
      </c>
      <c r="X20" s="48">
        <v>38.541499999999999</v>
      </c>
      <c r="Y20" s="41">
        <v>1.0900000000000001E-4</v>
      </c>
      <c r="Z20" s="48">
        <v>38.541499999999999</v>
      </c>
      <c r="AA20" s="41">
        <v>1.0900000000000001E-4</v>
      </c>
      <c r="AB20" s="49">
        <f t="shared" si="14"/>
        <v>427.48114274052966</v>
      </c>
      <c r="AC20" s="41">
        <f t="shared" si="4"/>
        <v>2.630916961673873</v>
      </c>
      <c r="AD20" s="41">
        <f t="shared" si="5"/>
        <v>1.4142174318553666</v>
      </c>
      <c r="AE20" s="41">
        <f t="shared" si="6"/>
        <v>3862.6787947788721</v>
      </c>
      <c r="AF20" s="47">
        <v>5.7142857142857144E-9</v>
      </c>
      <c r="AG20" s="47">
        <v>1000</v>
      </c>
      <c r="AH20" s="41">
        <v>1.3605442176870747E-12</v>
      </c>
      <c r="AI20" s="49">
        <v>0.64600000000000002</v>
      </c>
      <c r="AJ20" s="47">
        <f t="shared" si="7"/>
        <v>3.3013439320403411E-4</v>
      </c>
      <c r="AK20" s="47">
        <f t="shared" si="8"/>
        <v>3.2580963265306123E-19</v>
      </c>
      <c r="AL20" s="41">
        <f t="shared" si="12"/>
        <v>-18.487036079799676</v>
      </c>
      <c r="AM20" s="50">
        <f t="shared" si="3"/>
        <v>1.2752031200564127</v>
      </c>
      <c r="AN20" s="47">
        <f t="shared" si="9"/>
        <v>1.2584979591836735E-15</v>
      </c>
      <c r="AO20" s="41">
        <f t="shared" si="13"/>
        <v>-14.900147484379415</v>
      </c>
      <c r="AP20" s="47">
        <v>5.0000000000000001E-4</v>
      </c>
      <c r="AQ20" s="47">
        <f t="shared" si="10"/>
        <v>8.8200000000000021</v>
      </c>
      <c r="AR20" s="47">
        <f t="shared" si="11"/>
        <v>3862.6787947788721</v>
      </c>
    </row>
    <row r="21" spans="1:44" s="10" customFormat="1">
      <c r="A21" s="10">
        <v>350</v>
      </c>
      <c r="B21" s="10">
        <v>350</v>
      </c>
      <c r="C21" s="7">
        <f t="shared" si="0"/>
        <v>1.9999999999999999E-6</v>
      </c>
      <c r="D21" s="10">
        <v>10</v>
      </c>
      <c r="E21">
        <f t="shared" si="1"/>
        <v>57.142857142857146</v>
      </c>
      <c r="F21" s="10">
        <v>1</v>
      </c>
      <c r="G21" s="8">
        <v>2</v>
      </c>
      <c r="H21" s="10" t="s">
        <v>15</v>
      </c>
      <c r="I21" s="10">
        <v>0</v>
      </c>
      <c r="J21">
        <f t="shared" si="2"/>
        <v>0</v>
      </c>
      <c r="K21" s="94" t="s">
        <v>83</v>
      </c>
      <c r="L21" s="97">
        <v>7.0000000000000007E-2</v>
      </c>
      <c r="M21" s="10">
        <v>5.7142857142857144E-9</v>
      </c>
      <c r="N21" s="16">
        <v>32</v>
      </c>
      <c r="O21" s="16">
        <v>1054</v>
      </c>
      <c r="P21" s="16">
        <v>1054</v>
      </c>
      <c r="Q21">
        <f t="shared" ref="Q21:Q30" si="15">N21*M21</f>
        <v>1.8285714285714286E-7</v>
      </c>
      <c r="R21">
        <f t="shared" ref="R21:R30" si="16">O21*M21</f>
        <v>6.0228571428571433E-6</v>
      </c>
      <c r="S21">
        <f t="shared" ref="S21:S30" si="17">O21*P21*M21^2</f>
        <v>3.6274808163265308E-11</v>
      </c>
      <c r="T21" s="8">
        <f t="shared" ref="T21:T30" si="18">N21*O21*M21^2</f>
        <v>1.1013224489795919E-12</v>
      </c>
      <c r="U21" s="318">
        <f>(G21+I21)*M21*10^9</f>
        <v>11.428571428571429</v>
      </c>
      <c r="V21" s="10">
        <v>3.1373399999999997E-4</v>
      </c>
      <c r="W21">
        <f>3.03613*10^-8</f>
        <v>3.0361299999999999E-8</v>
      </c>
      <c r="X21" s="27">
        <v>1.22747E-2</v>
      </c>
      <c r="Y21" s="8">
        <f>3.49706*10^-8</f>
        <v>3.4970600000000001E-8</v>
      </c>
      <c r="Z21" s="27">
        <v>1.22747E-2</v>
      </c>
      <c r="AA21" s="8">
        <v>3.4970600000000001E-8</v>
      </c>
      <c r="AB21" s="28">
        <v>2.2000000000000002</v>
      </c>
      <c r="AC21" s="9">
        <f t="shared" si="4"/>
        <v>0.34242268082220628</v>
      </c>
      <c r="AD21" s="8">
        <f t="shared" si="5"/>
        <v>1.6594464603289432</v>
      </c>
      <c r="AE21" s="8">
        <f t="shared" si="6"/>
        <v>39.124544996716963</v>
      </c>
      <c r="AF21" s="10">
        <v>5.7142857142857144E-9</v>
      </c>
      <c r="AG21" s="10">
        <v>1000</v>
      </c>
      <c r="AH21" s="10">
        <v>1.3605442176870701E-12</v>
      </c>
      <c r="AI21" s="10">
        <v>7.0000000000000007E-2</v>
      </c>
      <c r="AJ21" s="10">
        <f t="shared" si="7"/>
        <v>1.0380358202658914E-5</v>
      </c>
      <c r="AK21" s="10">
        <f t="shared" si="8"/>
        <v>1.0244375510204081E-20</v>
      </c>
      <c r="AL21" s="10">
        <f>LOG10(9.869*10^-16*AJ21)</f>
        <v>-19.989514510736544</v>
      </c>
      <c r="AM21" s="33">
        <f t="shared" si="3"/>
        <v>4.0612679158196874E-4</v>
      </c>
      <c r="AN21" s="10">
        <f t="shared" si="9"/>
        <v>4.0080653061224492E-19</v>
      </c>
      <c r="AO21" s="10">
        <f>LOG10(9.869*10^-16*AM21)</f>
        <v>-18.397065210829048</v>
      </c>
      <c r="AP21" s="10">
        <v>5.0000000000000001E-4</v>
      </c>
      <c r="AQ21" s="10">
        <f t="shared" si="10"/>
        <v>8.8200000000000625</v>
      </c>
      <c r="AR21" s="10">
        <f t="shared" si="11"/>
        <v>39.124544996716963</v>
      </c>
    </row>
    <row r="22" spans="1:44">
      <c r="A22">
        <v>350</v>
      </c>
      <c r="B22">
        <v>350</v>
      </c>
      <c r="C22" s="7">
        <f t="shared" si="0"/>
        <v>1.9999999999999999E-6</v>
      </c>
      <c r="D22">
        <v>10</v>
      </c>
      <c r="E22">
        <f t="shared" si="1"/>
        <v>57.142857142857146</v>
      </c>
      <c r="F22">
        <v>1</v>
      </c>
      <c r="G22" s="8">
        <v>2</v>
      </c>
      <c r="H22" t="s">
        <v>99</v>
      </c>
      <c r="I22">
        <v>8</v>
      </c>
      <c r="J22">
        <f t="shared" si="2"/>
        <v>4.5714285714285715E-8</v>
      </c>
      <c r="K22" s="94" t="s">
        <v>101</v>
      </c>
      <c r="L22" s="97">
        <v>0.10199999999999999</v>
      </c>
      <c r="M22">
        <v>5.7142857142857144E-9</v>
      </c>
      <c r="N22">
        <v>32</v>
      </c>
      <c r="O22">
        <v>1070</v>
      </c>
      <c r="P22">
        <f>O22</f>
        <v>1070</v>
      </c>
      <c r="Q22">
        <f t="shared" si="15"/>
        <v>1.8285714285714286E-7</v>
      </c>
      <c r="R22">
        <f t="shared" si="16"/>
        <v>6.1142857142857141E-6</v>
      </c>
      <c r="S22">
        <f t="shared" si="17"/>
        <v>3.7384489795918372E-11</v>
      </c>
      <c r="T22" s="8">
        <f t="shared" si="18"/>
        <v>1.1180408163265307E-12</v>
      </c>
      <c r="U22" s="318">
        <f t="shared" ref="U22:U30" si="19">(G22+I22)*M22*10^9</f>
        <v>57.142857142857146</v>
      </c>
      <c r="V22">
        <v>8.8603599999999994E-3</v>
      </c>
      <c r="W22" s="10">
        <f>8.574*10^-7</f>
        <v>8.5739999999999994E-7</v>
      </c>
      <c r="X22" s="27">
        <v>0.106572</v>
      </c>
      <c r="Y22" s="8">
        <f>2.99*10^-7</f>
        <v>2.9900000000000002E-7</v>
      </c>
      <c r="Z22" s="27">
        <v>0.106572</v>
      </c>
      <c r="AA22" s="8">
        <v>2.9900000000000002E-7</v>
      </c>
      <c r="AB22" s="28">
        <f t="shared" si="14"/>
        <v>1.1149992972818488</v>
      </c>
      <c r="AC22" s="9">
        <f t="shared" si="4"/>
        <v>4.7274593674124246E-2</v>
      </c>
      <c r="AD22" s="8">
        <f t="shared" si="5"/>
        <v>3.1973257441118963</v>
      </c>
      <c r="AE22" s="8">
        <f t="shared" si="6"/>
        <v>12.027953717456176</v>
      </c>
      <c r="AF22">
        <v>5.7142857142857144E-9</v>
      </c>
      <c r="AG22">
        <v>1000</v>
      </c>
      <c r="AH22" s="8">
        <v>1.3605442176870747E-12</v>
      </c>
      <c r="AI22" s="12">
        <v>0.10199999999999999</v>
      </c>
      <c r="AJ22">
        <f t="shared" si="7"/>
        <v>2.931582506343302E-4</v>
      </c>
      <c r="AK22">
        <f t="shared" si="8"/>
        <v>2.8931787755102047E-19</v>
      </c>
      <c r="AL22" s="8">
        <f t="shared" si="12"/>
        <v>-18.538624729567115</v>
      </c>
      <c r="AM22" s="31">
        <f t="shared" si="3"/>
        <v>3.5260938705201405E-3</v>
      </c>
      <c r="AN22">
        <f t="shared" si="9"/>
        <v>3.4799020408163266E-18</v>
      </c>
      <c r="AO22" s="8">
        <f t="shared" si="13"/>
        <v>-17.45843298126368</v>
      </c>
      <c r="AP22">
        <v>5.0000000000000001E-4</v>
      </c>
      <c r="AQ22">
        <f t="shared" si="10"/>
        <v>8.8200000000000021</v>
      </c>
      <c r="AR22">
        <f t="shared" si="11"/>
        <v>12.027953717456173</v>
      </c>
    </row>
    <row r="23" spans="1:44" s="284" customFormat="1">
      <c r="A23" s="286">
        <v>350</v>
      </c>
      <c r="B23" s="286">
        <v>350</v>
      </c>
      <c r="C23" s="287">
        <f t="shared" si="0"/>
        <v>1.9999999999999999E-6</v>
      </c>
      <c r="D23" s="286">
        <v>10</v>
      </c>
      <c r="E23" s="284">
        <f t="shared" si="1"/>
        <v>57.142857142857146</v>
      </c>
      <c r="F23" s="283">
        <v>1</v>
      </c>
      <c r="G23" s="288">
        <v>2</v>
      </c>
      <c r="H23" s="284" t="s">
        <v>99</v>
      </c>
      <c r="I23" s="289">
        <v>16</v>
      </c>
      <c r="J23" s="284">
        <f t="shared" si="2"/>
        <v>9.142857142857143E-8</v>
      </c>
      <c r="K23" s="290" t="s">
        <v>505</v>
      </c>
      <c r="L23" s="288">
        <v>0.13300000000000001</v>
      </c>
      <c r="M23" s="284">
        <v>5.7142857142857144E-9</v>
      </c>
      <c r="N23" s="284">
        <v>32</v>
      </c>
      <c r="O23" s="284">
        <v>1086</v>
      </c>
      <c r="P23" s="284">
        <f t="shared" ref="P23:P30" si="20">O23</f>
        <v>1086</v>
      </c>
      <c r="Q23" s="284">
        <f t="shared" si="15"/>
        <v>1.8285714285714286E-7</v>
      </c>
      <c r="R23" s="284">
        <f t="shared" si="16"/>
        <v>6.2057142857142857E-6</v>
      </c>
      <c r="S23" s="284">
        <f t="shared" si="17"/>
        <v>3.8510889795918369E-11</v>
      </c>
      <c r="T23" s="288">
        <f t="shared" si="18"/>
        <v>1.1347591836734696E-12</v>
      </c>
      <c r="U23" s="318">
        <f t="shared" si="19"/>
        <v>102.85714285714286</v>
      </c>
      <c r="V23" s="284">
        <v>5.9652499999999997E-2</v>
      </c>
      <c r="W23" s="281">
        <v>5.7728199999999997E-6</v>
      </c>
      <c r="X23" s="291">
        <v>0.29585699999999998</v>
      </c>
      <c r="Y23" s="292">
        <v>8.1803700000000001E-7</v>
      </c>
      <c r="Z23" s="291">
        <v>0.29585699999999998</v>
      </c>
      <c r="AA23" s="292">
        <v>8.1803700000000001E-7</v>
      </c>
      <c r="AB23" s="293">
        <f t="shared" si="14"/>
        <v>1.019882625143806</v>
      </c>
      <c r="AC23" s="294"/>
      <c r="AD23" s="288">
        <f t="shared" si="5"/>
        <v>7.1972280179046493</v>
      </c>
      <c r="AE23" s="288">
        <f t="shared" si="6"/>
        <v>4.9596747831188965</v>
      </c>
      <c r="AF23" s="284">
        <v>5.7142857142857144E-9</v>
      </c>
      <c r="AG23" s="284">
        <v>1000</v>
      </c>
      <c r="AH23" s="288">
        <v>1.3605442176870747E-12</v>
      </c>
      <c r="AI23" s="293">
        <v>0.13300000000000001</v>
      </c>
      <c r="AJ23" s="284">
        <f t="shared" ref="AJ23" si="21">((AF23^2)*V23*1000)/(0.9869*(10^-12))</f>
        <v>1.973692101219858E-3</v>
      </c>
      <c r="AK23" s="284">
        <f t="shared" ref="AK23" si="22">9.869*10^-16*AJ23</f>
        <v>1.9478367346938778E-18</v>
      </c>
      <c r="AL23" s="288">
        <f t="shared" ref="AL23" si="23">LOG10(9.869*10^-16*AJ23)</f>
        <v>-17.71044744796718</v>
      </c>
      <c r="AM23" s="295">
        <f t="shared" si="3"/>
        <v>9.7888709440610774E-3</v>
      </c>
      <c r="AN23" s="284">
        <f t="shared" ref="AN23" si="24">9.869*10^-16*AM23</f>
        <v>9.6606367346938761E-18</v>
      </c>
      <c r="AO23" s="288">
        <f t="shared" ref="AO23" si="25">LOG10(9.869*10^-16*AM23)</f>
        <v>-17.014994248196235</v>
      </c>
      <c r="AP23" s="284">
        <v>5.0000000000000001E-4</v>
      </c>
      <c r="AQ23" s="284">
        <f t="shared" si="10"/>
        <v>8.8200000000000021</v>
      </c>
      <c r="AR23" s="284">
        <f t="shared" si="11"/>
        <v>4.9596747831188956</v>
      </c>
    </row>
    <row r="24" spans="1:44">
      <c r="A24">
        <v>350</v>
      </c>
      <c r="B24">
        <v>350</v>
      </c>
      <c r="C24" s="7">
        <f t="shared" si="0"/>
        <v>1.9999999999999999E-6</v>
      </c>
      <c r="D24">
        <v>10</v>
      </c>
      <c r="E24">
        <f t="shared" si="1"/>
        <v>57.142857142857146</v>
      </c>
      <c r="F24">
        <v>1</v>
      </c>
      <c r="G24" s="8">
        <v>2</v>
      </c>
      <c r="H24" t="s">
        <v>99</v>
      </c>
      <c r="I24">
        <v>30</v>
      </c>
      <c r="J24">
        <f t="shared" si="2"/>
        <v>1.7142857142857143E-7</v>
      </c>
      <c r="K24" s="94" t="s">
        <v>102</v>
      </c>
      <c r="L24" s="97">
        <v>0.183</v>
      </c>
      <c r="M24">
        <v>5.7142857142857144E-9</v>
      </c>
      <c r="N24">
        <v>32</v>
      </c>
      <c r="O24">
        <v>1114</v>
      </c>
      <c r="P24">
        <f t="shared" si="20"/>
        <v>1114</v>
      </c>
      <c r="Q24">
        <f t="shared" si="15"/>
        <v>1.8285714285714286E-7</v>
      </c>
      <c r="R24">
        <f t="shared" si="16"/>
        <v>6.3657142857142859E-6</v>
      </c>
      <c r="S24">
        <f t="shared" si="17"/>
        <v>4.0522318367346942E-11</v>
      </c>
      <c r="T24" s="8">
        <f t="shared" si="18"/>
        <v>1.1640163265306123E-12</v>
      </c>
      <c r="U24" s="318">
        <f t="shared" si="19"/>
        <v>182.85714285714286</v>
      </c>
      <c r="V24">
        <v>0.45229000000000003</v>
      </c>
      <c r="W24" s="10">
        <f>4.377*10^-5</f>
        <v>4.3770000000000003E-5</v>
      </c>
      <c r="X24" s="27">
        <v>0.66708199999999995</v>
      </c>
      <c r="Y24" s="8">
        <f>1.798*10^-6</f>
        <v>1.798E-6</v>
      </c>
      <c r="Z24" s="27">
        <v>0.66708199999999995</v>
      </c>
      <c r="AA24" s="8">
        <v>1.798E-6</v>
      </c>
      <c r="AB24" s="28">
        <f t="shared" si="14"/>
        <v>1.0016860106873879</v>
      </c>
      <c r="AC24" s="9">
        <f t="shared" si="4"/>
        <v>7.3160856119779323E-4</v>
      </c>
      <c r="AD24" s="8">
        <f t="shared" si="5"/>
        <v>24.384759003218562</v>
      </c>
      <c r="AE24" s="8">
        <f t="shared" si="6"/>
        <v>1.4748988480841936</v>
      </c>
      <c r="AF24">
        <v>5.7142857142857144E-9</v>
      </c>
      <c r="AG24">
        <v>1000</v>
      </c>
      <c r="AH24" s="8">
        <v>1.3605442176870747E-12</v>
      </c>
      <c r="AI24" s="12">
        <v>0.183</v>
      </c>
      <c r="AJ24">
        <f t="shared" si="7"/>
        <v>1.4964690506864416E-2</v>
      </c>
      <c r="AK24">
        <f t="shared" si="8"/>
        <v>1.4768653061224491E-17</v>
      </c>
      <c r="AL24" s="8">
        <f t="shared" si="12"/>
        <v>-16.830659111644863</v>
      </c>
      <c r="AM24" s="31">
        <f t="shared" si="3"/>
        <v>2.2071404790510795E-2</v>
      </c>
      <c r="AN24">
        <f t="shared" si="9"/>
        <v>2.1782269387755102E-17</v>
      </c>
      <c r="AO24" s="8">
        <f t="shared" si="13"/>
        <v>-16.661896875212197</v>
      </c>
      <c r="AP24">
        <v>5.0000000000000001E-4</v>
      </c>
      <c r="AQ24">
        <f t="shared" si="10"/>
        <v>8.8200000000000021</v>
      </c>
      <c r="AR24">
        <f t="shared" si="11"/>
        <v>1.4748988480841936</v>
      </c>
    </row>
    <row r="25" spans="1:44">
      <c r="A25">
        <v>350</v>
      </c>
      <c r="B25">
        <v>350</v>
      </c>
      <c r="C25" s="7">
        <f t="shared" si="0"/>
        <v>1.9999999999999999E-6</v>
      </c>
      <c r="D25">
        <v>10</v>
      </c>
      <c r="E25">
        <f t="shared" si="1"/>
        <v>57.142857142857146</v>
      </c>
      <c r="F25">
        <v>1</v>
      </c>
      <c r="G25" s="8">
        <v>2</v>
      </c>
      <c r="H25" t="s">
        <v>99</v>
      </c>
      <c r="I25">
        <v>50</v>
      </c>
      <c r="J25">
        <f t="shared" si="2"/>
        <v>2.8571428571428575E-7</v>
      </c>
      <c r="K25" s="94" t="s">
        <v>103</v>
      </c>
      <c r="L25" s="97">
        <v>0.248</v>
      </c>
      <c r="M25">
        <v>5.7142857142857144E-9</v>
      </c>
      <c r="N25">
        <v>32</v>
      </c>
      <c r="O25">
        <v>1154</v>
      </c>
      <c r="P25">
        <f t="shared" si="20"/>
        <v>1154</v>
      </c>
      <c r="Q25">
        <f t="shared" si="15"/>
        <v>1.8285714285714286E-7</v>
      </c>
      <c r="R25">
        <f t="shared" si="16"/>
        <v>6.5942857142857146E-6</v>
      </c>
      <c r="S25">
        <f t="shared" si="17"/>
        <v>4.3484604081632655E-11</v>
      </c>
      <c r="T25" s="8">
        <f t="shared" si="18"/>
        <v>1.2058122448979592E-12</v>
      </c>
      <c r="U25" s="318">
        <f t="shared" si="19"/>
        <v>297.14285714285717</v>
      </c>
      <c r="V25">
        <v>2.6511100000000001</v>
      </c>
      <c r="W25" s="10">
        <f>0.000256</f>
        <v>2.5599999999999999E-4</v>
      </c>
      <c r="X25" s="27">
        <v>1.2206999999999999</v>
      </c>
      <c r="Y25" s="8">
        <f>3.176*10^-6</f>
        <v>3.1760000000000002E-6</v>
      </c>
      <c r="Z25" s="27">
        <v>1.2206999999999999</v>
      </c>
      <c r="AA25" s="8">
        <v>3.1760000000000002E-6</v>
      </c>
      <c r="AB25" s="28">
        <f t="shared" si="14"/>
        <v>1.0001539031959656</v>
      </c>
      <c r="AC25" s="9">
        <f t="shared" si="4"/>
        <v>6.6834165891198989E-5</v>
      </c>
      <c r="AD25" s="8">
        <f t="shared" si="5"/>
        <v>80.616939300430474</v>
      </c>
      <c r="AE25" s="8">
        <f t="shared" si="6"/>
        <v>0.46044864226682403</v>
      </c>
      <c r="AF25">
        <v>5.7142857142857144E-9</v>
      </c>
      <c r="AG25">
        <v>1000</v>
      </c>
      <c r="AH25" s="8">
        <v>1.3605442176870747E-12</v>
      </c>
      <c r="AI25" s="12">
        <v>0.248</v>
      </c>
      <c r="AJ25">
        <f t="shared" si="7"/>
        <v>8.7715935903188949E-2</v>
      </c>
      <c r="AK25">
        <f t="shared" si="8"/>
        <v>8.6566857142857172E-17</v>
      </c>
      <c r="AL25" s="8">
        <f t="shared" si="12"/>
        <v>-16.062648349495433</v>
      </c>
      <c r="AM25" s="31">
        <f t="shared" si="3"/>
        <v>4.0388683591787107E-2</v>
      </c>
      <c r="AN25">
        <f t="shared" si="9"/>
        <v>3.9859591836734695E-17</v>
      </c>
      <c r="AO25" s="8">
        <f t="shared" si="13"/>
        <v>-16.399467152799641</v>
      </c>
      <c r="AP25">
        <v>5.0000000000000001E-4</v>
      </c>
      <c r="AQ25">
        <f t="shared" si="10"/>
        <v>8.8200000000000021</v>
      </c>
      <c r="AR25">
        <f t="shared" si="11"/>
        <v>0.46044864226682397</v>
      </c>
    </row>
    <row r="26" spans="1:44" s="284" customFormat="1">
      <c r="A26" s="286">
        <v>350</v>
      </c>
      <c r="B26" s="286">
        <v>350</v>
      </c>
      <c r="C26" s="287"/>
      <c r="D26" s="286">
        <v>10</v>
      </c>
      <c r="E26" s="284">
        <f t="shared" si="1"/>
        <v>57.142857142857146</v>
      </c>
      <c r="F26" s="284">
        <v>1</v>
      </c>
      <c r="G26" s="288">
        <v>2</v>
      </c>
      <c r="H26" s="284" t="s">
        <v>99</v>
      </c>
      <c r="I26" s="289">
        <v>64</v>
      </c>
      <c r="J26" s="284">
        <f t="shared" si="2"/>
        <v>3.6571428571428572E-7</v>
      </c>
      <c r="K26" s="290" t="s">
        <v>507</v>
      </c>
      <c r="L26" s="288">
        <v>0.28999999999999998</v>
      </c>
      <c r="M26" s="284">
        <v>5.7142857142857144E-9</v>
      </c>
      <c r="N26" s="284">
        <v>32</v>
      </c>
      <c r="O26" s="284">
        <v>1182</v>
      </c>
      <c r="P26" s="284">
        <f t="shared" si="20"/>
        <v>1182</v>
      </c>
      <c r="Q26" s="284">
        <f t="shared" si="15"/>
        <v>1.8285714285714286E-7</v>
      </c>
      <c r="R26" s="284">
        <f t="shared" si="16"/>
        <v>6.7542857142857147E-6</v>
      </c>
      <c r="S26" s="284">
        <f t="shared" si="17"/>
        <v>4.5620375510204087E-11</v>
      </c>
      <c r="T26" s="288">
        <f t="shared" si="18"/>
        <v>1.2350693877551022E-12</v>
      </c>
      <c r="U26" s="318">
        <f t="shared" si="19"/>
        <v>377.14285714285717</v>
      </c>
      <c r="V26" s="284">
        <v>6.3472999999999997</v>
      </c>
      <c r="W26" s="283">
        <v>6.1425499999999997E-4</v>
      </c>
      <c r="X26" s="291">
        <v>1.62273</v>
      </c>
      <c r="Y26" s="292">
        <v>4.1220800000000002E-6</v>
      </c>
      <c r="Z26" s="291">
        <v>1.62273</v>
      </c>
      <c r="AA26" s="292">
        <v>4.1220800000000002E-6</v>
      </c>
      <c r="AB26" s="293">
        <f t="shared" si="14"/>
        <v>1.0000450324580563</v>
      </c>
      <c r="AC26" s="294" t="s">
        <v>508</v>
      </c>
      <c r="AD26" s="288">
        <f t="shared" si="5"/>
        <v>149.02249869301986</v>
      </c>
      <c r="AE26" s="288">
        <f t="shared" si="6"/>
        <v>0.25565673593496446</v>
      </c>
      <c r="AF26" s="284">
        <v>5.7142857142857144E-9</v>
      </c>
      <c r="AG26" s="284">
        <v>1000</v>
      </c>
      <c r="AH26" s="288">
        <v>1.3605442176870747E-12</v>
      </c>
      <c r="AI26" s="293">
        <v>0.28999999999999998</v>
      </c>
      <c r="AJ26" s="284">
        <f t="shared" ref="AJ26" si="26">((AF26^2)*V26*1000)/(0.9869*(10^-12))</f>
        <v>0.210009905269231</v>
      </c>
      <c r="AK26" s="284">
        <f t="shared" ref="AK26" si="27">9.869*10^-16*AJ26</f>
        <v>2.0725877551020406E-16</v>
      </c>
      <c r="AL26" s="288">
        <f t="shared" ref="AL26" si="28">LOG10(9.869*10^-16*AJ26)</f>
        <v>-15.683487071996156</v>
      </c>
      <c r="AM26" s="295">
        <f t="shared" si="3"/>
        <v>5.3690446895142706E-2</v>
      </c>
      <c r="AN26" s="284">
        <f t="shared" ref="AN26" si="29">9.869*10^-16*AM26</f>
        <v>5.2987102040816335E-17</v>
      </c>
      <c r="AO26" s="288">
        <f t="shared" ref="AO26" si="30">LOG10(9.869*10^-16*AM26)</f>
        <v>-16.275829832176523</v>
      </c>
      <c r="AP26" s="284">
        <v>5.0000000000000001E-4</v>
      </c>
      <c r="AQ26" s="284">
        <f t="shared" si="10"/>
        <v>8.8200000000000021</v>
      </c>
      <c r="AR26" s="284">
        <f t="shared" si="11"/>
        <v>0.25565673593496452</v>
      </c>
    </row>
    <row r="27" spans="1:44">
      <c r="A27">
        <v>350</v>
      </c>
      <c r="B27">
        <v>350</v>
      </c>
      <c r="C27" s="7">
        <f t="shared" ref="C27:C46" si="31">B27*AF27</f>
        <v>1.9999999999999999E-6</v>
      </c>
      <c r="D27">
        <v>10</v>
      </c>
      <c r="E27">
        <f t="shared" si="1"/>
        <v>57.142857142857146</v>
      </c>
      <c r="F27">
        <v>1</v>
      </c>
      <c r="G27" s="8">
        <v>2</v>
      </c>
      <c r="H27" t="s">
        <v>99</v>
      </c>
      <c r="I27">
        <v>80</v>
      </c>
      <c r="J27">
        <f t="shared" si="2"/>
        <v>4.5714285714285715E-7</v>
      </c>
      <c r="K27" s="94" t="s">
        <v>104</v>
      </c>
      <c r="L27" s="97">
        <v>0.33300000000000002</v>
      </c>
      <c r="M27">
        <v>5.7142857142857144E-9</v>
      </c>
      <c r="N27">
        <v>32</v>
      </c>
      <c r="O27">
        <v>1214</v>
      </c>
      <c r="P27">
        <f t="shared" si="20"/>
        <v>1214</v>
      </c>
      <c r="Q27">
        <f t="shared" si="15"/>
        <v>1.8285714285714286E-7</v>
      </c>
      <c r="R27">
        <f t="shared" si="16"/>
        <v>6.9371428571428572E-6</v>
      </c>
      <c r="S27">
        <f t="shared" si="17"/>
        <v>4.8123951020408165E-11</v>
      </c>
      <c r="T27" s="8">
        <f t="shared" si="18"/>
        <v>1.2685061224489796E-12</v>
      </c>
      <c r="U27" s="318">
        <f t="shared" si="19"/>
        <v>468.57142857142861</v>
      </c>
      <c r="V27">
        <v>14.007899999999999</v>
      </c>
      <c r="W27" s="10">
        <v>1.3500000000000001E-3</v>
      </c>
      <c r="X27" s="27">
        <v>2.0972200000000001</v>
      </c>
      <c r="Y27" s="8">
        <f>5.186*10^-6</f>
        <v>5.186E-6</v>
      </c>
      <c r="Z27" s="27">
        <v>2.0972200000000001</v>
      </c>
      <c r="AA27" s="8">
        <v>5.186E-6</v>
      </c>
      <c r="AB27" s="99">
        <f t="shared" si="14"/>
        <v>1.00001475687109</v>
      </c>
      <c r="AC27" s="9">
        <f t="shared" si="4"/>
        <v>6.4087803978802725E-6</v>
      </c>
      <c r="AD27" s="8">
        <f t="shared" si="5"/>
        <v>260.32007747319159</v>
      </c>
      <c r="AE27" s="8">
        <f t="shared" si="6"/>
        <v>0.14971694543793146</v>
      </c>
      <c r="AF27">
        <v>5.7142857142857144E-9</v>
      </c>
      <c r="AG27">
        <v>1000</v>
      </c>
      <c r="AH27" s="8">
        <v>1.3605442176870747E-12</v>
      </c>
      <c r="AI27" s="12">
        <v>0.33300000000000002</v>
      </c>
      <c r="AJ27">
        <f t="shared" si="7"/>
        <v>0.4634723035024122</v>
      </c>
      <c r="AK27">
        <f t="shared" si="8"/>
        <v>4.574008163265306E-16</v>
      </c>
      <c r="AL27" s="8">
        <f t="shared" si="12"/>
        <v>-15.339703064640089</v>
      </c>
      <c r="AM27" s="31">
        <f t="shared" si="3"/>
        <v>6.938965757546306E-2</v>
      </c>
      <c r="AN27">
        <f t="shared" si="9"/>
        <v>6.848065306122449E-17</v>
      </c>
      <c r="AO27" s="8">
        <f t="shared" si="13"/>
        <v>-16.164432106690516</v>
      </c>
      <c r="AP27">
        <v>5.0000000000000001E-4</v>
      </c>
      <c r="AQ27">
        <f t="shared" si="10"/>
        <v>8.8200000000000021</v>
      </c>
      <c r="AR27">
        <f t="shared" si="11"/>
        <v>0.14971694543793146</v>
      </c>
    </row>
    <row r="28" spans="1:44">
      <c r="A28">
        <v>350</v>
      </c>
      <c r="B28">
        <v>350</v>
      </c>
      <c r="C28" s="7">
        <f t="shared" si="31"/>
        <v>1.9999999999999999E-6</v>
      </c>
      <c r="D28">
        <v>10</v>
      </c>
      <c r="E28">
        <f t="shared" si="1"/>
        <v>57.142857142857146</v>
      </c>
      <c r="F28">
        <v>1</v>
      </c>
      <c r="G28" s="8">
        <v>2</v>
      </c>
      <c r="H28" t="s">
        <v>99</v>
      </c>
      <c r="I28">
        <v>110</v>
      </c>
      <c r="J28">
        <f t="shared" si="2"/>
        <v>6.2857142857142856E-7</v>
      </c>
      <c r="K28" s="94" t="s">
        <v>105</v>
      </c>
      <c r="L28" s="97">
        <v>0.40600000000000003</v>
      </c>
      <c r="M28">
        <v>5.7142857142857144E-9</v>
      </c>
      <c r="N28">
        <v>32</v>
      </c>
      <c r="O28">
        <v>1274</v>
      </c>
      <c r="P28">
        <f t="shared" si="20"/>
        <v>1274</v>
      </c>
      <c r="Q28">
        <f t="shared" si="15"/>
        <v>1.8285714285714286E-7</v>
      </c>
      <c r="R28">
        <f t="shared" si="16"/>
        <v>7.2799999999999998E-6</v>
      </c>
      <c r="S28">
        <f t="shared" si="17"/>
        <v>5.2998400000000005E-11</v>
      </c>
      <c r="T28" s="8">
        <f t="shared" si="18"/>
        <v>1.3312000000000002E-12</v>
      </c>
      <c r="U28" s="318">
        <f t="shared" si="19"/>
        <v>640</v>
      </c>
      <c r="V28">
        <v>42.9833</v>
      </c>
      <c r="W28" s="10">
        <v>4.1596699999999999E-3</v>
      </c>
      <c r="X28" s="27">
        <v>3.03268</v>
      </c>
      <c r="Y28" s="8">
        <f>7.146*10^-6</f>
        <v>7.1459999999999999E-6</v>
      </c>
      <c r="Z28" s="27">
        <v>3.03268</v>
      </c>
      <c r="AA28" s="8">
        <v>7.1459999999999999E-6</v>
      </c>
      <c r="AB28" s="28">
        <f t="shared" si="14"/>
        <v>1.0000029512610547</v>
      </c>
      <c r="AC28" s="9">
        <f t="shared" si="4"/>
        <v>1.2817144993548559E-6</v>
      </c>
      <c r="AD28" s="8">
        <f t="shared" si="5"/>
        <v>582.09939494431444</v>
      </c>
      <c r="AE28" s="8">
        <f t="shared" si="6"/>
        <v>7.0554843392666461E-2</v>
      </c>
      <c r="AF28">
        <v>5.7142857142857144E-9</v>
      </c>
      <c r="AG28">
        <v>1000</v>
      </c>
      <c r="AH28" s="8">
        <v>1.3605442176870747E-12</v>
      </c>
      <c r="AI28" s="12">
        <v>0.40600000000000003</v>
      </c>
      <c r="AJ28">
        <f t="shared" si="7"/>
        <v>1.4221667104373417</v>
      </c>
      <c r="AK28">
        <f t="shared" si="8"/>
        <v>1.4035363265306124E-15</v>
      </c>
      <c r="AL28" s="8">
        <f t="shared" si="12"/>
        <v>-14.852776342411355</v>
      </c>
      <c r="AM28" s="31">
        <f t="shared" si="3"/>
        <v>0.10034074953317025</v>
      </c>
      <c r="AN28">
        <f t="shared" si="9"/>
        <v>9.9026285714285712E-17</v>
      </c>
      <c r="AO28" s="8">
        <f t="shared" si="13"/>
        <v>-16.004249510196129</v>
      </c>
      <c r="AP28">
        <v>5.0000000000000001E-4</v>
      </c>
      <c r="AQ28">
        <f t="shared" si="10"/>
        <v>8.8200000000000021</v>
      </c>
      <c r="AR28">
        <f t="shared" si="11"/>
        <v>7.0554843392666447E-2</v>
      </c>
    </row>
    <row r="29" spans="1:44">
      <c r="A29">
        <v>350</v>
      </c>
      <c r="B29">
        <v>350</v>
      </c>
      <c r="C29" s="7">
        <f t="shared" si="31"/>
        <v>1.9999999999999999E-6</v>
      </c>
      <c r="D29">
        <v>10</v>
      </c>
      <c r="E29">
        <f t="shared" si="1"/>
        <v>57.142857142857146</v>
      </c>
      <c r="F29">
        <v>1</v>
      </c>
      <c r="G29" s="8">
        <v>2</v>
      </c>
      <c r="H29" t="s">
        <v>99</v>
      </c>
      <c r="I29">
        <v>150</v>
      </c>
      <c r="J29">
        <f t="shared" si="2"/>
        <v>8.5714285714285713E-7</v>
      </c>
      <c r="K29" s="94" t="s">
        <v>106</v>
      </c>
      <c r="L29" s="97">
        <v>0.48599999999999999</v>
      </c>
      <c r="M29">
        <v>5.7142857142857144E-9</v>
      </c>
      <c r="N29">
        <v>32</v>
      </c>
      <c r="O29">
        <v>1354</v>
      </c>
      <c r="P29">
        <f t="shared" si="20"/>
        <v>1354</v>
      </c>
      <c r="Q29">
        <f t="shared" si="15"/>
        <v>1.8285714285714286E-7</v>
      </c>
      <c r="R29">
        <f t="shared" si="16"/>
        <v>7.7371428571428571E-6</v>
      </c>
      <c r="S29">
        <f t="shared" si="17"/>
        <v>5.9863379591836735E-11</v>
      </c>
      <c r="T29" s="8">
        <f t="shared" si="18"/>
        <v>1.4147918367346941E-12</v>
      </c>
      <c r="U29" s="318">
        <f t="shared" si="19"/>
        <v>868.57142857142856</v>
      </c>
      <c r="V29">
        <v>122.867</v>
      </c>
      <c r="W29" s="10">
        <v>1.189E-2</v>
      </c>
      <c r="X29" s="27">
        <v>4.3826000000000001</v>
      </c>
      <c r="Y29" s="8">
        <f>9.717*10^-6</f>
        <v>9.7170000000000003E-6</v>
      </c>
      <c r="Z29" s="27">
        <v>4.3826000000000001</v>
      </c>
      <c r="AA29" s="8">
        <v>9.7170000000000003E-6</v>
      </c>
      <c r="AB29" s="28">
        <f t="shared" si="14"/>
        <v>1.0000006678832489</v>
      </c>
      <c r="AC29" s="9">
        <f t="shared" si="4"/>
        <v>2.9005791270272975E-7</v>
      </c>
      <c r="AD29" s="8">
        <f t="shared" si="5"/>
        <v>1223.6295092242285</v>
      </c>
      <c r="AE29" s="8">
        <f t="shared" si="6"/>
        <v>3.5669463729072898E-2</v>
      </c>
      <c r="AF29">
        <v>5.7142857142857144E-9</v>
      </c>
      <c r="AG29">
        <v>1000</v>
      </c>
      <c r="AH29" s="8">
        <v>1.3605442176870747E-12</v>
      </c>
      <c r="AI29" s="12">
        <v>0.48599999999999999</v>
      </c>
      <c r="AJ29">
        <f t="shared" si="7"/>
        <v>4.065238295135666</v>
      </c>
      <c r="AK29">
        <f t="shared" si="8"/>
        <v>4.0119836734693885E-15</v>
      </c>
      <c r="AL29" s="8">
        <f t="shared" si="12"/>
        <v>-14.396640842983768</v>
      </c>
      <c r="AM29" s="31">
        <f t="shared" si="3"/>
        <v>0.14500486991837977</v>
      </c>
      <c r="AN29">
        <f t="shared" si="9"/>
        <v>1.4310530612244899E-16</v>
      </c>
      <c r="AO29" s="8">
        <f t="shared" si="13"/>
        <v>-15.84434426297693</v>
      </c>
      <c r="AP29">
        <v>5.0000000000000001E-4</v>
      </c>
      <c r="AQ29">
        <f t="shared" si="10"/>
        <v>8.8200000000000021</v>
      </c>
      <c r="AR29">
        <f t="shared" si="11"/>
        <v>3.5669463729072898E-2</v>
      </c>
    </row>
    <row r="30" spans="1:44" s="7" customFormat="1">
      <c r="A30" s="7">
        <v>350</v>
      </c>
      <c r="B30" s="7">
        <v>350</v>
      </c>
      <c r="C30" s="7">
        <f t="shared" si="31"/>
        <v>1.9999999999999999E-6</v>
      </c>
      <c r="D30" s="7">
        <v>10</v>
      </c>
      <c r="E30">
        <f t="shared" si="1"/>
        <v>57.142857142857146</v>
      </c>
      <c r="F30" s="7">
        <v>1</v>
      </c>
      <c r="G30" s="9">
        <v>2</v>
      </c>
      <c r="H30" s="7" t="s">
        <v>99</v>
      </c>
      <c r="I30" s="7">
        <v>200</v>
      </c>
      <c r="J30" s="7">
        <f t="shared" si="2"/>
        <v>1.142857142857143E-6</v>
      </c>
      <c r="K30" s="95" t="s">
        <v>107</v>
      </c>
      <c r="L30" s="98">
        <v>0.56699999999999995</v>
      </c>
      <c r="M30" s="7">
        <v>5.7142857142857144E-9</v>
      </c>
      <c r="N30">
        <v>32</v>
      </c>
      <c r="O30">
        <v>1454</v>
      </c>
      <c r="P30">
        <f t="shared" si="20"/>
        <v>1454</v>
      </c>
      <c r="Q30">
        <f t="shared" si="15"/>
        <v>1.8285714285714286E-7</v>
      </c>
      <c r="R30">
        <f t="shared" si="16"/>
        <v>8.3085714285714284E-6</v>
      </c>
      <c r="S30">
        <f t="shared" si="17"/>
        <v>6.9032359183673482E-11</v>
      </c>
      <c r="T30" s="8">
        <f t="shared" si="18"/>
        <v>1.5192816326530614E-12</v>
      </c>
      <c r="U30" s="318">
        <f t="shared" si="19"/>
        <v>1154.2857142857144</v>
      </c>
      <c r="V30" s="7">
        <v>293.83300000000003</v>
      </c>
      <c r="W30" s="7">
        <v>2.843E-2</v>
      </c>
      <c r="X30" s="23">
        <v>6.2769000000000004</v>
      </c>
      <c r="Y30" s="9">
        <f>1.296*10^-5</f>
        <v>1.2960000000000001E-5</v>
      </c>
      <c r="Z30" s="23">
        <v>6.2769000000000004</v>
      </c>
      <c r="AA30" s="9">
        <v>1.2960000000000001E-5</v>
      </c>
      <c r="AB30" s="29">
        <f t="shared" si="14"/>
        <v>1.0000002078051176</v>
      </c>
      <c r="AC30" s="9">
        <f t="shared" si="4"/>
        <v>9.0248606489645649E-8</v>
      </c>
      <c r="AD30" s="9">
        <f t="shared" si="5"/>
        <v>2193.6732953626151</v>
      </c>
      <c r="AE30" s="9">
        <f t="shared" si="6"/>
        <v>2.1362134273549941E-2</v>
      </c>
      <c r="AF30" s="7">
        <v>5.7142857142857144E-9</v>
      </c>
      <c r="AG30" s="7">
        <v>1000</v>
      </c>
      <c r="AH30" s="9">
        <v>1.3605442176870747E-12</v>
      </c>
      <c r="AI30" s="11">
        <v>0.56699999999999995</v>
      </c>
      <c r="AJ30" s="7">
        <f t="shared" si="7"/>
        <v>9.7219038795982495</v>
      </c>
      <c r="AK30" s="7">
        <f t="shared" si="8"/>
        <v>9.5945469387755114E-15</v>
      </c>
      <c r="AL30" s="9">
        <f t="shared" si="12"/>
        <v>-14.017975528133856</v>
      </c>
      <c r="AM30" s="32">
        <f t="shared" si="3"/>
        <v>0.2076806160705239</v>
      </c>
      <c r="AN30" s="7">
        <f t="shared" si="9"/>
        <v>2.0496000000000003E-16</v>
      </c>
      <c r="AO30" s="9">
        <f t="shared" si="13"/>
        <v>-15.688330887599388</v>
      </c>
      <c r="AP30" s="7">
        <v>5.0000000000000001E-4</v>
      </c>
      <c r="AQ30" s="7">
        <f t="shared" si="10"/>
        <v>8.8200000000000021</v>
      </c>
      <c r="AR30" s="7">
        <f t="shared" si="11"/>
        <v>2.1362134273549941E-2</v>
      </c>
    </row>
    <row r="31" spans="1:44" s="7" customFormat="1">
      <c r="A31" s="7">
        <v>350</v>
      </c>
      <c r="B31" s="7">
        <v>350</v>
      </c>
      <c r="C31" s="7">
        <f t="shared" si="31"/>
        <v>1.9999999999999999E-6</v>
      </c>
      <c r="D31" s="7">
        <v>10</v>
      </c>
      <c r="E31">
        <f t="shared" si="1"/>
        <v>57.142857142857146</v>
      </c>
      <c r="F31" s="7">
        <v>1</v>
      </c>
      <c r="G31" s="9">
        <v>2</v>
      </c>
      <c r="H31" s="7" t="s">
        <v>99</v>
      </c>
      <c r="I31" s="7">
        <v>280</v>
      </c>
      <c r="J31">
        <f t="shared" si="2"/>
        <v>1.5999999999999999E-6</v>
      </c>
      <c r="K31" s="95" t="s">
        <v>125</v>
      </c>
      <c r="L31" s="98">
        <v>0.66400000000000003</v>
      </c>
      <c r="M31" s="7">
        <v>5.7142857142857144E-9</v>
      </c>
      <c r="N31"/>
      <c r="O31"/>
      <c r="P31"/>
      <c r="Q31"/>
      <c r="R31"/>
      <c r="S31"/>
      <c r="T31" s="8"/>
      <c r="U31" s="8"/>
      <c r="V31" s="7">
        <v>679.87400000000002</v>
      </c>
      <c r="W31" s="7">
        <v>6.5790000000000001E-2</v>
      </c>
      <c r="X31" s="23">
        <v>10.230700000000001</v>
      </c>
      <c r="Y31" s="9">
        <f>1.9027*10^-5</f>
        <v>1.9027000000000003E-5</v>
      </c>
      <c r="Z31" s="23">
        <v>10.230700000000001</v>
      </c>
      <c r="AA31" s="9">
        <v>1.9027000000000003E-5</v>
      </c>
      <c r="AB31" s="29">
        <f t="shared" si="14"/>
        <v>1.0000000836413137</v>
      </c>
      <c r="AC31" s="9">
        <f t="shared" si="4"/>
        <v>3.6324959459461951E-8</v>
      </c>
      <c r="AD31" s="9">
        <f t="shared" si="5"/>
        <v>3457.7182689211131</v>
      </c>
      <c r="AE31" s="9">
        <f t="shared" si="6"/>
        <v>1.5047935352727124E-2</v>
      </c>
      <c r="AF31" s="7">
        <v>5.7142857142857144E-9</v>
      </c>
      <c r="AG31" s="7">
        <v>1000</v>
      </c>
      <c r="AH31" s="9">
        <v>1.3605442176870747E-12</v>
      </c>
      <c r="AI31" s="11">
        <v>0.66400000000000003</v>
      </c>
      <c r="AJ31" s="7">
        <f t="shared" si="7"/>
        <v>22.494647225594061</v>
      </c>
      <c r="AK31" s="7">
        <f t="shared" si="8"/>
        <v>2.2199967346938779E-14</v>
      </c>
      <c r="AL31" s="9">
        <f t="shared" si="12"/>
        <v>-13.65364766433561</v>
      </c>
      <c r="AM31" s="32">
        <f t="shared" si="3"/>
        <v>0.33849799723314195</v>
      </c>
      <c r="AN31" s="7">
        <f t="shared" si="9"/>
        <v>3.3406367346938776E-16</v>
      </c>
      <c r="AO31" s="9">
        <f t="shared" si="13"/>
        <v>-15.476170747557124</v>
      </c>
      <c r="AP31" s="7">
        <v>5.0000000000000001E-4</v>
      </c>
      <c r="AQ31" s="7">
        <f t="shared" si="10"/>
        <v>8.8200000000000021</v>
      </c>
      <c r="AR31" s="7">
        <f t="shared" si="11"/>
        <v>1.5047935352727122E-2</v>
      </c>
    </row>
    <row r="32" spans="1:44" s="36" customFormat="1">
      <c r="A32" s="36">
        <v>350</v>
      </c>
      <c r="B32" s="36">
        <v>350</v>
      </c>
      <c r="C32" s="7">
        <f t="shared" si="31"/>
        <v>1.9999999999999999E-6</v>
      </c>
      <c r="D32" s="36">
        <v>10</v>
      </c>
      <c r="E32">
        <f t="shared" si="1"/>
        <v>57.142857142857146</v>
      </c>
      <c r="F32" s="36">
        <v>1</v>
      </c>
      <c r="G32" s="37">
        <v>2</v>
      </c>
      <c r="H32" s="36" t="s">
        <v>15</v>
      </c>
      <c r="I32" s="36">
        <v>0</v>
      </c>
      <c r="J32">
        <f t="shared" si="2"/>
        <v>0</v>
      </c>
      <c r="K32" s="94" t="s">
        <v>83</v>
      </c>
      <c r="L32" s="97">
        <v>7.0000000000000007E-2</v>
      </c>
      <c r="M32" s="36">
        <v>5.7142857142857144E-9</v>
      </c>
      <c r="N32"/>
      <c r="O32"/>
      <c r="P32"/>
      <c r="Q32"/>
      <c r="R32"/>
      <c r="S32"/>
      <c r="T32" s="8"/>
      <c r="U32" s="8"/>
      <c r="V32" s="36">
        <v>3.1373399999999997E-4</v>
      </c>
      <c r="W32" s="38">
        <f>3.03613*10^-8</f>
        <v>3.0361299999999999E-8</v>
      </c>
      <c r="X32" s="39">
        <v>1.22747E-2</v>
      </c>
      <c r="Y32" s="37">
        <f>3.49706*10^-8</f>
        <v>3.4970600000000001E-8</v>
      </c>
      <c r="Z32" s="39">
        <v>1.22747E-2</v>
      </c>
      <c r="AA32" s="37">
        <v>3.4970600000000001E-8</v>
      </c>
      <c r="AB32" s="40">
        <v>2.1</v>
      </c>
      <c r="AC32" s="41">
        <f t="shared" si="4"/>
        <v>0.3222192947339193</v>
      </c>
      <c r="AD32" s="37">
        <f t="shared" si="5"/>
        <v>1.6594464603289432</v>
      </c>
      <c r="AE32" s="37">
        <f t="shared" si="6"/>
        <v>39.124544996716963</v>
      </c>
      <c r="AF32" s="36">
        <v>5.7142857142857144E-9</v>
      </c>
      <c r="AG32" s="36">
        <v>1000</v>
      </c>
      <c r="AH32" s="36">
        <v>1.3605442176870701E-12</v>
      </c>
      <c r="AI32" s="36">
        <v>7.0000000000000007E-2</v>
      </c>
      <c r="AJ32" s="36">
        <f t="shared" si="7"/>
        <v>1.0380358202658914E-5</v>
      </c>
      <c r="AK32" s="36">
        <f t="shared" si="8"/>
        <v>1.0244375510204081E-20</v>
      </c>
      <c r="AL32" s="36">
        <f>LOG10(9.869*10^-16*AJ32)</f>
        <v>-19.989514510736544</v>
      </c>
      <c r="AM32" s="42">
        <f t="shared" si="3"/>
        <v>4.0612679158196874E-4</v>
      </c>
      <c r="AN32" s="36">
        <f t="shared" si="9"/>
        <v>4.0080653061224492E-19</v>
      </c>
      <c r="AO32" s="36">
        <f>LOG10(9.869*10^-16*AM32)</f>
        <v>-18.397065210829048</v>
      </c>
      <c r="AP32" s="36">
        <v>5.0000000000000001E-4</v>
      </c>
      <c r="AQ32" s="36">
        <f t="shared" si="10"/>
        <v>8.8200000000000625</v>
      </c>
      <c r="AR32" s="36">
        <f t="shared" si="11"/>
        <v>39.124544996716963</v>
      </c>
    </row>
    <row r="33" spans="1:44" s="38" customFormat="1">
      <c r="A33" s="38">
        <v>350</v>
      </c>
      <c r="B33" s="38">
        <v>350</v>
      </c>
      <c r="C33" s="7">
        <f t="shared" si="31"/>
        <v>1.9999999999999999E-6</v>
      </c>
      <c r="D33" s="38">
        <v>10</v>
      </c>
      <c r="E33">
        <f t="shared" si="1"/>
        <v>57.142857142857146</v>
      </c>
      <c r="F33" s="38">
        <v>1</v>
      </c>
      <c r="G33" s="37">
        <v>2</v>
      </c>
      <c r="H33" s="38" t="s">
        <v>128</v>
      </c>
      <c r="I33" s="38">
        <v>4</v>
      </c>
      <c r="J33">
        <f t="shared" si="2"/>
        <v>2.2857142857142858E-8</v>
      </c>
      <c r="K33" s="94" t="s">
        <v>93</v>
      </c>
      <c r="L33" s="97">
        <v>0.17399999999999999</v>
      </c>
      <c r="M33" s="38">
        <v>5.7142857142857144E-9</v>
      </c>
      <c r="N33"/>
      <c r="O33"/>
      <c r="P33"/>
      <c r="Q33"/>
      <c r="R33"/>
      <c r="S33"/>
      <c r="T33" s="8"/>
      <c r="U33" s="8"/>
      <c r="V33" s="38">
        <v>6.9490000000000003E-4</v>
      </c>
      <c r="W33" s="36">
        <f>5.9569*10^-8</f>
        <v>5.9569000000000002E-8</v>
      </c>
      <c r="X33" s="39">
        <v>0.30839299999999997</v>
      </c>
      <c r="Y33" s="37">
        <f>8.78613*10^-7</f>
        <v>8.7861299999999998E-7</v>
      </c>
      <c r="Z33" s="39">
        <v>0.30839299999999997</v>
      </c>
      <c r="AA33" s="37">
        <v>8.7861299999999998E-7</v>
      </c>
      <c r="AB33" s="40">
        <f t="shared" si="14"/>
        <v>20.882900532955187</v>
      </c>
      <c r="AC33" s="41">
        <f t="shared" si="4"/>
        <v>1.3197908199035429</v>
      </c>
      <c r="AD33" s="37">
        <f t="shared" si="5"/>
        <v>1.4158378055498924</v>
      </c>
      <c r="AE33" s="37">
        <f t="shared" si="6"/>
        <v>443.79479061735498</v>
      </c>
      <c r="AF33" s="38">
        <v>5.7142857142857144E-9</v>
      </c>
      <c r="AG33" s="38">
        <v>1000</v>
      </c>
      <c r="AH33" s="37">
        <v>1.3605442176870747E-12</v>
      </c>
      <c r="AI33" s="40">
        <v>0.17399999999999999</v>
      </c>
      <c r="AJ33" s="38">
        <f t="shared" si="7"/>
        <v>2.2991804888943118E-5</v>
      </c>
      <c r="AK33" s="38">
        <f t="shared" si="8"/>
        <v>2.2690612244897961E-20</v>
      </c>
      <c r="AL33" s="37">
        <f t="shared" si="12"/>
        <v>-19.644153785693138</v>
      </c>
      <c r="AM33" s="43">
        <f t="shared" si="3"/>
        <v>1.0203643236603589E-2</v>
      </c>
      <c r="AN33" s="38">
        <f t="shared" si="9"/>
        <v>1.0069975510204082E-17</v>
      </c>
      <c r="AO33" s="37">
        <f t="shared" si="13"/>
        <v>-16.996971585632693</v>
      </c>
      <c r="AP33" s="38">
        <v>5.0000000000000001E-4</v>
      </c>
      <c r="AQ33" s="38">
        <f t="shared" si="10"/>
        <v>8.8200000000000021</v>
      </c>
      <c r="AR33" s="38">
        <f t="shared" si="11"/>
        <v>443.79479061735498</v>
      </c>
    </row>
    <row r="34" spans="1:44" s="38" customFormat="1">
      <c r="A34" s="38">
        <v>350</v>
      </c>
      <c r="B34" s="38">
        <v>350</v>
      </c>
      <c r="C34" s="7">
        <f t="shared" si="31"/>
        <v>1.9999999999999999E-6</v>
      </c>
      <c r="D34" s="38">
        <v>10</v>
      </c>
      <c r="E34">
        <f t="shared" si="1"/>
        <v>57.142857142857146</v>
      </c>
      <c r="F34" s="38">
        <v>1</v>
      </c>
      <c r="G34" s="37">
        <v>2</v>
      </c>
      <c r="H34" s="38" t="s">
        <v>128</v>
      </c>
      <c r="I34" s="38">
        <v>8</v>
      </c>
      <c r="J34">
        <f t="shared" si="2"/>
        <v>4.5714285714285715E-8</v>
      </c>
      <c r="K34" s="94" t="s">
        <v>94</v>
      </c>
      <c r="L34" s="97">
        <v>0.25600000000000001</v>
      </c>
      <c r="M34" s="38">
        <v>5.7142857142857144E-9</v>
      </c>
      <c r="N34"/>
      <c r="O34"/>
      <c r="P34"/>
      <c r="Q34"/>
      <c r="R34"/>
      <c r="S34"/>
      <c r="T34" s="8"/>
      <c r="U34" s="8"/>
      <c r="V34" s="38">
        <v>9.0643500000000003E-4</v>
      </c>
      <c r="W34" s="36">
        <f>6.97258*10^-8</f>
        <v>6.9725800000000001E-8</v>
      </c>
      <c r="X34" s="39">
        <v>1.54111</v>
      </c>
      <c r="Y34" s="37">
        <f>4.39063*10^-6</f>
        <v>4.3906299999999995E-6</v>
      </c>
      <c r="Z34" s="39">
        <v>1.54111</v>
      </c>
      <c r="AA34" s="37">
        <v>4.3906299999999995E-6</v>
      </c>
      <c r="AB34" s="40">
        <f t="shared" si="14"/>
        <v>89.058568938154139</v>
      </c>
      <c r="AC34" s="41">
        <f t="shared" si="4"/>
        <v>1.9496757122722277</v>
      </c>
      <c r="AD34" s="37">
        <f t="shared" si="5"/>
        <v>1.4143027233148655</v>
      </c>
      <c r="AE34" s="37">
        <f t="shared" si="6"/>
        <v>1700.1880995327849</v>
      </c>
      <c r="AF34" s="38">
        <v>5.7142857142857144E-9</v>
      </c>
      <c r="AG34" s="38">
        <v>1000</v>
      </c>
      <c r="AH34" s="37">
        <v>1.3605442176870747E-12</v>
      </c>
      <c r="AI34" s="40">
        <v>0.25600000000000001</v>
      </c>
      <c r="AJ34" s="38">
        <f t="shared" si="7"/>
        <v>2.9990756460654996E-5</v>
      </c>
      <c r="AK34" s="38">
        <f t="shared" si="8"/>
        <v>2.9597877551020412E-20</v>
      </c>
      <c r="AL34" s="37">
        <f t="shared" si="12"/>
        <v>-19.528739430864334</v>
      </c>
      <c r="AM34" s="43">
        <f t="shared" si="3"/>
        <v>5.0989927230391606E-2</v>
      </c>
      <c r="AN34" s="38">
        <f t="shared" si="9"/>
        <v>5.0321959183673474E-17</v>
      </c>
      <c r="AO34" s="37">
        <f t="shared" si="13"/>
        <v>-16.29824245885661</v>
      </c>
      <c r="AP34" s="38">
        <v>5.0000000000000001E-4</v>
      </c>
      <c r="AQ34" s="38">
        <f t="shared" si="10"/>
        <v>8.8200000000000021</v>
      </c>
      <c r="AR34" s="38">
        <f t="shared" si="11"/>
        <v>1700.1880995327849</v>
      </c>
    </row>
    <row r="35" spans="1:44" s="38" customFormat="1">
      <c r="A35" s="38">
        <v>350</v>
      </c>
      <c r="B35" s="38">
        <v>350</v>
      </c>
      <c r="C35" s="7">
        <f t="shared" si="31"/>
        <v>1.9999999999999999E-6</v>
      </c>
      <c r="D35" s="38">
        <v>10</v>
      </c>
      <c r="E35">
        <f t="shared" si="1"/>
        <v>57.142857142857146</v>
      </c>
      <c r="F35" s="38">
        <v>1</v>
      </c>
      <c r="G35" s="37">
        <v>2</v>
      </c>
      <c r="H35" s="38" t="s">
        <v>128</v>
      </c>
      <c r="I35" s="38">
        <v>14</v>
      </c>
      <c r="J35">
        <f t="shared" ref="J35:J52" si="32">AF35*I35</f>
        <v>8.0000000000000002E-8</v>
      </c>
      <c r="K35" s="94" t="s">
        <v>129</v>
      </c>
      <c r="L35" s="97">
        <v>0.35299999999999998</v>
      </c>
      <c r="M35" s="38">
        <v>5.7142857142857144E-9</v>
      </c>
      <c r="N35"/>
      <c r="O35"/>
      <c r="P35"/>
      <c r="Q35"/>
      <c r="R35"/>
      <c r="S35"/>
      <c r="T35" s="8"/>
      <c r="U35" s="8"/>
      <c r="V35" s="38">
        <v>1.3154900000000001E-3</v>
      </c>
      <c r="W35" s="36">
        <f>8.769*10^-8</f>
        <v>8.769E-8</v>
      </c>
      <c r="X35" s="39">
        <v>6.1072899999999999</v>
      </c>
      <c r="Y35" s="37">
        <f>1.73997*10^-5</f>
        <v>1.7399700000000002E-5</v>
      </c>
      <c r="Z35" s="39">
        <v>6.1072899999999999</v>
      </c>
      <c r="AA35" s="37">
        <v>1.7399700000000002E-5</v>
      </c>
      <c r="AB35" s="40">
        <f t="shared" si="14"/>
        <v>280.61407193908383</v>
      </c>
      <c r="AC35" s="41">
        <f t="shared" si="4"/>
        <v>2.44810944578093</v>
      </c>
      <c r="AD35" s="37">
        <f t="shared" si="5"/>
        <v>1.4142225422471799</v>
      </c>
      <c r="AE35" s="37">
        <f t="shared" si="6"/>
        <v>4642.5970550897382</v>
      </c>
      <c r="AF35" s="38">
        <v>5.7142857142857144E-9</v>
      </c>
      <c r="AG35" s="38">
        <v>1000</v>
      </c>
      <c r="AH35" s="37">
        <v>1.3605442176870747E-12</v>
      </c>
      <c r="AI35" s="40">
        <v>0.35299999999999998</v>
      </c>
      <c r="AJ35" s="38">
        <f t="shared" si="7"/>
        <v>4.3524952386466808E-5</v>
      </c>
      <c r="AK35" s="38">
        <f t="shared" si="8"/>
        <v>4.2954775510204089E-20</v>
      </c>
      <c r="AL35" s="37">
        <f t="shared" si="12"/>
        <v>-19.366988546327779</v>
      </c>
      <c r="AM35" s="43">
        <f t="shared" si="3"/>
        <v>0.20206881577233188</v>
      </c>
      <c r="AN35" s="38">
        <f t="shared" si="9"/>
        <v>1.9942171428571431E-16</v>
      </c>
      <c r="AO35" s="37">
        <f t="shared" si="13"/>
        <v>-15.7002275547454</v>
      </c>
      <c r="AP35" s="38">
        <v>5.0000000000000001E-4</v>
      </c>
      <c r="AQ35" s="38">
        <f t="shared" si="10"/>
        <v>8.8200000000000021</v>
      </c>
      <c r="AR35" s="38">
        <f t="shared" si="11"/>
        <v>4642.5970550897382</v>
      </c>
    </row>
    <row r="36" spans="1:44" s="38" customFormat="1">
      <c r="A36" s="38">
        <v>350</v>
      </c>
      <c r="B36" s="38">
        <v>350</v>
      </c>
      <c r="C36" s="7">
        <f t="shared" si="31"/>
        <v>1.9999999999999999E-6</v>
      </c>
      <c r="D36" s="38">
        <v>10</v>
      </c>
      <c r="E36">
        <f t="shared" si="1"/>
        <v>57.142857142857146</v>
      </c>
      <c r="F36" s="38">
        <v>1</v>
      </c>
      <c r="G36" s="37">
        <v>2</v>
      </c>
      <c r="H36" s="38" t="s">
        <v>128</v>
      </c>
      <c r="I36" s="38">
        <v>20</v>
      </c>
      <c r="J36">
        <f t="shared" si="32"/>
        <v>1.1428571428571429E-7</v>
      </c>
      <c r="K36" s="94" t="s">
        <v>96</v>
      </c>
      <c r="L36" s="97">
        <v>0.42799999999999999</v>
      </c>
      <c r="M36" s="38">
        <v>5.7142857142857144E-9</v>
      </c>
      <c r="N36"/>
      <c r="O36"/>
      <c r="P36"/>
      <c r="Q36"/>
      <c r="R36"/>
      <c r="S36"/>
      <c r="T36" s="8"/>
      <c r="U36" s="8"/>
      <c r="V36" s="38">
        <v>1.77089E-3</v>
      </c>
      <c r="W36" s="36">
        <f>1.0417*10^-7</f>
        <v>1.0417E-7</v>
      </c>
      <c r="X36" s="39">
        <v>14.7226</v>
      </c>
      <c r="Y36" s="37">
        <f>4.19447*10^-5</f>
        <v>4.1944700000000005E-5</v>
      </c>
      <c r="Z36" s="39">
        <v>14.7226</v>
      </c>
      <c r="AA36" s="37">
        <v>4.1944700000000005E-5</v>
      </c>
      <c r="AB36" s="40">
        <f t="shared" si="14"/>
        <v>569.44278656378083</v>
      </c>
      <c r="AC36" s="41">
        <f t="shared" si="4"/>
        <v>2.7554500958815895</v>
      </c>
      <c r="AD36" s="37">
        <f t="shared" si="5"/>
        <v>1.4142157430223374</v>
      </c>
      <c r="AE36" s="37">
        <f t="shared" si="6"/>
        <v>8313.6727860002593</v>
      </c>
      <c r="AF36" s="38">
        <v>5.7142857142857144E-9</v>
      </c>
      <c r="AG36" s="38">
        <v>1000</v>
      </c>
      <c r="AH36" s="37">
        <v>1.3605442176870747E-12</v>
      </c>
      <c r="AI36" s="40">
        <v>0.42799999999999999</v>
      </c>
      <c r="AJ36" s="38">
        <f t="shared" si="7"/>
        <v>5.8592541890603655E-5</v>
      </c>
      <c r="AK36" s="38">
        <f t="shared" si="8"/>
        <v>5.7824979591836743E-20</v>
      </c>
      <c r="AL36" s="37">
        <f t="shared" si="12"/>
        <v>-19.237884511832817</v>
      </c>
      <c r="AM36" s="43">
        <f t="shared" si="3"/>
        <v>0.4871192209784917</v>
      </c>
      <c r="AN36" s="38">
        <f t="shared" si="9"/>
        <v>4.8073795918367339E-16</v>
      </c>
      <c r="AO36" s="37">
        <f t="shared" si="13"/>
        <v>-15.318091584521776</v>
      </c>
      <c r="AP36" s="38">
        <v>5.0000000000000001E-4</v>
      </c>
      <c r="AQ36" s="38">
        <f t="shared" si="10"/>
        <v>8.8200000000000021</v>
      </c>
      <c r="AR36" s="38">
        <f t="shared" si="11"/>
        <v>8313.6727860002575</v>
      </c>
    </row>
    <row r="37" spans="1:44" s="38" customFormat="1">
      <c r="A37" s="38">
        <v>350</v>
      </c>
      <c r="B37" s="38">
        <v>350</v>
      </c>
      <c r="C37" s="7">
        <f t="shared" si="31"/>
        <v>1.9999999999999999E-6</v>
      </c>
      <c r="D37" s="38">
        <v>10</v>
      </c>
      <c r="E37">
        <f t="shared" si="1"/>
        <v>57.142857142857146</v>
      </c>
      <c r="F37" s="38">
        <v>1</v>
      </c>
      <c r="G37" s="37">
        <v>2</v>
      </c>
      <c r="H37" s="38" t="s">
        <v>128</v>
      </c>
      <c r="I37" s="38">
        <v>28</v>
      </c>
      <c r="J37">
        <f t="shared" si="32"/>
        <v>1.6E-7</v>
      </c>
      <c r="K37" s="94" t="s">
        <v>97</v>
      </c>
      <c r="L37" s="97">
        <v>0.504</v>
      </c>
      <c r="M37" s="38">
        <v>5.7142857142857144E-9</v>
      </c>
      <c r="N37"/>
      <c r="O37"/>
      <c r="P37"/>
      <c r="Q37"/>
      <c r="R37"/>
      <c r="S37"/>
      <c r="T37" s="8"/>
      <c r="U37" s="8"/>
      <c r="V37" s="38">
        <v>2.40515E-3</v>
      </c>
      <c r="W37" s="36">
        <f>1.22296*10^-7</f>
        <v>1.22296E-7</v>
      </c>
      <c r="X37" s="39">
        <v>33.382800000000003</v>
      </c>
      <c r="Y37" s="37">
        <f>9.51076*10^-5</f>
        <v>9.5107599999999997E-5</v>
      </c>
      <c r="Z37" s="39">
        <v>33.382800000000003</v>
      </c>
      <c r="AA37" s="37">
        <v>9.5107599999999997E-5</v>
      </c>
      <c r="AB37" s="40">
        <f t="shared" si="14"/>
        <v>1099.8112236164659</v>
      </c>
      <c r="AC37" s="41">
        <f t="shared" si="4"/>
        <v>3.0413181473606143</v>
      </c>
      <c r="AD37" s="37">
        <f t="shared" si="5"/>
        <v>1.4142141469598573</v>
      </c>
      <c r="AE37" s="37">
        <f t="shared" si="6"/>
        <v>13879.716441801967</v>
      </c>
      <c r="AF37" s="38">
        <v>5.7142857142857144E-9</v>
      </c>
      <c r="AG37" s="38">
        <v>1000</v>
      </c>
      <c r="AH37" s="37">
        <v>1.3605442176870747E-12</v>
      </c>
      <c r="AI37" s="40">
        <v>0.504</v>
      </c>
      <c r="AJ37" s="38">
        <f t="shared" si="7"/>
        <v>7.9577981765205835E-5</v>
      </c>
      <c r="AK37" s="38">
        <f t="shared" si="8"/>
        <v>7.8535510204081628E-20</v>
      </c>
      <c r="AL37" s="37">
        <f t="shared" si="12"/>
        <v>-19.104933930533488</v>
      </c>
      <c r="AM37" s="43">
        <f t="shared" si="3"/>
        <v>1.1045198219119445</v>
      </c>
      <c r="AN37" s="38">
        <f t="shared" si="9"/>
        <v>1.0900506122448979E-15</v>
      </c>
      <c r="AO37" s="37">
        <f t="shared" si="13"/>
        <v>-14.962553336822335</v>
      </c>
      <c r="AP37" s="38">
        <v>5.0000000000000001E-4</v>
      </c>
      <c r="AQ37" s="38">
        <f t="shared" si="10"/>
        <v>8.8200000000000021</v>
      </c>
      <c r="AR37" s="38">
        <f t="shared" si="11"/>
        <v>13879.716441801967</v>
      </c>
    </row>
    <row r="38" spans="1:44" s="46" customFormat="1">
      <c r="A38" s="38">
        <v>350</v>
      </c>
      <c r="B38" s="38">
        <v>350</v>
      </c>
      <c r="C38" s="7">
        <f t="shared" si="31"/>
        <v>1.9999999999999999E-6</v>
      </c>
      <c r="D38" s="38">
        <v>10</v>
      </c>
      <c r="E38">
        <f t="shared" si="1"/>
        <v>57.142857142857146</v>
      </c>
      <c r="F38" s="38">
        <v>1</v>
      </c>
      <c r="G38" s="37">
        <v>2</v>
      </c>
      <c r="H38" s="36" t="s">
        <v>128</v>
      </c>
      <c r="I38" s="36">
        <v>40</v>
      </c>
      <c r="J38">
        <f t="shared" si="32"/>
        <v>2.2857142857142858E-7</v>
      </c>
      <c r="K38" s="94" t="s">
        <v>98</v>
      </c>
      <c r="L38" s="97">
        <v>0.58699999999999997</v>
      </c>
      <c r="M38" s="38">
        <v>5.7142857142857144E-9</v>
      </c>
      <c r="N38"/>
      <c r="O38"/>
      <c r="P38"/>
      <c r="Q38"/>
      <c r="R38"/>
      <c r="S38"/>
      <c r="T38" s="8"/>
      <c r="U38" s="8"/>
      <c r="V38" s="36">
        <v>3.3822000000000001E-3</v>
      </c>
      <c r="W38" s="38">
        <f>1.4291*10^-7</f>
        <v>1.4291E-7</v>
      </c>
      <c r="X38" s="44">
        <v>77.952600000000004</v>
      </c>
      <c r="Y38" s="37">
        <v>2.2208699999999999E-4</v>
      </c>
      <c r="Z38" s="44">
        <v>77.952600000000004</v>
      </c>
      <c r="AA38" s="37">
        <v>2.2208699999999999E-4</v>
      </c>
      <c r="AB38" s="45">
        <f t="shared" si="14"/>
        <v>2197.7361971853379</v>
      </c>
      <c r="AC38" s="41">
        <f t="shared" si="4"/>
        <v>3.3419755611618709</v>
      </c>
      <c r="AD38" s="37">
        <f t="shared" si="5"/>
        <v>1.4142137087706919</v>
      </c>
      <c r="AE38" s="37">
        <f t="shared" si="6"/>
        <v>23047.897817988291</v>
      </c>
      <c r="AF38" s="38">
        <v>5.7142857142857144E-9</v>
      </c>
      <c r="AG38" s="38">
        <v>1000</v>
      </c>
      <c r="AH38" s="37">
        <v>1.3605442176870747E-12</v>
      </c>
      <c r="AI38" s="45">
        <f>L38</f>
        <v>0.58699999999999997</v>
      </c>
      <c r="AJ38" s="38">
        <f t="shared" si="7"/>
        <v>1.1190514102084244E-4</v>
      </c>
      <c r="AK38" s="38">
        <f t="shared" si="8"/>
        <v>1.104391836734694E-19</v>
      </c>
      <c r="AL38" s="37">
        <f t="shared" si="12"/>
        <v>-18.956876812168758</v>
      </c>
      <c r="AM38" s="43">
        <f t="shared" si="3"/>
        <v>2.5791782555559468</v>
      </c>
      <c r="AN38" s="38">
        <f t="shared" si="9"/>
        <v>2.5453910204081637E-15</v>
      </c>
      <c r="AO38" s="37">
        <f t="shared" si="13"/>
        <v>-14.594245492320828</v>
      </c>
      <c r="AP38" s="38">
        <v>5.0000000000000001E-4</v>
      </c>
      <c r="AQ38" s="38">
        <f t="shared" si="10"/>
        <v>8.8200000000000021</v>
      </c>
      <c r="AR38" s="38">
        <f t="shared" si="11"/>
        <v>23047.897817988294</v>
      </c>
    </row>
    <row r="39" spans="1:44" s="38" customFormat="1" ht="17.25" customHeight="1">
      <c r="A39" s="38">
        <v>350</v>
      </c>
      <c r="B39" s="38">
        <v>350</v>
      </c>
      <c r="C39" s="7">
        <f t="shared" si="31"/>
        <v>1.9999999999999999E-6</v>
      </c>
      <c r="D39" s="38">
        <v>10</v>
      </c>
      <c r="E39">
        <f t="shared" si="1"/>
        <v>57.142857142857146</v>
      </c>
      <c r="F39" s="38">
        <v>1</v>
      </c>
      <c r="G39" s="37">
        <v>2</v>
      </c>
      <c r="H39" s="38" t="s">
        <v>128</v>
      </c>
      <c r="I39" s="38">
        <v>56</v>
      </c>
      <c r="J39">
        <f t="shared" si="32"/>
        <v>3.2000000000000001E-7</v>
      </c>
      <c r="K39" s="94" t="s">
        <v>130</v>
      </c>
      <c r="L39" s="97">
        <v>0.66200000000000003</v>
      </c>
      <c r="M39" s="38">
        <v>5.7142857142857144E-9</v>
      </c>
      <c r="N39"/>
      <c r="O39"/>
      <c r="P39"/>
      <c r="Q39"/>
      <c r="R39"/>
      <c r="S39"/>
      <c r="T39" s="8"/>
      <c r="U39" s="8"/>
      <c r="V39" s="38">
        <v>4.7079699999999997E-3</v>
      </c>
      <c r="W39" s="36">
        <f>1.62344*10^-7</f>
        <v>1.6234399999999999E-7</v>
      </c>
      <c r="X39" s="39">
        <v>169.55799999999999</v>
      </c>
      <c r="Y39" s="37">
        <v>4.8307100000000002E-3</v>
      </c>
      <c r="Z39" s="39">
        <v>169.55799999999999</v>
      </c>
      <c r="AA39" s="37">
        <v>4.8307100000000002E-3</v>
      </c>
      <c r="AB39" s="40">
        <f t="shared" si="14"/>
        <v>42081.355638768699</v>
      </c>
      <c r="AC39" s="41">
        <f t="shared" si="4"/>
        <v>4.6240897220428652</v>
      </c>
      <c r="AD39" s="37">
        <f t="shared" si="5"/>
        <v>1.4142135627724011</v>
      </c>
      <c r="AE39" s="37">
        <f t="shared" si="6"/>
        <v>36015.097802237484</v>
      </c>
      <c r="AF39" s="38">
        <v>5.7142857142857144E-9</v>
      </c>
      <c r="AG39" s="38">
        <v>1000</v>
      </c>
      <c r="AH39" s="37">
        <v>1.3605442176870747E-12</v>
      </c>
      <c r="AI39" s="40">
        <v>0.66200000000000003</v>
      </c>
      <c r="AJ39" s="38">
        <f t="shared" si="7"/>
        <v>1.5577022256871135E-4</v>
      </c>
      <c r="AK39" s="38">
        <f t="shared" si="8"/>
        <v>1.5372963265306123E-19</v>
      </c>
      <c r="AL39" s="37">
        <f t="shared" si="12"/>
        <v>-18.813242410592011</v>
      </c>
      <c r="AM39" s="43">
        <f t="shared" si="3"/>
        <v>5.6100798004884407</v>
      </c>
      <c r="AN39" s="38">
        <f t="shared" si="9"/>
        <v>5.5365877551020414E-15</v>
      </c>
      <c r="AO39" s="37">
        <f t="shared" si="13"/>
        <v>-14.256757812111971</v>
      </c>
      <c r="AP39" s="38">
        <v>5.0000000000000001E-4</v>
      </c>
      <c r="AQ39" s="38">
        <f t="shared" si="10"/>
        <v>8.8200000000000021</v>
      </c>
      <c r="AR39" s="38">
        <f t="shared" si="11"/>
        <v>36015.097802237491</v>
      </c>
    </row>
    <row r="40" spans="1:44" s="47" customFormat="1">
      <c r="A40" s="47">
        <v>350</v>
      </c>
      <c r="B40" s="47">
        <v>350</v>
      </c>
      <c r="C40" s="7">
        <f t="shared" si="31"/>
        <v>1.9999999999999999E-6</v>
      </c>
      <c r="D40" s="47">
        <v>10</v>
      </c>
      <c r="E40">
        <f t="shared" si="1"/>
        <v>57.142857142857146</v>
      </c>
      <c r="F40" s="47">
        <v>1</v>
      </c>
      <c r="G40" s="41">
        <v>2</v>
      </c>
      <c r="H40" s="47" t="s">
        <v>128</v>
      </c>
      <c r="I40" s="47">
        <v>70</v>
      </c>
      <c r="J40">
        <f t="shared" si="32"/>
        <v>3.9999999999999998E-7</v>
      </c>
      <c r="K40" s="95" t="s">
        <v>131</v>
      </c>
      <c r="L40" s="98">
        <v>0.70799999999999996</v>
      </c>
      <c r="M40" s="47">
        <v>5.7142857142857144E-9</v>
      </c>
      <c r="N40"/>
      <c r="O40"/>
      <c r="P40"/>
      <c r="Q40"/>
      <c r="R40"/>
      <c r="S40"/>
      <c r="T40" s="8"/>
      <c r="U40" s="8"/>
      <c r="V40" s="47">
        <v>5.8789899999999997E-3</v>
      </c>
      <c r="W40" s="47">
        <f>1.7462*10^-7</f>
        <v>1.7461999999999998E-7</v>
      </c>
      <c r="X40" s="48">
        <v>200.10499999999999</v>
      </c>
      <c r="Y40" s="41">
        <f>0.00079802</f>
        <v>7.9801999999999998E-4</v>
      </c>
      <c r="Z40" s="48">
        <v>200.10499999999999</v>
      </c>
      <c r="AA40" s="41">
        <v>7.9801999999999998E-4</v>
      </c>
      <c r="AB40" s="49">
        <f t="shared" si="14"/>
        <v>6463.0095095302013</v>
      </c>
      <c r="AC40" s="41">
        <f t="shared" si="4"/>
        <v>3.8104347949345021</v>
      </c>
      <c r="AD40" s="41">
        <f t="shared" si="5"/>
        <v>1.4142135793014756</v>
      </c>
      <c r="AE40" s="41">
        <f t="shared" si="6"/>
        <v>34037.309129629408</v>
      </c>
      <c r="AF40" s="47">
        <v>5.7142857142857144E-9</v>
      </c>
      <c r="AG40" s="47">
        <v>1000</v>
      </c>
      <c r="AH40" s="41">
        <v>1.3605442176870747E-12</v>
      </c>
      <c r="AI40" s="49">
        <v>0.70799999999999996</v>
      </c>
      <c r="AJ40" s="47">
        <f t="shared" si="7"/>
        <v>1.9451516912368354E-4</v>
      </c>
      <c r="AK40" s="47">
        <f t="shared" si="8"/>
        <v>1.9196702040816326E-19</v>
      </c>
      <c r="AL40" s="41">
        <f t="shared" si="12"/>
        <v>-18.716773375905827</v>
      </c>
      <c r="AM40" s="50">
        <f t="shared" si="3"/>
        <v>6.6207729418649626</v>
      </c>
      <c r="AN40" s="47">
        <f t="shared" si="9"/>
        <v>6.534040816326531E-15</v>
      </c>
      <c r="AO40" s="41">
        <f t="shared" si="13"/>
        <v>-14.184818156935878</v>
      </c>
      <c r="AP40" s="47">
        <v>5.0000000000000001E-4</v>
      </c>
      <c r="AQ40" s="47">
        <f t="shared" si="10"/>
        <v>8.8200000000000021</v>
      </c>
      <c r="AR40" s="47">
        <f t="shared" si="11"/>
        <v>34037.309129629408</v>
      </c>
    </row>
    <row r="41" spans="1:44" s="10" customFormat="1">
      <c r="A41" s="10">
        <v>350</v>
      </c>
      <c r="B41" s="10">
        <v>350</v>
      </c>
      <c r="C41" s="7">
        <f t="shared" si="31"/>
        <v>1.9999999999999999E-6</v>
      </c>
      <c r="D41" s="10">
        <v>10</v>
      </c>
      <c r="E41">
        <f t="shared" si="1"/>
        <v>57.142857142857146</v>
      </c>
      <c r="F41" s="10">
        <v>1</v>
      </c>
      <c r="G41" s="8">
        <v>2</v>
      </c>
      <c r="H41" s="10" t="s">
        <v>15</v>
      </c>
      <c r="I41" s="10">
        <v>0</v>
      </c>
      <c r="J41">
        <f t="shared" si="32"/>
        <v>0</v>
      </c>
      <c r="K41" s="94" t="s">
        <v>83</v>
      </c>
      <c r="L41" s="97">
        <v>7.0000000000000007E-2</v>
      </c>
      <c r="M41" s="10">
        <v>5.7142857142857144E-9</v>
      </c>
      <c r="N41" s="16">
        <v>32</v>
      </c>
      <c r="O41" s="16">
        <v>1054</v>
      </c>
      <c r="P41" s="16">
        <v>1054</v>
      </c>
      <c r="Q41">
        <f t="shared" ref="Q41:Q52" si="33">N41*M41</f>
        <v>1.8285714285714286E-7</v>
      </c>
      <c r="R41">
        <f t="shared" ref="R41:R52" si="34">O41*M41</f>
        <v>6.0228571428571433E-6</v>
      </c>
      <c r="S41" s="10">
        <f t="shared" ref="S41:S52" si="35">O41*P41*M41^2</f>
        <v>3.6274808163265308E-11</v>
      </c>
      <c r="T41">
        <f t="shared" ref="T41:T52" si="36">N41*O41*M41^2</f>
        <v>1.1013224489795919E-12</v>
      </c>
      <c r="U41" s="318">
        <f t="shared" ref="U41:U52" si="37">((G41+I41)*M41)*10^9</f>
        <v>11.428571428571429</v>
      </c>
      <c r="V41" s="10">
        <v>3.1373399999999997E-4</v>
      </c>
      <c r="W41">
        <f>3.03613*10^-8</f>
        <v>3.0361299999999999E-8</v>
      </c>
      <c r="X41" s="27">
        <v>1.22747E-2</v>
      </c>
      <c r="Y41" s="8">
        <f>3.49706*10^-8</f>
        <v>3.4970600000000001E-8</v>
      </c>
      <c r="Z41" s="27">
        <v>1.22747E-2</v>
      </c>
      <c r="AA41" s="8">
        <v>3.4970600000000001E-8</v>
      </c>
      <c r="AB41" s="28">
        <v>2.2000000000000002</v>
      </c>
      <c r="AC41" s="9">
        <f t="shared" si="4"/>
        <v>0.34242268082220628</v>
      </c>
      <c r="AD41" s="8">
        <f t="shared" si="5"/>
        <v>1.6594464603289432</v>
      </c>
      <c r="AE41" s="8">
        <f t="shared" si="6"/>
        <v>39.124544996716963</v>
      </c>
      <c r="AF41" s="10">
        <v>5.7142857142857144E-9</v>
      </c>
      <c r="AG41" s="10">
        <v>1000</v>
      </c>
      <c r="AH41" s="10">
        <v>1.3605442176870701E-12</v>
      </c>
      <c r="AI41" s="10">
        <v>7.0000000000000007E-2</v>
      </c>
      <c r="AJ41" s="10">
        <f t="shared" si="7"/>
        <v>1.0380358202658914E-5</v>
      </c>
      <c r="AK41" s="10">
        <f t="shared" si="8"/>
        <v>1.0244375510204081E-20</v>
      </c>
      <c r="AL41" s="10">
        <f>LOG10(9.869*10^-16*AJ41)</f>
        <v>-19.989514510736544</v>
      </c>
      <c r="AM41" s="33">
        <f t="shared" si="3"/>
        <v>4.0612679158196874E-4</v>
      </c>
      <c r="AN41" s="10">
        <f t="shared" si="9"/>
        <v>4.0080653061224492E-19</v>
      </c>
      <c r="AO41" s="10">
        <f>LOG10(9.869*10^-16*AM41)</f>
        <v>-18.397065210829048</v>
      </c>
      <c r="AP41" s="10">
        <v>5.0000000000000001E-4</v>
      </c>
      <c r="AQ41" s="10">
        <f t="shared" si="10"/>
        <v>8.8200000000000625</v>
      </c>
      <c r="AR41" s="10">
        <f t="shared" si="11"/>
        <v>39.124544996716963</v>
      </c>
    </row>
    <row r="42" spans="1:44">
      <c r="A42">
        <v>350</v>
      </c>
      <c r="B42">
        <v>350</v>
      </c>
      <c r="C42" s="7">
        <f t="shared" si="31"/>
        <v>1.9999999999999999E-6</v>
      </c>
      <c r="D42">
        <v>10</v>
      </c>
      <c r="E42">
        <f t="shared" si="1"/>
        <v>57.142857142857146</v>
      </c>
      <c r="F42">
        <v>1</v>
      </c>
      <c r="G42" s="8">
        <v>2</v>
      </c>
      <c r="H42" t="s">
        <v>132</v>
      </c>
      <c r="I42">
        <v>64</v>
      </c>
      <c r="J42">
        <f t="shared" si="32"/>
        <v>3.6571428571428572E-7</v>
      </c>
      <c r="K42" s="94" t="s">
        <v>133</v>
      </c>
      <c r="L42" s="97">
        <v>0.123</v>
      </c>
      <c r="M42">
        <v>5.7142857142857144E-9</v>
      </c>
      <c r="N42" s="16">
        <v>32</v>
      </c>
      <c r="O42" s="16">
        <v>1118</v>
      </c>
      <c r="P42" s="16">
        <v>1054</v>
      </c>
      <c r="Q42">
        <f t="shared" si="33"/>
        <v>1.8285714285714286E-7</v>
      </c>
      <c r="R42">
        <f t="shared" si="34"/>
        <v>6.388571428571429E-6</v>
      </c>
      <c r="S42" s="10">
        <f t="shared" si="35"/>
        <v>3.8477453061224493E-11</v>
      </c>
      <c r="T42">
        <f t="shared" si="36"/>
        <v>1.1681959183673471E-12</v>
      </c>
      <c r="U42" s="318">
        <f t="shared" si="37"/>
        <v>377.14285714285717</v>
      </c>
      <c r="V42">
        <v>5.3290200000000003E-4</v>
      </c>
      <c r="W42" s="10">
        <f>5.15712*10^-8</f>
        <v>5.1571200000000003E-8</v>
      </c>
      <c r="X42" s="27">
        <v>1.40179E-2</v>
      </c>
      <c r="Y42" s="8">
        <f>3.76488*10^-8</f>
        <v>3.7648799999999998E-8</v>
      </c>
      <c r="Z42" s="27">
        <v>1.40179E-2</v>
      </c>
      <c r="AA42" s="8">
        <v>3.7648799999999998E-8</v>
      </c>
      <c r="AB42" s="28">
        <f t="shared" si="14"/>
        <v>1.4373250428309805</v>
      </c>
      <c r="AC42" s="9">
        <f t="shared" si="4"/>
        <v>0.15755499245219615</v>
      </c>
      <c r="AD42" s="8">
        <f t="shared" si="5"/>
        <v>1.9688430241825787</v>
      </c>
      <c r="AE42" s="8">
        <f t="shared" si="6"/>
        <v>26.304836536548933</v>
      </c>
      <c r="AF42">
        <v>5.7142857142857144E-9</v>
      </c>
      <c r="AG42">
        <v>1000</v>
      </c>
      <c r="AH42" s="8">
        <v>1.3605442176870747E-12</v>
      </c>
      <c r="AI42" s="12">
        <v>0.123</v>
      </c>
      <c r="AJ42">
        <f t="shared" si="7"/>
        <v>1.76318589853613E-5</v>
      </c>
      <c r="AK42">
        <f t="shared" si="8"/>
        <v>1.7400881632653065E-20</v>
      </c>
      <c r="AL42" s="8">
        <f t="shared" si="12"/>
        <v>-19.759428747206112</v>
      </c>
      <c r="AM42" s="31">
        <f t="shared" si="3"/>
        <v>4.638031684454105E-4</v>
      </c>
      <c r="AN42">
        <f t="shared" si="9"/>
        <v>4.5772734693877556E-19</v>
      </c>
      <c r="AO42" s="8">
        <f t="shared" si="13"/>
        <v>-18.339393139856259</v>
      </c>
      <c r="AP42">
        <v>5.0000000000000001E-4</v>
      </c>
      <c r="AQ42">
        <f t="shared" si="10"/>
        <v>8.8200000000000021</v>
      </c>
      <c r="AR42">
        <f t="shared" si="11"/>
        <v>26.304836536548933</v>
      </c>
    </row>
    <row r="43" spans="1:44" s="284" customFormat="1">
      <c r="A43" s="286">
        <v>350</v>
      </c>
      <c r="B43" s="286">
        <v>350</v>
      </c>
      <c r="C43" s="287">
        <f t="shared" si="31"/>
        <v>1.9999999999999999E-6</v>
      </c>
      <c r="D43" s="286">
        <v>10</v>
      </c>
      <c r="E43" s="284">
        <v>57.142857142857146</v>
      </c>
      <c r="F43" s="284">
        <v>1</v>
      </c>
      <c r="G43" s="288">
        <v>2</v>
      </c>
      <c r="H43" s="284" t="s">
        <v>132</v>
      </c>
      <c r="I43" s="289">
        <v>122</v>
      </c>
      <c r="J43" s="284">
        <f t="shared" si="32"/>
        <v>6.9714285714285718E-7</v>
      </c>
      <c r="K43" s="290" t="s">
        <v>504</v>
      </c>
      <c r="L43" s="288">
        <v>0.16700000000000001</v>
      </c>
      <c r="M43" s="284">
        <v>5.7142857142857144E-9</v>
      </c>
      <c r="N43" s="283">
        <v>32</v>
      </c>
      <c r="O43" s="283">
        <v>1176</v>
      </c>
      <c r="P43" s="283">
        <v>1054</v>
      </c>
      <c r="Q43" s="284">
        <f t="shared" si="33"/>
        <v>1.8285714285714286E-7</v>
      </c>
      <c r="R43" s="284">
        <f t="shared" si="34"/>
        <v>6.72E-6</v>
      </c>
      <c r="S43" s="283">
        <f t="shared" si="35"/>
        <v>4.0473600000000007E-11</v>
      </c>
      <c r="T43" s="284">
        <f t="shared" si="36"/>
        <v>1.2288000000000002E-12</v>
      </c>
      <c r="U43" s="319">
        <f t="shared" si="37"/>
        <v>708.57142857142856</v>
      </c>
      <c r="V43" s="283">
        <v>6.6456499999999999E-4</v>
      </c>
      <c r="W43" s="292">
        <v>6.4312800000000004E-8</v>
      </c>
      <c r="X43" s="291">
        <v>1.7897E-2</v>
      </c>
      <c r="Y43" s="292">
        <v>4.5694400000000001E-8</v>
      </c>
      <c r="Z43" s="291">
        <v>1.7897E-2</v>
      </c>
      <c r="AA43" s="292">
        <v>4.5694400000000001E-8</v>
      </c>
      <c r="AB43" s="293">
        <f t="shared" si="14"/>
        <v>1.4176132674385238</v>
      </c>
      <c r="AC43" s="9">
        <f t="shared" si="4"/>
        <v>0.15155776912281232</v>
      </c>
      <c r="AD43" s="288">
        <f t="shared" si="5"/>
        <v>1.9952265167311596</v>
      </c>
      <c r="AE43" s="288">
        <f t="shared" si="6"/>
        <v>26.930398079947032</v>
      </c>
      <c r="AF43" s="284">
        <v>5.7142857142857144E-9</v>
      </c>
      <c r="AG43" s="284">
        <v>1000</v>
      </c>
      <c r="AH43" s="288">
        <v>1.3605442176870747E-12</v>
      </c>
      <c r="AI43" s="293">
        <v>0.16700000000000001</v>
      </c>
      <c r="AJ43" s="284">
        <f t="shared" si="7"/>
        <v>2.1988126084358154E-5</v>
      </c>
      <c r="AK43" s="284">
        <f t="shared" si="8"/>
        <v>2.170008163265306E-20</v>
      </c>
      <c r="AL43" s="288">
        <f t="shared" si="12"/>
        <v>-19.663538632393678</v>
      </c>
      <c r="AM43" s="295">
        <f t="shared" ref="AM43" si="38">((AF43^2)*X43*1000)/(0.9869*(10^-12))</f>
        <v>5.9214898848383214E-4</v>
      </c>
      <c r="AN43" s="284">
        <f t="shared" ref="AN43" si="39">9.869*10^-16*AM43</f>
        <v>5.843918367346939E-19</v>
      </c>
      <c r="AO43" s="288">
        <f t="shared" ref="AO43" si="40">LOG10(9.869*10^-16*AM43)</f>
        <v>-18.233295859277504</v>
      </c>
      <c r="AP43" s="284">
        <v>5.0000000000000001E-4</v>
      </c>
      <c r="AQ43" s="284">
        <f t="shared" si="10"/>
        <v>8.8200000000000021</v>
      </c>
      <c r="AR43" s="284">
        <f t="shared" si="11"/>
        <v>26.930398079947036</v>
      </c>
    </row>
    <row r="44" spans="1:44">
      <c r="A44">
        <v>350</v>
      </c>
      <c r="B44">
        <v>350</v>
      </c>
      <c r="C44" s="7">
        <f t="shared" si="31"/>
        <v>1.9999999999999999E-6</v>
      </c>
      <c r="D44">
        <v>10</v>
      </c>
      <c r="E44">
        <f>D44*AF44*10^9</f>
        <v>57.142857142857146</v>
      </c>
      <c r="F44">
        <v>1</v>
      </c>
      <c r="G44" s="8">
        <v>2</v>
      </c>
      <c r="H44" t="s">
        <v>132</v>
      </c>
      <c r="I44">
        <v>192</v>
      </c>
      <c r="J44">
        <f t="shared" si="32"/>
        <v>1.0971428571428572E-6</v>
      </c>
      <c r="K44" s="94" t="s">
        <v>134</v>
      </c>
      <c r="L44" s="97">
        <v>0.21299999999999999</v>
      </c>
      <c r="M44">
        <v>5.7142857142857144E-9</v>
      </c>
      <c r="N44" s="16">
        <v>32</v>
      </c>
      <c r="O44" s="16">
        <v>1246</v>
      </c>
      <c r="P44" s="16">
        <v>1054</v>
      </c>
      <c r="Q44">
        <f t="shared" si="33"/>
        <v>1.8285714285714286E-7</v>
      </c>
      <c r="R44">
        <f t="shared" si="34"/>
        <v>7.1200000000000004E-6</v>
      </c>
      <c r="S44" s="10">
        <f t="shared" si="35"/>
        <v>4.2882742857142863E-11</v>
      </c>
      <c r="T44">
        <f t="shared" si="36"/>
        <v>1.3019428571428573E-12</v>
      </c>
      <c r="U44" s="318">
        <f t="shared" si="37"/>
        <v>1108.5714285714284</v>
      </c>
      <c r="V44">
        <v>2.1679899999999998E-2</v>
      </c>
      <c r="W44" s="322">
        <f>2.098*10^-6</f>
        <v>2.0979999999999996E-6</v>
      </c>
      <c r="X44" s="27">
        <v>2.24718E-2</v>
      </c>
      <c r="Y44" s="8">
        <f>5.4149*10^-8</f>
        <v>5.4149000000000004E-8</v>
      </c>
      <c r="Z44" s="27">
        <v>2.24718E-2</v>
      </c>
      <c r="AA44" s="8">
        <v>5.4149000000000004E-8</v>
      </c>
      <c r="AB44" s="28">
        <f t="shared" si="14"/>
        <v>1.0006659250222989</v>
      </c>
      <c r="AC44" s="9">
        <f t="shared" si="4"/>
        <v>2.8911130999839142E-4</v>
      </c>
      <c r="AD44" s="8">
        <f t="shared" si="5"/>
        <v>38.770745733010443</v>
      </c>
      <c r="AE44" s="8">
        <f t="shared" si="6"/>
        <v>1.0365269212496369</v>
      </c>
      <c r="AF44">
        <v>5.7142857142857144E-9</v>
      </c>
      <c r="AG44">
        <v>1000</v>
      </c>
      <c r="AH44" s="8">
        <v>1.3605442176870747E-12</v>
      </c>
      <c r="AI44" s="12">
        <v>0.21299999999999999</v>
      </c>
      <c r="AJ44">
        <f t="shared" si="7"/>
        <v>7.1731188777061135E-4</v>
      </c>
      <c r="AK44">
        <f t="shared" si="8"/>
        <v>7.0791510204081632E-19</v>
      </c>
      <c r="AL44" s="8">
        <f t="shared" si="12"/>
        <v>-18.150018822714188</v>
      </c>
      <c r="AM44" s="31">
        <f t="shared" si="3"/>
        <v>7.4351308260663682E-4</v>
      </c>
      <c r="AN44">
        <f t="shared" si="9"/>
        <v>7.3377306122448978E-19</v>
      </c>
      <c r="AO44" s="8">
        <f t="shared" si="13"/>
        <v>-18.134438236401696</v>
      </c>
      <c r="AP44">
        <v>5.0000000000000001E-4</v>
      </c>
      <c r="AQ44">
        <f t="shared" si="10"/>
        <v>8.8200000000000021</v>
      </c>
      <c r="AR44">
        <f t="shared" si="11"/>
        <v>1.0365269212496369</v>
      </c>
    </row>
    <row r="45" spans="1:44" s="284" customFormat="1">
      <c r="A45" s="286">
        <v>350</v>
      </c>
      <c r="B45" s="286">
        <v>350</v>
      </c>
      <c r="C45" s="287">
        <f t="shared" si="31"/>
        <v>1.9999999999999999E-6</v>
      </c>
      <c r="D45" s="286">
        <v>10</v>
      </c>
      <c r="E45" s="284">
        <v>57.142857142857146</v>
      </c>
      <c r="F45" s="284">
        <v>1</v>
      </c>
      <c r="G45" s="288">
        <v>2</v>
      </c>
      <c r="H45" s="284" t="s">
        <v>132</v>
      </c>
      <c r="I45" s="289">
        <v>256</v>
      </c>
      <c r="J45" s="284">
        <f t="shared" si="32"/>
        <v>1.4628571428571429E-6</v>
      </c>
      <c r="K45" s="290" t="s">
        <v>506</v>
      </c>
      <c r="L45" s="288">
        <v>0.252</v>
      </c>
      <c r="M45" s="284">
        <v>5.7142857142857144E-9</v>
      </c>
      <c r="N45" s="283">
        <v>32</v>
      </c>
      <c r="O45" s="283">
        <v>1310</v>
      </c>
      <c r="P45" s="283">
        <v>1054</v>
      </c>
      <c r="Q45" s="284">
        <f t="shared" si="33"/>
        <v>1.8285714285714286E-7</v>
      </c>
      <c r="R45" s="284">
        <f t="shared" si="34"/>
        <v>7.4857142857142862E-6</v>
      </c>
      <c r="S45" s="283">
        <f t="shared" si="35"/>
        <v>4.5085387755102048E-11</v>
      </c>
      <c r="T45" s="284">
        <f t="shared" si="36"/>
        <v>1.3688163265306124E-12</v>
      </c>
      <c r="U45" s="319">
        <f t="shared" si="37"/>
        <v>1474.2857142857142</v>
      </c>
      <c r="V45" s="284">
        <v>0.32902799999999999</v>
      </c>
      <c r="W45" s="292">
        <v>3.18414E-6</v>
      </c>
      <c r="X45" s="291">
        <v>2.4256099999999999E-2</v>
      </c>
      <c r="Y45" s="292">
        <v>5.55908E-8</v>
      </c>
      <c r="Z45" s="291">
        <v>2.4256099999999999E-2</v>
      </c>
      <c r="AA45" s="292">
        <v>5.55908E-8</v>
      </c>
      <c r="AB45" s="293">
        <f t="shared" si="14"/>
        <v>1.000304758176646</v>
      </c>
      <c r="AC45" s="294"/>
      <c r="AD45" s="288">
        <f t="shared" si="5"/>
        <v>57.295638715409481</v>
      </c>
      <c r="AE45" s="288">
        <f t="shared" si="6"/>
        <v>7.3720473637501976E-2</v>
      </c>
      <c r="AF45" s="284">
        <v>5.7142857142857144E-9</v>
      </c>
      <c r="AG45" s="284">
        <v>1000</v>
      </c>
      <c r="AH45" s="288">
        <v>1.3605442176870747E-12</v>
      </c>
      <c r="AI45" s="293">
        <v>0.252</v>
      </c>
      <c r="AJ45" s="284">
        <f t="shared" si="7"/>
        <v>1.0886383046480323E-2</v>
      </c>
      <c r="AK45" s="284">
        <f t="shared" si="8"/>
        <v>1.074377142857143E-17</v>
      </c>
      <c r="AL45" s="288">
        <f t="shared" si="12"/>
        <v>-16.96884323976284</v>
      </c>
      <c r="AM45" s="295">
        <f t="shared" ref="AM45" si="41">((AF45^2)*X45*1000)/(0.9869*(10^-12))</f>
        <v>8.0254931438580109E-4</v>
      </c>
      <c r="AN45" s="284">
        <f t="shared" ref="AN45" si="42">9.869*10^-16*AM45</f>
        <v>7.92035918367347E-19</v>
      </c>
      <c r="AO45" s="288">
        <f t="shared" ref="AO45" si="43">LOG10(9.869*10^-16*AM45)</f>
        <v>-18.10125512296224</v>
      </c>
      <c r="AP45" s="284">
        <v>5.0000000000000001E-4</v>
      </c>
      <c r="AQ45" s="284">
        <f t="shared" si="10"/>
        <v>8.8200000000000021</v>
      </c>
      <c r="AR45" s="284">
        <f t="shared" si="11"/>
        <v>7.3720473637501976E-2</v>
      </c>
    </row>
    <row r="46" spans="1:44" ht="16.5" thickBot="1">
      <c r="A46">
        <v>350</v>
      </c>
      <c r="B46">
        <v>350</v>
      </c>
      <c r="C46" s="7">
        <f t="shared" si="31"/>
        <v>1.9999999999999999E-6</v>
      </c>
      <c r="D46">
        <v>10</v>
      </c>
      <c r="E46">
        <f>D46*AF46*10^9</f>
        <v>57.142857142857146</v>
      </c>
      <c r="F46">
        <v>1</v>
      </c>
      <c r="G46" s="8">
        <v>2</v>
      </c>
      <c r="H46" t="s">
        <v>132</v>
      </c>
      <c r="I46">
        <f>I44*2</f>
        <v>384</v>
      </c>
      <c r="J46">
        <f t="shared" si="32"/>
        <v>2.1942857142857143E-6</v>
      </c>
      <c r="K46" s="94" t="s">
        <v>135</v>
      </c>
      <c r="L46" s="97">
        <v>0.318</v>
      </c>
      <c r="M46">
        <v>5.7142857142857144E-9</v>
      </c>
      <c r="N46" s="16">
        <v>32</v>
      </c>
      <c r="O46" s="16">
        <v>1438</v>
      </c>
      <c r="P46" s="16">
        <v>1054</v>
      </c>
      <c r="Q46">
        <f t="shared" si="33"/>
        <v>1.8285714285714286E-7</v>
      </c>
      <c r="R46">
        <f t="shared" si="34"/>
        <v>8.2171428571428576E-6</v>
      </c>
      <c r="S46" s="10">
        <f t="shared" si="35"/>
        <v>4.9490677551020412E-11</v>
      </c>
      <c r="T46">
        <f t="shared" si="36"/>
        <v>1.5025632653061227E-12</v>
      </c>
      <c r="U46" s="318">
        <f t="shared" si="37"/>
        <v>2205.7142857142858</v>
      </c>
      <c r="V46">
        <v>3.7588599999999999</v>
      </c>
      <c r="W46" s="10">
        <v>3.6376099999999999E-4</v>
      </c>
      <c r="X46" s="27">
        <v>2.7922800000000001E-2</v>
      </c>
      <c r="Y46" s="8">
        <f>5.8294*10^-8</f>
        <v>5.8293999999999999E-8</v>
      </c>
      <c r="Z46" s="27">
        <v>2.7922800000000001E-2</v>
      </c>
      <c r="AA46" s="8">
        <v>5.8293999999999999E-8</v>
      </c>
      <c r="AB46" s="99">
        <f t="shared" si="14"/>
        <v>1.0000000256812074</v>
      </c>
      <c r="AC46" s="9">
        <f t="shared" si="4"/>
        <v>1.1153206511787519E-8</v>
      </c>
      <c r="AD46" s="8">
        <f t="shared" si="5"/>
        <v>6240.1106347449431</v>
      </c>
      <c r="AE46" s="8">
        <f t="shared" si="6"/>
        <v>7.4285288624742615E-3</v>
      </c>
      <c r="AF46">
        <v>5.7142857142857144E-9</v>
      </c>
      <c r="AG46">
        <v>1000</v>
      </c>
      <c r="AH46" s="8">
        <v>1.3605442176870747E-12</v>
      </c>
      <c r="AI46" s="12">
        <v>0.318</v>
      </c>
      <c r="AJ46">
        <f t="shared" si="7"/>
        <v>0.12436749996381166</v>
      </c>
      <c r="AK46">
        <f t="shared" si="8"/>
        <v>1.2273828571428573E-16</v>
      </c>
      <c r="AL46" s="8">
        <f t="shared" si="12"/>
        <v>-15.91101994680103</v>
      </c>
      <c r="AM46" s="31">
        <f t="shared" si="3"/>
        <v>9.2386756303494168E-4</v>
      </c>
      <c r="AN46">
        <f t="shared" si="9"/>
        <v>9.1176489795918385E-19</v>
      </c>
      <c r="AO46" s="8">
        <f t="shared" si="13"/>
        <v>-18.040117131717384</v>
      </c>
      <c r="AP46">
        <v>5.0000000000000001E-4</v>
      </c>
      <c r="AQ46">
        <f t="shared" si="10"/>
        <v>8.8200000000000021</v>
      </c>
      <c r="AR46">
        <f t="shared" si="11"/>
        <v>7.4285288624742624E-3</v>
      </c>
    </row>
    <row r="47" spans="1:44" s="224" customFormat="1" ht="16.5" thickBot="1">
      <c r="A47" s="231">
        <v>350</v>
      </c>
      <c r="B47" s="224">
        <v>350</v>
      </c>
      <c r="C47" s="224">
        <v>1.9999999999999999E-6</v>
      </c>
      <c r="D47" s="224">
        <v>10</v>
      </c>
      <c r="E47" s="224">
        <v>57.142857142857146</v>
      </c>
      <c r="F47" s="224">
        <v>1</v>
      </c>
      <c r="G47" s="225">
        <v>2</v>
      </c>
      <c r="H47" s="224" t="s">
        <v>132</v>
      </c>
      <c r="I47" s="224">
        <v>486</v>
      </c>
      <c r="J47" s="224">
        <f t="shared" si="32"/>
        <v>2.7771428571428572E-6</v>
      </c>
      <c r="K47" s="226" t="s">
        <v>461</v>
      </c>
      <c r="L47" s="227">
        <v>0.36399999999999999</v>
      </c>
      <c r="M47" s="224">
        <v>5.7142857142857144E-9</v>
      </c>
      <c r="N47" s="16">
        <v>32</v>
      </c>
      <c r="O47" s="16">
        <v>1540</v>
      </c>
      <c r="P47" s="16">
        <v>1054</v>
      </c>
      <c r="Q47">
        <f t="shared" si="33"/>
        <v>1.8285714285714286E-7</v>
      </c>
      <c r="R47">
        <f t="shared" si="34"/>
        <v>8.8000000000000004E-6</v>
      </c>
      <c r="S47" s="10">
        <f t="shared" si="35"/>
        <v>5.3001142857142863E-11</v>
      </c>
      <c r="T47">
        <f t="shared" si="36"/>
        <v>1.6091428571428572E-12</v>
      </c>
      <c r="U47" s="318">
        <f t="shared" si="37"/>
        <v>2788.5714285714289</v>
      </c>
      <c r="V47" s="228">
        <v>170.03399999999999</v>
      </c>
      <c r="W47" s="228">
        <v>1.6454900000000001E-2</v>
      </c>
      <c r="X47" s="223">
        <v>3.1076300000000001E-2</v>
      </c>
      <c r="Y47" s="54">
        <v>6.0577E-8</v>
      </c>
      <c r="Z47" s="223">
        <v>3.1076300000000001E-2</v>
      </c>
      <c r="AA47" s="54">
        <v>6.0577E-8</v>
      </c>
      <c r="AB47" s="271">
        <f>SQRT(W47^2+Y47^2+AA47^2)/W47</f>
        <v>1.0000000000135527</v>
      </c>
      <c r="AC47" s="225"/>
      <c r="AD47" s="225"/>
      <c r="AE47" s="8">
        <f>X47/V47</f>
        <v>1.8276521166354966E-4</v>
      </c>
      <c r="AF47" s="224">
        <v>5.7142857142857144E-9</v>
      </c>
      <c r="AG47" s="224">
        <v>1000</v>
      </c>
      <c r="AH47" s="225">
        <v>1.3605442176870747E-12</v>
      </c>
      <c r="AI47" s="229">
        <v>0.36399999999999999</v>
      </c>
      <c r="AJ47" s="224">
        <f>((AF47^2)*V47*1000)/(0.9869*(10^-12))</f>
        <v>5.6258289717751531</v>
      </c>
      <c r="AK47" s="224">
        <f>9.869*10^-16*AJ47</f>
        <v>5.5521306122448982E-15</v>
      </c>
      <c r="AL47" s="225">
        <f t="shared" ref="AL47" si="44">LOG10(9.869*10^-16*AJ47)</f>
        <v>-14.255540325782666</v>
      </c>
      <c r="AM47" s="230">
        <f t="shared" ref="AM47" si="45">((AF47^2)*X47*1000)/(0.9869*(10^-12))</f>
        <v>1.0282058228094158E-3</v>
      </c>
      <c r="AN47" s="224">
        <f t="shared" ref="AN47" si="46">9.869*10^-16*AM47</f>
        <v>1.0147363265306124E-18</v>
      </c>
      <c r="AO47" s="225">
        <f t="shared" ref="AO47" si="47">LOG10(9.869*10^-16*AM47)</f>
        <v>-17.993646792045475</v>
      </c>
      <c r="AP47" s="224">
        <v>5.0000000000000001E-4</v>
      </c>
      <c r="AQ47" s="224">
        <f>(AP47*AF47^2*AG47/AH47^2)/10^6</f>
        <v>8.8200000000000021</v>
      </c>
      <c r="AR47" s="224">
        <f>AM47/AJ47</f>
        <v>1.8276521166354966E-4</v>
      </c>
    </row>
    <row r="48" spans="1:44">
      <c r="A48">
        <v>350</v>
      </c>
      <c r="B48">
        <v>350</v>
      </c>
      <c r="C48" s="7">
        <f>B48*AF48</f>
        <v>1.9999999999999999E-6</v>
      </c>
      <c r="D48">
        <v>10</v>
      </c>
      <c r="E48">
        <f>D48*AF48*10^9</f>
        <v>57.142857142857146</v>
      </c>
      <c r="F48">
        <v>1</v>
      </c>
      <c r="G48" s="8">
        <v>2</v>
      </c>
      <c r="H48" t="s">
        <v>132</v>
      </c>
      <c r="I48">
        <v>600</v>
      </c>
      <c r="J48">
        <f t="shared" si="32"/>
        <v>3.4285714285714285E-6</v>
      </c>
      <c r="K48" s="94" t="s">
        <v>136</v>
      </c>
      <c r="L48" s="97">
        <v>0.40699999999999997</v>
      </c>
      <c r="M48">
        <v>5.7142857142857144E-9</v>
      </c>
      <c r="N48" s="16">
        <v>32</v>
      </c>
      <c r="O48" s="16">
        <v>1654</v>
      </c>
      <c r="P48" s="16">
        <v>1054</v>
      </c>
      <c r="Q48">
        <f t="shared" si="33"/>
        <v>1.8285714285714286E-7</v>
      </c>
      <c r="R48">
        <f t="shared" si="34"/>
        <v>9.451428571428571E-6</v>
      </c>
      <c r="S48" s="10">
        <f t="shared" si="35"/>
        <v>5.6924604081632656E-11</v>
      </c>
      <c r="T48">
        <f t="shared" si="36"/>
        <v>1.728261224489796E-12</v>
      </c>
      <c r="U48" s="318">
        <f t="shared" si="37"/>
        <v>3440</v>
      </c>
      <c r="V48">
        <v>416.80500000000001</v>
      </c>
      <c r="W48" s="10">
        <f>0.040336</f>
        <v>4.0335999999999997E-2</v>
      </c>
      <c r="X48" s="27">
        <v>3.474E-2</v>
      </c>
      <c r="Y48" s="8">
        <f>6.3049*10^-8</f>
        <v>6.3048999999999998E-8</v>
      </c>
      <c r="Z48" s="27">
        <v>3.474E-2</v>
      </c>
      <c r="AA48" s="8">
        <v>6.3048999999999998E-8</v>
      </c>
      <c r="AB48" s="28">
        <f t="shared" si="14"/>
        <v>1.0000000000024434</v>
      </c>
      <c r="AC48" s="9">
        <f t="shared" si="4"/>
        <v>1.0611459441939408E-12</v>
      </c>
      <c r="AD48" s="8">
        <f t="shared" si="5"/>
        <v>639756.37996000808</v>
      </c>
      <c r="AE48" s="8">
        <f t="shared" si="6"/>
        <v>8.3348328354986148E-5</v>
      </c>
      <c r="AF48">
        <v>5.7142857142857144E-9</v>
      </c>
      <c r="AG48">
        <v>1000</v>
      </c>
      <c r="AH48" s="8">
        <v>1.3605442176870747E-12</v>
      </c>
      <c r="AI48" s="12">
        <v>0.40699999999999997</v>
      </c>
      <c r="AJ48">
        <f t="shared" si="7"/>
        <v>13.790616256635394</v>
      </c>
      <c r="AK48">
        <f t="shared" si="8"/>
        <v>1.3609959183673469E-14</v>
      </c>
      <c r="AL48" s="8">
        <f t="shared" si="12"/>
        <v>-13.866143177245744</v>
      </c>
      <c r="AM48" s="31">
        <f t="shared" si="3"/>
        <v>1.1494248119756569E-3</v>
      </c>
      <c r="AN48">
        <f t="shared" si="9"/>
        <v>1.1343673469387757E-18</v>
      </c>
      <c r="AO48" s="8">
        <f t="shared" si="13"/>
        <v>-17.945246283261508</v>
      </c>
      <c r="AP48">
        <v>5.0000000000000001E-4</v>
      </c>
      <c r="AQ48">
        <f t="shared" si="10"/>
        <v>8.8200000000000021</v>
      </c>
      <c r="AR48">
        <f t="shared" si="11"/>
        <v>8.3348328354986161E-5</v>
      </c>
    </row>
    <row r="49" spans="1:44">
      <c r="A49">
        <v>350</v>
      </c>
      <c r="B49">
        <v>350</v>
      </c>
      <c r="C49" s="7">
        <f>B49*AF49</f>
        <v>1.9999999999999999E-6</v>
      </c>
      <c r="D49">
        <v>10</v>
      </c>
      <c r="E49">
        <f>D49*AF49*10^9</f>
        <v>57.142857142857146</v>
      </c>
      <c r="F49">
        <v>1</v>
      </c>
      <c r="G49" s="8">
        <v>2</v>
      </c>
      <c r="H49" t="s">
        <v>132</v>
      </c>
      <c r="I49">
        <v>800</v>
      </c>
      <c r="J49">
        <f t="shared" si="32"/>
        <v>4.5714285714285719E-6</v>
      </c>
      <c r="K49" s="94" t="s">
        <v>137</v>
      </c>
      <c r="L49" s="97">
        <v>0.47099999999999997</v>
      </c>
      <c r="M49">
        <v>5.7142857142857144E-9</v>
      </c>
      <c r="N49" s="16">
        <v>32</v>
      </c>
      <c r="O49" s="16">
        <v>1854</v>
      </c>
      <c r="P49" s="16">
        <v>1054</v>
      </c>
      <c r="Q49">
        <f t="shared" si="33"/>
        <v>1.8285714285714286E-7</v>
      </c>
      <c r="R49">
        <f t="shared" si="34"/>
        <v>1.0594285714285715E-5</v>
      </c>
      <c r="S49" s="10">
        <f t="shared" si="35"/>
        <v>6.3807869387755105E-11</v>
      </c>
      <c r="T49">
        <f t="shared" si="36"/>
        <v>1.9372408163265306E-12</v>
      </c>
      <c r="U49" s="318">
        <f t="shared" si="37"/>
        <v>4582.8571428571422</v>
      </c>
      <c r="V49">
        <v>772.053</v>
      </c>
      <c r="W49" s="10">
        <v>7.4714799999999998E-2</v>
      </c>
      <c r="X49" s="27">
        <v>4.1476699999999998E-2</v>
      </c>
      <c r="Y49" s="8">
        <f>6.71506*10^-8</f>
        <v>6.7150600000000008E-8</v>
      </c>
      <c r="Z49" s="27">
        <v>4.1476699999999998E-2</v>
      </c>
      <c r="AA49" s="8">
        <v>6.7150600000000008E-8</v>
      </c>
      <c r="AB49" s="28">
        <f t="shared" si="14"/>
        <v>1.0000000000008078</v>
      </c>
      <c r="AC49" s="9">
        <f t="shared" si="4"/>
        <v>3.5082233233194416E-13</v>
      </c>
      <c r="AD49" s="8">
        <f t="shared" si="5"/>
        <v>1112645.3077122222</v>
      </c>
      <c r="AE49" s="8">
        <f t="shared" si="6"/>
        <v>5.37226071267128E-5</v>
      </c>
      <c r="AF49">
        <v>5.7142857142857144E-9</v>
      </c>
      <c r="AG49">
        <v>1000</v>
      </c>
      <c r="AH49" s="8">
        <v>1.3605442176870747E-12</v>
      </c>
      <c r="AI49" s="12">
        <v>0.47099999999999997</v>
      </c>
      <c r="AJ49">
        <f t="shared" si="7"/>
        <v>25.544527183656928</v>
      </c>
      <c r="AK49">
        <f t="shared" si="8"/>
        <v>2.520989387755102E-14</v>
      </c>
      <c r="AL49" s="8">
        <f t="shared" si="12"/>
        <v>-13.598428982506459</v>
      </c>
      <c r="AM49" s="31">
        <f t="shared" si="3"/>
        <v>1.3723185981252368E-3</v>
      </c>
      <c r="AN49">
        <f t="shared" si="9"/>
        <v>1.3543412244897961E-18</v>
      </c>
      <c r="AO49" s="8">
        <f t="shared" si="13"/>
        <v>-17.868271901941078</v>
      </c>
      <c r="AP49">
        <v>5.0000000000000001E-4</v>
      </c>
      <c r="AQ49">
        <f t="shared" si="10"/>
        <v>8.8200000000000021</v>
      </c>
      <c r="AR49">
        <f t="shared" si="11"/>
        <v>5.3722607126712807E-5</v>
      </c>
    </row>
    <row r="50" spans="1:44" s="7" customFormat="1">
      <c r="A50" s="7">
        <v>350</v>
      </c>
      <c r="B50" s="7">
        <v>350</v>
      </c>
      <c r="C50" s="7">
        <f>B50*AF50</f>
        <v>1.9999999999999999E-6</v>
      </c>
      <c r="D50" s="7">
        <v>10</v>
      </c>
      <c r="E50">
        <f>D50*AF50*10^9</f>
        <v>57.142857142857146</v>
      </c>
      <c r="F50" s="7">
        <v>1</v>
      </c>
      <c r="G50" s="9">
        <v>2</v>
      </c>
      <c r="H50" s="7" t="s">
        <v>132</v>
      </c>
      <c r="I50" s="7">
        <v>1100</v>
      </c>
      <c r="J50" s="7">
        <f t="shared" si="32"/>
        <v>6.2857142857142858E-6</v>
      </c>
      <c r="K50" s="95" t="s">
        <v>138</v>
      </c>
      <c r="L50" s="98">
        <v>0.54500000000000004</v>
      </c>
      <c r="M50" s="7">
        <v>5.7142857142857144E-9</v>
      </c>
      <c r="N50" s="16">
        <v>32</v>
      </c>
      <c r="O50" s="16">
        <v>2154</v>
      </c>
      <c r="P50" s="16">
        <v>1054</v>
      </c>
      <c r="Q50">
        <f t="shared" si="33"/>
        <v>1.8285714285714286E-7</v>
      </c>
      <c r="R50">
        <f t="shared" si="34"/>
        <v>1.2308571428571429E-5</v>
      </c>
      <c r="S50" s="10">
        <f t="shared" si="35"/>
        <v>7.4132767346938789E-11</v>
      </c>
      <c r="T50">
        <f t="shared" si="36"/>
        <v>2.250710204081633E-12</v>
      </c>
      <c r="U50" s="318">
        <f t="shared" si="37"/>
        <v>6297.1428571428578</v>
      </c>
      <c r="V50" s="7">
        <v>1181.1099999999999</v>
      </c>
      <c r="W50" s="7">
        <v>0.114301</v>
      </c>
      <c r="X50" s="23">
        <v>5.2249299999999999E-2</v>
      </c>
      <c r="Y50" s="9">
        <f>7.28044*10^-8</f>
        <v>7.2804400000000003E-8</v>
      </c>
      <c r="Z50" s="23">
        <v>5.2249299999999999E-2</v>
      </c>
      <c r="AA50" s="9">
        <v>7.2804400000000003E-8</v>
      </c>
      <c r="AB50" s="29">
        <f t="shared" si="14"/>
        <v>1.0000000000004057</v>
      </c>
      <c r="AC50" s="9">
        <f t="shared" si="4"/>
        <v>1.7618262813924982E-13</v>
      </c>
      <c r="AD50" s="9">
        <f t="shared" si="5"/>
        <v>1569973.7927933803</v>
      </c>
      <c r="AE50" s="8">
        <f t="shared" si="6"/>
        <v>4.4237454597793603E-5</v>
      </c>
      <c r="AF50" s="7">
        <v>5.7142857142857144E-9</v>
      </c>
      <c r="AG50" s="7">
        <v>1000</v>
      </c>
      <c r="AH50" s="9">
        <v>1.3605442176870747E-12</v>
      </c>
      <c r="AI50" s="11">
        <v>0.54500000000000004</v>
      </c>
      <c r="AJ50" s="7">
        <f t="shared" si="7"/>
        <v>39.078789282457329</v>
      </c>
      <c r="AK50" s="7">
        <f t="shared" si="8"/>
        <v>3.8566857142857135E-14</v>
      </c>
      <c r="AL50" s="9">
        <f t="shared" si="12"/>
        <v>-13.413785750844296</v>
      </c>
      <c r="AM50" s="32">
        <f t="shared" si="3"/>
        <v>1.7287461666194495E-3</v>
      </c>
      <c r="AN50" s="7">
        <f t="shared" si="9"/>
        <v>1.7060995918367347E-18</v>
      </c>
      <c r="AO50" s="9">
        <f t="shared" si="13"/>
        <v>-17.767995620927749</v>
      </c>
      <c r="AP50" s="7">
        <v>5.0000000000000001E-4</v>
      </c>
      <c r="AQ50" s="7">
        <f t="shared" si="10"/>
        <v>8.8200000000000021</v>
      </c>
      <c r="AR50" s="7">
        <f t="shared" si="11"/>
        <v>4.423745459779361E-5</v>
      </c>
    </row>
    <row r="51" spans="1:44">
      <c r="A51">
        <v>350</v>
      </c>
      <c r="B51">
        <v>350</v>
      </c>
      <c r="C51" s="7">
        <f>B51*AF51</f>
        <v>1.9999999999999999E-6</v>
      </c>
      <c r="D51">
        <v>10</v>
      </c>
      <c r="E51">
        <f>D51*AF51*10^9</f>
        <v>57.142857142857146</v>
      </c>
      <c r="F51">
        <v>1</v>
      </c>
      <c r="G51" s="8">
        <v>2</v>
      </c>
      <c r="H51" t="s">
        <v>132</v>
      </c>
      <c r="I51">
        <v>1500</v>
      </c>
      <c r="J51">
        <f t="shared" si="32"/>
        <v>8.5714285714285709E-6</v>
      </c>
      <c r="K51" s="94" t="s">
        <v>139</v>
      </c>
      <c r="L51" s="97">
        <v>0.61599999999999999</v>
      </c>
      <c r="M51">
        <v>5.7142857142857144E-9</v>
      </c>
      <c r="N51" s="16">
        <v>32</v>
      </c>
      <c r="O51" s="16">
        <v>2554</v>
      </c>
      <c r="P51" s="16">
        <v>1054</v>
      </c>
      <c r="Q51">
        <f t="shared" si="33"/>
        <v>1.8285714285714286E-7</v>
      </c>
      <c r="R51">
        <f t="shared" si="34"/>
        <v>1.4594285714285714E-5</v>
      </c>
      <c r="S51" s="10">
        <f t="shared" si="35"/>
        <v>8.7899297959183687E-11</v>
      </c>
      <c r="T51">
        <f t="shared" si="36"/>
        <v>2.6686693877551022E-12</v>
      </c>
      <c r="U51" s="318">
        <f t="shared" si="37"/>
        <v>8582.8571428571431</v>
      </c>
      <c r="V51">
        <v>1577.04</v>
      </c>
      <c r="W51" s="10">
        <v>0.152617</v>
      </c>
      <c r="X51" s="27">
        <v>6.7903099999999994E-2</v>
      </c>
      <c r="Y51" s="8">
        <f>7.97921*10^-8</f>
        <v>7.9792100000000009E-8</v>
      </c>
      <c r="Z51" s="27">
        <v>6.7903099999999994E-2</v>
      </c>
      <c r="AA51" s="8">
        <v>7.9792100000000009E-8</v>
      </c>
      <c r="AB51" s="28">
        <f t="shared" si="14"/>
        <v>1.0000000000002733</v>
      </c>
      <c r="AC51" s="9">
        <f t="shared" si="4"/>
        <v>1.1870871113269341E-13</v>
      </c>
      <c r="AD51" s="8">
        <f t="shared" si="5"/>
        <v>1912683.0851681018</v>
      </c>
      <c r="AE51" s="8">
        <f t="shared" si="6"/>
        <v>4.3057309897022267E-5</v>
      </c>
      <c r="AF51">
        <v>5.7142857142857144E-9</v>
      </c>
      <c r="AG51">
        <v>1000</v>
      </c>
      <c r="AH51" s="8">
        <v>1.3605442176870747E-12</v>
      </c>
      <c r="AI51" s="12">
        <v>0.61599999999999999</v>
      </c>
      <c r="AJ51">
        <f t="shared" si="7"/>
        <v>52.178724970584042</v>
      </c>
      <c r="AK51">
        <f t="shared" si="8"/>
        <v>5.1495183673469391E-14</v>
      </c>
      <c r="AL51" s="8">
        <f t="shared" si="12"/>
        <v>-13.288233388470468</v>
      </c>
      <c r="AM51" s="31">
        <f t="shared" si="3"/>
        <v>2.2466755310899312E-3</v>
      </c>
      <c r="AN51">
        <f t="shared" si="9"/>
        <v>2.2172440816326528E-18</v>
      </c>
      <c r="AO51" s="8">
        <f t="shared" si="13"/>
        <v>-17.654186495667027</v>
      </c>
      <c r="AP51">
        <v>5.0000000000000001E-4</v>
      </c>
      <c r="AQ51">
        <f t="shared" si="10"/>
        <v>8.8200000000000021</v>
      </c>
      <c r="AR51">
        <f t="shared" si="11"/>
        <v>4.3057309897022267E-5</v>
      </c>
    </row>
    <row r="52" spans="1:44" s="10" customFormat="1">
      <c r="A52" s="10">
        <v>350</v>
      </c>
      <c r="B52" s="10">
        <v>350</v>
      </c>
      <c r="C52" s="10">
        <f>B52*AF52</f>
        <v>1.9999999999999999E-6</v>
      </c>
      <c r="D52" s="10">
        <v>10</v>
      </c>
      <c r="E52">
        <f>D52*AF52*10^9</f>
        <v>57.142857142857146</v>
      </c>
      <c r="F52" s="10">
        <v>1</v>
      </c>
      <c r="G52" s="8">
        <v>2</v>
      </c>
      <c r="H52" s="10" t="s">
        <v>132</v>
      </c>
      <c r="I52" s="10">
        <v>2000</v>
      </c>
      <c r="J52">
        <f t="shared" si="32"/>
        <v>1.1428571428571429E-5</v>
      </c>
      <c r="K52" s="94" t="s">
        <v>140</v>
      </c>
      <c r="L52" s="97">
        <v>0.67900000000000005</v>
      </c>
      <c r="M52" s="10">
        <v>5.7142857142857144E-9</v>
      </c>
      <c r="N52" s="16">
        <v>32</v>
      </c>
      <c r="O52" s="16">
        <v>3054</v>
      </c>
      <c r="P52" s="16">
        <v>1054</v>
      </c>
      <c r="Q52">
        <f t="shared" si="33"/>
        <v>1.8285714285714286E-7</v>
      </c>
      <c r="R52">
        <f t="shared" si="34"/>
        <v>1.7451428571428572E-5</v>
      </c>
      <c r="S52" s="10">
        <f t="shared" si="35"/>
        <v>1.051074612244898E-10</v>
      </c>
      <c r="T52">
        <f t="shared" si="36"/>
        <v>3.1911183673469392E-12</v>
      </c>
      <c r="U52" s="318">
        <f t="shared" si="37"/>
        <v>11440</v>
      </c>
      <c r="V52" s="16">
        <v>1926.1</v>
      </c>
      <c r="W52" s="16">
        <v>0.18639700000000001</v>
      </c>
      <c r="X52" s="223">
        <v>9.0282399999999999E-2</v>
      </c>
      <c r="Y52" s="8">
        <f>8.7151*10^-8</f>
        <v>8.7150999999999997E-8</v>
      </c>
      <c r="Z52" s="223">
        <v>9.0282399999999999E-2</v>
      </c>
      <c r="AA52" s="8">
        <v>8.7150999999999997E-8</v>
      </c>
      <c r="AB52" s="28">
        <f t="shared" si="14"/>
        <v>1.0000000000002185</v>
      </c>
      <c r="AC52" s="8">
        <f t="shared" si="4"/>
        <v>9.4889822708833081E-14</v>
      </c>
      <c r="AD52" s="8">
        <f t="shared" si="5"/>
        <v>2138782.1138029485</v>
      </c>
      <c r="AE52" s="8">
        <f t="shared" si="6"/>
        <v>4.6873163387155391E-5</v>
      </c>
      <c r="AF52" s="10">
        <v>5.7142857142857144E-9</v>
      </c>
      <c r="AG52" s="10">
        <v>1000</v>
      </c>
      <c r="AH52" s="8">
        <v>1.3605442176870747E-12</v>
      </c>
      <c r="AI52" s="12">
        <v>0.67900000000000005</v>
      </c>
      <c r="AJ52" s="10">
        <f t="shared" si="7"/>
        <v>63.727896670878316</v>
      </c>
      <c r="AK52" s="10">
        <f t="shared" si="8"/>
        <v>6.2893061224489804E-14</v>
      </c>
      <c r="AL52" s="8">
        <f t="shared" si="12"/>
        <v>-13.201397266130918</v>
      </c>
      <c r="AM52" s="33">
        <f t="shared" si="3"/>
        <v>2.9871281129738351E-3</v>
      </c>
      <c r="AN52" s="10">
        <f t="shared" si="9"/>
        <v>2.9479967346938775E-18</v>
      </c>
      <c r="AO52" s="8">
        <f t="shared" si="13"/>
        <v>-17.530473001852748</v>
      </c>
      <c r="AP52" s="10">
        <v>5.0000000000000001E-4</v>
      </c>
      <c r="AQ52" s="10">
        <f t="shared" si="10"/>
        <v>8.8200000000000021</v>
      </c>
      <c r="AR52" s="10">
        <f t="shared" si="11"/>
        <v>4.6873163387155385E-5</v>
      </c>
    </row>
    <row r="54" spans="1:44">
      <c r="I54" s="7">
        <v>5.7142857142857144E-9</v>
      </c>
      <c r="K54" s="94">
        <f>200*I54</f>
        <v>1.142857142857143E-6</v>
      </c>
      <c r="L54" s="97" t="s">
        <v>252</v>
      </c>
      <c r="M54">
        <f>1540*1054*M47^2</f>
        <v>5.3001142857142863E-11</v>
      </c>
      <c r="AB54" s="12">
        <v>1.0000000256812074</v>
      </c>
      <c r="AF54">
        <f>1540*1054*AF47^2</f>
        <v>5.3001142857142863E-11</v>
      </c>
    </row>
    <row r="55" spans="1:44">
      <c r="F55" t="s">
        <v>188</v>
      </c>
      <c r="G55" s="8">
        <f>2*(350*350+350*10+350*10)</f>
        <v>259000</v>
      </c>
      <c r="I55" s="7">
        <v>5.7142857142857144E-9</v>
      </c>
      <c r="K55" s="94">
        <f>1100*I55</f>
        <v>6.2857142857142858E-6</v>
      </c>
      <c r="L55" s="97" t="s">
        <v>251</v>
      </c>
    </row>
    <row r="56" spans="1:44">
      <c r="F56" t="s">
        <v>189</v>
      </c>
      <c r="G56" s="8">
        <f>G55*9</f>
        <v>2331000</v>
      </c>
    </row>
    <row r="58" spans="1:44">
      <c r="I58" t="s">
        <v>460</v>
      </c>
      <c r="J58" t="s">
        <v>306</v>
      </c>
    </row>
    <row r="59" spans="1:44">
      <c r="I59">
        <v>384</v>
      </c>
      <c r="J59">
        <v>0.318</v>
      </c>
    </row>
    <row r="60" spans="1:44">
      <c r="I60">
        <v>600</v>
      </c>
      <c r="J60">
        <v>0.40699999999999997</v>
      </c>
    </row>
    <row r="61" spans="1:44">
      <c r="I61">
        <v>1</v>
      </c>
      <c r="J61">
        <f>(I60-I59)/(J60-J59)</f>
        <v>2426.9662921348322</v>
      </c>
    </row>
    <row r="62" spans="1:44">
      <c r="I62">
        <v>0.04</v>
      </c>
      <c r="J62">
        <f>I62*J61</f>
        <v>97.078651685393297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31"/>
  <sheetViews>
    <sheetView zoomScaleNormal="100" workbookViewId="0">
      <selection activeCell="A24" sqref="A24:XFD31"/>
    </sheetView>
  </sheetViews>
  <sheetFormatPr defaultRowHeight="15.75"/>
  <cols>
    <col min="1" max="1" width="10.625" bestFit="1" customWidth="1"/>
    <col min="2" max="2" width="15.625" bestFit="1" customWidth="1"/>
    <col min="3" max="3" width="8.5" bestFit="1" customWidth="1"/>
    <col min="4" max="4" width="7.125" bestFit="1" customWidth="1"/>
    <col min="5" max="5" width="11.5" bestFit="1" customWidth="1"/>
    <col min="6" max="6" width="14.375" bestFit="1" customWidth="1"/>
    <col min="7" max="7" width="12.625" style="8" bestFit="1" customWidth="1"/>
    <col min="8" max="8" width="12.625" style="10" customWidth="1"/>
    <col min="9" max="9" width="12.625" style="8" customWidth="1"/>
    <col min="10" max="10" width="19.625" bestFit="1" customWidth="1"/>
    <col min="11" max="11" width="12.625" style="8" bestFit="1" customWidth="1"/>
    <col min="12" max="12" width="26.25" bestFit="1" customWidth="1"/>
    <col min="13" max="13" width="33" bestFit="1" customWidth="1"/>
    <col min="14" max="14" width="8.875" bestFit="1" customWidth="1"/>
    <col min="15" max="15" width="15.125" style="10" bestFit="1" customWidth="1"/>
    <col min="16" max="16" width="16.75" style="83" bestFit="1" customWidth="1"/>
    <col min="17" max="17" width="24" style="8" bestFit="1" customWidth="1"/>
    <col min="18" max="18" width="17.5" bestFit="1" customWidth="1"/>
    <col min="19" max="19" width="9.625" style="8" bestFit="1" customWidth="1"/>
    <col min="20" max="20" width="27.75" bestFit="1" customWidth="1"/>
    <col min="21" max="21" width="25.875" bestFit="1" customWidth="1"/>
    <col min="22" max="22" width="35.625" bestFit="1" customWidth="1"/>
    <col min="23" max="23" width="36" bestFit="1" customWidth="1"/>
    <col min="24" max="24" width="22.75" bestFit="1" customWidth="1"/>
    <col min="25" max="25" width="22.75" customWidth="1"/>
    <col min="26" max="27" width="26.875" bestFit="1" customWidth="1"/>
    <col min="28" max="28" width="41.375" bestFit="1" customWidth="1"/>
    <col min="29" max="29" width="24.625" bestFit="1" customWidth="1"/>
    <col min="30" max="30" width="21" bestFit="1" customWidth="1"/>
    <col min="31" max="31" width="22.25" style="8" bestFit="1" customWidth="1"/>
    <col min="32" max="32" width="34.25" bestFit="1" customWidth="1"/>
    <col min="33" max="33" width="22.5" bestFit="1" customWidth="1"/>
    <col min="34" max="34" width="27.25" bestFit="1" customWidth="1"/>
    <col min="35" max="35" width="22.25" style="8" bestFit="1" customWidth="1"/>
    <col min="36" max="36" width="13" bestFit="1" customWidth="1"/>
    <col min="37" max="37" width="27.5" bestFit="1" customWidth="1"/>
    <col min="38" max="39" width="29.75" bestFit="1" customWidth="1"/>
    <col min="40" max="40" width="34" bestFit="1" customWidth="1"/>
    <col min="41" max="41" width="22.625" bestFit="1" customWidth="1"/>
    <col min="42" max="42" width="24.375" bestFit="1" customWidth="1"/>
    <col min="43" max="43" width="28.125" bestFit="1" customWidth="1"/>
    <col min="44" max="44" width="11.5" style="8" bestFit="1" customWidth="1"/>
    <col min="45" max="45" width="42.125" bestFit="1" customWidth="1"/>
    <col min="46" max="46" width="37.625" style="8" bestFit="1" customWidth="1"/>
    <col min="47" max="48" width="37.625" style="10" customWidth="1"/>
    <col min="49" max="49" width="37.625" style="8" customWidth="1"/>
    <col min="50" max="50" width="22.75" bestFit="1" customWidth="1"/>
    <col min="51" max="51" width="11.75" bestFit="1" customWidth="1"/>
    <col min="52" max="52" width="17.25" bestFit="1" customWidth="1"/>
    <col min="53" max="53" width="13.75" bestFit="1" customWidth="1"/>
    <col min="54" max="54" width="25.5" bestFit="1" customWidth="1"/>
    <col min="55" max="55" width="25.875" bestFit="1" customWidth="1"/>
    <col min="56" max="56" width="24.375" bestFit="1" customWidth="1"/>
    <col min="57" max="57" width="28.125" bestFit="1" customWidth="1"/>
    <col min="58" max="58" width="6.75" bestFit="1" customWidth="1"/>
    <col min="59" max="59" width="27.75" bestFit="1" customWidth="1"/>
    <col min="60" max="60" width="24.625" bestFit="1" customWidth="1"/>
    <col min="61" max="61" width="22.75" bestFit="1" customWidth="1"/>
    <col min="62" max="62" width="11.75" bestFit="1" customWidth="1"/>
    <col min="63" max="63" width="17.25" bestFit="1" customWidth="1"/>
    <col min="64" max="64" width="13.75" bestFit="1" customWidth="1"/>
    <col min="65" max="65" width="25.5" bestFit="1" customWidth="1"/>
    <col min="66" max="66" width="25.875" bestFit="1" customWidth="1"/>
  </cols>
  <sheetData>
    <row r="1" spans="1:66" s="154" customFormat="1" thickBot="1">
      <c r="A1" s="154" t="s">
        <v>402</v>
      </c>
      <c r="B1" s="154" t="s">
        <v>362</v>
      </c>
      <c r="C1" s="154" t="s">
        <v>0</v>
      </c>
      <c r="D1" s="154" t="s">
        <v>14</v>
      </c>
      <c r="E1" s="154" t="s">
        <v>1</v>
      </c>
      <c r="F1" s="154" t="s">
        <v>190</v>
      </c>
      <c r="G1" s="155" t="s">
        <v>7</v>
      </c>
      <c r="H1" s="156" t="s">
        <v>446</v>
      </c>
      <c r="I1" s="155" t="s">
        <v>344</v>
      </c>
      <c r="J1" s="156" t="s">
        <v>8</v>
      </c>
      <c r="K1" s="155" t="s">
        <v>9</v>
      </c>
      <c r="L1" s="154" t="s">
        <v>2</v>
      </c>
      <c r="M1" s="154" t="s">
        <v>3</v>
      </c>
      <c r="N1" s="154" t="s">
        <v>4</v>
      </c>
      <c r="O1" s="156" t="s">
        <v>12</v>
      </c>
      <c r="P1" s="197" t="s">
        <v>11</v>
      </c>
      <c r="Q1" s="155" t="s">
        <v>13</v>
      </c>
      <c r="R1" s="154" t="s">
        <v>5</v>
      </c>
      <c r="S1" s="155" t="s">
        <v>6</v>
      </c>
      <c r="T1" s="154" t="s">
        <v>369</v>
      </c>
      <c r="U1" s="154" t="s">
        <v>368</v>
      </c>
      <c r="V1" s="154" t="s">
        <v>351</v>
      </c>
      <c r="W1" s="154" t="s">
        <v>352</v>
      </c>
      <c r="X1" s="154" t="s">
        <v>354</v>
      </c>
      <c r="Y1" s="154" t="s">
        <v>477</v>
      </c>
      <c r="Z1" s="154" t="s">
        <v>478</v>
      </c>
      <c r="AA1" s="154" t="s">
        <v>479</v>
      </c>
      <c r="AB1" s="154" t="s">
        <v>367</v>
      </c>
      <c r="AC1" s="154" t="s">
        <v>348</v>
      </c>
      <c r="AD1" s="154" t="s">
        <v>349</v>
      </c>
      <c r="AE1" s="155" t="s">
        <v>350</v>
      </c>
      <c r="AF1" s="154" t="s">
        <v>384</v>
      </c>
      <c r="AG1" s="154" t="s">
        <v>126</v>
      </c>
      <c r="AH1" s="154" t="s">
        <v>161</v>
      </c>
      <c r="AI1" s="155" t="s">
        <v>160</v>
      </c>
      <c r="AJ1" s="154" t="s">
        <v>179</v>
      </c>
      <c r="AK1" s="154" t="s">
        <v>10</v>
      </c>
      <c r="AL1" s="154" t="s">
        <v>183</v>
      </c>
      <c r="AM1" s="154" t="s">
        <v>183</v>
      </c>
      <c r="AN1" s="154" t="s">
        <v>141</v>
      </c>
      <c r="AO1" s="154" t="s">
        <v>78</v>
      </c>
      <c r="AP1" s="155" t="s">
        <v>182</v>
      </c>
      <c r="AQ1" s="154" t="s">
        <v>142</v>
      </c>
      <c r="AR1" s="155" t="s">
        <v>370</v>
      </c>
      <c r="AS1" s="155" t="s">
        <v>162</v>
      </c>
      <c r="AT1" s="155" t="s">
        <v>163</v>
      </c>
      <c r="AU1" s="156" t="s">
        <v>501</v>
      </c>
      <c r="AV1" s="156" t="s">
        <v>502</v>
      </c>
      <c r="AW1" s="155" t="s">
        <v>503</v>
      </c>
      <c r="AX1" s="154" t="s">
        <v>357</v>
      </c>
      <c r="AY1" s="154" t="s">
        <v>358</v>
      </c>
      <c r="AZ1" s="154" t="s">
        <v>359</v>
      </c>
      <c r="BA1" s="154" t="s">
        <v>117</v>
      </c>
      <c r="BB1" s="154" t="s">
        <v>360</v>
      </c>
      <c r="BC1" s="154" t="s">
        <v>361</v>
      </c>
      <c r="BD1" s="154" t="s">
        <v>182</v>
      </c>
      <c r="BE1" s="154" t="s">
        <v>142</v>
      </c>
      <c r="BF1" s="154" t="s">
        <v>59</v>
      </c>
      <c r="BG1" s="154" t="s">
        <v>355</v>
      </c>
      <c r="BH1" s="154" t="s">
        <v>356</v>
      </c>
      <c r="BI1" s="154" t="s">
        <v>357</v>
      </c>
      <c r="BJ1" s="154" t="s">
        <v>358</v>
      </c>
      <c r="BK1" s="154" t="s">
        <v>359</v>
      </c>
      <c r="BL1" s="154" t="s">
        <v>117</v>
      </c>
      <c r="BM1" s="154" t="s">
        <v>360</v>
      </c>
      <c r="BN1" s="154" t="s">
        <v>361</v>
      </c>
    </row>
    <row r="2" spans="1:66">
      <c r="A2" t="s">
        <v>335</v>
      </c>
      <c r="C2">
        <v>200</v>
      </c>
      <c r="D2">
        <v>200</v>
      </c>
      <c r="E2">
        <v>20</v>
      </c>
      <c r="F2">
        <f>C2/E2</f>
        <v>10</v>
      </c>
      <c r="G2" s="8">
        <v>3.3333333333333335E-11</v>
      </c>
      <c r="H2" s="10">
        <f>C2*G2*10^9</f>
        <v>6.666666666666667</v>
      </c>
      <c r="I2" s="8">
        <f>E2*G2*10^9</f>
        <v>0.66666666666666663</v>
      </c>
      <c r="J2" s="10">
        <v>1000</v>
      </c>
      <c r="K2" s="8">
        <v>9.4220513690240601E-12</v>
      </c>
      <c r="L2">
        <v>2</v>
      </c>
      <c r="M2">
        <v>2</v>
      </c>
      <c r="N2" t="s">
        <v>20</v>
      </c>
      <c r="O2" s="10">
        <v>88000</v>
      </c>
      <c r="P2" s="83">
        <f t="shared" ref="P2:P21" si="0">(O2*K2^2)/(G2^2*J2)</f>
        <v>7.0309841184418307</v>
      </c>
      <c r="Q2" s="8">
        <v>0</v>
      </c>
      <c r="R2" t="s">
        <v>372</v>
      </c>
      <c r="S2" s="8">
        <v>4.7E-2</v>
      </c>
      <c r="T2" s="16">
        <v>62</v>
      </c>
      <c r="U2">
        <f t="shared" ref="U2:U17" si="1">T2*G2</f>
        <v>2.0666666666666666E-9</v>
      </c>
      <c r="V2">
        <v>604</v>
      </c>
      <c r="W2">
        <v>604</v>
      </c>
      <c r="X2">
        <f t="shared" ref="X2:X17" si="2">D2*3</f>
        <v>600</v>
      </c>
      <c r="Y2">
        <f>V2*G2</f>
        <v>2.0133333333333335E-8</v>
      </c>
      <c r="Z2">
        <f t="shared" ref="Z2:Z17" si="3">V2*W2*G2^2</f>
        <v>4.0535111111111114E-16</v>
      </c>
      <c r="AA2">
        <f>W2*T2*G2^2</f>
        <v>4.1608888888888893E-17</v>
      </c>
      <c r="AB2">
        <f>W2-X2</f>
        <v>4</v>
      </c>
      <c r="AC2">
        <f>AB2/2</f>
        <v>2</v>
      </c>
      <c r="AD2">
        <f t="shared" ref="AD2:AD15" si="4">AC2*G2</f>
        <v>6.6666666666666669E-11</v>
      </c>
      <c r="AE2" s="8">
        <f>AD2*10^9</f>
        <v>6.6666666666666666E-2</v>
      </c>
      <c r="AK2">
        <f>((AI2^2)*W2*1000)/(0.9869*(10^-12))</f>
        <v>0</v>
      </c>
      <c r="AN2" t="e">
        <f t="shared" ref="AN2:AN4" si="5">LOG10(AM2)</f>
        <v>#NUM!</v>
      </c>
      <c r="AP2" s="8"/>
      <c r="AS2" s="8"/>
    </row>
    <row r="3" spans="1:66">
      <c r="C3">
        <v>200</v>
      </c>
      <c r="D3">
        <v>200</v>
      </c>
      <c r="E3">
        <v>20</v>
      </c>
      <c r="F3">
        <f t="shared" ref="F3:F10" si="6">C3/E3</f>
        <v>10</v>
      </c>
      <c r="G3" s="8">
        <v>1.5037593984962404E-8</v>
      </c>
      <c r="H3" s="10">
        <f t="shared" ref="H3:H21" si="7">C3*G3*10^9</f>
        <v>3007.5187969924809</v>
      </c>
      <c r="I3" s="8">
        <f t="shared" ref="I3:I21" si="8">E3*G3*10^9</f>
        <v>300.75187969924809</v>
      </c>
      <c r="J3" s="10">
        <v>1000</v>
      </c>
      <c r="K3" s="8">
        <v>9.4220513690240601E-12</v>
      </c>
      <c r="L3">
        <v>2</v>
      </c>
      <c r="M3">
        <v>2</v>
      </c>
      <c r="N3" t="s">
        <v>20</v>
      </c>
      <c r="O3" s="10">
        <v>88000</v>
      </c>
      <c r="P3" s="83">
        <f t="shared" si="0"/>
        <v>3.4547521686421546E-5</v>
      </c>
      <c r="Q3" s="8">
        <v>2</v>
      </c>
      <c r="R3" t="s">
        <v>373</v>
      </c>
      <c r="S3" s="8">
        <v>0.11799999999999999</v>
      </c>
      <c r="T3" s="16">
        <v>66</v>
      </c>
      <c r="U3">
        <f t="shared" si="1"/>
        <v>9.9248120300751861E-7</v>
      </c>
      <c r="V3">
        <v>608</v>
      </c>
      <c r="W3">
        <v>608</v>
      </c>
      <c r="X3">
        <f t="shared" si="2"/>
        <v>600</v>
      </c>
      <c r="Y3">
        <f t="shared" ref="Y3:Y31" si="9">V3*G3</f>
        <v>9.1428571428571422E-6</v>
      </c>
      <c r="Z3">
        <f t="shared" si="3"/>
        <v>8.3591836734693864E-11</v>
      </c>
      <c r="AA3">
        <f t="shared" ref="AA3:AA31" si="10">W3*T3*G3^2</f>
        <v>9.074113856068742E-12</v>
      </c>
      <c r="AB3">
        <f t="shared" ref="AB3:AB10" si="11">W3-X3</f>
        <v>8</v>
      </c>
      <c r="AC3">
        <f t="shared" ref="AC3:AC10" si="12">AB3/2</f>
        <v>4</v>
      </c>
      <c r="AD3">
        <f t="shared" si="4"/>
        <v>6.0150375939849616E-8</v>
      </c>
      <c r="AE3" s="8">
        <f t="shared" ref="AE3:AE10" si="13">AD3*10^9</f>
        <v>60.150375939849617</v>
      </c>
      <c r="AK3">
        <f>((AI3^2)*W3*1000)/(0.9869*(10^-12))</f>
        <v>0</v>
      </c>
      <c r="AN3" t="e">
        <f t="shared" si="5"/>
        <v>#NUM!</v>
      </c>
      <c r="AP3" s="8"/>
      <c r="AS3" s="8"/>
    </row>
    <row r="4" spans="1:66">
      <c r="C4">
        <v>200</v>
      </c>
      <c r="D4">
        <v>200</v>
      </c>
      <c r="E4">
        <v>20</v>
      </c>
      <c r="F4">
        <f t="shared" si="6"/>
        <v>10</v>
      </c>
      <c r="G4" s="8">
        <v>1.5037593984962404E-8</v>
      </c>
      <c r="H4" s="10">
        <f t="shared" si="7"/>
        <v>3007.5187969924809</v>
      </c>
      <c r="I4" s="8">
        <f t="shared" si="8"/>
        <v>300.75187969924809</v>
      </c>
      <c r="J4" s="10">
        <v>1000</v>
      </c>
      <c r="K4" s="8">
        <v>9.4220513690240601E-12</v>
      </c>
      <c r="L4">
        <v>2</v>
      </c>
      <c r="M4">
        <v>2</v>
      </c>
      <c r="N4" t="s">
        <v>20</v>
      </c>
      <c r="O4" s="10">
        <v>88000</v>
      </c>
      <c r="P4" s="83">
        <f t="shared" si="0"/>
        <v>3.4547521686421546E-5</v>
      </c>
      <c r="Q4" s="8">
        <v>6</v>
      </c>
      <c r="R4" t="s">
        <v>377</v>
      </c>
      <c r="S4" s="8">
        <v>0.23699999999999999</v>
      </c>
      <c r="T4" s="16">
        <v>74</v>
      </c>
      <c r="U4">
        <f t="shared" si="1"/>
        <v>1.1127819548872178E-6</v>
      </c>
      <c r="V4">
        <v>616</v>
      </c>
      <c r="W4">
        <v>616</v>
      </c>
      <c r="X4">
        <f t="shared" si="2"/>
        <v>600</v>
      </c>
      <c r="Y4">
        <f t="shared" si="9"/>
        <v>9.2631578947368403E-6</v>
      </c>
      <c r="Z4">
        <f t="shared" si="3"/>
        <v>8.5806094182825468E-11</v>
      </c>
      <c r="AA4">
        <f t="shared" si="10"/>
        <v>1.0307874950534228E-11</v>
      </c>
      <c r="AB4">
        <f t="shared" si="11"/>
        <v>16</v>
      </c>
      <c r="AC4">
        <f t="shared" si="12"/>
        <v>8</v>
      </c>
      <c r="AD4">
        <f t="shared" si="4"/>
        <v>1.2030075187969923E-7</v>
      </c>
      <c r="AE4" s="8">
        <f t="shared" si="13"/>
        <v>120.30075187969923</v>
      </c>
      <c r="AF4">
        <v>0.14008799999999999</v>
      </c>
      <c r="AG4" s="54">
        <v>3.9778200000000001E-7</v>
      </c>
      <c r="AH4">
        <v>0.98463900000000004</v>
      </c>
      <c r="AI4" s="157">
        <v>3.3187099999999999E-7</v>
      </c>
      <c r="AJ4">
        <f>AH4/AF4</f>
        <v>7.0287176631831425</v>
      </c>
      <c r="AK4">
        <f t="shared" ref="AK4:AK12" si="14">((G4^2)*AF4*1000)/(0.9869*(10^-12))</f>
        <v>3.2098482087761906E-2</v>
      </c>
      <c r="AL4">
        <f>AF4*(G4^2)</f>
        <v>3.1677991972412226E-17</v>
      </c>
      <c r="AM4">
        <f t="shared" ref="AM4:AM10" si="15">9.869*10^-16*AK4</f>
        <v>3.1677991972412226E-17</v>
      </c>
      <c r="AN4">
        <f t="shared" si="5"/>
        <v>-16.499242355584443</v>
      </c>
    </row>
    <row r="5" spans="1:66">
      <c r="C5">
        <v>200</v>
      </c>
      <c r="D5">
        <v>200</v>
      </c>
      <c r="E5">
        <v>20</v>
      </c>
      <c r="F5">
        <f t="shared" si="6"/>
        <v>10</v>
      </c>
      <c r="G5" s="8">
        <v>1.5037593984962404E-8</v>
      </c>
      <c r="H5" s="10">
        <f t="shared" si="7"/>
        <v>3007.5187969924809</v>
      </c>
      <c r="I5" s="8">
        <f t="shared" si="8"/>
        <v>300.75187969924809</v>
      </c>
      <c r="J5" s="10">
        <v>1000</v>
      </c>
      <c r="K5" s="8">
        <v>9.4220513690240601E-12</v>
      </c>
      <c r="L5">
        <v>2</v>
      </c>
      <c r="M5">
        <v>2</v>
      </c>
      <c r="N5" t="s">
        <v>20</v>
      </c>
      <c r="O5" s="10">
        <v>88000</v>
      </c>
      <c r="P5" s="83">
        <f t="shared" si="0"/>
        <v>3.4547521686421546E-5</v>
      </c>
      <c r="Q5" s="8">
        <v>10</v>
      </c>
      <c r="R5" t="s">
        <v>378</v>
      </c>
      <c r="S5" s="8">
        <v>0.33200000000000002</v>
      </c>
      <c r="T5" s="16">
        <v>82</v>
      </c>
      <c r="U5">
        <f t="shared" si="1"/>
        <v>1.2330827067669172E-6</v>
      </c>
      <c r="V5">
        <v>624</v>
      </c>
      <c r="W5">
        <v>624</v>
      </c>
      <c r="X5">
        <f t="shared" si="2"/>
        <v>600</v>
      </c>
      <c r="Y5">
        <f t="shared" si="9"/>
        <v>9.3834586466165402E-6</v>
      </c>
      <c r="Z5">
        <f t="shared" si="3"/>
        <v>8.804929617276271E-11</v>
      </c>
      <c r="AA5">
        <f t="shared" si="10"/>
        <v>1.1570580586805357E-11</v>
      </c>
      <c r="AB5">
        <f t="shared" si="11"/>
        <v>24</v>
      </c>
      <c r="AC5">
        <f t="shared" si="12"/>
        <v>12</v>
      </c>
      <c r="AD5">
        <f t="shared" si="4"/>
        <v>1.8045112781954886E-7</v>
      </c>
      <c r="AE5" s="8">
        <f t="shared" si="13"/>
        <v>180.45112781954887</v>
      </c>
      <c r="AK5">
        <f t="shared" si="14"/>
        <v>0</v>
      </c>
      <c r="AL5">
        <f t="shared" ref="AL5:AL6" si="16">AF5*(G5^2)</f>
        <v>0</v>
      </c>
      <c r="AM5">
        <f t="shared" si="15"/>
        <v>0</v>
      </c>
      <c r="AN5" t="e">
        <f t="shared" ref="AN5:AN9" si="17">LOG10(AM5)</f>
        <v>#NUM!</v>
      </c>
    </row>
    <row r="6" spans="1:66">
      <c r="C6">
        <v>200</v>
      </c>
      <c r="D6">
        <v>200</v>
      </c>
      <c r="E6">
        <v>20</v>
      </c>
      <c r="F6">
        <f t="shared" si="6"/>
        <v>10</v>
      </c>
      <c r="G6" s="8">
        <v>1.5037593984962404E-8</v>
      </c>
      <c r="H6" s="10">
        <f t="shared" si="7"/>
        <v>3007.5187969924809</v>
      </c>
      <c r="I6" s="8">
        <f t="shared" si="8"/>
        <v>300.75187969924809</v>
      </c>
      <c r="J6" s="10">
        <v>1000</v>
      </c>
      <c r="K6" s="8">
        <v>9.4220513690240601E-12</v>
      </c>
      <c r="L6">
        <v>2</v>
      </c>
      <c r="M6">
        <v>2</v>
      </c>
      <c r="N6" t="s">
        <v>20</v>
      </c>
      <c r="O6" s="10">
        <v>88000</v>
      </c>
      <c r="P6" s="83">
        <f t="shared" si="0"/>
        <v>3.4547521686421546E-5</v>
      </c>
      <c r="Q6" s="8">
        <v>16</v>
      </c>
      <c r="R6" t="s">
        <v>379</v>
      </c>
      <c r="S6" s="8">
        <v>0.443</v>
      </c>
      <c r="T6" s="16">
        <v>94</v>
      </c>
      <c r="U6">
        <f t="shared" si="1"/>
        <v>1.4135338345864659E-6</v>
      </c>
      <c r="V6">
        <v>636</v>
      </c>
      <c r="W6">
        <v>636</v>
      </c>
      <c r="X6">
        <f t="shared" si="2"/>
        <v>600</v>
      </c>
      <c r="Y6">
        <f t="shared" si="9"/>
        <v>9.5639097744360891E-6</v>
      </c>
      <c r="Z6">
        <f t="shared" si="3"/>
        <v>9.1468370173554161E-11</v>
      </c>
      <c r="AA6">
        <f t="shared" si="10"/>
        <v>1.3518910057097628E-11</v>
      </c>
      <c r="AB6">
        <f t="shared" si="11"/>
        <v>36</v>
      </c>
      <c r="AC6">
        <f t="shared" si="12"/>
        <v>18</v>
      </c>
      <c r="AD6">
        <f t="shared" si="4"/>
        <v>2.7067669172932327E-7</v>
      </c>
      <c r="AE6" s="8">
        <f t="shared" si="13"/>
        <v>270.67669172932324</v>
      </c>
      <c r="AF6">
        <v>1.9413499999999999</v>
      </c>
      <c r="AG6" s="54">
        <v>4.32702E-6</v>
      </c>
      <c r="AH6">
        <v>11.175000000000001</v>
      </c>
      <c r="AI6" s="157">
        <v>3.6478999999999998E-6</v>
      </c>
      <c r="AJ6">
        <f>AH6/AF6</f>
        <v>5.7563036031627481</v>
      </c>
      <c r="AK6">
        <f t="shared" si="14"/>
        <v>0.44482316972957409</v>
      </c>
      <c r="AL6">
        <f t="shared" si="16"/>
        <v>4.3899598620611667E-16</v>
      </c>
      <c r="AM6">
        <f t="shared" si="15"/>
        <v>4.3899598620611662E-16</v>
      </c>
      <c r="AN6">
        <f t="shared" si="17"/>
        <v>-15.357539450547181</v>
      </c>
    </row>
    <row r="7" spans="1:66">
      <c r="C7">
        <v>200</v>
      </c>
      <c r="D7">
        <v>200</v>
      </c>
      <c r="E7">
        <v>20</v>
      </c>
      <c r="F7">
        <f t="shared" si="6"/>
        <v>10</v>
      </c>
      <c r="G7" s="8">
        <v>1.5037593984962404E-8</v>
      </c>
      <c r="H7" s="10">
        <f t="shared" si="7"/>
        <v>3007.5187969924809</v>
      </c>
      <c r="I7" s="8">
        <f t="shared" si="8"/>
        <v>300.75187969924809</v>
      </c>
      <c r="J7" s="10">
        <v>1000</v>
      </c>
      <c r="K7" s="8">
        <v>9.4220513690240601E-12</v>
      </c>
      <c r="L7">
        <v>2</v>
      </c>
      <c r="M7">
        <v>2</v>
      </c>
      <c r="N7" t="s">
        <v>20</v>
      </c>
      <c r="O7" s="10">
        <v>88000</v>
      </c>
      <c r="P7" s="83">
        <f t="shared" si="0"/>
        <v>3.4547521686421546E-5</v>
      </c>
      <c r="Q7" s="8">
        <v>22</v>
      </c>
      <c r="R7" t="s">
        <v>381</v>
      </c>
      <c r="S7" s="8">
        <v>0.52700000000000002</v>
      </c>
      <c r="T7" s="16">
        <v>106</v>
      </c>
      <c r="U7">
        <f t="shared" si="1"/>
        <v>1.5939849624060149E-6</v>
      </c>
      <c r="V7">
        <v>648</v>
      </c>
      <c r="W7">
        <v>648</v>
      </c>
      <c r="X7">
        <f t="shared" si="2"/>
        <v>600</v>
      </c>
      <c r="Y7">
        <f t="shared" si="9"/>
        <v>9.744360902255638E-6</v>
      </c>
      <c r="Z7">
        <f t="shared" si="3"/>
        <v>9.495256939340831E-11</v>
      </c>
      <c r="AA7">
        <f t="shared" si="10"/>
        <v>1.5532364746452594E-11</v>
      </c>
      <c r="AB7">
        <f t="shared" si="11"/>
        <v>48</v>
      </c>
      <c r="AC7">
        <f t="shared" si="12"/>
        <v>24</v>
      </c>
      <c r="AD7">
        <f t="shared" si="4"/>
        <v>3.6090225563909772E-7</v>
      </c>
      <c r="AE7" s="8">
        <f t="shared" si="13"/>
        <v>360.90225563909775</v>
      </c>
      <c r="AK7">
        <f t="shared" si="14"/>
        <v>0</v>
      </c>
      <c r="AL7">
        <f t="shared" ref="AL7:AL12" si="18">AF7*G7^2</f>
        <v>0</v>
      </c>
      <c r="AM7">
        <f t="shared" si="15"/>
        <v>0</v>
      </c>
      <c r="AN7" t="e">
        <f t="shared" si="17"/>
        <v>#NUM!</v>
      </c>
    </row>
    <row r="8" spans="1:66">
      <c r="C8">
        <v>200</v>
      </c>
      <c r="D8">
        <v>200</v>
      </c>
      <c r="E8">
        <v>20</v>
      </c>
      <c r="F8">
        <f t="shared" si="6"/>
        <v>10</v>
      </c>
      <c r="G8" s="8">
        <v>1.5037593984962404E-8</v>
      </c>
      <c r="H8" s="10">
        <f t="shared" si="7"/>
        <v>3007.5187969924809</v>
      </c>
      <c r="I8" s="8">
        <f t="shared" si="8"/>
        <v>300.75187969924809</v>
      </c>
      <c r="J8" s="10">
        <v>1000</v>
      </c>
      <c r="K8" s="8">
        <v>9.4220513690240601E-12</v>
      </c>
      <c r="L8">
        <v>2</v>
      </c>
      <c r="M8">
        <v>2</v>
      </c>
      <c r="N8" t="s">
        <v>20</v>
      </c>
      <c r="O8" s="10">
        <v>88000</v>
      </c>
      <c r="P8" s="83">
        <f t="shared" si="0"/>
        <v>3.4547521686421546E-5</v>
      </c>
      <c r="Q8" s="8">
        <v>30</v>
      </c>
      <c r="R8" t="s">
        <v>382</v>
      </c>
      <c r="S8" s="8">
        <v>0.61199999999999999</v>
      </c>
      <c r="T8" s="16">
        <v>122</v>
      </c>
      <c r="U8">
        <f t="shared" si="1"/>
        <v>1.8345864661654133E-6</v>
      </c>
      <c r="V8">
        <v>664</v>
      </c>
      <c r="W8">
        <v>664</v>
      </c>
      <c r="X8">
        <f t="shared" si="2"/>
        <v>600</v>
      </c>
      <c r="Y8">
        <f t="shared" si="9"/>
        <v>9.984962406015036E-6</v>
      </c>
      <c r="Z8">
        <f t="shared" si="3"/>
        <v>9.9699474249533581E-11</v>
      </c>
      <c r="AA8">
        <f t="shared" si="10"/>
        <v>1.8318276895245629E-11</v>
      </c>
      <c r="AB8">
        <f t="shared" si="11"/>
        <v>64</v>
      </c>
      <c r="AC8">
        <f t="shared" si="12"/>
        <v>32</v>
      </c>
      <c r="AD8">
        <f t="shared" si="4"/>
        <v>4.8120300751879693E-7</v>
      </c>
      <c r="AE8" s="8">
        <f t="shared" si="13"/>
        <v>481.20300751879694</v>
      </c>
      <c r="AK8">
        <f t="shared" si="14"/>
        <v>0</v>
      </c>
      <c r="AL8">
        <f t="shared" si="18"/>
        <v>0</v>
      </c>
      <c r="AM8">
        <f t="shared" si="15"/>
        <v>0</v>
      </c>
      <c r="AN8" t="e">
        <f t="shared" si="17"/>
        <v>#NUM!</v>
      </c>
    </row>
    <row r="9" spans="1:66" s="51" customFormat="1" ht="16.5" thickBot="1">
      <c r="B9"/>
      <c r="C9" s="51">
        <v>200</v>
      </c>
      <c r="D9" s="51">
        <v>200</v>
      </c>
      <c r="E9" s="51">
        <v>20</v>
      </c>
      <c r="F9" s="51">
        <f t="shared" si="6"/>
        <v>10</v>
      </c>
      <c r="G9" s="110">
        <v>1.5037593984962404E-8</v>
      </c>
      <c r="H9" s="10">
        <f t="shared" si="7"/>
        <v>3007.5187969924809</v>
      </c>
      <c r="I9" s="8">
        <f t="shared" si="8"/>
        <v>300.75187969924809</v>
      </c>
      <c r="J9" s="51">
        <v>1000</v>
      </c>
      <c r="K9" s="110">
        <v>9.4220513690240601E-12</v>
      </c>
      <c r="L9" s="51">
        <v>2</v>
      </c>
      <c r="M9" s="51">
        <v>2</v>
      </c>
      <c r="N9" s="51" t="s">
        <v>20</v>
      </c>
      <c r="O9" s="51">
        <v>88000</v>
      </c>
      <c r="P9" s="84">
        <f t="shared" si="0"/>
        <v>3.4547521686421546E-5</v>
      </c>
      <c r="Q9" s="110">
        <v>44</v>
      </c>
      <c r="R9" s="51" t="s">
        <v>383</v>
      </c>
      <c r="S9" s="110">
        <v>0.71399999999999997</v>
      </c>
      <c r="T9" s="58">
        <v>150</v>
      </c>
      <c r="U9" s="51">
        <f t="shared" si="1"/>
        <v>2.2556390977443606E-6</v>
      </c>
      <c r="V9" s="51">
        <v>692</v>
      </c>
      <c r="W9" s="51">
        <v>692</v>
      </c>
      <c r="X9" s="51">
        <f t="shared" si="2"/>
        <v>600</v>
      </c>
      <c r="Y9">
        <f t="shared" si="9"/>
        <v>1.0406015037593983E-5</v>
      </c>
      <c r="Z9" s="51">
        <f t="shared" si="3"/>
        <v>1.0828514896263212E-10</v>
      </c>
      <c r="AA9">
        <f t="shared" si="10"/>
        <v>2.3472214370512743E-11</v>
      </c>
      <c r="AB9" s="51">
        <f t="shared" si="11"/>
        <v>92</v>
      </c>
      <c r="AC9" s="51">
        <f t="shared" si="12"/>
        <v>46</v>
      </c>
      <c r="AD9" s="51">
        <f t="shared" si="4"/>
        <v>6.9172932330827059E-7</v>
      </c>
      <c r="AE9" s="110">
        <f t="shared" si="13"/>
        <v>691.72932330827064</v>
      </c>
      <c r="AI9" s="110"/>
      <c r="AK9" s="51">
        <f t="shared" si="14"/>
        <v>0</v>
      </c>
      <c r="AL9" s="51">
        <f t="shared" si="18"/>
        <v>0</v>
      </c>
      <c r="AM9" s="51">
        <f t="shared" si="15"/>
        <v>0</v>
      </c>
      <c r="AN9" s="51" t="e">
        <f t="shared" si="17"/>
        <v>#NUM!</v>
      </c>
      <c r="AR9" s="110"/>
      <c r="AT9" s="110"/>
      <c r="AW9" s="110"/>
    </row>
    <row r="10" spans="1:66" ht="16.5" thickBot="1">
      <c r="A10" t="s">
        <v>386</v>
      </c>
      <c r="C10" s="16">
        <v>300</v>
      </c>
      <c r="D10" s="16">
        <v>300</v>
      </c>
      <c r="E10" s="16">
        <v>30</v>
      </c>
      <c r="F10" s="16">
        <f t="shared" si="6"/>
        <v>10</v>
      </c>
      <c r="G10" s="199">
        <v>1E-8</v>
      </c>
      <c r="H10" s="10">
        <f t="shared" si="7"/>
        <v>3000</v>
      </c>
      <c r="I10" s="8">
        <f t="shared" si="8"/>
        <v>300</v>
      </c>
      <c r="J10" s="16">
        <v>1000</v>
      </c>
      <c r="K10" s="8">
        <v>4.1875783862329157E-12</v>
      </c>
      <c r="L10" s="16">
        <v>2</v>
      </c>
      <c r="M10" s="16">
        <v>2</v>
      </c>
      <c r="N10" s="16" t="s">
        <v>20</v>
      </c>
      <c r="O10" s="10">
        <v>88000</v>
      </c>
      <c r="P10" s="83">
        <f t="shared" si="0"/>
        <v>1.543151521194366E-5</v>
      </c>
      <c r="Q10" s="8">
        <v>0</v>
      </c>
      <c r="R10" s="16" t="s">
        <v>387</v>
      </c>
      <c r="S10" s="8">
        <v>3.1E-2</v>
      </c>
      <c r="T10" s="16">
        <v>92</v>
      </c>
      <c r="U10" s="16">
        <f t="shared" si="1"/>
        <v>9.1999999999999998E-7</v>
      </c>
      <c r="V10" s="16">
        <v>904</v>
      </c>
      <c r="W10" s="16">
        <v>904</v>
      </c>
      <c r="X10" s="16">
        <f t="shared" si="2"/>
        <v>900</v>
      </c>
      <c r="Y10">
        <f t="shared" si="9"/>
        <v>9.0399999999999998E-6</v>
      </c>
      <c r="Z10" s="16">
        <f t="shared" si="3"/>
        <v>8.1721600000000009E-11</v>
      </c>
      <c r="AA10">
        <f t="shared" si="10"/>
        <v>8.3168000000000011E-12</v>
      </c>
      <c r="AB10" s="16">
        <f t="shared" si="11"/>
        <v>4</v>
      </c>
      <c r="AC10" s="16">
        <f t="shared" si="12"/>
        <v>2</v>
      </c>
      <c r="AD10" s="16">
        <f t="shared" si="4"/>
        <v>2E-8</v>
      </c>
      <c r="AE10" s="8">
        <f t="shared" si="13"/>
        <v>20</v>
      </c>
      <c r="AK10">
        <f t="shared" si="14"/>
        <v>0</v>
      </c>
      <c r="AL10">
        <f t="shared" si="18"/>
        <v>0</v>
      </c>
      <c r="AM10">
        <f t="shared" si="15"/>
        <v>0</v>
      </c>
    </row>
    <row r="11" spans="1:66" ht="16.5" thickBot="1">
      <c r="C11" s="16">
        <v>300</v>
      </c>
      <c r="D11" s="16">
        <v>300</v>
      </c>
      <c r="E11" s="16">
        <v>30</v>
      </c>
      <c r="F11" s="16">
        <f t="shared" ref="F11" si="19">C11/E11</f>
        <v>10</v>
      </c>
      <c r="G11" s="199">
        <v>1E-8</v>
      </c>
      <c r="H11" s="10">
        <f t="shared" si="7"/>
        <v>3000</v>
      </c>
      <c r="I11" s="8">
        <f t="shared" si="8"/>
        <v>300</v>
      </c>
      <c r="J11" s="16">
        <v>1000</v>
      </c>
      <c r="K11" s="8">
        <v>4.1875783862329157E-12</v>
      </c>
      <c r="L11" s="16">
        <v>2</v>
      </c>
      <c r="M11" s="16">
        <v>2</v>
      </c>
      <c r="N11" s="16" t="s">
        <v>20</v>
      </c>
      <c r="O11" s="10">
        <v>88000</v>
      </c>
      <c r="P11" s="83">
        <f t="shared" si="0"/>
        <v>1.543151521194366E-5</v>
      </c>
      <c r="Q11" s="8">
        <v>6</v>
      </c>
      <c r="R11" s="16" t="s">
        <v>388</v>
      </c>
      <c r="S11" s="8">
        <v>0.16900000000000001</v>
      </c>
      <c r="T11" s="16">
        <v>104</v>
      </c>
      <c r="U11" s="16">
        <f t="shared" si="1"/>
        <v>1.04E-6</v>
      </c>
      <c r="V11" s="16">
        <v>916</v>
      </c>
      <c r="W11" s="16">
        <v>916</v>
      </c>
      <c r="X11" s="16">
        <f t="shared" si="2"/>
        <v>900</v>
      </c>
      <c r="Y11">
        <f t="shared" si="9"/>
        <v>9.1600000000000004E-6</v>
      </c>
      <c r="Z11" s="16">
        <f t="shared" si="3"/>
        <v>8.3905600000000004E-11</v>
      </c>
      <c r="AA11">
        <f t="shared" si="10"/>
        <v>9.5264000000000011E-12</v>
      </c>
      <c r="AB11" s="16">
        <f t="shared" ref="AB11" si="20">W11-X11</f>
        <v>16</v>
      </c>
      <c r="AC11" s="16">
        <f t="shared" ref="AC11" si="21">AB11/2</f>
        <v>8</v>
      </c>
      <c r="AD11" s="16">
        <f t="shared" si="4"/>
        <v>8.0000000000000002E-8</v>
      </c>
      <c r="AE11" s="8">
        <f t="shared" ref="AE11" si="22">AD11*10^9</f>
        <v>80</v>
      </c>
      <c r="AF11">
        <v>8.9529600000000001E-2</v>
      </c>
      <c r="AG11" s="54">
        <v>8.0078600000000003E-8</v>
      </c>
      <c r="AH11">
        <v>0.68647899999999995</v>
      </c>
      <c r="AI11" s="157">
        <v>6.61183E-8</v>
      </c>
      <c r="AJ11">
        <f>AH11/AF11</f>
        <v>7.667620541139466</v>
      </c>
      <c r="AK11">
        <f t="shared" si="14"/>
        <v>9.0718005876988562E-3</v>
      </c>
      <c r="AL11">
        <f t="shared" si="18"/>
        <v>8.9529600000000011E-18</v>
      </c>
      <c r="AM11">
        <f t="shared" ref="AM11" si="23">9.869*10^-16*AK11</f>
        <v>8.9529600000000011E-18</v>
      </c>
      <c r="AN11">
        <f t="shared" ref="AN11" si="24">LOG10(AM11)</f>
        <v>-17.048033355841959</v>
      </c>
    </row>
    <row r="12" spans="1:66" ht="16.5" thickBot="1">
      <c r="C12" s="16">
        <v>300</v>
      </c>
      <c r="D12" s="16">
        <v>300</v>
      </c>
      <c r="E12" s="16">
        <v>30</v>
      </c>
      <c r="F12" s="16">
        <f t="shared" ref="F12" si="25">C12/E12</f>
        <v>10</v>
      </c>
      <c r="G12" s="199">
        <v>1E-8</v>
      </c>
      <c r="H12" s="10">
        <f t="shared" si="7"/>
        <v>3000</v>
      </c>
      <c r="I12" s="8">
        <f t="shared" si="8"/>
        <v>300</v>
      </c>
      <c r="J12" s="16">
        <v>1000</v>
      </c>
      <c r="K12" s="8">
        <v>4.1875783862329157E-12</v>
      </c>
      <c r="L12" s="16">
        <v>2</v>
      </c>
      <c r="M12" s="16">
        <v>2</v>
      </c>
      <c r="N12" s="16" t="s">
        <v>20</v>
      </c>
      <c r="O12" s="10">
        <v>88000</v>
      </c>
      <c r="P12" s="83">
        <f t="shared" si="0"/>
        <v>1.543151521194366E-5</v>
      </c>
      <c r="Q12" s="8">
        <v>18</v>
      </c>
      <c r="R12" s="16" t="s">
        <v>389</v>
      </c>
      <c r="S12" s="8">
        <v>0.36399999999999999</v>
      </c>
      <c r="T12" s="16">
        <v>128</v>
      </c>
      <c r="U12" s="16">
        <f t="shared" si="1"/>
        <v>1.28E-6</v>
      </c>
      <c r="V12" s="16">
        <v>940</v>
      </c>
      <c r="W12" s="16">
        <v>940</v>
      </c>
      <c r="X12" s="16">
        <f t="shared" si="2"/>
        <v>900</v>
      </c>
      <c r="Y12">
        <f t="shared" si="9"/>
        <v>9.3999999999999998E-6</v>
      </c>
      <c r="Z12" s="16">
        <f t="shared" si="3"/>
        <v>8.8360000000000006E-11</v>
      </c>
      <c r="AA12">
        <f t="shared" si="10"/>
        <v>1.2032E-11</v>
      </c>
      <c r="AB12" s="16">
        <f t="shared" ref="AB12" si="26">W12-X12</f>
        <v>40</v>
      </c>
      <c r="AC12" s="16">
        <f t="shared" ref="AC12" si="27">AB12/2</f>
        <v>20</v>
      </c>
      <c r="AD12" s="16">
        <f t="shared" si="4"/>
        <v>1.9999999999999999E-7</v>
      </c>
      <c r="AE12" s="8">
        <f t="shared" ref="AE12" si="28">AD12*10^9</f>
        <v>200</v>
      </c>
      <c r="AF12">
        <v>1.7020599999999999</v>
      </c>
      <c r="AG12" s="54">
        <v>1.2346899999999999E-6</v>
      </c>
      <c r="AH12">
        <v>11.0983</v>
      </c>
      <c r="AI12" s="157">
        <v>1.0945799999999999E-6</v>
      </c>
      <c r="AJ12">
        <f t="shared" ref="AJ12" si="29">AH12/AF12</f>
        <v>6.5205104402900016</v>
      </c>
      <c r="AK12">
        <f t="shared" si="14"/>
        <v>0.17246529536933833</v>
      </c>
      <c r="AL12">
        <f t="shared" si="18"/>
        <v>1.7020600000000001E-16</v>
      </c>
      <c r="AM12">
        <f t="shared" ref="AM12" si="30">9.869*10^-16*AK12</f>
        <v>1.7020599999999999E-16</v>
      </c>
      <c r="AN12">
        <f t="shared" ref="AN12" si="31">LOG10(AM12)</f>
        <v>-15.769025134492544</v>
      </c>
    </row>
    <row r="13" spans="1:66" s="51" customFormat="1" ht="16.5" thickBot="1">
      <c r="B13"/>
      <c r="C13" s="58">
        <v>300</v>
      </c>
      <c r="D13" s="58">
        <v>300</v>
      </c>
      <c r="E13" s="58">
        <v>30</v>
      </c>
      <c r="F13" s="58">
        <f t="shared" ref="F13:F14" si="32">C13/E13</f>
        <v>10</v>
      </c>
      <c r="G13" s="199">
        <v>1E-8</v>
      </c>
      <c r="H13" s="10">
        <f t="shared" si="7"/>
        <v>3000</v>
      </c>
      <c r="I13" s="8">
        <f t="shared" si="8"/>
        <v>300</v>
      </c>
      <c r="J13" s="58">
        <v>1000</v>
      </c>
      <c r="K13" s="110">
        <v>4.1875783862329157E-12</v>
      </c>
      <c r="L13" s="58">
        <v>2</v>
      </c>
      <c r="M13" s="58">
        <v>2</v>
      </c>
      <c r="N13" s="58" t="s">
        <v>20</v>
      </c>
      <c r="O13" s="51">
        <v>88000</v>
      </c>
      <c r="P13" s="84">
        <f t="shared" si="0"/>
        <v>1.543151521194366E-5</v>
      </c>
      <c r="Q13" s="110">
        <v>40</v>
      </c>
      <c r="R13" s="58" t="s">
        <v>390</v>
      </c>
      <c r="S13" s="110">
        <v>0.57499999999999996</v>
      </c>
      <c r="T13" s="58">
        <v>172</v>
      </c>
      <c r="U13" s="58">
        <f t="shared" si="1"/>
        <v>1.72E-6</v>
      </c>
      <c r="V13" s="58">
        <v>984</v>
      </c>
      <c r="W13" s="58">
        <v>984</v>
      </c>
      <c r="X13" s="58">
        <f t="shared" si="2"/>
        <v>900</v>
      </c>
      <c r="Y13">
        <f t="shared" si="9"/>
        <v>9.8400000000000007E-6</v>
      </c>
      <c r="Z13" s="58">
        <f t="shared" si="3"/>
        <v>9.6825600000000009E-11</v>
      </c>
      <c r="AA13">
        <f t="shared" si="10"/>
        <v>1.6924800000000003E-11</v>
      </c>
      <c r="AB13" s="58">
        <f t="shared" ref="AB13:AB14" si="33">W13-X13</f>
        <v>84</v>
      </c>
      <c r="AC13" s="58">
        <f t="shared" ref="AC13:AC14" si="34">AB13/2</f>
        <v>42</v>
      </c>
      <c r="AD13" s="58">
        <f t="shared" si="4"/>
        <v>4.2E-7</v>
      </c>
      <c r="AE13" s="110">
        <f t="shared" ref="AE13:AE14" si="35">AD13*10^9</f>
        <v>420</v>
      </c>
      <c r="AI13" s="110"/>
      <c r="AJ13"/>
      <c r="AK13"/>
      <c r="AL13"/>
      <c r="AM13"/>
      <c r="AN13"/>
      <c r="AR13" s="110"/>
      <c r="AT13" s="110"/>
      <c r="AW13" s="110"/>
    </row>
    <row r="14" spans="1:66">
      <c r="A14" t="s">
        <v>403</v>
      </c>
      <c r="C14" s="16">
        <v>500</v>
      </c>
      <c r="D14" s="16">
        <v>500</v>
      </c>
      <c r="E14" s="16">
        <v>50</v>
      </c>
      <c r="F14" s="16">
        <f t="shared" si="32"/>
        <v>10</v>
      </c>
      <c r="G14" s="157">
        <v>6E-9</v>
      </c>
      <c r="H14" s="10">
        <f t="shared" si="7"/>
        <v>3000</v>
      </c>
      <c r="I14" s="8">
        <f t="shared" si="8"/>
        <v>300</v>
      </c>
      <c r="J14" s="16">
        <v>1000</v>
      </c>
      <c r="K14" s="8">
        <v>1.4999999999999997E-12</v>
      </c>
      <c r="L14" s="16">
        <v>2</v>
      </c>
      <c r="M14" s="16">
        <v>2</v>
      </c>
      <c r="N14" s="16" t="s">
        <v>20</v>
      </c>
      <c r="O14" s="10">
        <v>88000</v>
      </c>
      <c r="P14" s="83">
        <f t="shared" si="0"/>
        <v>5.4999999999999982E-6</v>
      </c>
      <c r="Q14" s="8">
        <v>0</v>
      </c>
      <c r="R14" s="16" t="s">
        <v>401</v>
      </c>
      <c r="S14" s="8">
        <v>1.9E-2</v>
      </c>
      <c r="T14" s="16">
        <v>152</v>
      </c>
      <c r="U14" s="16">
        <f t="shared" si="1"/>
        <v>9.1200000000000001E-7</v>
      </c>
      <c r="V14" s="16">
        <v>1504</v>
      </c>
      <c r="W14" s="16">
        <v>1504</v>
      </c>
      <c r="X14" s="16">
        <f t="shared" si="2"/>
        <v>1500</v>
      </c>
      <c r="Y14">
        <f t="shared" si="9"/>
        <v>9.0240000000000003E-6</v>
      </c>
      <c r="Z14" s="16">
        <f t="shared" si="3"/>
        <v>8.1432575999999998E-11</v>
      </c>
      <c r="AA14">
        <f t="shared" si="10"/>
        <v>8.2298880000000002E-12</v>
      </c>
      <c r="AB14" s="16">
        <f t="shared" si="33"/>
        <v>4</v>
      </c>
      <c r="AC14" s="16">
        <f t="shared" si="34"/>
        <v>2</v>
      </c>
      <c r="AD14" s="16">
        <f t="shared" si="4"/>
        <v>1.2E-8</v>
      </c>
      <c r="AE14" s="8">
        <f t="shared" si="35"/>
        <v>12</v>
      </c>
    </row>
    <row r="15" spans="1:66">
      <c r="C15" s="16">
        <v>500</v>
      </c>
      <c r="D15" s="16">
        <v>500</v>
      </c>
      <c r="E15" s="16">
        <v>50</v>
      </c>
      <c r="F15" s="16">
        <f t="shared" ref="F15" si="36">C15/E15</f>
        <v>10</v>
      </c>
      <c r="G15" s="157">
        <v>6E-9</v>
      </c>
      <c r="H15" s="10">
        <f t="shared" si="7"/>
        <v>3000</v>
      </c>
      <c r="I15" s="8">
        <f t="shared" si="8"/>
        <v>300</v>
      </c>
      <c r="J15" s="16">
        <v>1000</v>
      </c>
      <c r="K15" s="8">
        <v>1.4999999999999997E-12</v>
      </c>
      <c r="L15" s="16">
        <v>2</v>
      </c>
      <c r="M15" s="16">
        <v>2</v>
      </c>
      <c r="N15" s="16" t="s">
        <v>20</v>
      </c>
      <c r="O15" s="10">
        <v>88000</v>
      </c>
      <c r="P15" s="83">
        <f t="shared" si="0"/>
        <v>5.4999999999999982E-6</v>
      </c>
      <c r="Q15" s="8">
        <v>16</v>
      </c>
      <c r="R15" s="16" t="s">
        <v>405</v>
      </c>
      <c r="S15" s="8">
        <v>0.22800000000000001</v>
      </c>
      <c r="T15" s="16">
        <v>184</v>
      </c>
      <c r="U15" s="16">
        <f t="shared" si="1"/>
        <v>1.1039999999999999E-6</v>
      </c>
      <c r="V15" s="16">
        <v>1536</v>
      </c>
      <c r="W15" s="16">
        <v>1536</v>
      </c>
      <c r="X15" s="16">
        <f t="shared" si="2"/>
        <v>1500</v>
      </c>
      <c r="Y15">
        <f t="shared" si="9"/>
        <v>9.2159999999999995E-6</v>
      </c>
      <c r="Z15" s="16">
        <f t="shared" si="3"/>
        <v>8.4934655999999997E-11</v>
      </c>
      <c r="AA15">
        <f t="shared" si="10"/>
        <v>1.0174464000000001E-11</v>
      </c>
      <c r="AB15" s="16">
        <f t="shared" ref="AB15" si="37">W15-X15</f>
        <v>36</v>
      </c>
      <c r="AC15" s="16">
        <f t="shared" ref="AC15" si="38">AB15/2</f>
        <v>18</v>
      </c>
      <c r="AD15" s="16">
        <f t="shared" si="4"/>
        <v>1.08E-7</v>
      </c>
      <c r="AE15" s="8">
        <f t="shared" ref="AE15" si="39">AD15*10^9</f>
        <v>108</v>
      </c>
    </row>
    <row r="16" spans="1:66" s="51" customFormat="1" ht="16.5" thickBot="1">
      <c r="B16"/>
      <c r="C16" s="58">
        <v>500</v>
      </c>
      <c r="D16" s="58">
        <v>500</v>
      </c>
      <c r="E16" s="58">
        <v>50</v>
      </c>
      <c r="F16" s="58">
        <f t="shared" ref="F16:F17" si="40">C16/E16</f>
        <v>10</v>
      </c>
      <c r="G16" s="199">
        <v>6E-9</v>
      </c>
      <c r="H16" s="10">
        <f t="shared" si="7"/>
        <v>3000</v>
      </c>
      <c r="I16" s="8">
        <f t="shared" si="8"/>
        <v>300</v>
      </c>
      <c r="J16" s="58">
        <v>1000</v>
      </c>
      <c r="K16" s="110">
        <v>1.4999999999999997E-12</v>
      </c>
      <c r="L16" s="58">
        <v>2</v>
      </c>
      <c r="M16" s="58">
        <v>2</v>
      </c>
      <c r="N16" s="58" t="s">
        <v>20</v>
      </c>
      <c r="O16" s="51">
        <v>88000</v>
      </c>
      <c r="P16" s="84">
        <f t="shared" si="0"/>
        <v>5.4999999999999982E-6</v>
      </c>
      <c r="Q16" s="110">
        <v>30</v>
      </c>
      <c r="S16" s="110"/>
      <c r="U16" s="58">
        <f t="shared" si="1"/>
        <v>0</v>
      </c>
      <c r="X16" s="58">
        <f t="shared" si="2"/>
        <v>1500</v>
      </c>
      <c r="Y16">
        <f t="shared" si="9"/>
        <v>0</v>
      </c>
      <c r="Z16" s="58">
        <f t="shared" si="3"/>
        <v>0</v>
      </c>
      <c r="AA16">
        <f t="shared" si="10"/>
        <v>0</v>
      </c>
      <c r="AB16" s="58">
        <f t="shared" ref="AB16" si="41">W16-X16</f>
        <v>-1500</v>
      </c>
      <c r="AC16" s="58">
        <f t="shared" ref="AC16" si="42">AB16/2</f>
        <v>-750</v>
      </c>
      <c r="AD16" s="58">
        <f t="shared" ref="AD16" si="43">AC16*G16</f>
        <v>-4.5000000000000001E-6</v>
      </c>
      <c r="AE16" s="110">
        <f t="shared" ref="AE16" si="44">AD16*10^9</f>
        <v>-4500</v>
      </c>
      <c r="AI16" s="110"/>
      <c r="AR16" s="110"/>
      <c r="AT16" s="110"/>
      <c r="AW16" s="110"/>
    </row>
    <row r="17" spans="1:61">
      <c r="A17" t="s">
        <v>414</v>
      </c>
      <c r="C17" s="16">
        <v>400</v>
      </c>
      <c r="D17" s="16">
        <v>400</v>
      </c>
      <c r="E17" s="16">
        <v>25</v>
      </c>
      <c r="F17" s="16">
        <f t="shared" si="40"/>
        <v>16</v>
      </c>
      <c r="G17" s="8">
        <v>7.500000000000001E-9</v>
      </c>
      <c r="H17" s="10">
        <f t="shared" si="7"/>
        <v>3000.0000000000005</v>
      </c>
      <c r="I17" s="8">
        <f t="shared" si="8"/>
        <v>187.50000000000003</v>
      </c>
      <c r="J17" s="16">
        <v>1000</v>
      </c>
      <c r="K17" s="8">
        <v>2.34375E-12</v>
      </c>
      <c r="L17" s="16">
        <v>2</v>
      </c>
      <c r="M17" s="16">
        <v>2</v>
      </c>
      <c r="N17" s="16" t="s">
        <v>20</v>
      </c>
      <c r="O17" s="10">
        <v>88000</v>
      </c>
      <c r="P17" s="198">
        <f t="shared" si="0"/>
        <v>8.5937499999999988E-6</v>
      </c>
      <c r="Q17" s="8">
        <v>0</v>
      </c>
      <c r="R17" s="16" t="s">
        <v>432</v>
      </c>
      <c r="S17" s="8">
        <v>3.3000000000000002E-2</v>
      </c>
      <c r="T17" s="16">
        <v>77</v>
      </c>
      <c r="U17" s="16">
        <f t="shared" si="1"/>
        <v>5.7750000000000008E-7</v>
      </c>
      <c r="V17" s="16">
        <v>1204</v>
      </c>
      <c r="W17" s="16">
        <v>1204</v>
      </c>
      <c r="X17" s="16">
        <f t="shared" si="2"/>
        <v>1200</v>
      </c>
      <c r="Y17">
        <f t="shared" si="9"/>
        <v>9.0300000000000016E-6</v>
      </c>
      <c r="Z17" s="16">
        <f t="shared" si="3"/>
        <v>8.1540900000000025E-11</v>
      </c>
      <c r="AA17">
        <f t="shared" si="10"/>
        <v>5.2148250000000015E-12</v>
      </c>
      <c r="AB17" s="16">
        <f t="shared" ref="AB17" si="45">W17-X17</f>
        <v>4</v>
      </c>
      <c r="AC17" s="16">
        <f t="shared" ref="AC17" si="46">AB17/2</f>
        <v>2</v>
      </c>
      <c r="AD17" s="16">
        <f t="shared" ref="AD17" si="47">AC17*G17</f>
        <v>1.5000000000000002E-8</v>
      </c>
      <c r="AE17" s="8">
        <f t="shared" ref="AE17" si="48">AD17*10^9</f>
        <v>15.000000000000002</v>
      </c>
    </row>
    <row r="18" spans="1:61">
      <c r="C18" s="16">
        <v>400</v>
      </c>
      <c r="D18" s="16">
        <v>400</v>
      </c>
      <c r="E18" s="16">
        <v>25</v>
      </c>
      <c r="F18" s="16">
        <f t="shared" ref="F18" si="49">C18/E18</f>
        <v>16</v>
      </c>
      <c r="G18" s="8">
        <v>7.500000000000001E-9</v>
      </c>
      <c r="H18" s="10">
        <f t="shared" si="7"/>
        <v>3000.0000000000005</v>
      </c>
      <c r="I18" s="8">
        <f t="shared" si="8"/>
        <v>187.50000000000003</v>
      </c>
      <c r="J18" s="16">
        <v>1000</v>
      </c>
      <c r="K18" s="8">
        <v>2.34375E-12</v>
      </c>
      <c r="L18" s="16">
        <v>2</v>
      </c>
      <c r="M18" s="16">
        <v>2</v>
      </c>
      <c r="N18" s="16" t="s">
        <v>20</v>
      </c>
      <c r="O18" s="10">
        <v>88000</v>
      </c>
      <c r="P18" s="198">
        <f t="shared" si="0"/>
        <v>8.5937499999999988E-6</v>
      </c>
      <c r="Q18" s="8">
        <v>6</v>
      </c>
      <c r="R18" s="16" t="s">
        <v>431</v>
      </c>
      <c r="S18" s="8">
        <v>0.182</v>
      </c>
      <c r="T18" s="16">
        <v>89</v>
      </c>
      <c r="U18" s="16">
        <f>T18*G17</f>
        <v>6.6750000000000007E-7</v>
      </c>
      <c r="V18" s="16">
        <v>1216</v>
      </c>
      <c r="W18" s="16">
        <v>1216</v>
      </c>
      <c r="X18" s="16">
        <f>D17*3</f>
        <v>1200</v>
      </c>
      <c r="Y18">
        <f t="shared" si="9"/>
        <v>9.1200000000000008E-6</v>
      </c>
      <c r="Z18" s="16">
        <f>V18*W18*G17^2</f>
        <v>8.3174400000000015E-11</v>
      </c>
      <c r="AA18">
        <f t="shared" si="10"/>
        <v>6.0876000000000016E-12</v>
      </c>
      <c r="AB18" s="16">
        <f>W18-X18</f>
        <v>16</v>
      </c>
      <c r="AC18" s="16">
        <f>AB18/2</f>
        <v>8</v>
      </c>
      <c r="AD18" s="16">
        <f>AC18*G17</f>
        <v>6.0000000000000008E-8</v>
      </c>
      <c r="AE18" s="8">
        <f>AD18*10^9</f>
        <v>60.000000000000007</v>
      </c>
      <c r="AF18">
        <v>5.3534909999999998E-2</v>
      </c>
      <c r="AG18" s="54">
        <v>3.1376399999999998E-8</v>
      </c>
      <c r="AJ18">
        <f>AH18/AF18</f>
        <v>0</v>
      </c>
      <c r="AK18">
        <f t="shared" ref="AK18" si="50">((G18^2)*AF18*1000)/(0.9869*(10^-12))</f>
        <v>3.0513108597628948E-3</v>
      </c>
      <c r="AL18">
        <f t="shared" ref="AL18" si="51">AF18*G18^2</f>
        <v>3.0113386875000006E-18</v>
      </c>
      <c r="AM18">
        <f t="shared" ref="AM18" si="52">9.869*10^-16*AK18</f>
        <v>3.0113386875000006E-18</v>
      </c>
      <c r="AN18">
        <f t="shared" ref="AN18" si="53">LOG10(AM18)</f>
        <v>-17.521240396317076</v>
      </c>
    </row>
    <row r="19" spans="1:61">
      <c r="C19" s="16">
        <v>400</v>
      </c>
      <c r="D19" s="16">
        <v>400</v>
      </c>
      <c r="E19" s="16">
        <v>25</v>
      </c>
      <c r="F19" s="16">
        <f t="shared" ref="F19" si="54">C19/E19</f>
        <v>16</v>
      </c>
      <c r="G19" s="8">
        <v>7.500000000000001E-9</v>
      </c>
      <c r="H19" s="10">
        <f t="shared" si="7"/>
        <v>3000.0000000000005</v>
      </c>
      <c r="I19" s="8">
        <f t="shared" si="8"/>
        <v>187.50000000000003</v>
      </c>
      <c r="J19" s="16">
        <v>1000</v>
      </c>
      <c r="K19" s="8">
        <v>2.34375E-12</v>
      </c>
      <c r="L19" s="16">
        <v>2</v>
      </c>
      <c r="M19" s="16">
        <v>2</v>
      </c>
      <c r="N19" s="16" t="s">
        <v>20</v>
      </c>
      <c r="O19" s="10">
        <v>88000</v>
      </c>
      <c r="P19" s="198">
        <f t="shared" si="0"/>
        <v>8.5937499999999988E-6</v>
      </c>
      <c r="Q19" s="8">
        <v>16</v>
      </c>
      <c r="R19" s="16" t="s">
        <v>438</v>
      </c>
      <c r="S19" s="8">
        <v>0.35699999999999998</v>
      </c>
      <c r="T19" s="16">
        <v>109</v>
      </c>
      <c r="U19" s="16">
        <f>T19*G18</f>
        <v>8.1750000000000011E-7</v>
      </c>
      <c r="V19" s="16">
        <v>1236</v>
      </c>
      <c r="W19" s="16">
        <v>1236</v>
      </c>
      <c r="X19" s="16">
        <f>D18*3</f>
        <v>1200</v>
      </c>
      <c r="Y19">
        <f t="shared" si="9"/>
        <v>9.270000000000001E-6</v>
      </c>
      <c r="Z19" s="16">
        <f>V19*W19*G18^2</f>
        <v>8.5932900000000027E-11</v>
      </c>
      <c r="AA19">
        <f t="shared" si="10"/>
        <v>7.5782250000000025E-12</v>
      </c>
      <c r="AB19" s="16">
        <f>W19-X19</f>
        <v>36</v>
      </c>
      <c r="AC19" s="16">
        <f>AB19/2</f>
        <v>18</v>
      </c>
      <c r="AD19" s="16">
        <f>AC19*G18</f>
        <v>1.3500000000000003E-7</v>
      </c>
      <c r="AE19" s="8">
        <f>AD19*10^9</f>
        <v>135.00000000000003</v>
      </c>
      <c r="AF19">
        <v>0.760266</v>
      </c>
      <c r="AG19" s="54">
        <v>3.6297E-4</v>
      </c>
      <c r="AJ19">
        <f>AH19/AF19</f>
        <v>0</v>
      </c>
      <c r="AK19">
        <f t="shared" ref="AK19" si="55">((G19^2)*AF19*1000)/(0.9869*(10^-12))</f>
        <v>4.3332619819637264E-2</v>
      </c>
      <c r="AL19">
        <f t="shared" ref="AL19" si="56">AF19*G19^2</f>
        <v>4.276496250000001E-17</v>
      </c>
      <c r="AM19">
        <f t="shared" ref="AM19" si="57">9.869*10^-16*AK19</f>
        <v>4.276496250000001E-17</v>
      </c>
      <c r="AN19">
        <f t="shared" ref="AN19:AN20" si="58">LOG10(AM19)</f>
        <v>-16.368911904461473</v>
      </c>
    </row>
    <row r="20" spans="1:61" s="51" customFormat="1" ht="16.5" thickBot="1">
      <c r="A20" s="10"/>
      <c r="B20"/>
      <c r="C20" s="16">
        <v>400</v>
      </c>
      <c r="D20" s="16">
        <v>400</v>
      </c>
      <c r="E20" s="16">
        <v>25</v>
      </c>
      <c r="F20" s="16">
        <f t="shared" ref="F20:F23" si="59">C20/E20</f>
        <v>16</v>
      </c>
      <c r="G20" s="8">
        <v>7.500000000000001E-9</v>
      </c>
      <c r="H20" s="10">
        <f t="shared" si="7"/>
        <v>3000.0000000000005</v>
      </c>
      <c r="I20" s="8">
        <f t="shared" si="8"/>
        <v>187.50000000000003</v>
      </c>
      <c r="J20" s="16">
        <v>1000</v>
      </c>
      <c r="K20" s="8">
        <v>2.34375E-12</v>
      </c>
      <c r="L20" s="16">
        <v>2</v>
      </c>
      <c r="M20" s="16">
        <v>2</v>
      </c>
      <c r="N20" s="16" t="s">
        <v>20</v>
      </c>
      <c r="O20" s="10">
        <v>88000</v>
      </c>
      <c r="P20" s="198">
        <f t="shared" si="0"/>
        <v>8.5937499999999988E-6</v>
      </c>
      <c r="Q20" s="8">
        <v>24</v>
      </c>
      <c r="R20" s="10" t="s">
        <v>444</v>
      </c>
      <c r="S20" s="8">
        <v>0.45600000000000002</v>
      </c>
      <c r="T20" s="10">
        <v>125</v>
      </c>
      <c r="U20" s="16">
        <f>T20*G19</f>
        <v>9.3750000000000013E-7</v>
      </c>
      <c r="V20" s="10">
        <v>1252</v>
      </c>
      <c r="W20" s="10">
        <v>1252</v>
      </c>
      <c r="X20" s="16">
        <f>D19*3</f>
        <v>1200</v>
      </c>
      <c r="Y20">
        <f t="shared" si="9"/>
        <v>9.3900000000000016E-6</v>
      </c>
      <c r="Z20" s="16">
        <f>V20*W20*G19^2</f>
        <v>8.8172100000000027E-11</v>
      </c>
      <c r="AA20">
        <f t="shared" si="10"/>
        <v>8.8031250000000022E-12</v>
      </c>
      <c r="AB20" s="16">
        <f>W20-X20</f>
        <v>52</v>
      </c>
      <c r="AC20" s="16">
        <f>AB20/2</f>
        <v>26</v>
      </c>
      <c r="AD20" s="16">
        <f>AC20*G19</f>
        <v>1.9500000000000004E-7</v>
      </c>
      <c r="AE20" s="8">
        <f>AD20*10^9</f>
        <v>195.00000000000003</v>
      </c>
      <c r="AF20" s="10">
        <v>2.5256400000000001</v>
      </c>
      <c r="AG20" s="68">
        <v>1.0502299999999999E-6</v>
      </c>
      <c r="AH20" s="10"/>
      <c r="AI20" s="8"/>
      <c r="AJ20">
        <f>AH20/AF20</f>
        <v>0</v>
      </c>
      <c r="AK20">
        <f t="shared" ref="AK20" si="60">((G20^2)*AF20*1000)/(0.9869*(10^-12))</f>
        <v>0.14395303475529442</v>
      </c>
      <c r="AL20">
        <f t="shared" ref="AL20" si="61">AF20*G20^2</f>
        <v>1.4206725000000004E-16</v>
      </c>
      <c r="AM20">
        <f t="shared" ref="AM20" si="62">9.869*10^-16*AK20</f>
        <v>1.4206725000000006E-16</v>
      </c>
      <c r="AN20">
        <f t="shared" si="58"/>
        <v>-15.847506026108764</v>
      </c>
      <c r="AO20" s="10"/>
      <c r="AP20" s="10"/>
      <c r="AQ20" s="10"/>
      <c r="AR20" s="8"/>
      <c r="AS20" s="10"/>
      <c r="AT20" s="8"/>
      <c r="AU20" s="10"/>
      <c r="AV20" s="10"/>
      <c r="AW20" s="8"/>
      <c r="AX20" s="10"/>
      <c r="AY20" s="10"/>
      <c r="AZ20" s="10"/>
      <c r="BA20" s="10"/>
      <c r="BB20" s="10"/>
      <c r="BC20" s="10"/>
      <c r="BD20" s="10"/>
    </row>
    <row r="21" spans="1:61" s="51" customFormat="1" ht="16.5" thickBot="1">
      <c r="A21" s="10"/>
      <c r="B21"/>
      <c r="C21" s="16">
        <v>400</v>
      </c>
      <c r="D21" s="16">
        <v>400</v>
      </c>
      <c r="E21" s="16">
        <v>25</v>
      </c>
      <c r="F21" s="16">
        <f t="shared" si="59"/>
        <v>16</v>
      </c>
      <c r="G21" s="8">
        <v>7.500000000000001E-9</v>
      </c>
      <c r="H21" s="10">
        <f t="shared" si="7"/>
        <v>3000.0000000000005</v>
      </c>
      <c r="I21" s="8">
        <f t="shared" si="8"/>
        <v>187.50000000000003</v>
      </c>
      <c r="J21" s="16">
        <v>1000</v>
      </c>
      <c r="K21" s="8">
        <v>2.34375E-12</v>
      </c>
      <c r="L21" s="16">
        <v>2</v>
      </c>
      <c r="M21" s="16">
        <v>2</v>
      </c>
      <c r="N21" s="16" t="s">
        <v>20</v>
      </c>
      <c r="O21" s="10">
        <v>88000</v>
      </c>
      <c r="P21" s="198">
        <f t="shared" si="0"/>
        <v>8.5937499999999988E-6</v>
      </c>
      <c r="Q21" s="10">
        <v>32</v>
      </c>
      <c r="R21" s="10" t="s">
        <v>456</v>
      </c>
      <c r="S21" s="10">
        <v>0.53200000000000003</v>
      </c>
      <c r="T21" s="10"/>
      <c r="U21" s="16"/>
      <c r="V21" s="10"/>
      <c r="W21" s="10"/>
      <c r="X21" s="16"/>
      <c r="Y21">
        <f t="shared" si="9"/>
        <v>0</v>
      </c>
      <c r="Z21" s="16"/>
      <c r="AA21">
        <f t="shared" si="10"/>
        <v>0</v>
      </c>
      <c r="AB21" s="16"/>
      <c r="AC21" s="16"/>
      <c r="AD21" s="16"/>
      <c r="AE21" s="10"/>
      <c r="AF21" s="10"/>
      <c r="AG21" s="68"/>
      <c r="AH21" s="10"/>
      <c r="AI21" s="10"/>
      <c r="AJ21"/>
      <c r="AK21"/>
      <c r="AL21"/>
      <c r="AM21"/>
      <c r="AN21"/>
      <c r="AO21" s="10"/>
      <c r="AP21" s="10"/>
      <c r="AQ21" s="10"/>
      <c r="AR21" s="8"/>
      <c r="AS21" s="10"/>
      <c r="AT21" s="10"/>
      <c r="AU21" s="10"/>
      <c r="AV21" s="10"/>
      <c r="AW21" s="8"/>
      <c r="AX21" s="10"/>
      <c r="AY21" s="10"/>
      <c r="AZ21" s="10"/>
      <c r="BA21" s="10"/>
      <c r="BB21" s="10"/>
      <c r="BC21" s="10"/>
      <c r="BD21" s="10"/>
    </row>
    <row r="22" spans="1:61" s="10" customFormat="1" ht="16.5" thickBot="1">
      <c r="B22"/>
      <c r="C22" s="16">
        <v>400</v>
      </c>
      <c r="D22" s="16">
        <v>400</v>
      </c>
      <c r="E22" s="16">
        <v>25</v>
      </c>
      <c r="F22" s="16">
        <f t="shared" ref="F22" si="63">C22/E22</f>
        <v>16</v>
      </c>
      <c r="G22" s="8">
        <v>7.500000000000001E-9</v>
      </c>
      <c r="H22" s="10">
        <f t="shared" ref="H22" si="64">C22*G22*10^9</f>
        <v>3000.0000000000005</v>
      </c>
      <c r="I22" s="8">
        <f t="shared" ref="I22" si="65">E22*G22*10^9</f>
        <v>187.50000000000003</v>
      </c>
      <c r="J22" s="16">
        <v>1000</v>
      </c>
      <c r="K22" s="8">
        <v>2.34375E-12</v>
      </c>
      <c r="L22" s="16">
        <v>2</v>
      </c>
      <c r="M22" s="16">
        <v>2</v>
      </c>
      <c r="N22" s="16" t="s">
        <v>20</v>
      </c>
      <c r="O22" s="10">
        <v>88000</v>
      </c>
      <c r="P22" s="198">
        <f t="shared" ref="P22" si="66">(O22*K22^2)/(G22^2*J22)</f>
        <v>8.5937499999999988E-6</v>
      </c>
      <c r="Q22" s="10">
        <v>40</v>
      </c>
      <c r="U22" s="16"/>
      <c r="X22" s="16"/>
      <c r="Y22">
        <f t="shared" si="9"/>
        <v>0</v>
      </c>
      <c r="Z22" s="16"/>
      <c r="AA22">
        <f t="shared" si="10"/>
        <v>0</v>
      </c>
      <c r="AB22" s="16"/>
      <c r="AC22" s="16"/>
      <c r="AD22" s="16"/>
      <c r="AG22" s="68"/>
      <c r="AR22" s="8"/>
      <c r="AW22" s="8"/>
    </row>
    <row r="23" spans="1:61" s="224" customFormat="1" ht="16.5" thickBot="1">
      <c r="A23" s="78"/>
      <c r="C23" s="228">
        <v>300</v>
      </c>
      <c r="D23" s="228">
        <v>300</v>
      </c>
      <c r="E23" s="228">
        <v>15</v>
      </c>
      <c r="F23" s="228">
        <f t="shared" si="59"/>
        <v>20</v>
      </c>
      <c r="G23" s="225">
        <v>1E-8</v>
      </c>
      <c r="H23" s="224">
        <f t="shared" ref="H23" si="67">C23*G23*10^9</f>
        <v>3000</v>
      </c>
      <c r="I23" s="225">
        <f t="shared" ref="I23" si="68">E23*G23*10^9</f>
        <v>150</v>
      </c>
      <c r="J23" s="228">
        <v>1000</v>
      </c>
      <c r="K23" s="225">
        <v>4.166666666666666E-12</v>
      </c>
      <c r="L23" s="224">
        <v>2</v>
      </c>
      <c r="M23" s="224">
        <v>2</v>
      </c>
      <c r="N23" s="224" t="s">
        <v>20</v>
      </c>
      <c r="O23" s="224">
        <v>88000</v>
      </c>
      <c r="P23" s="235">
        <f t="shared" ref="P23:P31" si="69">(O23*K23^2)/(G23^2*J23)</f>
        <v>1.527777777777777E-5</v>
      </c>
      <c r="Q23" s="225">
        <v>0</v>
      </c>
      <c r="R23" s="228" t="s">
        <v>452</v>
      </c>
      <c r="S23" s="225">
        <v>5.1999999999999998E-2</v>
      </c>
      <c r="T23" s="224">
        <v>47</v>
      </c>
      <c r="U23" s="224">
        <f t="shared" ref="U23:U31" si="70">T23*G23</f>
        <v>4.7E-7</v>
      </c>
      <c r="V23" s="224">
        <v>904</v>
      </c>
      <c r="W23" s="224">
        <f>V23</f>
        <v>904</v>
      </c>
      <c r="X23" s="224">
        <f t="shared" ref="X23:X31" si="71">D23*3</f>
        <v>900</v>
      </c>
      <c r="Y23" s="224">
        <f t="shared" si="9"/>
        <v>9.0399999999999998E-6</v>
      </c>
      <c r="Z23" s="224">
        <f>V23*W23*G22^2</f>
        <v>4.5968400000000011E-11</v>
      </c>
      <c r="AA23" s="224">
        <f t="shared" si="10"/>
        <v>4.2488000000000002E-12</v>
      </c>
      <c r="AB23" s="224">
        <f t="shared" ref="AB23:AB24" si="72">W23-X23</f>
        <v>4</v>
      </c>
      <c r="AC23" s="224">
        <f t="shared" ref="AC23:AC24" si="73">AB23/2</f>
        <v>2</v>
      </c>
      <c r="AD23" s="224">
        <f t="shared" ref="AD23:AD24" si="74">AC23*G23</f>
        <v>2E-8</v>
      </c>
      <c r="AE23" s="225">
        <f t="shared" ref="AE23:AE24" si="75">AD23*10^9</f>
        <v>20</v>
      </c>
      <c r="AI23" s="225"/>
      <c r="AR23" s="225"/>
      <c r="AT23" s="225"/>
      <c r="AW23" s="225"/>
    </row>
    <row r="24" spans="1:61" s="64" customFormat="1">
      <c r="A24" s="203" t="s">
        <v>449</v>
      </c>
      <c r="C24" s="64">
        <v>300</v>
      </c>
      <c r="D24" s="64">
        <v>300</v>
      </c>
      <c r="E24" s="64">
        <v>15</v>
      </c>
      <c r="F24" s="64">
        <f t="shared" ref="F24:F31" si="76">C24/E24</f>
        <v>20</v>
      </c>
      <c r="G24" s="233">
        <v>1E-8</v>
      </c>
      <c r="H24" s="64">
        <f t="shared" ref="H24:H31" si="77">C24*G24*10^9</f>
        <v>3000</v>
      </c>
      <c r="I24" s="233">
        <f t="shared" ref="I24:I31" si="78">E24*G24*10^9</f>
        <v>150</v>
      </c>
      <c r="J24" s="232">
        <v>1000</v>
      </c>
      <c r="K24" s="233">
        <v>4.166666666666666E-12</v>
      </c>
      <c r="L24" s="64">
        <v>2</v>
      </c>
      <c r="M24" s="64">
        <v>2</v>
      </c>
      <c r="N24" s="64" t="s">
        <v>20</v>
      </c>
      <c r="O24" s="64">
        <v>88000</v>
      </c>
      <c r="P24" s="141">
        <f t="shared" si="69"/>
        <v>1.527777777777777E-5</v>
      </c>
      <c r="Q24" s="233">
        <v>2</v>
      </c>
      <c r="R24" s="232" t="s">
        <v>467</v>
      </c>
      <c r="S24">
        <v>0.13500000000000001</v>
      </c>
      <c r="T24" s="232">
        <v>51</v>
      </c>
      <c r="U24" s="64">
        <f t="shared" si="70"/>
        <v>5.0999999999999999E-7</v>
      </c>
      <c r="V24" s="232">
        <v>908</v>
      </c>
      <c r="W24" s="64">
        <f>V24</f>
        <v>908</v>
      </c>
      <c r="X24" s="64">
        <f t="shared" si="71"/>
        <v>900</v>
      </c>
      <c r="Y24" s="64">
        <f t="shared" si="9"/>
        <v>9.0799999999999995E-6</v>
      </c>
      <c r="Z24" s="64">
        <f>V24*W24*G23^2</f>
        <v>8.2446400000000013E-11</v>
      </c>
      <c r="AA24" s="64">
        <f t="shared" si="10"/>
        <v>4.6308000000000008E-12</v>
      </c>
      <c r="AB24" s="64">
        <f t="shared" si="72"/>
        <v>8</v>
      </c>
      <c r="AC24" s="64">
        <f t="shared" si="73"/>
        <v>4</v>
      </c>
      <c r="AD24" s="64">
        <f t="shared" si="74"/>
        <v>4.0000000000000001E-8</v>
      </c>
      <c r="AE24" s="239">
        <f t="shared" si="75"/>
        <v>40</v>
      </c>
      <c r="AF24" s="64">
        <v>6.3342600000000004E-3</v>
      </c>
      <c r="AG24" s="237">
        <v>1.16128E-8</v>
      </c>
      <c r="AH24" s="64">
        <v>0.114222</v>
      </c>
      <c r="AI24" s="239">
        <v>1.1544000000000001E-8</v>
      </c>
      <c r="AJ24" s="64">
        <f t="shared" ref="AJ24:AJ31" si="79">AH24/AF24</f>
        <v>18.032414204658476</v>
      </c>
      <c r="AK24" s="64">
        <f t="shared" ref="AK24" si="80">((G24^2)*AF24*1000)/(0.9869*(10^-12))</f>
        <v>6.4183402573715696E-4</v>
      </c>
      <c r="AL24" s="64">
        <f t="shared" ref="AL24" si="81">AF24*G24^2</f>
        <v>6.3342600000000015E-19</v>
      </c>
      <c r="AM24" s="64">
        <f t="shared" ref="AM24" si="82">9.869*10^-16*AK24</f>
        <v>6.3342600000000015E-19</v>
      </c>
      <c r="AN24" s="64">
        <f t="shared" ref="AN24" si="83">LOG10(AM24)</f>
        <v>-18.198304114275153</v>
      </c>
      <c r="AO24" s="64">
        <f>((K24^2)*AH24*1000)/(0.9869*(10^-12))</f>
        <v>2.0093432296416386E-9</v>
      </c>
      <c r="AP24" s="64">
        <f>AH24*G24^2</f>
        <v>1.1422200000000002E-17</v>
      </c>
      <c r="AQ24" s="64">
        <f t="shared" ref="AQ24:AQ31" si="84">LOG10(AP24)</f>
        <v>-16.94225023971179</v>
      </c>
      <c r="AR24" s="233">
        <f>AP24/AM24</f>
        <v>18.032414204658476</v>
      </c>
      <c r="AS24" s="237">
        <f>SQRT(AG24^2+2*AI24^2)/AG24</f>
        <v>1.7252165692762662</v>
      </c>
      <c r="AT24" s="239">
        <f>SQRT(AG24^2+2*AI24^2)/AI24</f>
        <v>1.7354985252677948</v>
      </c>
      <c r="AU24" s="237">
        <f>EXP((S24*100-71.83)/8.79)</f>
        <v>1.3123315125658853E-3</v>
      </c>
      <c r="AV24" s="237">
        <f t="shared" ref="AV24:AV31" si="85">9.869*10^-16*AU24</f>
        <v>1.2951399697512721E-18</v>
      </c>
      <c r="AW24" s="285">
        <f>RSQ(AV24:AV31,AM24:AM31)</f>
        <v>0.99916643645759262</v>
      </c>
    </row>
    <row r="25" spans="1:61" s="10" customFormat="1">
      <c r="A25" s="66"/>
      <c r="C25" s="10">
        <v>300</v>
      </c>
      <c r="D25" s="10">
        <v>300</v>
      </c>
      <c r="E25" s="10">
        <v>15</v>
      </c>
      <c r="F25" s="10">
        <f t="shared" si="76"/>
        <v>20</v>
      </c>
      <c r="G25" s="8">
        <v>1E-8</v>
      </c>
      <c r="H25" s="10">
        <f t="shared" si="77"/>
        <v>3000</v>
      </c>
      <c r="I25" s="8">
        <f t="shared" si="78"/>
        <v>150</v>
      </c>
      <c r="J25" s="16">
        <v>1000</v>
      </c>
      <c r="K25" s="8">
        <v>4.166666666666666E-12</v>
      </c>
      <c r="L25" s="10">
        <v>2</v>
      </c>
      <c r="M25" s="10">
        <v>2</v>
      </c>
      <c r="N25" s="10" t="s">
        <v>20</v>
      </c>
      <c r="O25" s="10">
        <v>88000</v>
      </c>
      <c r="P25" s="83">
        <f t="shared" si="69"/>
        <v>1.527777777777777E-5</v>
      </c>
      <c r="Q25" s="8">
        <v>4</v>
      </c>
      <c r="R25" s="16" t="s">
        <v>468</v>
      </c>
      <c r="S25">
        <v>0.20599999999999999</v>
      </c>
      <c r="T25" s="16">
        <v>55</v>
      </c>
      <c r="U25" s="10">
        <f t="shared" si="70"/>
        <v>5.5000000000000003E-7</v>
      </c>
      <c r="V25" s="16">
        <v>912</v>
      </c>
      <c r="W25" s="10">
        <f t="shared" ref="W25:W31" si="86">V25</f>
        <v>912</v>
      </c>
      <c r="X25" s="10">
        <f t="shared" si="71"/>
        <v>900</v>
      </c>
      <c r="Y25" s="10">
        <f t="shared" si="9"/>
        <v>9.1200000000000008E-6</v>
      </c>
      <c r="Z25" s="10">
        <f t="shared" ref="Z25:Z31" si="87">V25*W25*G24^2</f>
        <v>8.3174400000000002E-11</v>
      </c>
      <c r="AA25" s="10">
        <f t="shared" si="10"/>
        <v>5.0160000000000004E-12</v>
      </c>
      <c r="AB25" s="10">
        <f t="shared" ref="AB25:AB31" si="88">W25-X25</f>
        <v>12</v>
      </c>
      <c r="AC25" s="10">
        <f t="shared" ref="AC25:AC31" si="89">AB25/2</f>
        <v>6</v>
      </c>
      <c r="AD25" s="10">
        <f t="shared" ref="AD25:AD31" si="90">AC25*G25</f>
        <v>6.0000000000000008E-8</v>
      </c>
      <c r="AE25" s="157">
        <f t="shared" ref="AE25:AE31" si="91">AD25*10^9</f>
        <v>60.000000000000007</v>
      </c>
      <c r="AF25" s="10">
        <v>2.56148E-2</v>
      </c>
      <c r="AG25" s="68">
        <v>4.3482099999999997E-8</v>
      </c>
      <c r="AH25" s="10">
        <v>0.44980999999999999</v>
      </c>
      <c r="AI25" s="157">
        <v>4.5260899999999999E-8</v>
      </c>
      <c r="AJ25" s="10">
        <f t="shared" si="79"/>
        <v>17.560550931492731</v>
      </c>
      <c r="AK25" s="10">
        <f t="shared" ref="AK25" si="92">((G25^2)*AF25*1000)/(0.9869*(10^-12))</f>
        <v>2.5954807984598241E-3</v>
      </c>
      <c r="AL25" s="10">
        <f t="shared" ref="AL25" si="93">AF25*G25^2</f>
        <v>2.5614800000000003E-18</v>
      </c>
      <c r="AM25" s="10">
        <f t="shared" ref="AM25" si="94">9.869*10^-16*AK25</f>
        <v>2.5614800000000003E-18</v>
      </c>
      <c r="AN25" s="10">
        <f t="shared" ref="AN25" si="95">LOG10(AM25)</f>
        <v>-17.59150903073964</v>
      </c>
      <c r="AO25" s="10">
        <f>((K25^2)*AH25*1000)/(0.9869*(10^-12))</f>
        <v>7.9128598529626982E-9</v>
      </c>
      <c r="AP25" s="10">
        <f>AH25*G25^2</f>
        <v>4.4981000000000004E-17</v>
      </c>
      <c r="AQ25" s="10">
        <f t="shared" si="84"/>
        <v>-16.346970893727992</v>
      </c>
      <c r="AR25" s="8">
        <f>AP25/AM25</f>
        <v>17.560550931492731</v>
      </c>
      <c r="AS25" s="10">
        <f>SQRT(AG25^2+2*AI25^2)/AG25</f>
        <v>1.7796016994954729</v>
      </c>
      <c r="AT25">
        <f t="shared" ref="AT25:AT31" si="96">SQRT(AG25^2+2*AI25^2)/AI25</f>
        <v>1.7096615192723101</v>
      </c>
      <c r="AU25">
        <f>EXP((S25*100-71.83)/8.79)</f>
        <v>2.9433294293749932E-3</v>
      </c>
      <c r="AV25">
        <f t="shared" si="85"/>
        <v>2.9047718138501806E-18</v>
      </c>
      <c r="AW25" s="8"/>
    </row>
    <row r="26" spans="1:61" s="10" customFormat="1">
      <c r="A26" s="66"/>
      <c r="C26" s="10">
        <v>300</v>
      </c>
      <c r="D26" s="10">
        <v>300</v>
      </c>
      <c r="E26" s="10">
        <v>15</v>
      </c>
      <c r="F26" s="10">
        <f t="shared" si="76"/>
        <v>20</v>
      </c>
      <c r="G26" s="8">
        <v>1E-8</v>
      </c>
      <c r="H26" s="10">
        <f t="shared" si="77"/>
        <v>3000</v>
      </c>
      <c r="I26" s="8">
        <f t="shared" si="78"/>
        <v>150</v>
      </c>
      <c r="J26" s="16">
        <v>1000</v>
      </c>
      <c r="K26" s="8">
        <v>4.166666666666666E-12</v>
      </c>
      <c r="L26" s="10">
        <v>2</v>
      </c>
      <c r="M26" s="10">
        <v>2</v>
      </c>
      <c r="N26" s="10" t="s">
        <v>20</v>
      </c>
      <c r="O26" s="10">
        <v>88000</v>
      </c>
      <c r="P26" s="83">
        <f t="shared" si="69"/>
        <v>1.527777777777777E-5</v>
      </c>
      <c r="Q26" s="8">
        <v>6</v>
      </c>
      <c r="R26" s="16" t="s">
        <v>453</v>
      </c>
      <c r="S26">
        <v>0.26800000000000002</v>
      </c>
      <c r="T26" s="16">
        <v>59</v>
      </c>
      <c r="U26" s="10">
        <f t="shared" si="70"/>
        <v>5.8999999999999996E-7</v>
      </c>
      <c r="V26" s="16">
        <v>916</v>
      </c>
      <c r="W26" s="10">
        <f t="shared" si="86"/>
        <v>916</v>
      </c>
      <c r="X26" s="10">
        <f t="shared" si="71"/>
        <v>900</v>
      </c>
      <c r="Y26" s="10">
        <f t="shared" si="9"/>
        <v>9.1600000000000004E-6</v>
      </c>
      <c r="Z26" s="10">
        <f t="shared" si="87"/>
        <v>8.3905600000000004E-11</v>
      </c>
      <c r="AA26" s="10">
        <f t="shared" si="10"/>
        <v>5.4044000000000007E-12</v>
      </c>
      <c r="AB26" s="10">
        <f t="shared" si="88"/>
        <v>16</v>
      </c>
      <c r="AC26" s="10">
        <f t="shared" si="89"/>
        <v>8</v>
      </c>
      <c r="AD26" s="10">
        <f t="shared" si="90"/>
        <v>8.0000000000000002E-8</v>
      </c>
      <c r="AE26" s="157">
        <f t="shared" si="91"/>
        <v>80</v>
      </c>
      <c r="AF26" s="10">
        <v>6.7801500000000001E-2</v>
      </c>
      <c r="AG26" s="68">
        <v>1.07158E-7</v>
      </c>
      <c r="AH26" s="10">
        <v>1.1248800000000001</v>
      </c>
      <c r="AI26" s="157">
        <v>1.12693E-7</v>
      </c>
      <c r="AJ26" s="10">
        <f t="shared" si="79"/>
        <v>16.590783389748015</v>
      </c>
      <c r="AK26" s="10">
        <f t="shared" ref="AK26" si="97">((G26^2)*AF26*1000)/(0.9869*(10^-12))</f>
        <v>6.8701489512615274E-3</v>
      </c>
      <c r="AL26" s="10">
        <f t="shared" ref="AL26" si="98">AF26*G26^2</f>
        <v>6.7801500000000009E-18</v>
      </c>
      <c r="AM26" s="10">
        <f t="shared" ref="AM26" si="99">9.869*10^-16*AK26</f>
        <v>6.7801500000000009E-18</v>
      </c>
      <c r="AN26" s="10">
        <f t="shared" ref="AN26" si="100">LOG10(AM26)</f>
        <v>-17.168760697954223</v>
      </c>
      <c r="AO26" s="10">
        <f>((K26^2)*AH26*1000)/(0.9869*(10^-12))</f>
        <v>1.9788394636403552E-8</v>
      </c>
      <c r="AP26" s="10">
        <f>AH26*G26^2</f>
        <v>1.1248800000000002E-16</v>
      </c>
      <c r="AQ26" s="10">
        <f t="shared" si="84"/>
        <v>-15.948893804768185</v>
      </c>
      <c r="AR26" s="8">
        <f>AP26/AM26</f>
        <v>16.590783389748015</v>
      </c>
      <c r="AS26" s="10">
        <f t="shared" ref="AS26:AS31" si="101">SQRT(AG26^2+2*AI26^2)/AG26</f>
        <v>1.7921905037663735</v>
      </c>
      <c r="AT26">
        <f t="shared" si="96"/>
        <v>1.7041657423495429</v>
      </c>
      <c r="AU26">
        <f t="shared" ref="AU26:AU31" si="102">EXP((S26*100-71.83)/8.79)</f>
        <v>5.9589148049012768E-3</v>
      </c>
      <c r="AV26">
        <f t="shared" si="85"/>
        <v>5.8808530209570697E-18</v>
      </c>
      <c r="AW26" s="8"/>
    </row>
    <row r="27" spans="1:61" s="10" customFormat="1">
      <c r="A27" s="66"/>
      <c r="C27" s="10">
        <v>300</v>
      </c>
      <c r="D27" s="10">
        <v>300</v>
      </c>
      <c r="E27" s="10">
        <v>15</v>
      </c>
      <c r="F27" s="10">
        <f t="shared" si="76"/>
        <v>20</v>
      </c>
      <c r="G27" s="8">
        <v>1E-8</v>
      </c>
      <c r="H27" s="10">
        <f t="shared" si="77"/>
        <v>3000</v>
      </c>
      <c r="I27" s="8">
        <f t="shared" si="78"/>
        <v>150</v>
      </c>
      <c r="J27" s="16">
        <v>1000</v>
      </c>
      <c r="K27" s="8">
        <v>4.166666666666666E-12</v>
      </c>
      <c r="L27" s="10">
        <v>2</v>
      </c>
      <c r="M27" s="10">
        <v>2</v>
      </c>
      <c r="N27" s="10" t="s">
        <v>20</v>
      </c>
      <c r="O27" s="10">
        <v>88000</v>
      </c>
      <c r="P27" s="83">
        <f t="shared" si="69"/>
        <v>1.527777777777777E-5</v>
      </c>
      <c r="Q27" s="8">
        <v>10</v>
      </c>
      <c r="R27" s="16" t="s">
        <v>469</v>
      </c>
      <c r="S27">
        <v>0.36799999999999999</v>
      </c>
      <c r="T27" s="16">
        <v>67</v>
      </c>
      <c r="U27" s="10">
        <f t="shared" si="70"/>
        <v>6.7000000000000004E-7</v>
      </c>
      <c r="V27" s="16">
        <v>924</v>
      </c>
      <c r="W27" s="10">
        <f t="shared" si="86"/>
        <v>924</v>
      </c>
      <c r="X27" s="10">
        <f t="shared" si="71"/>
        <v>900</v>
      </c>
      <c r="Y27" s="10">
        <f t="shared" si="9"/>
        <v>9.2399999999999996E-6</v>
      </c>
      <c r="Z27" s="10">
        <f t="shared" si="87"/>
        <v>8.5377600000000004E-11</v>
      </c>
      <c r="AA27" s="10">
        <f t="shared" si="10"/>
        <v>6.1908000000000006E-12</v>
      </c>
      <c r="AB27" s="10">
        <f t="shared" si="88"/>
        <v>24</v>
      </c>
      <c r="AC27" s="10">
        <f t="shared" si="89"/>
        <v>12</v>
      </c>
      <c r="AD27" s="10">
        <f t="shared" si="90"/>
        <v>1.2000000000000002E-7</v>
      </c>
      <c r="AE27" s="157">
        <f t="shared" si="91"/>
        <v>120.00000000000001</v>
      </c>
      <c r="AF27" s="16">
        <v>0.26364100000000001</v>
      </c>
      <c r="AG27" s="68">
        <v>3.66168E-7</v>
      </c>
      <c r="AH27" s="10">
        <v>3.8199100000000001</v>
      </c>
      <c r="AI27" s="157">
        <v>3.7937100000000002E-7</v>
      </c>
      <c r="AJ27" s="10">
        <f t="shared" si="79"/>
        <v>14.489058985514392</v>
      </c>
      <c r="AK27" s="10">
        <f t="shared" ref="AK27" si="103">((G27^2)*AF27*1000)/(0.9869*(10^-12))</f>
        <v>2.671405410882562E-2</v>
      </c>
      <c r="AL27" s="10">
        <f t="shared" ref="AL27" si="104">AF27*G27^2</f>
        <v>2.6364100000000003E-17</v>
      </c>
      <c r="AM27" s="10">
        <f t="shared" ref="AM27" si="105">9.869*10^-16*AK27</f>
        <v>2.6364100000000003E-17</v>
      </c>
      <c r="AN27" s="10">
        <f t="shared" ref="AN27" si="106">LOG10(AM27)</f>
        <v>-16.578987049733815</v>
      </c>
      <c r="AO27" s="10">
        <f>((K27^2)*AH27*1000)/(0.9869*(10^-12))</f>
        <v>6.7198178077256487E-8</v>
      </c>
      <c r="AP27" s="10">
        <f>AH27*G27^2</f>
        <v>3.8199100000000004E-16</v>
      </c>
      <c r="AQ27" s="10">
        <f t="shared" si="84"/>
        <v>-15.417946869277774</v>
      </c>
      <c r="AR27" s="8">
        <f>AP27/AM27</f>
        <v>14.489058985514392</v>
      </c>
      <c r="AS27" s="10">
        <f t="shared" si="101"/>
        <v>1.7739304171030603</v>
      </c>
      <c r="AT27">
        <f t="shared" si="96"/>
        <v>1.7121934807083128</v>
      </c>
      <c r="AU27">
        <f t="shared" si="102"/>
        <v>1.8588531648944064E-2</v>
      </c>
      <c r="AV27">
        <f t="shared" si="85"/>
        <v>1.8345021884342894E-17</v>
      </c>
      <c r="AW27" s="8"/>
    </row>
    <row r="28" spans="1:61" s="10" customFormat="1">
      <c r="A28" s="66"/>
      <c r="C28" s="10">
        <v>300</v>
      </c>
      <c r="D28" s="10">
        <v>300</v>
      </c>
      <c r="E28" s="10">
        <v>15</v>
      </c>
      <c r="F28" s="10">
        <f t="shared" si="76"/>
        <v>20</v>
      </c>
      <c r="G28" s="8">
        <v>1E-8</v>
      </c>
      <c r="H28" s="10">
        <f t="shared" si="77"/>
        <v>3000</v>
      </c>
      <c r="I28" s="8">
        <f t="shared" si="78"/>
        <v>150</v>
      </c>
      <c r="J28" s="16">
        <v>1000</v>
      </c>
      <c r="K28" s="8">
        <v>4.166666666666666E-12</v>
      </c>
      <c r="L28" s="10">
        <v>2</v>
      </c>
      <c r="M28" s="10">
        <v>2</v>
      </c>
      <c r="N28" s="10" t="s">
        <v>20</v>
      </c>
      <c r="O28" s="10">
        <v>88000</v>
      </c>
      <c r="P28" s="83">
        <f t="shared" si="69"/>
        <v>1.527777777777777E-5</v>
      </c>
      <c r="Q28" s="8">
        <v>16</v>
      </c>
      <c r="R28" s="16" t="s">
        <v>454</v>
      </c>
      <c r="S28">
        <v>0.48</v>
      </c>
      <c r="T28" s="16">
        <v>79</v>
      </c>
      <c r="U28" s="10">
        <f t="shared" si="70"/>
        <v>7.9000000000000006E-7</v>
      </c>
      <c r="V28" s="16">
        <v>936</v>
      </c>
      <c r="W28" s="10">
        <f t="shared" si="86"/>
        <v>936</v>
      </c>
      <c r="X28" s="10">
        <f t="shared" si="71"/>
        <v>900</v>
      </c>
      <c r="Y28" s="10">
        <f t="shared" si="9"/>
        <v>9.3600000000000002E-6</v>
      </c>
      <c r="Z28" s="10">
        <f t="shared" si="87"/>
        <v>8.760960000000001E-11</v>
      </c>
      <c r="AA28" s="10">
        <f t="shared" si="10"/>
        <v>7.3944000000000001E-12</v>
      </c>
      <c r="AB28" s="10">
        <f t="shared" si="88"/>
        <v>36</v>
      </c>
      <c r="AC28" s="10">
        <f t="shared" si="89"/>
        <v>18</v>
      </c>
      <c r="AD28" s="10">
        <f t="shared" si="90"/>
        <v>1.8E-7</v>
      </c>
      <c r="AE28" s="157">
        <f t="shared" si="91"/>
        <v>180</v>
      </c>
      <c r="AF28" s="10">
        <v>1.0191699999999999</v>
      </c>
      <c r="AG28" s="68">
        <v>1.19774E-6</v>
      </c>
      <c r="AH28" s="16">
        <v>12.180199999999999</v>
      </c>
      <c r="AI28" s="157">
        <v>9.4620300000000006E-6</v>
      </c>
      <c r="AJ28" s="10">
        <f t="shared" si="79"/>
        <v>11.951097461659979</v>
      </c>
      <c r="AK28" s="10">
        <f t="shared" ref="AK28" si="107">((G28^2)*AF28*1000)/(0.9869*(10^-12))</f>
        <v>0.10326983483635627</v>
      </c>
      <c r="AL28" s="10">
        <f t="shared" ref="AL28" si="108">AF28*G28^2</f>
        <v>1.01917E-16</v>
      </c>
      <c r="AM28" s="10">
        <f t="shared" ref="AM28" si="109">9.869*10^-16*AK28</f>
        <v>1.01917E-16</v>
      </c>
      <c r="AN28" s="10">
        <f t="shared" ref="AN28" si="110">LOG10(AM28)</f>
        <v>-15.991753368590173</v>
      </c>
      <c r="AO28" s="10">
        <f t="shared" ref="AO28:AO31" si="111">((K28^2)*AH28*1000)/(0.9869*(10^-12))</f>
        <v>2.1426872586437884E-7</v>
      </c>
      <c r="AP28" s="10">
        <f t="shared" ref="AP28:AP31" si="112">AH28*G28^2</f>
        <v>1.21802E-15</v>
      </c>
      <c r="AQ28" s="10">
        <f t="shared" si="84"/>
        <v>-14.91434558048941</v>
      </c>
      <c r="AR28" s="8">
        <f t="shared" ref="AR28:AR31" si="113">AP28/AM28</f>
        <v>11.951097461659979</v>
      </c>
      <c r="AS28" s="10">
        <f t="shared" si="101"/>
        <v>11.216815037624633</v>
      </c>
      <c r="AT28">
        <f t="shared" si="96"/>
        <v>1.4198674114502414</v>
      </c>
      <c r="AU28">
        <f t="shared" si="102"/>
        <v>6.6467958975558211E-2</v>
      </c>
      <c r="AV28">
        <f t="shared" si="85"/>
        <v>6.559722871297839E-17</v>
      </c>
      <c r="AW28" s="8"/>
    </row>
    <row r="29" spans="1:61" s="10" customFormat="1">
      <c r="A29" s="66"/>
      <c r="C29" s="10">
        <v>300</v>
      </c>
      <c r="D29" s="10">
        <v>300</v>
      </c>
      <c r="E29" s="10">
        <v>15</v>
      </c>
      <c r="F29" s="10">
        <f t="shared" si="76"/>
        <v>20</v>
      </c>
      <c r="G29" s="8">
        <v>1E-8</v>
      </c>
      <c r="H29" s="10">
        <f t="shared" si="77"/>
        <v>3000</v>
      </c>
      <c r="I29" s="8">
        <f t="shared" si="78"/>
        <v>150</v>
      </c>
      <c r="J29" s="16">
        <v>1000</v>
      </c>
      <c r="K29" s="8">
        <v>4.166666666666666E-12</v>
      </c>
      <c r="L29" s="10">
        <v>2</v>
      </c>
      <c r="M29" s="10">
        <v>2</v>
      </c>
      <c r="N29" s="10" t="s">
        <v>20</v>
      </c>
      <c r="O29" s="10">
        <v>88000</v>
      </c>
      <c r="P29" s="83">
        <f t="shared" si="69"/>
        <v>1.527777777777777E-5</v>
      </c>
      <c r="Q29" s="8">
        <v>24</v>
      </c>
      <c r="R29" s="16" t="s">
        <v>470</v>
      </c>
      <c r="S29">
        <v>0.58399999999999996</v>
      </c>
      <c r="T29" s="16">
        <v>95</v>
      </c>
      <c r="U29" s="10">
        <f t="shared" si="70"/>
        <v>9.5000000000000001E-7</v>
      </c>
      <c r="V29" s="16">
        <v>952</v>
      </c>
      <c r="W29" s="10">
        <f t="shared" si="86"/>
        <v>952</v>
      </c>
      <c r="X29" s="10">
        <f t="shared" si="71"/>
        <v>900</v>
      </c>
      <c r="Y29" s="10">
        <f t="shared" si="9"/>
        <v>9.5200000000000003E-6</v>
      </c>
      <c r="Z29" s="10">
        <f t="shared" si="87"/>
        <v>9.0630400000000013E-11</v>
      </c>
      <c r="AA29" s="10">
        <f t="shared" si="10"/>
        <v>9.0440000000000006E-12</v>
      </c>
      <c r="AB29" s="10">
        <f t="shared" si="88"/>
        <v>52</v>
      </c>
      <c r="AC29" s="10">
        <f t="shared" si="89"/>
        <v>26</v>
      </c>
      <c r="AD29" s="10">
        <f t="shared" si="90"/>
        <v>2.6E-7</v>
      </c>
      <c r="AE29" s="157">
        <f t="shared" si="91"/>
        <v>260</v>
      </c>
      <c r="AF29" s="10">
        <v>3.4640399999999998</v>
      </c>
      <c r="AG29" s="68">
        <v>3.3780600000000001E-6</v>
      </c>
      <c r="AH29" s="10">
        <v>32.767200000000003</v>
      </c>
      <c r="AI29" s="8">
        <v>3.1584300000000001E-6</v>
      </c>
      <c r="AJ29" s="10">
        <f t="shared" si="79"/>
        <v>9.459244119582916</v>
      </c>
      <c r="AK29" s="10">
        <f t="shared" ref="AK29" si="114">((G29^2)*AF29*1000)/(0.9869*(10^-12))</f>
        <v>0.35100212787516472</v>
      </c>
      <c r="AL29" s="10">
        <f t="shared" ref="AL29" si="115">AF29*G29^2</f>
        <v>3.4640400000000004E-16</v>
      </c>
      <c r="AM29" s="10">
        <f t="shared" ref="AM29" si="116">9.869*10^-16*AK29</f>
        <v>3.4640400000000004E-16</v>
      </c>
      <c r="AN29" s="10">
        <f t="shared" ref="AN29" si="117">LOG10(AM29)</f>
        <v>-15.460417101735818</v>
      </c>
      <c r="AO29" s="10">
        <f t="shared" si="111"/>
        <v>5.7642618299726409E-7</v>
      </c>
      <c r="AP29" s="10">
        <f t="shared" si="112"/>
        <v>3.2767200000000005E-15</v>
      </c>
      <c r="AQ29" s="10">
        <f t="shared" si="84"/>
        <v>-14.484560668062338</v>
      </c>
      <c r="AR29" s="8">
        <f t="shared" si="113"/>
        <v>9.459244119582916</v>
      </c>
      <c r="AS29" s="10">
        <f t="shared" si="101"/>
        <v>1.6578262543928644</v>
      </c>
      <c r="AT29">
        <f t="shared" si="96"/>
        <v>1.7731077012675156</v>
      </c>
      <c r="AU29">
        <f t="shared" si="102"/>
        <v>0.21699681944597304</v>
      </c>
      <c r="AV29">
        <f t="shared" si="85"/>
        <v>2.1415416111123079E-16</v>
      </c>
      <c r="AW29" s="8"/>
    </row>
    <row r="30" spans="1:61" s="51" customFormat="1" ht="16.5" thickBot="1">
      <c r="A30" s="66"/>
      <c r="B30" s="10"/>
      <c r="C30" s="10">
        <v>300</v>
      </c>
      <c r="D30" s="10">
        <v>300</v>
      </c>
      <c r="E30" s="10">
        <v>15</v>
      </c>
      <c r="F30" s="10">
        <f t="shared" si="76"/>
        <v>20</v>
      </c>
      <c r="G30" s="8">
        <v>1E-8</v>
      </c>
      <c r="H30" s="10">
        <f t="shared" si="77"/>
        <v>3000</v>
      </c>
      <c r="I30" s="8">
        <f t="shared" si="78"/>
        <v>150</v>
      </c>
      <c r="J30" s="16">
        <v>1000</v>
      </c>
      <c r="K30" s="8">
        <v>4.166666666666666E-12</v>
      </c>
      <c r="L30" s="10">
        <v>2</v>
      </c>
      <c r="M30" s="10">
        <v>2</v>
      </c>
      <c r="N30" s="10" t="s">
        <v>20</v>
      </c>
      <c r="O30" s="10">
        <v>88000</v>
      </c>
      <c r="P30" s="83">
        <f t="shared" si="69"/>
        <v>1.527777777777777E-5</v>
      </c>
      <c r="Q30" s="8">
        <v>30</v>
      </c>
      <c r="R30" s="10" t="s">
        <v>455</v>
      </c>
      <c r="S30">
        <v>0.64100000000000001</v>
      </c>
      <c r="T30" s="16">
        <v>107</v>
      </c>
      <c r="U30" s="10">
        <f t="shared" si="70"/>
        <v>1.0699999999999999E-6</v>
      </c>
      <c r="V30" s="16">
        <v>964</v>
      </c>
      <c r="W30" s="10">
        <f t="shared" si="86"/>
        <v>964</v>
      </c>
      <c r="X30" s="10">
        <f t="shared" si="71"/>
        <v>900</v>
      </c>
      <c r="Y30" s="10">
        <f t="shared" si="9"/>
        <v>9.6400000000000009E-6</v>
      </c>
      <c r="Z30" s="10">
        <f t="shared" si="87"/>
        <v>9.2929600000000011E-11</v>
      </c>
      <c r="AA30" s="10">
        <f t="shared" si="10"/>
        <v>1.0314800000000001E-11</v>
      </c>
      <c r="AB30" s="10">
        <f t="shared" si="88"/>
        <v>64</v>
      </c>
      <c r="AC30" s="10">
        <f t="shared" si="89"/>
        <v>32</v>
      </c>
      <c r="AD30" s="10">
        <f t="shared" si="90"/>
        <v>3.2000000000000001E-7</v>
      </c>
      <c r="AE30" s="157">
        <f t="shared" si="91"/>
        <v>320</v>
      </c>
      <c r="AF30" s="16">
        <v>6.8992599999999999</v>
      </c>
      <c r="AG30" s="234">
        <v>5.9663500000000001E-6</v>
      </c>
      <c r="AH30" s="10">
        <v>56.5062</v>
      </c>
      <c r="AI30" s="8">
        <v>5.37875E-6</v>
      </c>
      <c r="AJ30" s="10">
        <f t="shared" si="79"/>
        <v>8.1901827152477225</v>
      </c>
      <c r="AK30" s="10">
        <f t="shared" ref="AK30:AK31" si="118">((G30^2)*AF30*1000)/(0.9869*(10^-12))</f>
        <v>0.69908400040530971</v>
      </c>
      <c r="AL30" s="10">
        <f t="shared" ref="AL30:AL31" si="119">AF30*G30^2</f>
        <v>6.8992600000000008E-16</v>
      </c>
      <c r="AM30" s="10">
        <f t="shared" ref="AM30:AM31" si="120">9.869*10^-16*AK30</f>
        <v>6.8992600000000008E-16</v>
      </c>
      <c r="AN30" s="10">
        <f t="shared" ref="AN30:AN31" si="121">LOG10(AM30)</f>
        <v>-15.161197488270158</v>
      </c>
      <c r="AO30" s="10">
        <f t="shared" si="111"/>
        <v>9.9403223899753416E-7</v>
      </c>
      <c r="AP30" s="10">
        <f t="shared" si="112"/>
        <v>5.6506200000000003E-15</v>
      </c>
      <c r="AQ30" s="10">
        <f t="shared" si="84"/>
        <v>-14.247903897701594</v>
      </c>
      <c r="AR30" s="8">
        <f t="shared" si="113"/>
        <v>8.1901827152477225</v>
      </c>
      <c r="AS30" s="10">
        <f t="shared" si="101"/>
        <v>1.6203259427081687</v>
      </c>
      <c r="AT30">
        <f t="shared" si="96"/>
        <v>1.7973379852710913</v>
      </c>
      <c r="AU30">
        <f t="shared" si="102"/>
        <v>0.41502836210808075</v>
      </c>
      <c r="AV30">
        <f t="shared" si="85"/>
        <v>4.0959149056446488E-16</v>
      </c>
      <c r="AW30" s="8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</row>
    <row r="31" spans="1:61" s="51" customFormat="1" ht="16.5" thickBot="1">
      <c r="A31"/>
      <c r="B31"/>
      <c r="C31">
        <v>300</v>
      </c>
      <c r="D31">
        <v>300</v>
      </c>
      <c r="E31">
        <v>15</v>
      </c>
      <c r="F31">
        <f t="shared" si="76"/>
        <v>20</v>
      </c>
      <c r="G31" s="110">
        <v>1E-8</v>
      </c>
      <c r="H31" s="51">
        <f t="shared" si="77"/>
        <v>3000</v>
      </c>
      <c r="I31" s="110">
        <f t="shared" si="78"/>
        <v>150</v>
      </c>
      <c r="J31" s="58">
        <v>1000</v>
      </c>
      <c r="K31" s="110">
        <v>4.166666666666666E-12</v>
      </c>
      <c r="L31" s="51">
        <v>2</v>
      </c>
      <c r="M31" s="51">
        <v>2</v>
      </c>
      <c r="N31" s="51" t="s">
        <v>20</v>
      </c>
      <c r="O31" s="51">
        <v>88000</v>
      </c>
      <c r="P31" s="84">
        <f t="shared" si="69"/>
        <v>1.527777777777777E-5</v>
      </c>
      <c r="Q31" s="51">
        <v>36</v>
      </c>
      <c r="R31" s="51" t="s">
        <v>474</v>
      </c>
      <c r="S31" s="76">
        <v>0.68700000000000006</v>
      </c>
      <c r="T31" s="51">
        <v>119</v>
      </c>
      <c r="U31" s="51">
        <f t="shared" si="70"/>
        <v>1.19E-6</v>
      </c>
      <c r="V31" s="51">
        <v>976</v>
      </c>
      <c r="W31" s="51">
        <f t="shared" si="86"/>
        <v>976</v>
      </c>
      <c r="X31" s="51">
        <f t="shared" si="71"/>
        <v>900</v>
      </c>
      <c r="Y31" s="51">
        <f t="shared" si="9"/>
        <v>9.7599999999999997E-6</v>
      </c>
      <c r="Z31" s="51">
        <f t="shared" si="87"/>
        <v>9.5257600000000013E-11</v>
      </c>
      <c r="AA31" s="51">
        <f t="shared" si="10"/>
        <v>1.1614400000000001E-11</v>
      </c>
      <c r="AB31" s="51">
        <f t="shared" si="88"/>
        <v>76</v>
      </c>
      <c r="AC31" s="51">
        <f t="shared" si="89"/>
        <v>38</v>
      </c>
      <c r="AD31" s="51">
        <f t="shared" si="90"/>
        <v>3.8000000000000001E-7</v>
      </c>
      <c r="AE31" s="199">
        <f t="shared" si="91"/>
        <v>380</v>
      </c>
      <c r="AF31" s="51">
        <v>12.180199999999999</v>
      </c>
      <c r="AG31" s="59">
        <v>9.4620300000000006E-6</v>
      </c>
      <c r="AH31" s="51">
        <v>88.001999999999995</v>
      </c>
      <c r="AI31" s="59">
        <v>8.2737100000000008E-6</v>
      </c>
      <c r="AJ31" s="51">
        <f t="shared" si="79"/>
        <v>7.225004515525197</v>
      </c>
      <c r="AK31" s="51">
        <f t="shared" si="118"/>
        <v>1.2341878609788228</v>
      </c>
      <c r="AL31" s="51">
        <f t="shared" si="119"/>
        <v>1.21802E-15</v>
      </c>
      <c r="AM31" s="51">
        <f t="shared" si="120"/>
        <v>1.2180200000000002E-15</v>
      </c>
      <c r="AN31" s="51">
        <f t="shared" si="121"/>
        <v>-14.91434558048941</v>
      </c>
      <c r="AO31" s="10">
        <f t="shared" si="111"/>
        <v>1.5480925119059677E-6</v>
      </c>
      <c r="AP31" s="10">
        <f t="shared" si="112"/>
        <v>8.8001999999999997E-15</v>
      </c>
      <c r="AQ31" s="10">
        <f t="shared" si="84"/>
        <v>-14.055507457632858</v>
      </c>
      <c r="AR31" s="8">
        <f t="shared" si="113"/>
        <v>7.2250045155251952</v>
      </c>
      <c r="AS31" s="10">
        <f t="shared" si="101"/>
        <v>1.5903432771368355</v>
      </c>
      <c r="AT31">
        <f t="shared" si="96"/>
        <v>1.8187579451741784</v>
      </c>
      <c r="AU31">
        <f t="shared" si="102"/>
        <v>0.70041205866782941</v>
      </c>
      <c r="AV31">
        <f t="shared" si="85"/>
        <v>6.912366606992808E-16</v>
      </c>
      <c r="AW31" s="8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1"/>
  <sheetViews>
    <sheetView topLeftCell="A10" workbookViewId="0">
      <selection activeCell="D46" sqref="D46"/>
    </sheetView>
  </sheetViews>
  <sheetFormatPr defaultRowHeight="15.75"/>
  <cols>
    <col min="1" max="1" width="9.375" style="169" bestFit="1" customWidth="1"/>
    <col min="2" max="2" width="14.375" style="169" bestFit="1" customWidth="1"/>
    <col min="3" max="3" width="11.875" style="169" bestFit="1" customWidth="1"/>
    <col min="4" max="4" width="16.375" style="169" bestFit="1" customWidth="1"/>
    <col min="5" max="5" width="11.125" style="169" bestFit="1" customWidth="1"/>
    <col min="6" max="6" width="14.375" style="169" bestFit="1" customWidth="1"/>
    <col min="7" max="7" width="13.875" style="169" bestFit="1" customWidth="1"/>
    <col min="8" max="8" width="12.625" style="169" bestFit="1" customWidth="1"/>
    <col min="9" max="9" width="9" style="169"/>
    <col min="10" max="10" width="9.875" style="169" bestFit="1" customWidth="1"/>
    <col min="11" max="11" width="12.75" style="169" bestFit="1" customWidth="1"/>
    <col min="12" max="12" width="9" style="169" bestFit="1" customWidth="1"/>
    <col min="13" max="13" width="14.375" style="169" bestFit="1" customWidth="1"/>
    <col min="14" max="14" width="11.125" style="169" bestFit="1" customWidth="1"/>
    <col min="15" max="15" width="9.75" style="169" bestFit="1" customWidth="1"/>
    <col min="16" max="16" width="11.75" style="169" bestFit="1" customWidth="1"/>
    <col min="17" max="17" width="9.75" style="169" bestFit="1" customWidth="1"/>
    <col min="18" max="16384" width="9" style="169"/>
  </cols>
  <sheetData>
    <row r="1" spans="1:16">
      <c r="A1" s="356" t="s">
        <v>339</v>
      </c>
      <c r="B1" s="356"/>
      <c r="K1" s="179"/>
      <c r="L1" s="180"/>
      <c r="M1" s="180"/>
      <c r="N1" s="180"/>
      <c r="O1" s="181"/>
    </row>
    <row r="2" spans="1:16">
      <c r="B2" s="169" t="s">
        <v>1</v>
      </c>
      <c r="C2" s="169" t="s">
        <v>60</v>
      </c>
      <c r="D2" s="169" t="s">
        <v>330</v>
      </c>
      <c r="E2" s="169" t="s">
        <v>331</v>
      </c>
      <c r="F2" s="169" t="s">
        <v>190</v>
      </c>
      <c r="G2" s="169" t="s">
        <v>333</v>
      </c>
      <c r="K2" s="174"/>
      <c r="L2" s="171"/>
      <c r="M2" s="171"/>
      <c r="N2" s="171"/>
      <c r="O2" s="175"/>
    </row>
    <row r="3" spans="1:16">
      <c r="A3" s="170" t="s">
        <v>338</v>
      </c>
      <c r="B3" s="169">
        <v>10</v>
      </c>
      <c r="C3" s="171">
        <v>5.7142857142857144E-9</v>
      </c>
      <c r="D3" s="169">
        <v>57.142857142857146</v>
      </c>
      <c r="E3" s="169">
        <f>D3*F3</f>
        <v>2000</v>
      </c>
      <c r="F3" s="169">
        <v>35</v>
      </c>
      <c r="G3" s="169">
        <v>350</v>
      </c>
      <c r="K3" s="174"/>
      <c r="L3" s="171"/>
      <c r="M3" s="171"/>
      <c r="N3" s="171"/>
      <c r="O3" s="175"/>
    </row>
    <row r="4" spans="1:16">
      <c r="A4" s="169" t="s">
        <v>334</v>
      </c>
      <c r="B4" s="169">
        <v>10</v>
      </c>
      <c r="C4" s="171">
        <v>5.7142857142857144E-9</v>
      </c>
      <c r="D4" s="169">
        <v>57.142857142857146</v>
      </c>
      <c r="E4" s="169">
        <v>100</v>
      </c>
      <c r="F4" s="169">
        <f>E4/D4</f>
        <v>1.75</v>
      </c>
      <c r="G4" s="169">
        <f>F4*B4</f>
        <v>17.5</v>
      </c>
      <c r="K4" s="174">
        <f>5/10</f>
        <v>0.5</v>
      </c>
      <c r="L4" s="171"/>
      <c r="M4" s="171"/>
      <c r="N4" s="171"/>
      <c r="O4" s="175"/>
    </row>
    <row r="5" spans="1:16">
      <c r="A5" s="169" t="s">
        <v>335</v>
      </c>
      <c r="B5" s="169">
        <v>10</v>
      </c>
      <c r="C5" s="171">
        <v>5.7142857142857144E-9</v>
      </c>
      <c r="D5" s="169">
        <v>57.142857142857146</v>
      </c>
      <c r="E5" s="169">
        <v>10000</v>
      </c>
      <c r="F5" s="169">
        <f>E5/D5</f>
        <v>175</v>
      </c>
      <c r="G5" s="169">
        <f>F5*B5</f>
        <v>1750</v>
      </c>
      <c r="K5" s="174"/>
      <c r="L5" s="171"/>
      <c r="M5" s="171"/>
      <c r="N5" s="171"/>
      <c r="O5" s="175"/>
    </row>
    <row r="6" spans="1:16">
      <c r="A6" s="356" t="s">
        <v>341</v>
      </c>
      <c r="B6" s="356"/>
      <c r="K6" s="174">
        <f>3.5*100</f>
        <v>350</v>
      </c>
      <c r="L6" s="171"/>
      <c r="M6" s="171"/>
      <c r="N6" s="171"/>
      <c r="O6" s="175"/>
    </row>
    <row r="7" spans="1:16">
      <c r="B7" s="169" t="s">
        <v>331</v>
      </c>
      <c r="C7" s="169" t="s">
        <v>332</v>
      </c>
      <c r="D7" s="169" t="s">
        <v>333</v>
      </c>
      <c r="E7" s="169" t="s">
        <v>190</v>
      </c>
      <c r="F7" s="169" t="s">
        <v>336</v>
      </c>
      <c r="G7" s="169" t="s">
        <v>337</v>
      </c>
      <c r="K7" s="174">
        <f>3.5*75</f>
        <v>262.5</v>
      </c>
      <c r="L7" s="171"/>
      <c r="M7" s="171"/>
      <c r="N7" s="171"/>
      <c r="O7" s="175"/>
    </row>
    <row r="8" spans="1:16">
      <c r="A8" s="170" t="s">
        <v>335</v>
      </c>
      <c r="B8" s="169">
        <v>3000</v>
      </c>
      <c r="C8" s="171">
        <v>1.5037593984962404E-8</v>
      </c>
      <c r="D8" s="169">
        <f>(B8/(10^9*C8))</f>
        <v>199.50000000000003</v>
      </c>
      <c r="E8" s="169">
        <v>10</v>
      </c>
      <c r="F8" s="169">
        <f>B8/E8</f>
        <v>300</v>
      </c>
      <c r="G8" s="169">
        <f>F8/(C8*10^9)</f>
        <v>19.950000000000003</v>
      </c>
      <c r="K8" s="174">
        <f>3.5*60</f>
        <v>210</v>
      </c>
      <c r="L8" s="171"/>
      <c r="M8" s="171"/>
      <c r="N8" s="171"/>
      <c r="O8" s="175"/>
    </row>
    <row r="9" spans="1:16">
      <c r="A9" s="169" t="s">
        <v>340</v>
      </c>
      <c r="B9" s="169">
        <v>1000</v>
      </c>
      <c r="C9" s="171">
        <v>5.7142857142857144E-9</v>
      </c>
      <c r="D9" s="169">
        <f>(B9/(10^9*C9))</f>
        <v>175</v>
      </c>
      <c r="E9" s="169">
        <v>10</v>
      </c>
      <c r="F9" s="169">
        <f>B9/E9</f>
        <v>100</v>
      </c>
      <c r="G9" s="169">
        <f>F9/(C9*10^9)</f>
        <v>17.5</v>
      </c>
      <c r="K9" s="174"/>
      <c r="L9" s="171"/>
      <c r="M9" s="171"/>
      <c r="N9" s="171"/>
      <c r="O9" s="175"/>
    </row>
    <row r="10" spans="1:16">
      <c r="A10" s="356" t="s">
        <v>208</v>
      </c>
      <c r="B10" s="356"/>
      <c r="K10" s="174"/>
      <c r="L10" s="171"/>
      <c r="M10" s="171"/>
      <c r="N10" s="171"/>
      <c r="O10" s="175"/>
    </row>
    <row r="11" spans="1:16">
      <c r="B11" s="169" t="s">
        <v>344</v>
      </c>
      <c r="C11" s="169" t="s">
        <v>332</v>
      </c>
      <c r="D11" s="169" t="s">
        <v>363</v>
      </c>
      <c r="E11" s="169" t="s">
        <v>190</v>
      </c>
      <c r="F11" s="169" t="s">
        <v>345</v>
      </c>
      <c r="G11" s="169" t="s">
        <v>333</v>
      </c>
      <c r="K11" s="174"/>
      <c r="L11" s="171"/>
      <c r="M11" s="171"/>
      <c r="N11" s="171"/>
      <c r="O11" s="175"/>
    </row>
    <row r="12" spans="1:16" ht="16.5" thickBot="1">
      <c r="A12" s="170" t="s">
        <v>334</v>
      </c>
      <c r="B12" s="169">
        <v>1</v>
      </c>
      <c r="C12" s="172">
        <v>1.4285714285714285E-10</v>
      </c>
      <c r="D12" s="169">
        <f>(B12/(10^9*C12))</f>
        <v>7</v>
      </c>
      <c r="E12" s="169">
        <v>100</v>
      </c>
      <c r="F12" s="169">
        <v>100</v>
      </c>
      <c r="G12" s="169">
        <f>F12/(C12*10^9)</f>
        <v>700</v>
      </c>
      <c r="H12" s="149" t="s">
        <v>342</v>
      </c>
      <c r="K12" s="182"/>
      <c r="L12" s="183"/>
      <c r="M12" s="183"/>
      <c r="N12" s="183"/>
      <c r="O12" s="184"/>
      <c r="P12" s="169">
        <f>3000/20</f>
        <v>150</v>
      </c>
    </row>
    <row r="13" spans="1:16">
      <c r="A13" s="169" t="s">
        <v>334</v>
      </c>
      <c r="C13" s="171"/>
      <c r="F13" s="169" t="s">
        <v>393</v>
      </c>
      <c r="H13" s="149" t="s">
        <v>343</v>
      </c>
    </row>
    <row r="14" spans="1:16">
      <c r="B14" s="173">
        <v>43169</v>
      </c>
      <c r="H14" s="169" t="s">
        <v>346</v>
      </c>
    </row>
    <row r="15" spans="1:16" ht="16.5" thickBot="1"/>
    <row r="16" spans="1:16">
      <c r="A16" s="178" t="s">
        <v>385</v>
      </c>
      <c r="B16" s="180"/>
      <c r="C16" s="180"/>
      <c r="D16" s="180"/>
      <c r="E16" s="180"/>
      <c r="F16" s="180"/>
      <c r="G16" s="180"/>
      <c r="H16" s="181"/>
    </row>
    <row r="17" spans="1:17">
      <c r="A17" s="174"/>
      <c r="B17" s="171" t="s">
        <v>331</v>
      </c>
      <c r="C17" s="171" t="s">
        <v>332</v>
      </c>
      <c r="D17" s="171" t="s">
        <v>333</v>
      </c>
      <c r="E17" s="171" t="s">
        <v>190</v>
      </c>
      <c r="F17" s="171" t="s">
        <v>336</v>
      </c>
      <c r="G17" s="171" t="s">
        <v>337</v>
      </c>
      <c r="H17" s="175" t="s">
        <v>413</v>
      </c>
    </row>
    <row r="18" spans="1:17" ht="16.5" thickBot="1">
      <c r="A18" s="176" t="s">
        <v>335</v>
      </c>
      <c r="B18" s="183">
        <v>3000</v>
      </c>
      <c r="C18" s="183">
        <v>1.5000000000000002E-8</v>
      </c>
      <c r="D18" s="183">
        <f>(B18/(10^9*C18))</f>
        <v>199.99999999999997</v>
      </c>
      <c r="E18" s="183">
        <v>10</v>
      </c>
      <c r="F18" s="183">
        <f>B18/E18</f>
        <v>300</v>
      </c>
      <c r="G18" s="183">
        <f>F18/(C18*10^9)</f>
        <v>19.999999999999996</v>
      </c>
      <c r="H18" s="184">
        <f>D18/G18</f>
        <v>10</v>
      </c>
    </row>
    <row r="19" spans="1:17" ht="16.5" thickBot="1"/>
    <row r="20" spans="1:17">
      <c r="A20" s="149" t="s">
        <v>392</v>
      </c>
      <c r="J20" s="177" t="s">
        <v>417</v>
      </c>
      <c r="K20" s="158"/>
      <c r="L20" s="158"/>
      <c r="M20" s="158"/>
      <c r="N20" s="158"/>
      <c r="O20" s="158"/>
      <c r="P20" s="158"/>
      <c r="Q20" s="159"/>
    </row>
    <row r="21" spans="1:17">
      <c r="B21" s="169" t="s">
        <v>331</v>
      </c>
      <c r="C21" s="169" t="s">
        <v>332</v>
      </c>
      <c r="D21" s="169" t="s">
        <v>333</v>
      </c>
      <c r="E21" s="169" t="s">
        <v>190</v>
      </c>
      <c r="F21" s="169" t="s">
        <v>336</v>
      </c>
      <c r="G21" s="169" t="s">
        <v>337</v>
      </c>
      <c r="H21" s="169" t="s">
        <v>413</v>
      </c>
      <c r="J21" s="174"/>
      <c r="K21" s="171" t="s">
        <v>344</v>
      </c>
      <c r="L21" s="171" t="s">
        <v>332</v>
      </c>
      <c r="M21" s="171" t="s">
        <v>363</v>
      </c>
      <c r="N21" s="171" t="s">
        <v>190</v>
      </c>
      <c r="O21" s="171" t="s">
        <v>345</v>
      </c>
      <c r="P21" s="171" t="s">
        <v>333</v>
      </c>
      <c r="Q21" s="175" t="s">
        <v>413</v>
      </c>
    </row>
    <row r="22" spans="1:17">
      <c r="A22" s="170" t="s">
        <v>335</v>
      </c>
      <c r="B22" s="169">
        <v>3000</v>
      </c>
      <c r="C22" s="171">
        <v>6E-9</v>
      </c>
      <c r="D22" s="169">
        <f>(B22/(10^9*C22))</f>
        <v>500</v>
      </c>
      <c r="E22" s="169">
        <v>10</v>
      </c>
      <c r="F22" s="169">
        <f>B22/E22</f>
        <v>300</v>
      </c>
      <c r="G22" s="169">
        <f>F22/(C22*10^9)</f>
        <v>50</v>
      </c>
      <c r="H22" s="169">
        <f>D22/G22</f>
        <v>10</v>
      </c>
      <c r="J22" s="185" t="s">
        <v>335</v>
      </c>
      <c r="K22" s="171">
        <f>O22/N22</f>
        <v>200</v>
      </c>
      <c r="L22" s="171">
        <v>7.500000000000001E-9</v>
      </c>
      <c r="M22" s="171">
        <f>(K22/(10^9*L22))</f>
        <v>26.666666666666664</v>
      </c>
      <c r="N22" s="171">
        <v>15</v>
      </c>
      <c r="O22" s="171">
        <v>3000</v>
      </c>
      <c r="P22" s="171">
        <f>O22/(L22*10^9)</f>
        <v>399.99999999999994</v>
      </c>
      <c r="Q22" s="175">
        <f>P22/M22</f>
        <v>15</v>
      </c>
    </row>
    <row r="23" spans="1:17" ht="16.5" thickBot="1">
      <c r="B23" s="169" t="s">
        <v>394</v>
      </c>
      <c r="J23" s="160"/>
      <c r="K23" s="161"/>
      <c r="L23" s="161"/>
      <c r="M23" s="161">
        <v>25</v>
      </c>
      <c r="N23" s="161">
        <f>P22/M23</f>
        <v>15.999999999999998</v>
      </c>
      <c r="O23" s="161"/>
      <c r="P23" s="161"/>
      <c r="Q23" s="162"/>
    </row>
    <row r="24" spans="1:17" ht="16.5" thickBot="1"/>
    <row r="25" spans="1:17">
      <c r="A25" s="356" t="s">
        <v>398</v>
      </c>
      <c r="B25" s="356"/>
      <c r="J25" s="213" t="s">
        <v>451</v>
      </c>
      <c r="K25" s="214"/>
      <c r="L25" s="214"/>
      <c r="M25" s="214"/>
      <c r="N25" s="214"/>
      <c r="O25" s="214"/>
      <c r="P25" s="214"/>
      <c r="Q25" s="215"/>
    </row>
    <row r="26" spans="1:17">
      <c r="B26" s="169" t="s">
        <v>344</v>
      </c>
      <c r="C26" s="169" t="s">
        <v>332</v>
      </c>
      <c r="D26" s="169" t="s">
        <v>363</v>
      </c>
      <c r="E26" s="169" t="s">
        <v>190</v>
      </c>
      <c r="F26" s="169" t="s">
        <v>345</v>
      </c>
      <c r="G26" s="169" t="s">
        <v>333</v>
      </c>
      <c r="H26" s="169" t="s">
        <v>413</v>
      </c>
      <c r="J26" s="174"/>
      <c r="K26" s="171" t="s">
        <v>344</v>
      </c>
      <c r="L26" s="171" t="s">
        <v>332</v>
      </c>
      <c r="M26" s="171" t="s">
        <v>363</v>
      </c>
      <c r="N26" s="171" t="s">
        <v>190</v>
      </c>
      <c r="O26" s="171" t="s">
        <v>345</v>
      </c>
      <c r="P26" s="171" t="s">
        <v>333</v>
      </c>
      <c r="Q26" s="175" t="s">
        <v>413</v>
      </c>
    </row>
    <row r="27" spans="1:17">
      <c r="A27" s="170" t="s">
        <v>334</v>
      </c>
      <c r="B27" s="169">
        <v>1</v>
      </c>
      <c r="C27" s="172">
        <v>1.9999999999999998E-10</v>
      </c>
      <c r="D27" s="169">
        <f>(B27/(10^9*C27))</f>
        <v>5</v>
      </c>
      <c r="E27" s="169">
        <v>100</v>
      </c>
      <c r="F27" s="169">
        <v>100</v>
      </c>
      <c r="G27" s="169">
        <f>F27/(C27*10^9)</f>
        <v>500.00000000000006</v>
      </c>
      <c r="H27" s="169">
        <f>G27/D27</f>
        <v>100.00000000000001</v>
      </c>
      <c r="J27" s="185" t="s">
        <v>335</v>
      </c>
      <c r="K27" s="171">
        <v>150</v>
      </c>
      <c r="L27" s="171">
        <v>1E-8</v>
      </c>
      <c r="M27" s="171">
        <f>(K27/(10^9*L27))</f>
        <v>15</v>
      </c>
      <c r="N27" s="212">
        <v>15</v>
      </c>
      <c r="O27" s="171">
        <v>3000</v>
      </c>
      <c r="P27" s="171">
        <f>O27/(L27*10^9)</f>
        <v>300</v>
      </c>
      <c r="Q27" s="175">
        <f>P27/M27</f>
        <v>20</v>
      </c>
    </row>
    <row r="28" spans="1:17" ht="16.5" thickBot="1">
      <c r="J28" s="216"/>
      <c r="K28" s="217"/>
      <c r="L28" s="217"/>
      <c r="M28" s="217">
        <v>25</v>
      </c>
      <c r="N28" s="217">
        <f>P27/M28</f>
        <v>12</v>
      </c>
      <c r="O28" s="217"/>
      <c r="P28" s="217"/>
      <c r="Q28" s="218"/>
    </row>
    <row r="29" spans="1:17">
      <c r="A29" s="357" t="s">
        <v>412</v>
      </c>
      <c r="B29" s="358"/>
      <c r="C29" s="158"/>
      <c r="D29" s="158"/>
      <c r="E29" s="158"/>
      <c r="F29" s="158"/>
      <c r="G29" s="158"/>
      <c r="H29" s="159"/>
    </row>
    <row r="30" spans="1:17">
      <c r="A30" s="174"/>
      <c r="B30" s="171" t="s">
        <v>363</v>
      </c>
      <c r="C30" s="171" t="s">
        <v>419</v>
      </c>
      <c r="D30" s="171" t="s">
        <v>422</v>
      </c>
      <c r="E30" s="171" t="s">
        <v>60</v>
      </c>
      <c r="F30" s="171" t="s">
        <v>344</v>
      </c>
      <c r="G30" s="171" t="s">
        <v>421</v>
      </c>
      <c r="H30" s="175" t="s">
        <v>420</v>
      </c>
    </row>
    <row r="31" spans="1:17" ht="16.5" thickBot="1">
      <c r="A31" s="176" t="s">
        <v>334</v>
      </c>
      <c r="B31" s="161">
        <v>450</v>
      </c>
      <c r="C31" s="196">
        <v>10</v>
      </c>
      <c r="D31" s="196">
        <f>B31/C31</f>
        <v>45</v>
      </c>
      <c r="E31" s="161">
        <v>1.0000000000000002E-10</v>
      </c>
      <c r="F31" s="161">
        <f>E31*B31*10^9</f>
        <v>45.000000000000007</v>
      </c>
      <c r="G31" s="161">
        <f>C31*E31*10^9</f>
        <v>1.0000000000000002</v>
      </c>
      <c r="H31" s="162">
        <f>G31/F31</f>
        <v>2.2222222222222223E-2</v>
      </c>
    </row>
    <row r="32" spans="1:17">
      <c r="A32" s="186"/>
      <c r="B32" s="187"/>
      <c r="C32" s="187"/>
      <c r="D32" s="187"/>
      <c r="E32" s="187"/>
      <c r="F32" s="187"/>
      <c r="G32" s="187"/>
      <c r="H32" s="188"/>
    </row>
    <row r="33" spans="1:8">
      <c r="A33" s="354" t="s">
        <v>412</v>
      </c>
      <c r="B33" s="355"/>
      <c r="C33" s="189"/>
      <c r="D33" s="189"/>
      <c r="E33" s="189"/>
      <c r="F33" s="189"/>
      <c r="G33" s="189"/>
      <c r="H33" s="190"/>
    </row>
    <row r="34" spans="1:8">
      <c r="A34" s="191"/>
      <c r="B34" s="189" t="s">
        <v>344</v>
      </c>
      <c r="C34" s="189" t="s">
        <v>332</v>
      </c>
      <c r="D34" s="189" t="s">
        <v>363</v>
      </c>
      <c r="E34" s="189" t="s">
        <v>190</v>
      </c>
      <c r="F34" s="189" t="s">
        <v>345</v>
      </c>
      <c r="G34" s="189" t="s">
        <v>333</v>
      </c>
      <c r="H34" s="190" t="s">
        <v>413</v>
      </c>
    </row>
    <row r="35" spans="1:8" ht="16.5" thickBot="1">
      <c r="A35" s="192" t="s">
        <v>334</v>
      </c>
      <c r="B35" s="193">
        <v>1</v>
      </c>
      <c r="C35" s="194">
        <v>1E-10</v>
      </c>
      <c r="D35" s="193">
        <f>(B35/(10^9*C35))</f>
        <v>10</v>
      </c>
      <c r="E35" s="193">
        <v>60</v>
      </c>
      <c r="F35" s="193">
        <v>600</v>
      </c>
      <c r="G35" s="193">
        <f>F35/(C35*10^9)</f>
        <v>6000</v>
      </c>
      <c r="H35" s="195">
        <f>G35/D35</f>
        <v>600</v>
      </c>
    </row>
    <row r="36" spans="1:8" ht="16.5" thickBot="1"/>
    <row r="37" spans="1:8">
      <c r="A37" s="177" t="s">
        <v>410</v>
      </c>
      <c r="B37" s="150"/>
      <c r="C37" s="150"/>
      <c r="D37" s="150"/>
      <c r="E37" s="150"/>
      <c r="F37" s="150"/>
      <c r="G37" s="150"/>
      <c r="H37" s="151"/>
    </row>
    <row r="38" spans="1:8">
      <c r="A38" s="174"/>
      <c r="B38" s="171" t="s">
        <v>330</v>
      </c>
      <c r="C38" s="171" t="s">
        <v>190</v>
      </c>
      <c r="D38" s="171" t="s">
        <v>331</v>
      </c>
      <c r="E38" s="171" t="s">
        <v>60</v>
      </c>
      <c r="F38" s="171" t="s">
        <v>363</v>
      </c>
      <c r="G38" s="171" t="s">
        <v>333</v>
      </c>
      <c r="H38" s="175" t="s">
        <v>413</v>
      </c>
    </row>
    <row r="39" spans="1:8" ht="16.5" thickBot="1">
      <c r="A39" s="176" t="s">
        <v>334</v>
      </c>
      <c r="B39" s="152">
        <v>1</v>
      </c>
      <c r="C39" s="152">
        <v>76</v>
      </c>
      <c r="D39" s="152">
        <f>B39*C39</f>
        <v>76</v>
      </c>
      <c r="E39" s="152">
        <v>2.5000000000000002E-10</v>
      </c>
      <c r="F39" s="152">
        <f>(B39*10^-9)/E39</f>
        <v>4</v>
      </c>
      <c r="G39" s="152">
        <f>(D39*10^-9)/E39</f>
        <v>304</v>
      </c>
      <c r="H39" s="153">
        <f>G39/F39</f>
        <v>76</v>
      </c>
    </row>
    <row r="40" spans="1:8" ht="16.5" thickBot="1"/>
    <row r="41" spans="1:8">
      <c r="A41" s="178" t="s">
        <v>424</v>
      </c>
      <c r="B41" s="180"/>
      <c r="C41" s="180"/>
      <c r="D41" s="180"/>
      <c r="E41" s="180"/>
      <c r="F41" s="180"/>
      <c r="G41" s="180"/>
      <c r="H41" s="181"/>
    </row>
    <row r="42" spans="1:8">
      <c r="A42" s="174"/>
      <c r="B42" s="171" t="s">
        <v>330</v>
      </c>
      <c r="C42" s="171" t="s">
        <v>190</v>
      </c>
      <c r="D42" s="171" t="s">
        <v>331</v>
      </c>
      <c r="E42" s="171" t="s">
        <v>60</v>
      </c>
      <c r="F42" s="171" t="s">
        <v>363</v>
      </c>
      <c r="G42" s="171" t="s">
        <v>333</v>
      </c>
      <c r="H42" s="175" t="s">
        <v>413</v>
      </c>
    </row>
    <row r="43" spans="1:8" ht="16.5" thickBot="1">
      <c r="A43" s="176" t="s">
        <v>334</v>
      </c>
      <c r="B43" s="183">
        <v>2</v>
      </c>
      <c r="C43" s="183">
        <v>53</v>
      </c>
      <c r="D43" s="183">
        <f>B43*C43</f>
        <v>106</v>
      </c>
      <c r="E43" s="183">
        <v>5.0000000000000003E-10</v>
      </c>
      <c r="F43" s="183">
        <f>(B43*10^-9)/E43</f>
        <v>4</v>
      </c>
      <c r="G43" s="183">
        <f>(D43*10^-9)/E43</f>
        <v>212</v>
      </c>
      <c r="H43" s="184">
        <f>G43/F43</f>
        <v>53</v>
      </c>
    </row>
    <row r="44" spans="1:8" ht="16.5" thickBot="1"/>
    <row r="45" spans="1:8">
      <c r="A45" s="178" t="s">
        <v>430</v>
      </c>
      <c r="B45" s="180"/>
      <c r="C45" s="180"/>
      <c r="D45" s="180"/>
      <c r="E45" s="180"/>
      <c r="F45" s="180"/>
      <c r="G45" s="180"/>
      <c r="H45" s="181"/>
    </row>
    <row r="46" spans="1:8">
      <c r="A46" s="174"/>
      <c r="B46" s="171" t="s">
        <v>330</v>
      </c>
      <c r="C46" s="171" t="s">
        <v>190</v>
      </c>
      <c r="D46" s="171" t="s">
        <v>331</v>
      </c>
      <c r="E46" s="171" t="s">
        <v>60</v>
      </c>
      <c r="F46" s="171" t="s">
        <v>363</v>
      </c>
      <c r="G46" s="171" t="s">
        <v>333</v>
      </c>
      <c r="H46" s="175" t="s">
        <v>413</v>
      </c>
    </row>
    <row r="47" spans="1:8" ht="16.5" thickBot="1">
      <c r="A47" s="176" t="s">
        <v>334</v>
      </c>
      <c r="B47" s="183">
        <v>1</v>
      </c>
      <c r="C47" s="183">
        <v>50</v>
      </c>
      <c r="D47" s="183">
        <f>B47*C47</f>
        <v>50</v>
      </c>
      <c r="E47" s="183">
        <v>2.5000000000000002E-10</v>
      </c>
      <c r="F47" s="183">
        <f>(B47*10^-9)/E47</f>
        <v>4</v>
      </c>
      <c r="G47" s="183">
        <f>(D47*10^-9)/E47</f>
        <v>200</v>
      </c>
      <c r="H47" s="184">
        <f>G47/F47</f>
        <v>50</v>
      </c>
    </row>
    <row r="48" spans="1:8" ht="16.5" thickBot="1"/>
    <row r="49" spans="1:8">
      <c r="A49" s="178" t="s">
        <v>436</v>
      </c>
      <c r="B49" s="180"/>
      <c r="C49" s="180"/>
      <c r="D49" s="180"/>
      <c r="E49" s="180"/>
      <c r="F49" s="180"/>
      <c r="G49" s="180"/>
      <c r="H49" s="181"/>
    </row>
    <row r="50" spans="1:8">
      <c r="A50" s="174"/>
      <c r="B50" s="171" t="s">
        <v>330</v>
      </c>
      <c r="C50" s="171" t="s">
        <v>190</v>
      </c>
      <c r="D50" s="171" t="s">
        <v>331</v>
      </c>
      <c r="E50" s="171" t="s">
        <v>60</v>
      </c>
      <c r="F50" s="171" t="s">
        <v>363</v>
      </c>
      <c r="G50" s="171" t="s">
        <v>333</v>
      </c>
      <c r="H50" s="175" t="s">
        <v>413</v>
      </c>
    </row>
    <row r="51" spans="1:8" ht="16.5" thickBot="1">
      <c r="A51" s="176" t="s">
        <v>334</v>
      </c>
      <c r="B51" s="183">
        <v>1</v>
      </c>
      <c r="C51" s="183">
        <v>50</v>
      </c>
      <c r="D51" s="183">
        <f>B51*C51</f>
        <v>50</v>
      </c>
      <c r="E51" s="183">
        <v>1.6666666666666669E-10</v>
      </c>
      <c r="F51" s="183">
        <f>(B51*10^-9)/E51</f>
        <v>6</v>
      </c>
      <c r="G51" s="183">
        <f>(D51*10^-9)/E51</f>
        <v>300</v>
      </c>
      <c r="H51" s="184">
        <f>G51/F51</f>
        <v>50</v>
      </c>
    </row>
  </sheetData>
  <mergeCells count="6">
    <mergeCell ref="A33:B33"/>
    <mergeCell ref="A1:B1"/>
    <mergeCell ref="A6:B6"/>
    <mergeCell ref="A10:B10"/>
    <mergeCell ref="A25:B25"/>
    <mergeCell ref="A29:B2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81"/>
  <sheetViews>
    <sheetView topLeftCell="A16" zoomScale="80" zoomScaleNormal="80" workbookViewId="0">
      <selection activeCell="D46" sqref="D46"/>
    </sheetView>
  </sheetViews>
  <sheetFormatPr defaultRowHeight="15.75"/>
  <cols>
    <col min="1" max="1" width="20.5" bestFit="1" customWidth="1"/>
    <col min="2" max="2" width="8.375" bestFit="1" customWidth="1"/>
    <col min="3" max="3" width="30.5" bestFit="1" customWidth="1"/>
    <col min="4" max="4" width="19.625" bestFit="1" customWidth="1"/>
    <col min="5" max="5" width="24.625" bestFit="1" customWidth="1"/>
    <col min="6" max="6" width="19.625" bestFit="1" customWidth="1"/>
    <col min="7" max="7" width="37.125" bestFit="1" customWidth="1"/>
    <col min="8" max="8" width="13.75" bestFit="1" customWidth="1"/>
    <col min="9" max="9" width="33.25" bestFit="1" customWidth="1"/>
    <col min="10" max="10" width="11.875" bestFit="1" customWidth="1"/>
    <col min="11" max="11" width="24.875" bestFit="1" customWidth="1"/>
    <col min="12" max="12" width="26.875" bestFit="1" customWidth="1"/>
    <col min="13" max="13" width="30.25" bestFit="1" customWidth="1"/>
    <col min="14" max="14" width="21.875" bestFit="1" customWidth="1"/>
    <col min="15" max="15" width="22.25" bestFit="1" customWidth="1"/>
    <col min="16" max="16" width="25" bestFit="1" customWidth="1"/>
    <col min="17" max="17" width="35.25" bestFit="1" customWidth="1"/>
    <col min="18" max="18" width="30.375" bestFit="1" customWidth="1"/>
    <col min="19" max="20" width="30.375" customWidth="1"/>
    <col min="21" max="21" width="11.875" bestFit="1" customWidth="1"/>
    <col min="22" max="22" width="11.875" customWidth="1"/>
    <col min="23" max="23" width="11" bestFit="1" customWidth="1"/>
    <col min="24" max="24" width="30.125" bestFit="1" customWidth="1"/>
    <col min="25" max="26" width="12.625" bestFit="1" customWidth="1"/>
    <col min="27" max="28" width="13" bestFit="1" customWidth="1"/>
    <col min="29" max="29" width="13" customWidth="1"/>
    <col min="30" max="30" width="11.875" bestFit="1" customWidth="1"/>
    <col min="31" max="31" width="11.375" bestFit="1" customWidth="1"/>
    <col min="32" max="32" width="11" bestFit="1" customWidth="1"/>
    <col min="33" max="33" width="12.625" bestFit="1" customWidth="1"/>
    <col min="34" max="34" width="17.625" bestFit="1" customWidth="1"/>
  </cols>
  <sheetData>
    <row r="1" spans="1:16" s="13" customFormat="1" ht="18" thickBot="1">
      <c r="A1" s="13" t="s">
        <v>4</v>
      </c>
      <c r="B1" s="14" t="s">
        <v>6</v>
      </c>
      <c r="C1" s="13" t="s">
        <v>19</v>
      </c>
      <c r="D1" s="24" t="s">
        <v>126</v>
      </c>
      <c r="E1" s="26" t="s">
        <v>18</v>
      </c>
      <c r="F1" s="14" t="s">
        <v>127</v>
      </c>
      <c r="G1" s="15" t="s">
        <v>162</v>
      </c>
      <c r="H1" s="14" t="s">
        <v>165</v>
      </c>
      <c r="I1" s="14" t="s">
        <v>163</v>
      </c>
      <c r="J1" s="14" t="s">
        <v>179</v>
      </c>
      <c r="K1" s="13" t="s">
        <v>10</v>
      </c>
      <c r="L1" s="13" t="s">
        <v>183</v>
      </c>
      <c r="M1" s="14" t="s">
        <v>141</v>
      </c>
      <c r="N1" s="30" t="s">
        <v>78</v>
      </c>
      <c r="O1" s="30" t="s">
        <v>182</v>
      </c>
      <c r="P1" s="14" t="s">
        <v>142</v>
      </c>
    </row>
    <row r="2" spans="1:16" ht="16.5" thickTop="1">
      <c r="B2" s="8"/>
      <c r="D2" s="10"/>
      <c r="E2" s="27"/>
      <c r="F2" s="8"/>
      <c r="G2" s="12"/>
      <c r="H2" s="8"/>
      <c r="I2" s="8"/>
      <c r="J2" s="8"/>
      <c r="M2" s="8"/>
      <c r="N2" s="31"/>
      <c r="O2" s="31"/>
      <c r="P2" s="8"/>
    </row>
    <row r="3" spans="1:16" s="7" customFormat="1">
      <c r="A3" s="7" t="s">
        <v>15</v>
      </c>
      <c r="B3" s="9">
        <v>7.0000000000000007E-2</v>
      </c>
      <c r="C3" s="7">
        <v>3.1373399999999997E-4</v>
      </c>
      <c r="D3" s="9">
        <v>3.0361299999999999E-8</v>
      </c>
      <c r="E3" s="23">
        <v>1.22747E-2</v>
      </c>
      <c r="F3" s="9">
        <v>3.4970600000000001E-8</v>
      </c>
      <c r="G3" s="11">
        <v>1.9113752831920681</v>
      </c>
      <c r="H3" s="9">
        <v>0.28134596566211695</v>
      </c>
      <c r="I3" s="9">
        <v>1.6594464603289432</v>
      </c>
      <c r="J3" s="9">
        <v>39.124544996716963</v>
      </c>
      <c r="K3" s="7">
        <v>1.0380358202658914E-5</v>
      </c>
      <c r="L3" s="7">
        <v>1.0244375510204081E-20</v>
      </c>
      <c r="M3" s="9">
        <v>-19.989514510736544</v>
      </c>
      <c r="N3" s="32">
        <v>4.0612679158196874E-4</v>
      </c>
      <c r="O3" s="7">
        <v>4.0080653061224492E-19</v>
      </c>
      <c r="P3" s="9">
        <v>-18.397065210829048</v>
      </c>
    </row>
    <row r="4" spans="1:16" s="10" customFormat="1">
      <c r="A4" s="10" t="s">
        <v>15</v>
      </c>
      <c r="B4" s="8">
        <v>7.0000000000000007E-2</v>
      </c>
      <c r="C4" s="10">
        <v>3.1373399999999997E-4</v>
      </c>
      <c r="D4">
        <v>3.0361299999999999E-8</v>
      </c>
      <c r="E4" s="27">
        <v>1.22747E-2</v>
      </c>
      <c r="F4" s="8">
        <v>3.4970600000000001E-8</v>
      </c>
      <c r="G4" s="12">
        <v>1.9113752831920681</v>
      </c>
      <c r="H4" s="9">
        <v>0.28134596566211695</v>
      </c>
      <c r="I4" s="8">
        <v>1.6594464603289432</v>
      </c>
      <c r="J4" s="8">
        <v>39.124544996716963</v>
      </c>
      <c r="K4" s="10">
        <v>1.0380358202658914E-5</v>
      </c>
      <c r="L4" s="10">
        <v>1.0244375510204081E-20</v>
      </c>
      <c r="M4" s="10">
        <v>-19.989514510736544</v>
      </c>
      <c r="N4" s="33">
        <v>4.0612679158196874E-4</v>
      </c>
      <c r="O4" s="10">
        <v>4.0080653061224492E-19</v>
      </c>
      <c r="P4" s="10">
        <v>-18.397065210829048</v>
      </c>
    </row>
    <row r="5" spans="1:16">
      <c r="A5" t="s">
        <v>20</v>
      </c>
      <c r="B5" s="8">
        <v>0.18099999999999999</v>
      </c>
      <c r="C5">
        <v>3.9536399999999996E-3</v>
      </c>
      <c r="D5">
        <v>3.38883E-7</v>
      </c>
      <c r="E5" s="27">
        <v>0.15341299999999999</v>
      </c>
      <c r="F5" s="8">
        <v>4.3542099999999999E-7</v>
      </c>
      <c r="G5" s="12">
        <v>2.0740751907765609</v>
      </c>
      <c r="H5" s="9">
        <v>0.31682449667569756</v>
      </c>
      <c r="I5" s="8">
        <v>1.6142281214639009</v>
      </c>
      <c r="J5" s="8">
        <v>38.802976497607268</v>
      </c>
      <c r="K5">
        <v>1.3081208732353009E-4</v>
      </c>
      <c r="L5">
        <v>1.2909844897959183E-19</v>
      </c>
      <c r="M5" s="8">
        <v>-18.889078975422589</v>
      </c>
      <c r="N5" s="31">
        <v>5.0758983500178876E-3</v>
      </c>
      <c r="O5">
        <v>5.0094040816326531E-18</v>
      </c>
      <c r="P5" s="8">
        <v>-17.300213934701947</v>
      </c>
    </row>
    <row r="6" spans="1:16">
      <c r="A6" t="s">
        <v>20</v>
      </c>
      <c r="B6" s="8">
        <v>0.26900000000000002</v>
      </c>
      <c r="C6">
        <v>1.6644699999999998E-2</v>
      </c>
      <c r="D6">
        <v>1.2803599999999998E-6</v>
      </c>
      <c r="E6" s="27">
        <v>0.59258599999999995</v>
      </c>
      <c r="F6" s="8">
        <v>1.67555E-6</v>
      </c>
      <c r="G6" s="12">
        <v>2.1036059035979435</v>
      </c>
      <c r="H6" s="9">
        <v>0.32296438095507851</v>
      </c>
      <c r="I6" s="8">
        <v>1.6074559725049464</v>
      </c>
      <c r="J6" s="8">
        <v>35.602083546113775</v>
      </c>
      <c r="K6">
        <v>5.5071477167217072E-4</v>
      </c>
      <c r="L6">
        <v>5.435004081632652E-19</v>
      </c>
      <c r="M6" s="8">
        <v>-18.264800125426838</v>
      </c>
      <c r="N6" s="31">
        <v>1.9606593311151596E-2</v>
      </c>
      <c r="O6">
        <v>1.9349746938775508E-17</v>
      </c>
      <c r="P6" s="8">
        <v>-16.713324710428637</v>
      </c>
    </row>
    <row r="7" spans="1:16">
      <c r="A7" t="s">
        <v>20</v>
      </c>
      <c r="B7" s="8">
        <v>0.34100000000000003</v>
      </c>
      <c r="C7">
        <v>4.5357300000000003E-2</v>
      </c>
      <c r="D7">
        <v>3.1644600000000001E-6</v>
      </c>
      <c r="E7" s="27">
        <v>1.4505999999999999</v>
      </c>
      <c r="F7" s="8">
        <v>4.0861799999999994E-6</v>
      </c>
      <c r="G7" s="12">
        <v>2.082010819449073</v>
      </c>
      <c r="H7" s="9">
        <v>0.31848298205003156</v>
      </c>
      <c r="I7" s="8">
        <v>1.6123714466112151</v>
      </c>
      <c r="J7" s="8">
        <v>31.981621480996438</v>
      </c>
      <c r="K7">
        <v>1.500714047905108E-3</v>
      </c>
      <c r="L7">
        <v>1.481054693877551E-18</v>
      </c>
      <c r="M7" s="8">
        <v>-17.829428903119158</v>
      </c>
      <c r="N7" s="31">
        <v>4.7995268631315126E-2</v>
      </c>
      <c r="O7">
        <v>4.7366530612244892E-17</v>
      </c>
      <c r="P7" s="8">
        <v>-16.324528424246861</v>
      </c>
    </row>
    <row r="8" spans="1:16">
      <c r="A8" t="s">
        <v>20</v>
      </c>
      <c r="B8" s="8">
        <v>0.40100000000000002</v>
      </c>
      <c r="C8">
        <v>9.8110600000000006E-2</v>
      </c>
      <c r="D8">
        <v>6.2623799999999998E-6</v>
      </c>
      <c r="E8" s="27">
        <v>2.8128799999999998</v>
      </c>
      <c r="F8" s="8">
        <v>7.8939599999999999E-6</v>
      </c>
      <c r="G8" s="12">
        <v>2.0439925854922039</v>
      </c>
      <c r="H8" s="9">
        <v>0.31047931607830026</v>
      </c>
      <c r="I8" s="8">
        <v>1.6215256078742062</v>
      </c>
      <c r="J8" s="8">
        <v>28.670500435223101</v>
      </c>
      <c r="K8">
        <v>3.2461358076516659E-3</v>
      </c>
      <c r="L8">
        <v>3.2036114285714286E-18</v>
      </c>
      <c r="M8" s="8">
        <v>-17.494360165702997</v>
      </c>
      <c r="N8" s="31">
        <v>9.3068338086070387E-2</v>
      </c>
      <c r="O8">
        <v>9.1849142857142857E-17</v>
      </c>
      <c r="P8" s="8">
        <v>-16.036924892206841</v>
      </c>
    </row>
    <row r="9" spans="1:16">
      <c r="A9" t="s">
        <v>20</v>
      </c>
      <c r="B9" s="8">
        <v>0.496</v>
      </c>
      <c r="C9">
        <v>0.31220999999999999</v>
      </c>
      <c r="D9">
        <v>1.70296E-5</v>
      </c>
      <c r="E9" s="27">
        <v>7.2903200000000004</v>
      </c>
      <c r="F9" s="8">
        <v>2.0307300000000005E-5</v>
      </c>
      <c r="G9" s="12">
        <v>1.9606052666577154</v>
      </c>
      <c r="H9" s="9">
        <v>0.29239016492302283</v>
      </c>
      <c r="I9" s="8">
        <v>1.6441537500836756</v>
      </c>
      <c r="J9" s="8">
        <v>23.350693443515585</v>
      </c>
      <c r="K9">
        <v>1.0329934385345992E-2</v>
      </c>
      <c r="L9">
        <v>1.0194612244897959E-17</v>
      </c>
      <c r="M9" s="8">
        <v>-16.991629288091204</v>
      </c>
      <c r="N9" s="31">
        <v>0.24121113112384485</v>
      </c>
      <c r="O9">
        <v>2.3805126530612247E-16</v>
      </c>
      <c r="P9" s="8">
        <v>-15.623329505792048</v>
      </c>
    </row>
    <row r="10" spans="1:16">
      <c r="A10" t="s">
        <v>20</v>
      </c>
      <c r="B10" s="8">
        <v>0.56599999999999995</v>
      </c>
      <c r="C10">
        <v>0.73976500000000001</v>
      </c>
      <c r="D10">
        <v>3.52269E-5</v>
      </c>
      <c r="E10" s="27">
        <v>14.3904</v>
      </c>
      <c r="F10" s="8">
        <v>3.9789000000000001E-5</v>
      </c>
      <c r="G10" s="12">
        <v>1.8845604953702433</v>
      </c>
      <c r="H10" s="9">
        <v>0.27521008308771316</v>
      </c>
      <c r="I10" s="8">
        <v>1.6684818445891585</v>
      </c>
      <c r="J10" s="8">
        <v>19.452664021682562</v>
      </c>
      <c r="K10">
        <v>2.4476230455704424E-2</v>
      </c>
      <c r="L10">
        <v>2.4155591836734693E-17</v>
      </c>
      <c r="M10" s="8">
        <v>-16.616982317387592</v>
      </c>
      <c r="N10" s="31">
        <v>0.4761278875720924</v>
      </c>
      <c r="O10">
        <v>4.6989061224489798E-16</v>
      </c>
      <c r="P10" s="8">
        <v>-15.328003231484741</v>
      </c>
    </row>
    <row r="11" spans="1:16">
      <c r="A11" t="s">
        <v>20</v>
      </c>
      <c r="B11" s="8">
        <v>0.64400000000000002</v>
      </c>
      <c r="C11">
        <v>1.9807600000000001</v>
      </c>
      <c r="D11" s="10">
        <v>7.9230200000000013E-5</v>
      </c>
      <c r="E11" s="27">
        <v>30.4938</v>
      </c>
      <c r="F11" s="8">
        <v>8.3392400000000005E-5</v>
      </c>
      <c r="G11" s="12">
        <v>1.7932237526435097</v>
      </c>
      <c r="H11" s="9">
        <v>0.25363448280009332</v>
      </c>
      <c r="I11" s="8">
        <v>1.703722120561296</v>
      </c>
      <c r="J11" s="8">
        <v>15.394999899028655</v>
      </c>
      <c r="K11">
        <v>6.5536404449306335E-2</v>
      </c>
      <c r="L11">
        <v>6.4677877551020415E-17</v>
      </c>
      <c r="M11" s="8">
        <v>-16.189244240203546</v>
      </c>
      <c r="N11" s="31">
        <v>1.0089329398797722</v>
      </c>
      <c r="O11">
        <v>9.9571591836734712E-16</v>
      </c>
      <c r="P11" s="8">
        <v>-15.001864549812741</v>
      </c>
    </row>
    <row r="12" spans="1:16" s="7" customFormat="1">
      <c r="A12" s="7" t="s">
        <v>20</v>
      </c>
      <c r="B12" s="9">
        <v>0.71599999999999997</v>
      </c>
      <c r="C12" s="7">
        <v>5.2793799999999997</v>
      </c>
      <c r="D12" s="7">
        <v>1.74045E-4</v>
      </c>
      <c r="E12" s="23">
        <v>63.089100000000002</v>
      </c>
      <c r="F12" s="9">
        <v>1.7005199999999999E-4</v>
      </c>
      <c r="G12" s="11">
        <v>1.7056621389267095</v>
      </c>
      <c r="H12" s="9">
        <v>0.23189300940405413</v>
      </c>
      <c r="I12" s="9">
        <v>1.7457128817626324</v>
      </c>
      <c r="J12" s="9">
        <v>11.950096412836357</v>
      </c>
      <c r="K12" s="7">
        <v>0.17467617627657003</v>
      </c>
      <c r="L12" s="7">
        <v>1.7238791836734695E-16</v>
      </c>
      <c r="M12" s="9">
        <v>-15.763493174533663</v>
      </c>
      <c r="N12" s="32">
        <v>2.0873971475306101</v>
      </c>
      <c r="O12" s="7">
        <v>2.0600522448979589E-15</v>
      </c>
      <c r="P12" s="9">
        <v>-14.686121765367171</v>
      </c>
    </row>
    <row r="13" spans="1:16">
      <c r="A13" t="s">
        <v>15</v>
      </c>
      <c r="B13">
        <v>7.0000000000000007E-2</v>
      </c>
      <c r="C13">
        <v>3.1373399999999997E-4</v>
      </c>
      <c r="D13">
        <v>3.0361299999999999E-8</v>
      </c>
      <c r="E13">
        <v>1.22747E-2</v>
      </c>
      <c r="F13">
        <v>3.4970600000000001E-8</v>
      </c>
      <c r="G13">
        <v>1.9113752831920681</v>
      </c>
      <c r="H13">
        <v>0.28134596566211695</v>
      </c>
      <c r="I13">
        <v>1.6594464603289432</v>
      </c>
      <c r="J13">
        <v>39.124544996716963</v>
      </c>
      <c r="K13">
        <v>1.0380358202658914E-5</v>
      </c>
      <c r="L13">
        <v>1.0244375510204081E-20</v>
      </c>
      <c r="M13">
        <v>-19.989514510736544</v>
      </c>
      <c r="N13">
        <v>4.0612679158196874E-4</v>
      </c>
      <c r="O13">
        <v>4.0080653061224492E-19</v>
      </c>
      <c r="P13">
        <v>-18.397065210829048</v>
      </c>
    </row>
    <row r="14" spans="1:16">
      <c r="A14" t="s">
        <v>99</v>
      </c>
      <c r="B14">
        <v>0.10199999999999999</v>
      </c>
      <c r="C14">
        <v>8.8603599999999994E-3</v>
      </c>
      <c r="D14">
        <v>8.5739999999999994E-7</v>
      </c>
      <c r="E14">
        <v>0.106572</v>
      </c>
      <c r="F14">
        <v>2.9900000000000002E-7</v>
      </c>
      <c r="G14">
        <v>1.1149992972818488</v>
      </c>
      <c r="H14">
        <v>4.7274593674124246E-2</v>
      </c>
      <c r="I14">
        <v>3.1973257441118963</v>
      </c>
      <c r="J14">
        <v>12.027953717456176</v>
      </c>
      <c r="K14">
        <v>2.931582506343302E-4</v>
      </c>
      <c r="L14">
        <v>2.8931787755102047E-19</v>
      </c>
      <c r="M14">
        <v>-18.538624729567115</v>
      </c>
      <c r="N14">
        <v>3.5260938705201405E-3</v>
      </c>
      <c r="O14">
        <v>3.4799020408163266E-18</v>
      </c>
      <c r="P14">
        <v>-17.45843298126368</v>
      </c>
    </row>
    <row r="15" spans="1:16">
      <c r="A15" t="s">
        <v>99</v>
      </c>
      <c r="B15">
        <v>0.183</v>
      </c>
      <c r="C15">
        <v>0.45229000000000003</v>
      </c>
      <c r="D15">
        <v>4.3770000000000003E-5</v>
      </c>
      <c r="E15">
        <v>0.66708199999999995</v>
      </c>
      <c r="F15">
        <v>1.798E-6</v>
      </c>
      <c r="G15">
        <v>1.0016860106873879</v>
      </c>
      <c r="H15">
        <v>7.3160856119779323E-4</v>
      </c>
      <c r="I15">
        <v>24.384759003218562</v>
      </c>
      <c r="J15">
        <v>1.4748988480841936</v>
      </c>
      <c r="K15">
        <v>1.4964690506864416E-2</v>
      </c>
      <c r="L15">
        <v>1.4768653061224491E-17</v>
      </c>
      <c r="M15">
        <v>-16.830659111644863</v>
      </c>
      <c r="N15">
        <v>2.2071404790510795E-2</v>
      </c>
      <c r="O15">
        <v>2.1782269387755102E-17</v>
      </c>
      <c r="P15">
        <v>-16.661896875212197</v>
      </c>
    </row>
    <row r="16" spans="1:16">
      <c r="A16" t="s">
        <v>99</v>
      </c>
      <c r="B16">
        <v>0.248</v>
      </c>
      <c r="C16">
        <v>2.6511100000000001</v>
      </c>
      <c r="D16">
        <v>2.5599999999999999E-4</v>
      </c>
      <c r="E16">
        <v>1.2206999999999999</v>
      </c>
      <c r="F16">
        <v>3.1760000000000002E-6</v>
      </c>
      <c r="G16">
        <v>1.0001539031959656</v>
      </c>
      <c r="H16">
        <v>6.6834165891198989E-5</v>
      </c>
      <c r="I16">
        <v>80.616939300430474</v>
      </c>
      <c r="J16">
        <v>0.46044864226682403</v>
      </c>
      <c r="K16">
        <v>8.7715935903188949E-2</v>
      </c>
      <c r="L16">
        <v>8.6566857142857172E-17</v>
      </c>
      <c r="M16">
        <v>-16.062648349495433</v>
      </c>
      <c r="N16">
        <v>4.0388683591787107E-2</v>
      </c>
      <c r="O16">
        <v>3.9859591836734695E-17</v>
      </c>
      <c r="P16">
        <v>-16.399467152799641</v>
      </c>
    </row>
    <row r="17" spans="1:16">
      <c r="A17" t="s">
        <v>99</v>
      </c>
      <c r="B17">
        <v>0.33300000000000002</v>
      </c>
      <c r="C17">
        <v>14.007899999999999</v>
      </c>
      <c r="D17">
        <v>1.3500000000000001E-3</v>
      </c>
      <c r="E17">
        <v>2.0972200000000001</v>
      </c>
      <c r="F17">
        <v>5.186E-6</v>
      </c>
      <c r="G17">
        <v>1.00001475687109</v>
      </c>
      <c r="H17">
        <v>6.4087803978802725E-6</v>
      </c>
      <c r="I17">
        <v>260.32007747319159</v>
      </c>
      <c r="J17">
        <v>0.14971694543793146</v>
      </c>
      <c r="K17">
        <v>0.4634723035024122</v>
      </c>
      <c r="L17">
        <v>4.574008163265306E-16</v>
      </c>
      <c r="M17">
        <v>-15.339703064640089</v>
      </c>
      <c r="N17">
        <v>6.938965757546306E-2</v>
      </c>
      <c r="O17">
        <v>6.848065306122449E-17</v>
      </c>
      <c r="P17">
        <v>-16.164432106690516</v>
      </c>
    </row>
    <row r="18" spans="1:16">
      <c r="A18" t="s">
        <v>99</v>
      </c>
      <c r="B18">
        <v>0.40600000000000003</v>
      </c>
      <c r="C18">
        <v>42.9833</v>
      </c>
      <c r="D18">
        <v>4.1596699999999999E-3</v>
      </c>
      <c r="E18">
        <v>3.03268</v>
      </c>
      <c r="F18">
        <v>7.1459999999999999E-6</v>
      </c>
      <c r="G18">
        <v>1.0000029512610547</v>
      </c>
      <c r="H18">
        <v>1.2817144993548559E-6</v>
      </c>
      <c r="I18">
        <v>582.09939494431444</v>
      </c>
      <c r="J18">
        <v>7.0554843392666461E-2</v>
      </c>
      <c r="K18">
        <v>1.4221667104373417</v>
      </c>
      <c r="L18">
        <v>1.4035363265306124E-15</v>
      </c>
      <c r="M18">
        <v>-14.852776342411355</v>
      </c>
      <c r="N18">
        <v>0.10034074953317025</v>
      </c>
      <c r="O18">
        <v>9.9026285714285712E-17</v>
      </c>
      <c r="P18">
        <v>-16.004249510196129</v>
      </c>
    </row>
    <row r="19" spans="1:16">
      <c r="A19" t="s">
        <v>99</v>
      </c>
      <c r="B19">
        <v>0.48599999999999999</v>
      </c>
      <c r="C19">
        <v>122.867</v>
      </c>
      <c r="D19">
        <v>1.189E-2</v>
      </c>
      <c r="E19">
        <v>4.3826000000000001</v>
      </c>
      <c r="F19">
        <v>9.7170000000000003E-6</v>
      </c>
      <c r="G19">
        <v>1.0000006678832489</v>
      </c>
      <c r="H19">
        <v>2.9005791270272975E-7</v>
      </c>
      <c r="I19">
        <v>1223.6295092242285</v>
      </c>
      <c r="J19">
        <v>3.5669463729072898E-2</v>
      </c>
      <c r="K19">
        <v>4.065238295135666</v>
      </c>
      <c r="L19">
        <v>4.0119836734693885E-15</v>
      </c>
      <c r="M19">
        <v>-14.396640842983768</v>
      </c>
      <c r="N19">
        <v>0.14500486991837977</v>
      </c>
      <c r="O19">
        <v>1.4310530612244899E-16</v>
      </c>
      <c r="P19">
        <v>-15.84434426297693</v>
      </c>
    </row>
    <row r="20" spans="1:16">
      <c r="A20" t="s">
        <v>99</v>
      </c>
      <c r="B20">
        <v>0.56699999999999995</v>
      </c>
      <c r="C20">
        <v>293.83300000000003</v>
      </c>
      <c r="D20">
        <v>2.843E-2</v>
      </c>
      <c r="E20">
        <v>6.2769000000000004</v>
      </c>
      <c r="F20">
        <v>1.2960000000000001E-5</v>
      </c>
      <c r="G20">
        <v>1.0000002078051176</v>
      </c>
      <c r="H20">
        <v>9.0248606489645649E-8</v>
      </c>
      <c r="I20">
        <v>2193.6732953626151</v>
      </c>
      <c r="J20">
        <v>2.1362134273549941E-2</v>
      </c>
      <c r="K20">
        <v>9.7219038795982495</v>
      </c>
      <c r="L20">
        <v>9.5945469387755114E-15</v>
      </c>
      <c r="M20">
        <v>-14.017975528133856</v>
      </c>
      <c r="N20">
        <v>0.2076806160705239</v>
      </c>
      <c r="O20">
        <v>2.0496000000000003E-16</v>
      </c>
      <c r="P20">
        <v>-15.688330887599388</v>
      </c>
    </row>
    <row r="21" spans="1:16">
      <c r="A21" t="s">
        <v>99</v>
      </c>
      <c r="B21">
        <v>0.66400000000000003</v>
      </c>
      <c r="C21">
        <v>679.87400000000002</v>
      </c>
      <c r="D21">
        <v>6.5790000000000001E-2</v>
      </c>
      <c r="E21">
        <v>10.230700000000001</v>
      </c>
      <c r="F21">
        <v>1.9027000000000003E-5</v>
      </c>
      <c r="G21">
        <v>1.0000000836413137</v>
      </c>
      <c r="H21">
        <v>3.6324959459461951E-8</v>
      </c>
      <c r="I21">
        <v>3457.7182689211131</v>
      </c>
      <c r="J21">
        <v>1.5047935352727124E-2</v>
      </c>
      <c r="K21">
        <v>22.494647225594061</v>
      </c>
      <c r="L21">
        <v>2.2199967346938779E-14</v>
      </c>
      <c r="M21">
        <v>-13.65364766433561</v>
      </c>
      <c r="N21">
        <v>0.33849799723314195</v>
      </c>
      <c r="O21">
        <v>3.3406367346938776E-16</v>
      </c>
      <c r="P21">
        <v>-15.476170747557124</v>
      </c>
    </row>
    <row r="22" spans="1:16">
      <c r="A22" t="s">
        <v>15</v>
      </c>
      <c r="B22">
        <v>7.0000000000000007E-2</v>
      </c>
      <c r="C22">
        <v>3.1373399999999997E-4</v>
      </c>
      <c r="D22">
        <v>3.0361299999999999E-8</v>
      </c>
      <c r="E22">
        <v>1.22747E-2</v>
      </c>
      <c r="F22">
        <v>3.4970600000000001E-8</v>
      </c>
      <c r="G22">
        <v>1.9113752831920681</v>
      </c>
      <c r="H22">
        <v>0.28134596566211695</v>
      </c>
      <c r="I22">
        <v>1.6594464603289432</v>
      </c>
      <c r="J22">
        <v>39.124544996716963</v>
      </c>
      <c r="K22">
        <v>1.0380358202658914E-5</v>
      </c>
      <c r="L22">
        <v>1.0244375510204081E-20</v>
      </c>
      <c r="M22">
        <v>-19.989514510736544</v>
      </c>
      <c r="N22">
        <v>4.0612679158196874E-4</v>
      </c>
      <c r="O22">
        <v>4.0080653061224492E-19</v>
      </c>
      <c r="P22">
        <v>-18.397065210829048</v>
      </c>
    </row>
    <row r="23" spans="1:16">
      <c r="A23" t="s">
        <v>132</v>
      </c>
      <c r="B23">
        <v>0.123</v>
      </c>
      <c r="C23">
        <v>5.3290200000000003E-4</v>
      </c>
      <c r="D23">
        <v>5.1571200000000003E-8</v>
      </c>
      <c r="E23">
        <v>1.40179E-2</v>
      </c>
      <c r="F23">
        <v>3.7648799999999998E-8</v>
      </c>
      <c r="G23">
        <v>1.4373250428309805</v>
      </c>
      <c r="H23">
        <v>0.15755499245219615</v>
      </c>
      <c r="I23">
        <v>1.9688430241825787</v>
      </c>
      <c r="J23">
        <v>26.304836536548933</v>
      </c>
      <c r="K23">
        <v>1.76318589853613E-5</v>
      </c>
      <c r="L23">
        <v>1.7400881632653065E-20</v>
      </c>
      <c r="M23">
        <v>-19.759428747206112</v>
      </c>
      <c r="N23">
        <v>4.638031684454105E-4</v>
      </c>
      <c r="O23">
        <v>4.5772734693877556E-19</v>
      </c>
      <c r="P23">
        <v>-18.339393139856259</v>
      </c>
    </row>
    <row r="24" spans="1:16">
      <c r="A24" t="s">
        <v>132</v>
      </c>
      <c r="B24">
        <v>0.21299999999999999</v>
      </c>
      <c r="C24">
        <v>2.1679899999999998E-2</v>
      </c>
      <c r="D24">
        <v>2.0979999999999996E-6</v>
      </c>
      <c r="E24">
        <v>2.24718E-2</v>
      </c>
      <c r="F24">
        <v>5.4149000000000004E-8</v>
      </c>
      <c r="G24">
        <v>1.0006659250222989</v>
      </c>
      <c r="H24">
        <v>2.8911130999839142E-4</v>
      </c>
      <c r="I24">
        <v>38.770745733010443</v>
      </c>
      <c r="J24">
        <v>1.0365269212496369</v>
      </c>
      <c r="K24">
        <v>7.1731188777061135E-4</v>
      </c>
      <c r="L24">
        <v>7.0791510204081632E-19</v>
      </c>
      <c r="M24">
        <v>-18.150018822714188</v>
      </c>
      <c r="N24">
        <v>7.4351308260663682E-4</v>
      </c>
      <c r="O24">
        <v>7.3377306122448978E-19</v>
      </c>
      <c r="P24">
        <v>-18.134438236401696</v>
      </c>
    </row>
    <row r="25" spans="1:16">
      <c r="A25" t="s">
        <v>132</v>
      </c>
      <c r="B25">
        <v>0.318</v>
      </c>
      <c r="C25">
        <v>3.7588599999999999</v>
      </c>
      <c r="D25">
        <v>3.6376099999999999E-4</v>
      </c>
      <c r="E25">
        <v>2.7922800000000001E-2</v>
      </c>
      <c r="F25">
        <v>5.8293999999999999E-8</v>
      </c>
      <c r="G25">
        <v>1.0000000256812074</v>
      </c>
      <c r="H25">
        <v>1.1153206511787519E-8</v>
      </c>
      <c r="I25">
        <v>6240.1106347449431</v>
      </c>
      <c r="J25">
        <v>7.4285288624742615E-3</v>
      </c>
      <c r="K25">
        <v>0.12436749996381166</v>
      </c>
      <c r="L25">
        <v>1.2273828571428573E-16</v>
      </c>
      <c r="M25">
        <v>-15.91101994680103</v>
      </c>
      <c r="N25">
        <v>9.2386756303494168E-4</v>
      </c>
      <c r="O25">
        <v>9.1176489795918385E-19</v>
      </c>
      <c r="P25">
        <v>-18.040117131717384</v>
      </c>
    </row>
    <row r="26" spans="1:16">
      <c r="A26" t="s">
        <v>132</v>
      </c>
      <c r="B26">
        <v>0.40699999999999997</v>
      </c>
      <c r="C26">
        <v>416.80500000000001</v>
      </c>
      <c r="D26">
        <v>4.0335999999999997E-2</v>
      </c>
      <c r="E26">
        <v>3.474E-2</v>
      </c>
      <c r="F26">
        <v>6.3048999999999998E-8</v>
      </c>
      <c r="G26">
        <v>1.0000000000024434</v>
      </c>
      <c r="H26">
        <v>1.0611459441939408E-12</v>
      </c>
      <c r="I26">
        <v>639756.37996000808</v>
      </c>
      <c r="J26">
        <v>8.3348328354986148E-5</v>
      </c>
      <c r="K26">
        <v>13.790616256635394</v>
      </c>
      <c r="L26">
        <v>1.3609959183673469E-14</v>
      </c>
      <c r="M26">
        <v>-13.866143177245744</v>
      </c>
      <c r="N26">
        <v>1.1494248119756569E-3</v>
      </c>
      <c r="O26">
        <v>1.1343673469387757E-18</v>
      </c>
      <c r="P26">
        <v>-17.945246283261508</v>
      </c>
    </row>
    <row r="27" spans="1:16">
      <c r="A27" t="s">
        <v>132</v>
      </c>
      <c r="B27">
        <v>0.47099999999999997</v>
      </c>
      <c r="C27">
        <v>772.053</v>
      </c>
      <c r="D27">
        <v>7.4714799999999998E-2</v>
      </c>
      <c r="E27">
        <v>4.1476699999999998E-2</v>
      </c>
      <c r="F27">
        <v>6.7150600000000008E-8</v>
      </c>
      <c r="G27">
        <v>1.0000000000008078</v>
      </c>
      <c r="H27">
        <v>3.5082233233194416E-13</v>
      </c>
      <c r="I27">
        <v>1112645.3077122222</v>
      </c>
      <c r="J27">
        <v>5.37226071267128E-5</v>
      </c>
      <c r="K27">
        <v>25.544527183656928</v>
      </c>
      <c r="L27">
        <v>2.520989387755102E-14</v>
      </c>
      <c r="M27">
        <v>-13.598428982506459</v>
      </c>
      <c r="N27">
        <v>1.3723185981252368E-3</v>
      </c>
      <c r="O27">
        <v>1.3543412244897961E-18</v>
      </c>
      <c r="P27">
        <v>-17.868271901941078</v>
      </c>
    </row>
    <row r="28" spans="1:16">
      <c r="A28" t="s">
        <v>132</v>
      </c>
      <c r="B28">
        <v>0.54500000000000004</v>
      </c>
      <c r="C28">
        <v>1181.1099999999999</v>
      </c>
      <c r="D28">
        <v>0.114301</v>
      </c>
      <c r="E28">
        <v>5.2249299999999999E-2</v>
      </c>
      <c r="F28">
        <v>7.2804400000000003E-8</v>
      </c>
      <c r="G28">
        <v>1.0000000000004057</v>
      </c>
      <c r="H28">
        <v>1.7618262813924982E-13</v>
      </c>
      <c r="I28">
        <v>1569973.7927933803</v>
      </c>
      <c r="J28">
        <v>4.4237454597793603E-5</v>
      </c>
      <c r="K28">
        <v>39.078789282457329</v>
      </c>
      <c r="L28">
        <v>3.8566857142857135E-14</v>
      </c>
      <c r="M28">
        <v>-13.413785750844296</v>
      </c>
      <c r="N28">
        <v>1.7287461666194495E-3</v>
      </c>
      <c r="O28">
        <v>1.7060995918367347E-18</v>
      </c>
      <c r="P28">
        <v>-17.767995620927749</v>
      </c>
    </row>
    <row r="29" spans="1:16">
      <c r="A29" t="s">
        <v>132</v>
      </c>
      <c r="B29">
        <v>0.61599999999999999</v>
      </c>
      <c r="C29">
        <v>1577.04</v>
      </c>
      <c r="D29">
        <v>0.152617</v>
      </c>
      <c r="E29">
        <v>6.7903099999999994E-2</v>
      </c>
      <c r="F29">
        <v>7.9792100000000009E-8</v>
      </c>
      <c r="G29">
        <v>1.0000000000002733</v>
      </c>
      <c r="H29">
        <v>1.1870871113269341E-13</v>
      </c>
      <c r="I29">
        <v>1912683.0851681018</v>
      </c>
      <c r="J29">
        <v>4.3057309897022267E-5</v>
      </c>
      <c r="K29">
        <v>52.178724970584042</v>
      </c>
      <c r="L29">
        <v>5.1495183673469391E-14</v>
      </c>
      <c r="M29">
        <v>-13.288233388470468</v>
      </c>
      <c r="N29">
        <v>2.2466755310899312E-3</v>
      </c>
      <c r="O29">
        <v>2.2172440816326528E-18</v>
      </c>
      <c r="P29">
        <v>-17.654186495667027</v>
      </c>
    </row>
    <row r="30" spans="1:16" s="51" customFormat="1" ht="16.5" thickBot="1">
      <c r="A30" s="51" t="s">
        <v>132</v>
      </c>
      <c r="B30" s="51">
        <v>0.67900000000000005</v>
      </c>
      <c r="C30" s="51">
        <v>1926.1</v>
      </c>
      <c r="D30" s="51">
        <v>0.18639700000000001</v>
      </c>
      <c r="E30" s="51">
        <v>9.0282399999999999E-2</v>
      </c>
      <c r="F30" s="51">
        <v>8.7150999999999997E-8</v>
      </c>
      <c r="G30" s="51">
        <v>1.0000000000002185</v>
      </c>
      <c r="H30" s="51">
        <v>9.4889822708833081E-14</v>
      </c>
      <c r="I30" s="51">
        <v>2138782.1138029485</v>
      </c>
      <c r="J30" s="51">
        <v>4.6873163387155391E-5</v>
      </c>
      <c r="K30" s="51">
        <v>63.727896670878316</v>
      </c>
      <c r="L30" s="51">
        <v>6.2893061224489804E-14</v>
      </c>
      <c r="M30" s="51">
        <v>-13.201397266130918</v>
      </c>
      <c r="N30" s="51">
        <v>2.9871281129738351E-3</v>
      </c>
      <c r="O30" s="51">
        <v>2.9479967346938775E-18</v>
      </c>
      <c r="P30" s="51">
        <v>-17.530473001852748</v>
      </c>
    </row>
    <row r="31" spans="1:16" ht="16.5" thickBot="1"/>
    <row r="32" spans="1:16" ht="16.5" thickBot="1">
      <c r="A32" s="359" t="s">
        <v>187</v>
      </c>
      <c r="B32" s="360"/>
      <c r="C32" s="361"/>
      <c r="D32" s="78" t="s">
        <v>109</v>
      </c>
      <c r="E32" s="79">
        <v>5.7142857142857144E-9</v>
      </c>
    </row>
    <row r="33" spans="1:34" ht="16.5" thickBot="1">
      <c r="A33" s="362" t="s">
        <v>225</v>
      </c>
      <c r="B33" s="363"/>
      <c r="C33" s="364"/>
    </row>
    <row r="34" spans="1:34">
      <c r="A34" s="63" t="s">
        <v>0</v>
      </c>
      <c r="B34" s="64" t="s">
        <v>14</v>
      </c>
      <c r="C34" s="64" t="s">
        <v>1</v>
      </c>
      <c r="D34" s="64" t="s">
        <v>2</v>
      </c>
      <c r="E34" s="64" t="s">
        <v>3</v>
      </c>
      <c r="F34" s="64" t="s">
        <v>4</v>
      </c>
      <c r="G34" s="64" t="s">
        <v>13</v>
      </c>
      <c r="H34" s="64" t="s">
        <v>5</v>
      </c>
      <c r="I34" s="64" t="s">
        <v>184</v>
      </c>
      <c r="J34" s="64" t="s">
        <v>185</v>
      </c>
      <c r="K34" s="64" t="s">
        <v>186</v>
      </c>
      <c r="L34" s="80" t="s">
        <v>109</v>
      </c>
      <c r="M34" s="80" t="s">
        <v>226</v>
      </c>
      <c r="N34" s="80" t="s">
        <v>227</v>
      </c>
      <c r="O34" s="80" t="s">
        <v>228</v>
      </c>
      <c r="P34" s="64" t="s">
        <v>231</v>
      </c>
      <c r="Q34" s="64" t="s">
        <v>6</v>
      </c>
      <c r="R34" s="80" t="s">
        <v>232</v>
      </c>
      <c r="S34" s="80" t="s">
        <v>233</v>
      </c>
      <c r="T34" s="80" t="s">
        <v>244</v>
      </c>
      <c r="U34" s="80" t="s">
        <v>235</v>
      </c>
      <c r="V34" s="80" t="s">
        <v>242</v>
      </c>
      <c r="W34" s="81" t="s">
        <v>238</v>
      </c>
      <c r="X34" s="82" t="s">
        <v>243</v>
      </c>
      <c r="Y34" s="80" t="s">
        <v>236</v>
      </c>
      <c r="Z34" s="80" t="s">
        <v>237</v>
      </c>
      <c r="AA34" s="80" t="s">
        <v>239</v>
      </c>
      <c r="AB34" s="80" t="s">
        <v>240</v>
      </c>
      <c r="AC34" s="82" t="s">
        <v>246</v>
      </c>
      <c r="AD34" s="82" t="s">
        <v>247</v>
      </c>
      <c r="AE34" s="82" t="s">
        <v>248</v>
      </c>
      <c r="AF34" s="88" t="s">
        <v>249</v>
      </c>
      <c r="AG34" s="89" t="s">
        <v>250</v>
      </c>
      <c r="AH34" s="89" t="s">
        <v>278</v>
      </c>
    </row>
    <row r="35" spans="1:34">
      <c r="A35" s="85"/>
      <c r="B35" s="7"/>
      <c r="C35" s="7"/>
      <c r="D35" s="7"/>
      <c r="E35" s="7"/>
      <c r="F35" s="7"/>
      <c r="G35" s="7"/>
      <c r="H35" s="7"/>
      <c r="I35" s="7" t="s">
        <v>241</v>
      </c>
      <c r="J35" s="7" t="s">
        <v>241</v>
      </c>
      <c r="K35" s="7" t="s">
        <v>241</v>
      </c>
      <c r="L35" s="7" t="s">
        <v>229</v>
      </c>
      <c r="M35" s="7" t="s">
        <v>108</v>
      </c>
      <c r="N35" s="7" t="s">
        <v>108</v>
      </c>
      <c r="O35" s="7" t="s">
        <v>108</v>
      </c>
      <c r="P35" s="25" t="s">
        <v>230</v>
      </c>
      <c r="Q35" s="7"/>
      <c r="R35" s="25" t="s">
        <v>230</v>
      </c>
      <c r="S35" s="25" t="s">
        <v>245</v>
      </c>
      <c r="T35" s="25" t="s">
        <v>234</v>
      </c>
      <c r="U35" s="7" t="s">
        <v>108</v>
      </c>
      <c r="V35" s="7" t="s">
        <v>234</v>
      </c>
      <c r="W35" s="7" t="s">
        <v>206</v>
      </c>
      <c r="X35" s="86" t="s">
        <v>234</v>
      </c>
      <c r="Y35" s="25" t="s">
        <v>234</v>
      </c>
      <c r="Z35" s="25" t="s">
        <v>234</v>
      </c>
      <c r="AA35" s="7"/>
      <c r="AB35" s="7"/>
      <c r="AC35" s="85"/>
      <c r="AD35" s="87"/>
      <c r="AE35" s="83"/>
      <c r="AF35" s="67"/>
    </row>
    <row r="36" spans="1:34">
      <c r="A36" s="66">
        <v>350</v>
      </c>
      <c r="B36" s="10">
        <v>350</v>
      </c>
      <c r="C36" s="10">
        <v>10</v>
      </c>
      <c r="D36" s="10">
        <v>1</v>
      </c>
      <c r="E36" s="10">
        <v>2</v>
      </c>
      <c r="F36" s="10" t="s">
        <v>15</v>
      </c>
      <c r="G36" s="10">
        <v>0</v>
      </c>
      <c r="H36" s="10" t="s">
        <v>83</v>
      </c>
      <c r="I36" s="10">
        <v>1054</v>
      </c>
      <c r="J36" s="10">
        <v>1054</v>
      </c>
      <c r="K36" s="10">
        <v>32</v>
      </c>
      <c r="L36" s="10">
        <v>5.7142857142857144E-9</v>
      </c>
      <c r="M36" s="10">
        <f>I36*L36</f>
        <v>6.0228571428571433E-6</v>
      </c>
      <c r="N36" s="10">
        <f>J36*L36</f>
        <v>6.0228571428571433E-6</v>
      </c>
      <c r="O36" s="10">
        <f>K36*L36</f>
        <v>1.8285714285714286E-7</v>
      </c>
      <c r="P36" s="10">
        <f>M36*N36*O36</f>
        <v>6.6331077784256577E-18</v>
      </c>
      <c r="Q36" s="10">
        <v>7.0000000000000007E-2</v>
      </c>
      <c r="R36" s="10">
        <f>P36*Q36</f>
        <v>4.6431754448979613E-19</v>
      </c>
      <c r="S36" s="91">
        <v>2331000</v>
      </c>
      <c r="T36">
        <f>S36*L36^2</f>
        <v>7.6114285714285718E-11</v>
      </c>
      <c r="U36" s="10">
        <f>R36/T36</f>
        <v>6.1002680394680422E-9</v>
      </c>
      <c r="V36" s="10">
        <f>U36^2</f>
        <v>3.721327015335527E-17</v>
      </c>
      <c r="W36" s="16">
        <v>1000</v>
      </c>
      <c r="X36" s="83">
        <f>Q36*V36/W36</f>
        <v>2.6049289107348694E-21</v>
      </c>
      <c r="Y36" s="10">
        <v>1.0244375510204081E-20</v>
      </c>
      <c r="Z36" s="10">
        <v>4.0080653061224492E-19</v>
      </c>
      <c r="AA36" s="10">
        <v>2.1</v>
      </c>
      <c r="AB36" s="10">
        <v>1.6594464603289432</v>
      </c>
      <c r="AC36" s="66">
        <f>Q36*V36/Y36</f>
        <v>254.27893658722158</v>
      </c>
      <c r="AD36" s="83">
        <f>Q36*V36/Z36</f>
        <v>6.4992177316965272</v>
      </c>
      <c r="AE36" s="83">
        <f>AC36/AA36^2</f>
        <v>57.659622808893779</v>
      </c>
      <c r="AF36" s="67">
        <f>AD36/AB36^2</f>
        <v>2.3601227784174998</v>
      </c>
      <c r="AG36">
        <f>Q36*V36</f>
        <v>2.6049289107348692E-18</v>
      </c>
    </row>
    <row r="37" spans="1:34">
      <c r="A37" s="66">
        <v>350</v>
      </c>
      <c r="B37" s="10">
        <v>350</v>
      </c>
      <c r="C37" s="10">
        <v>10</v>
      </c>
      <c r="D37" s="10">
        <v>1</v>
      </c>
      <c r="E37" s="10">
        <v>2</v>
      </c>
      <c r="F37" s="10" t="s">
        <v>20</v>
      </c>
      <c r="G37" s="10">
        <v>2</v>
      </c>
      <c r="H37" s="10" t="s">
        <v>84</v>
      </c>
      <c r="I37" s="10">
        <v>1058</v>
      </c>
      <c r="J37" s="10">
        <v>1058</v>
      </c>
      <c r="K37" s="10">
        <v>36</v>
      </c>
      <c r="L37" s="10">
        <v>5.7142857142857144E-9</v>
      </c>
      <c r="M37" s="10">
        <f t="shared" ref="M37:M44" si="0">I37*L37</f>
        <v>6.0457142857142855E-6</v>
      </c>
      <c r="N37" s="10">
        <f t="shared" ref="N37:N44" si="1">J37*L37</f>
        <v>6.0457142857142855E-6</v>
      </c>
      <c r="O37" s="10">
        <f t="shared" ref="O37:O44" si="2">K37*L37</f>
        <v>2.0571428571428572E-7</v>
      </c>
      <c r="P37" s="10">
        <f t="shared" ref="P37:P44" si="3">M37*N37*O37</f>
        <v>7.5189931661807574E-18</v>
      </c>
      <c r="Q37" s="10">
        <v>0.18099999999999999</v>
      </c>
      <c r="R37" s="10">
        <f t="shared" ref="R37:R44" si="4">P37*Q37</f>
        <v>1.360937763078717E-18</v>
      </c>
      <c r="S37" s="91">
        <v>2331000</v>
      </c>
      <c r="T37">
        <f t="shared" ref="T37:T44" si="5">S37*L37^2</f>
        <v>7.6114285714285718E-11</v>
      </c>
      <c r="U37" s="10">
        <f t="shared" ref="U37:U44" si="6">R37/T37</f>
        <v>1.7880188328736897E-8</v>
      </c>
      <c r="V37" s="10">
        <f t="shared" ref="V37:V44" si="7">U37^2</f>
        <v>3.1970113467109918E-16</v>
      </c>
      <c r="W37" s="16">
        <v>1000</v>
      </c>
      <c r="X37" s="83">
        <f t="shared" ref="X37:X44" si="8">Q37*V37/W37</f>
        <v>5.7865905375468945E-20</v>
      </c>
      <c r="Y37" s="10">
        <v>1.2909844897959183E-19</v>
      </c>
      <c r="Z37" s="10">
        <v>5.0094040816326531E-18</v>
      </c>
      <c r="AA37" s="10">
        <v>2.0699999999999998</v>
      </c>
      <c r="AB37" s="10">
        <v>1.6142281214639009</v>
      </c>
      <c r="AC37" s="66">
        <f t="shared" ref="AC37:AC44" si="9">Q37*V37/Y37</f>
        <v>448.23083338992336</v>
      </c>
      <c r="AD37" s="83">
        <f t="shared" ref="AD37:AD44" si="10">Q37*V37/Z37</f>
        <v>11.551454910103685</v>
      </c>
      <c r="AE37" s="83">
        <f t="shared" ref="AE37:AE44" si="11">AC37/AA37^2</f>
        <v>104.60706980091096</v>
      </c>
      <c r="AF37" s="67">
        <f t="shared" ref="AF37:AF44" si="12">AD37/AB37^2</f>
        <v>4.4330932775075036</v>
      </c>
      <c r="AG37">
        <f t="shared" ref="AG37:AG44" si="13">Q37*V37</f>
        <v>5.786590537546895E-17</v>
      </c>
    </row>
    <row r="38" spans="1:34">
      <c r="A38" s="66">
        <v>350</v>
      </c>
      <c r="B38" s="10">
        <v>350</v>
      </c>
      <c r="C38" s="10">
        <v>10</v>
      </c>
      <c r="D38" s="10">
        <v>1</v>
      </c>
      <c r="E38" s="10">
        <v>2</v>
      </c>
      <c r="F38" s="10" t="s">
        <v>20</v>
      </c>
      <c r="G38" s="10">
        <v>4</v>
      </c>
      <c r="H38" s="10" t="s">
        <v>85</v>
      </c>
      <c r="I38" s="10">
        <v>1062</v>
      </c>
      <c r="J38" s="10">
        <v>1062</v>
      </c>
      <c r="K38" s="10">
        <v>40</v>
      </c>
      <c r="L38" s="10">
        <v>5.7142857142857144E-9</v>
      </c>
      <c r="M38" s="10">
        <f t="shared" si="0"/>
        <v>6.0685714285714287E-6</v>
      </c>
      <c r="N38" s="10">
        <f t="shared" si="1"/>
        <v>6.0685714285714287E-6</v>
      </c>
      <c r="O38" s="10">
        <f t="shared" si="2"/>
        <v>2.2857142857142858E-7</v>
      </c>
      <c r="P38" s="10">
        <f t="shared" si="3"/>
        <v>8.417727813411078E-18</v>
      </c>
      <c r="Q38" s="10">
        <v>0.26900000000000002</v>
      </c>
      <c r="R38" s="10">
        <f t="shared" si="4"/>
        <v>2.26436878180758E-18</v>
      </c>
      <c r="S38" s="91">
        <v>2331000</v>
      </c>
      <c r="T38">
        <f t="shared" si="5"/>
        <v>7.6114285714285718E-11</v>
      </c>
      <c r="U38" s="10">
        <f t="shared" si="6"/>
        <v>2.9749589851075561E-8</v>
      </c>
      <c r="V38" s="10">
        <f t="shared" si="7"/>
        <v>8.8503809630721798E-16</v>
      </c>
      <c r="W38" s="16">
        <v>1000</v>
      </c>
      <c r="X38" s="83">
        <f t="shared" si="8"/>
        <v>2.3807524790664165E-19</v>
      </c>
      <c r="Y38" s="10">
        <v>5.435004081632652E-19</v>
      </c>
      <c r="Z38" s="10">
        <v>1.9349746938775508E-17</v>
      </c>
      <c r="AA38" s="10">
        <v>2.0499999999999998</v>
      </c>
      <c r="AB38" s="10">
        <v>1.6074559725049464</v>
      </c>
      <c r="AC38" s="66">
        <f t="shared" si="9"/>
        <v>438.04060554656451</v>
      </c>
      <c r="AD38" s="83">
        <f t="shared" si="10"/>
        <v>12.303791292978406</v>
      </c>
      <c r="AE38" s="83">
        <f t="shared" si="11"/>
        <v>104.23333861905165</v>
      </c>
      <c r="AF38" s="67">
        <f t="shared" si="12"/>
        <v>4.7616863188685583</v>
      </c>
      <c r="AG38">
        <f t="shared" si="13"/>
        <v>2.3807524790664166E-16</v>
      </c>
    </row>
    <row r="39" spans="1:34">
      <c r="A39" s="66">
        <v>350</v>
      </c>
      <c r="B39" s="10">
        <v>350</v>
      </c>
      <c r="C39" s="10">
        <v>10</v>
      </c>
      <c r="D39" s="10">
        <v>1</v>
      </c>
      <c r="E39" s="10">
        <v>2</v>
      </c>
      <c r="F39" s="10" t="s">
        <v>20</v>
      </c>
      <c r="G39" s="10">
        <v>6</v>
      </c>
      <c r="H39" s="10" t="s">
        <v>86</v>
      </c>
      <c r="I39" s="10">
        <v>1066</v>
      </c>
      <c r="J39" s="10">
        <v>1066</v>
      </c>
      <c r="K39" s="10">
        <v>44</v>
      </c>
      <c r="L39" s="10">
        <v>5.7142857142857144E-9</v>
      </c>
      <c r="M39" s="10">
        <f t="shared" si="0"/>
        <v>6.0914285714285718E-6</v>
      </c>
      <c r="N39" s="10">
        <f t="shared" si="1"/>
        <v>6.0914285714285718E-6</v>
      </c>
      <c r="O39" s="10">
        <f t="shared" si="2"/>
        <v>2.5142857142857143E-7</v>
      </c>
      <c r="P39" s="10">
        <f t="shared" si="3"/>
        <v>9.3293833702623919E-18</v>
      </c>
      <c r="Q39" s="10">
        <v>0.34100000000000003</v>
      </c>
      <c r="R39" s="10">
        <f t="shared" si="4"/>
        <v>3.1813197292594757E-18</v>
      </c>
      <c r="S39" s="91">
        <v>2331000</v>
      </c>
      <c r="T39">
        <f t="shared" si="5"/>
        <v>7.6114285714285718E-11</v>
      </c>
      <c r="U39" s="10">
        <f t="shared" si="6"/>
        <v>4.1796618064595213E-8</v>
      </c>
      <c r="V39" s="10">
        <f t="shared" si="7"/>
        <v>1.7469572816376468E-15</v>
      </c>
      <c r="W39" s="16">
        <v>1000</v>
      </c>
      <c r="X39" s="83">
        <f t="shared" si="8"/>
        <v>5.9571243303843762E-19</v>
      </c>
      <c r="Y39" s="10">
        <v>1.481054693877551E-18</v>
      </c>
      <c r="Z39" s="10">
        <v>4.7366530612244892E-17</v>
      </c>
      <c r="AA39" s="10">
        <v>2.0499999999999998</v>
      </c>
      <c r="AB39" s="10">
        <v>1.6123714466112151</v>
      </c>
      <c r="AC39" s="66">
        <f t="shared" si="9"/>
        <v>402.22176500369625</v>
      </c>
      <c r="AD39" s="83">
        <f t="shared" si="10"/>
        <v>12.57665328953685</v>
      </c>
      <c r="AE39" s="83">
        <f t="shared" si="11"/>
        <v>95.710116598143074</v>
      </c>
      <c r="AF39" s="67">
        <f t="shared" si="12"/>
        <v>4.837654978321158</v>
      </c>
      <c r="AG39">
        <f t="shared" si="13"/>
        <v>5.9571243303843763E-16</v>
      </c>
    </row>
    <row r="40" spans="1:34">
      <c r="A40" s="66">
        <v>350</v>
      </c>
      <c r="B40" s="10">
        <v>350</v>
      </c>
      <c r="C40" s="10">
        <v>10</v>
      </c>
      <c r="D40" s="10">
        <v>1</v>
      </c>
      <c r="E40" s="10">
        <v>2</v>
      </c>
      <c r="F40" s="10" t="s">
        <v>20</v>
      </c>
      <c r="G40" s="10">
        <v>8</v>
      </c>
      <c r="H40" s="10" t="s">
        <v>87</v>
      </c>
      <c r="I40" s="10">
        <v>1070</v>
      </c>
      <c r="J40" s="10">
        <v>1070</v>
      </c>
      <c r="K40" s="10">
        <v>48</v>
      </c>
      <c r="L40" s="10">
        <v>5.7142857142857144E-9</v>
      </c>
      <c r="M40" s="10">
        <f t="shared" si="0"/>
        <v>6.1142857142857141E-6</v>
      </c>
      <c r="N40" s="10">
        <f t="shared" si="1"/>
        <v>6.1142857142857141E-6</v>
      </c>
      <c r="O40" s="10">
        <f t="shared" si="2"/>
        <v>2.7428571428571429E-7</v>
      </c>
      <c r="P40" s="10">
        <f t="shared" si="3"/>
        <v>1.0254031486880467E-17</v>
      </c>
      <c r="Q40" s="10">
        <v>0.40100000000000002</v>
      </c>
      <c r="R40" s="10">
        <f t="shared" si="4"/>
        <v>4.1118666262390678E-18</v>
      </c>
      <c r="S40" s="91">
        <v>2331000</v>
      </c>
      <c r="T40">
        <f t="shared" si="5"/>
        <v>7.6114285714285718E-11</v>
      </c>
      <c r="U40" s="10">
        <f t="shared" si="6"/>
        <v>5.402227174112889E-8</v>
      </c>
      <c r="V40" s="10">
        <f t="shared" si="7"/>
        <v>2.9184058440723729E-15</v>
      </c>
      <c r="W40" s="16">
        <v>1000</v>
      </c>
      <c r="X40" s="83">
        <f t="shared" si="8"/>
        <v>1.1702807434730217E-18</v>
      </c>
      <c r="Y40" s="10">
        <v>3.2036114285714286E-18</v>
      </c>
      <c r="Z40" s="10">
        <v>9.1849142857142857E-17</v>
      </c>
      <c r="AA40" s="10">
        <v>2.0439925854922039</v>
      </c>
      <c r="AB40" s="10">
        <v>1.6215256078742062</v>
      </c>
      <c r="AC40" s="66">
        <f t="shared" si="9"/>
        <v>365.30046466805106</v>
      </c>
      <c r="AD40" s="83">
        <f t="shared" si="10"/>
        <v>12.741335488489124</v>
      </c>
      <c r="AE40" s="83">
        <f t="shared" si="11"/>
        <v>87.436263959239952</v>
      </c>
      <c r="AF40" s="67">
        <f t="shared" si="12"/>
        <v>4.8458205558114615</v>
      </c>
      <c r="AG40">
        <f t="shared" si="13"/>
        <v>1.1702807434730217E-15</v>
      </c>
    </row>
    <row r="41" spans="1:34">
      <c r="A41" s="66">
        <v>350</v>
      </c>
      <c r="B41" s="10">
        <v>350</v>
      </c>
      <c r="C41" s="10">
        <v>10</v>
      </c>
      <c r="D41" s="10">
        <v>1</v>
      </c>
      <c r="E41" s="10">
        <v>2</v>
      </c>
      <c r="F41" s="10" t="s">
        <v>20</v>
      </c>
      <c r="G41" s="10">
        <v>12</v>
      </c>
      <c r="H41" s="10" t="s">
        <v>88</v>
      </c>
      <c r="I41" s="10">
        <v>1078</v>
      </c>
      <c r="J41" s="10">
        <v>1078</v>
      </c>
      <c r="K41" s="10">
        <v>56</v>
      </c>
      <c r="L41" s="10">
        <v>5.7142857142857144E-9</v>
      </c>
      <c r="M41" s="10">
        <f t="shared" si="0"/>
        <v>6.1600000000000003E-6</v>
      </c>
      <c r="N41" s="10">
        <f t="shared" si="1"/>
        <v>6.1600000000000003E-6</v>
      </c>
      <c r="O41" s="10">
        <f t="shared" si="2"/>
        <v>3.2000000000000001E-7</v>
      </c>
      <c r="P41" s="10">
        <f t="shared" si="3"/>
        <v>1.2142592000000001E-17</v>
      </c>
      <c r="Q41" s="10">
        <v>0.496</v>
      </c>
      <c r="R41" s="10">
        <f t="shared" si="4"/>
        <v>6.0227256320000007E-18</v>
      </c>
      <c r="S41" s="91">
        <v>2331000</v>
      </c>
      <c r="T41">
        <f t="shared" si="5"/>
        <v>7.6114285714285718E-11</v>
      </c>
      <c r="U41" s="10">
        <f t="shared" si="6"/>
        <v>7.912740132132133E-8</v>
      </c>
      <c r="V41" s="10">
        <f t="shared" si="7"/>
        <v>6.2611456398654444E-15</v>
      </c>
      <c r="W41" s="16">
        <v>1000</v>
      </c>
      <c r="X41" s="83">
        <f t="shared" si="8"/>
        <v>3.1055282373732607E-18</v>
      </c>
      <c r="Y41" s="10">
        <v>1.0194612244897959E-17</v>
      </c>
      <c r="Z41" s="10">
        <v>2.3805126530612247E-16</v>
      </c>
      <c r="AA41" s="10">
        <v>1.9606052666577154</v>
      </c>
      <c r="AB41" s="10">
        <v>1.6441537500836756</v>
      </c>
      <c r="AC41" s="66">
        <f t="shared" si="9"/>
        <v>304.6244587603091</v>
      </c>
      <c r="AD41" s="83">
        <f t="shared" si="10"/>
        <v>13.045627938081743</v>
      </c>
      <c r="AE41" s="83">
        <f t="shared" si="11"/>
        <v>79.247293838275496</v>
      </c>
      <c r="AF41" s="67">
        <f t="shared" si="12"/>
        <v>4.8259201695061478</v>
      </c>
      <c r="AG41">
        <f t="shared" si="13"/>
        <v>3.1055282373732605E-15</v>
      </c>
    </row>
    <row r="42" spans="1:34">
      <c r="A42" s="66">
        <v>350</v>
      </c>
      <c r="B42" s="10">
        <v>350</v>
      </c>
      <c r="C42" s="10">
        <v>10</v>
      </c>
      <c r="D42" s="10">
        <v>1</v>
      </c>
      <c r="E42" s="10">
        <v>2</v>
      </c>
      <c r="F42" s="10" t="s">
        <v>20</v>
      </c>
      <c r="G42" s="10">
        <v>16</v>
      </c>
      <c r="H42" s="10" t="s">
        <v>89</v>
      </c>
      <c r="I42" s="10">
        <v>1086</v>
      </c>
      <c r="J42" s="10">
        <v>1086</v>
      </c>
      <c r="K42" s="10">
        <v>64</v>
      </c>
      <c r="L42" s="10">
        <v>5.7142857142857144E-9</v>
      </c>
      <c r="M42" s="10">
        <f t="shared" si="0"/>
        <v>6.2057142857142857E-6</v>
      </c>
      <c r="N42" s="10">
        <f t="shared" si="1"/>
        <v>6.2057142857142857E-6</v>
      </c>
      <c r="O42" s="10">
        <f t="shared" si="2"/>
        <v>3.6571428571428572E-7</v>
      </c>
      <c r="P42" s="10">
        <f t="shared" si="3"/>
        <v>1.4083982553935862E-17</v>
      </c>
      <c r="Q42" s="10">
        <v>0.56599999999999995</v>
      </c>
      <c r="R42" s="10">
        <f t="shared" si="4"/>
        <v>7.9715341255276979E-18</v>
      </c>
      <c r="S42" s="91">
        <v>2331000</v>
      </c>
      <c r="T42">
        <f t="shared" si="5"/>
        <v>7.6114285714285718E-11</v>
      </c>
      <c r="U42" s="10">
        <f t="shared" si="6"/>
        <v>1.047311165140651E-7</v>
      </c>
      <c r="V42" s="10">
        <f t="shared" si="7"/>
        <v>1.096860676628268E-14</v>
      </c>
      <c r="W42" s="16">
        <v>1000</v>
      </c>
      <c r="X42" s="83">
        <f t="shared" si="8"/>
        <v>6.2082314297159969E-18</v>
      </c>
      <c r="Y42" s="10">
        <v>2.4155591836734693E-17</v>
      </c>
      <c r="Z42" s="10">
        <v>4.6989061224489798E-16</v>
      </c>
      <c r="AA42" s="10">
        <v>1.8845604953702433</v>
      </c>
      <c r="AB42" s="10">
        <v>1.6684818445891585</v>
      </c>
      <c r="AC42" s="66">
        <f t="shared" si="9"/>
        <v>257.01011474596987</v>
      </c>
      <c r="AD42" s="83">
        <f t="shared" si="10"/>
        <v>13.212078019725121</v>
      </c>
      <c r="AE42" s="83">
        <f t="shared" si="11"/>
        <v>72.365247090754394</v>
      </c>
      <c r="AF42" s="67">
        <f t="shared" si="12"/>
        <v>4.7460046461863632</v>
      </c>
      <c r="AG42">
        <f t="shared" si="13"/>
        <v>6.2082314297159967E-15</v>
      </c>
    </row>
    <row r="43" spans="1:34">
      <c r="A43" s="66">
        <v>350</v>
      </c>
      <c r="B43" s="10">
        <v>350</v>
      </c>
      <c r="C43" s="10">
        <v>10</v>
      </c>
      <c r="D43" s="10">
        <v>1</v>
      </c>
      <c r="E43" s="10">
        <v>2</v>
      </c>
      <c r="F43" s="10" t="s">
        <v>20</v>
      </c>
      <c r="G43" s="10">
        <v>22</v>
      </c>
      <c r="H43" s="10" t="s">
        <v>91</v>
      </c>
      <c r="I43" s="10">
        <v>1098</v>
      </c>
      <c r="J43" s="10">
        <v>1098</v>
      </c>
      <c r="K43" s="10">
        <v>76</v>
      </c>
      <c r="L43" s="10">
        <v>5.7142857142857144E-9</v>
      </c>
      <c r="M43" s="10">
        <f t="shared" si="0"/>
        <v>6.2742857142857142E-6</v>
      </c>
      <c r="N43" s="10">
        <f t="shared" si="1"/>
        <v>6.2742857142857142E-6</v>
      </c>
      <c r="O43" s="10">
        <f t="shared" si="2"/>
        <v>4.3428571428571429E-7</v>
      </c>
      <c r="P43" s="10">
        <f t="shared" si="3"/>
        <v>1.7096378588921282E-17</v>
      </c>
      <c r="Q43" s="10">
        <v>0.64400000000000002</v>
      </c>
      <c r="R43" s="10">
        <f t="shared" si="4"/>
        <v>1.1010067811265306E-17</v>
      </c>
      <c r="S43" s="91">
        <v>2331000</v>
      </c>
      <c r="T43">
        <f t="shared" si="5"/>
        <v>7.6114285714285718E-11</v>
      </c>
      <c r="U43" s="10">
        <f t="shared" si="6"/>
        <v>1.4465179181467179E-7</v>
      </c>
      <c r="V43" s="10">
        <f t="shared" si="7"/>
        <v>2.0924140875195149E-14</v>
      </c>
      <c r="W43" s="16">
        <v>1000</v>
      </c>
      <c r="X43" s="83">
        <f t="shared" si="8"/>
        <v>1.3475146723625677E-17</v>
      </c>
      <c r="Y43" s="10">
        <v>6.4677877551020415E-17</v>
      </c>
      <c r="Z43" s="10">
        <v>9.9571591836734712E-16</v>
      </c>
      <c r="AA43" s="10">
        <v>1.7932237526435097</v>
      </c>
      <c r="AB43" s="10">
        <v>1.703722120561296</v>
      </c>
      <c r="AC43" s="66">
        <f t="shared" si="9"/>
        <v>208.34243846353738</v>
      </c>
      <c r="AD43" s="83">
        <f t="shared" si="10"/>
        <v>13.533123730431639</v>
      </c>
      <c r="AE43" s="83">
        <f t="shared" si="11"/>
        <v>64.790118951107999</v>
      </c>
      <c r="AF43" s="67">
        <f t="shared" si="12"/>
        <v>4.6623033599853034</v>
      </c>
      <c r="AG43">
        <f t="shared" si="13"/>
        <v>1.3475146723625677E-14</v>
      </c>
    </row>
    <row r="44" spans="1:34" ht="16.5" thickBot="1">
      <c r="A44" s="69">
        <v>350</v>
      </c>
      <c r="B44" s="51">
        <v>350</v>
      </c>
      <c r="C44" s="51">
        <v>10</v>
      </c>
      <c r="D44" s="51">
        <v>1</v>
      </c>
      <c r="E44" s="51">
        <v>2</v>
      </c>
      <c r="F44" s="51" t="s">
        <v>20</v>
      </c>
      <c r="G44" s="51">
        <v>30</v>
      </c>
      <c r="H44" s="51" t="s">
        <v>90</v>
      </c>
      <c r="I44" s="51">
        <v>1114</v>
      </c>
      <c r="J44" s="51">
        <v>1114</v>
      </c>
      <c r="K44" s="51">
        <v>92</v>
      </c>
      <c r="L44" s="51">
        <v>5.7142857142857144E-9</v>
      </c>
      <c r="M44" s="51">
        <f t="shared" si="0"/>
        <v>6.3657142857142859E-6</v>
      </c>
      <c r="N44" s="51">
        <f t="shared" si="1"/>
        <v>6.3657142857142859E-6</v>
      </c>
      <c r="O44" s="51">
        <f t="shared" si="2"/>
        <v>5.2571428571428567E-7</v>
      </c>
      <c r="P44" s="51">
        <f t="shared" si="3"/>
        <v>2.1303161655976677E-17</v>
      </c>
      <c r="Q44" s="51">
        <v>0.71599999999999997</v>
      </c>
      <c r="R44" s="7">
        <f t="shared" si="4"/>
        <v>1.5253063745679299E-17</v>
      </c>
      <c r="S44" s="92">
        <v>2331000</v>
      </c>
      <c r="T44" s="7">
        <f t="shared" si="5"/>
        <v>7.6114285714285718E-11</v>
      </c>
      <c r="U44" s="10">
        <f t="shared" si="6"/>
        <v>2.0039685852056136E-7</v>
      </c>
      <c r="V44" s="10">
        <f t="shared" si="7"/>
        <v>4.0158900904909885E-14</v>
      </c>
      <c r="W44" s="25">
        <v>1000</v>
      </c>
      <c r="X44" s="83">
        <f t="shared" si="8"/>
        <v>2.8753773047915474E-17</v>
      </c>
      <c r="Y44" s="7">
        <v>1.7238791836734695E-16</v>
      </c>
      <c r="Z44" s="7">
        <v>2.0600522448979589E-15</v>
      </c>
      <c r="AA44" s="7">
        <v>1.7056621389267095</v>
      </c>
      <c r="AB44" s="7">
        <v>1.7457128817626324</v>
      </c>
      <c r="AC44" s="69">
        <f t="shared" si="9"/>
        <v>166.79691546969744</v>
      </c>
      <c r="AD44" s="84">
        <f t="shared" si="10"/>
        <v>13.957788264413528</v>
      </c>
      <c r="AE44" s="84">
        <f t="shared" si="11"/>
        <v>57.332647399934778</v>
      </c>
      <c r="AF44" s="70">
        <f t="shared" si="12"/>
        <v>4.5800579463183313</v>
      </c>
      <c r="AG44">
        <f t="shared" si="13"/>
        <v>2.8753773047915474E-14</v>
      </c>
    </row>
    <row r="45" spans="1:34" ht="16.5" thickBot="1">
      <c r="AC45" s="63"/>
      <c r="AD45" s="64"/>
      <c r="AE45" s="64"/>
      <c r="AF45" s="65"/>
    </row>
    <row r="46" spans="1:34" ht="16.5" thickBot="1">
      <c r="A46" s="63" t="s">
        <v>207</v>
      </c>
      <c r="B46" s="64"/>
      <c r="C46" s="64"/>
      <c r="D46" s="64"/>
      <c r="E46" s="65"/>
      <c r="F46" s="64"/>
      <c r="G46" s="63" t="s">
        <v>214</v>
      </c>
      <c r="H46" s="64"/>
      <c r="I46" s="64"/>
      <c r="J46" s="65"/>
      <c r="AB46">
        <f>RSQ(Y36:Y44,X36:X44)</f>
        <v>0.98872445683026811</v>
      </c>
      <c r="AD46" s="69">
        <f>AVERAGE(AC36:AC44)</f>
        <v>316.0940591816634</v>
      </c>
      <c r="AE46" s="51">
        <f>AVERAGE(AD36:AD44)</f>
        <v>12.157896740606294</v>
      </c>
      <c r="AF46" s="51">
        <f>AVERAGE(AE36:AE44)</f>
        <v>80.375746562923553</v>
      </c>
      <c r="AG46" s="70">
        <f>AVERAGE(AF36:AF44)</f>
        <v>4.4502960034358141</v>
      </c>
    </row>
    <row r="47" spans="1:34">
      <c r="A47" s="66"/>
      <c r="B47" s="10"/>
      <c r="C47" s="10"/>
      <c r="D47" s="10"/>
      <c r="E47" s="67"/>
      <c r="F47" s="10"/>
      <c r="G47" s="66"/>
      <c r="H47" s="10"/>
      <c r="I47" s="10"/>
      <c r="J47" s="67"/>
    </row>
    <row r="48" spans="1:34">
      <c r="A48" s="66" t="s">
        <v>208</v>
      </c>
      <c r="B48" s="10"/>
      <c r="C48" s="10"/>
      <c r="D48" s="10"/>
      <c r="E48" s="67"/>
      <c r="F48" s="10"/>
      <c r="G48" s="66"/>
      <c r="H48" s="10"/>
      <c r="I48" s="10"/>
      <c r="J48" s="67"/>
    </row>
    <row r="49" spans="1:31">
      <c r="A49" s="66" t="s">
        <v>210</v>
      </c>
      <c r="B49" s="10" t="s">
        <v>6</v>
      </c>
      <c r="C49" s="10" t="s">
        <v>180</v>
      </c>
      <c r="D49" s="16" t="s">
        <v>437</v>
      </c>
      <c r="E49" s="10" t="s">
        <v>213</v>
      </c>
      <c r="F49" s="67" t="s">
        <v>211</v>
      </c>
      <c r="G49" s="66" t="s">
        <v>210</v>
      </c>
      <c r="H49" s="10" t="s">
        <v>6</v>
      </c>
      <c r="I49" s="16" t="s">
        <v>215</v>
      </c>
      <c r="J49" s="67"/>
    </row>
    <row r="50" spans="1:31">
      <c r="A50" s="66">
        <v>34.292236000000003</v>
      </c>
      <c r="B50" s="10">
        <f>A50/100</f>
        <v>0.34292236000000004</v>
      </c>
      <c r="C50" s="68">
        <v>2.0604093000000001E-6</v>
      </c>
      <c r="D50" s="68">
        <f>EXP((A50-84.2)/3.8)</f>
        <v>1.9776088288564636E-6</v>
      </c>
      <c r="E50" s="10">
        <f t="shared" ref="E50:E59" si="14">9.869*10^-16*C50</f>
        <v>2.0334179381699999E-21</v>
      </c>
      <c r="F50" s="67">
        <f t="shared" ref="F50:F59" si="15">LOG10(9.869*10^-16*C50)</f>
        <v>-20.6917733495535</v>
      </c>
      <c r="G50" s="66">
        <v>0.75825690000000001</v>
      </c>
      <c r="H50" s="10">
        <f t="shared" ref="H50:H55" si="16">G50/100</f>
        <v>7.5825689999999999E-3</v>
      </c>
      <c r="I50" s="68">
        <v>3.2180503000000002E-7</v>
      </c>
      <c r="J50" s="67"/>
      <c r="AD50">
        <v>5.6800000000000002E-3</v>
      </c>
      <c r="AE50">
        <f>1/AD50</f>
        <v>176.05633802816902</v>
      </c>
    </row>
    <row r="51" spans="1:31">
      <c r="A51" s="66">
        <v>38.49315</v>
      </c>
      <c r="B51" s="10">
        <f t="shared" ref="B51:B69" si="17">A51/100</f>
        <v>0.38493149999999998</v>
      </c>
      <c r="C51" s="68">
        <v>6.3434509999999996E-6</v>
      </c>
      <c r="D51" s="68">
        <f t="shared" ref="D51:D59" si="18">EXP((A51-84.2)/3.8)</f>
        <v>5.9738531436663562E-6</v>
      </c>
      <c r="E51" s="10">
        <f t="shared" si="14"/>
        <v>6.2603517918999994E-21</v>
      </c>
      <c r="F51" s="67">
        <f t="shared" si="15"/>
        <v>-20.20340126151989</v>
      </c>
      <c r="G51" s="66">
        <v>2.6500490000000001</v>
      </c>
      <c r="H51" s="10">
        <f t="shared" si="16"/>
        <v>2.6500490000000002E-2</v>
      </c>
      <c r="I51" s="68">
        <v>1.2268518E-5</v>
      </c>
      <c r="J51" s="67"/>
    </row>
    <row r="52" spans="1:31">
      <c r="A52" s="66">
        <v>41.780822999999998</v>
      </c>
      <c r="B52" s="10">
        <f t="shared" si="17"/>
        <v>0.41780823</v>
      </c>
      <c r="C52" s="68">
        <v>1.36057015E-5</v>
      </c>
      <c r="D52" s="68">
        <f t="shared" si="18"/>
        <v>1.4190450553883122E-5</v>
      </c>
      <c r="E52" s="10">
        <f t="shared" si="14"/>
        <v>1.3427466810349999E-20</v>
      </c>
      <c r="F52" s="67">
        <f t="shared" si="15"/>
        <v>-19.872005912428513</v>
      </c>
      <c r="G52" s="66">
        <v>3.9651616000000001</v>
      </c>
      <c r="H52" s="10">
        <f t="shared" si="16"/>
        <v>3.9651616000000001E-2</v>
      </c>
      <c r="I52" s="68">
        <v>1.3654592E-4</v>
      </c>
      <c r="J52" s="67"/>
    </row>
    <row r="53" spans="1:31">
      <c r="A53" s="66">
        <v>46.712330000000001</v>
      </c>
      <c r="B53" s="10">
        <f t="shared" si="17"/>
        <v>0.46712330000000002</v>
      </c>
      <c r="C53" s="68">
        <v>5.3302082999999999E-5</v>
      </c>
      <c r="D53" s="68">
        <f t="shared" si="18"/>
        <v>5.1952728726167849E-5</v>
      </c>
      <c r="E53" s="10">
        <f t="shared" si="14"/>
        <v>5.2603825712699996E-20</v>
      </c>
      <c r="F53" s="67">
        <f t="shared" si="15"/>
        <v>-19.278982669810212</v>
      </c>
      <c r="G53" s="66">
        <v>5.6956189999999998</v>
      </c>
      <c r="H53" s="10">
        <f t="shared" si="16"/>
        <v>5.6956189999999997E-2</v>
      </c>
      <c r="I53" s="10">
        <v>3.0488945000000001E-3</v>
      </c>
      <c r="J53" s="67"/>
    </row>
    <row r="54" spans="1:31">
      <c r="A54" s="66">
        <v>52.374428000000002</v>
      </c>
      <c r="B54" s="10">
        <f t="shared" si="17"/>
        <v>0.52374428000000006</v>
      </c>
      <c r="C54" s="68">
        <v>2.3555536999999999E-4</v>
      </c>
      <c r="D54" s="68">
        <f t="shared" si="18"/>
        <v>2.3052516487690527E-4</v>
      </c>
      <c r="E54" s="10">
        <f t="shared" si="14"/>
        <v>2.3246959465299997E-19</v>
      </c>
      <c r="F54" s="67">
        <f t="shared" si="15"/>
        <v>-18.633633841646869</v>
      </c>
      <c r="G54" s="66">
        <v>8.3026660000000003</v>
      </c>
      <c r="H54" s="10">
        <f t="shared" si="16"/>
        <v>8.3026660000000002E-2</v>
      </c>
      <c r="I54" s="10">
        <v>0.42023367</v>
      </c>
      <c r="J54" s="67"/>
    </row>
    <row r="55" spans="1:31" ht="16.5" thickBot="1">
      <c r="A55" s="66">
        <v>59.863014</v>
      </c>
      <c r="B55" s="10">
        <f t="shared" si="17"/>
        <v>0.59863014000000003</v>
      </c>
      <c r="C55" s="10">
        <v>1.6855599E-3</v>
      </c>
      <c r="D55" s="68">
        <f t="shared" si="18"/>
        <v>1.6541466871617604E-3</v>
      </c>
      <c r="E55" s="10">
        <f t="shared" si="14"/>
        <v>1.6634790653099999E-18</v>
      </c>
      <c r="F55" s="67">
        <f t="shared" si="15"/>
        <v>-17.778982660306163</v>
      </c>
      <c r="G55" s="69">
        <v>10.10224</v>
      </c>
      <c r="H55" s="51">
        <f t="shared" si="16"/>
        <v>0.1010224</v>
      </c>
      <c r="I55" s="51">
        <v>12.260358</v>
      </c>
      <c r="J55" s="70"/>
    </row>
    <row r="56" spans="1:31" ht="16.5" thickBot="1">
      <c r="A56" s="66">
        <v>64.429220000000001</v>
      </c>
      <c r="B56" s="10">
        <f t="shared" si="17"/>
        <v>0.64429219999999998</v>
      </c>
      <c r="C56" s="10">
        <v>5.4020444000000001E-3</v>
      </c>
      <c r="D56" s="68">
        <f t="shared" si="18"/>
        <v>5.500936975313557E-3</v>
      </c>
      <c r="E56" s="10">
        <f t="shared" si="14"/>
        <v>5.3312776183599997E-18</v>
      </c>
      <c r="F56" s="67">
        <f t="shared" si="15"/>
        <v>-17.27316870164638</v>
      </c>
    </row>
    <row r="57" spans="1:31">
      <c r="A57" s="66">
        <v>72.100459999999998</v>
      </c>
      <c r="B57" s="10">
        <f t="shared" si="17"/>
        <v>0.7210046</v>
      </c>
      <c r="C57" s="10">
        <v>4.0239367999999998E-2</v>
      </c>
      <c r="D57" s="68">
        <f t="shared" si="18"/>
        <v>4.1415938940366832E-2</v>
      </c>
      <c r="E57" s="10">
        <f t="shared" si="14"/>
        <v>3.9712232279199997E-17</v>
      </c>
      <c r="F57" s="10">
        <f t="shared" si="15"/>
        <v>-16.401075699959772</v>
      </c>
      <c r="G57" s="63" t="s">
        <v>6</v>
      </c>
      <c r="H57" s="64" t="s">
        <v>215</v>
      </c>
      <c r="I57" s="64" t="s">
        <v>213</v>
      </c>
      <c r="J57" s="65" t="s">
        <v>216</v>
      </c>
    </row>
    <row r="58" spans="1:31">
      <c r="A58" s="66">
        <v>78.127849999999995</v>
      </c>
      <c r="B58" s="10">
        <f t="shared" si="17"/>
        <v>0.78127849999999999</v>
      </c>
      <c r="C58" s="10">
        <v>0.20059752</v>
      </c>
      <c r="D58" s="68">
        <f t="shared" si="18"/>
        <v>0.20231402478839633</v>
      </c>
      <c r="E58" s="10">
        <f t="shared" si="14"/>
        <v>1.9796969248799999E-16</v>
      </c>
      <c r="F58" s="10">
        <f t="shared" si="15"/>
        <v>-15.703401291519762</v>
      </c>
      <c r="G58" s="66">
        <v>0.70101449999999998</v>
      </c>
      <c r="H58" s="68">
        <v>9048455</v>
      </c>
      <c r="I58" s="68">
        <f>H58/10^22</f>
        <v>9.0484549999999992E-16</v>
      </c>
      <c r="J58" s="67">
        <f t="shared" ref="I58:J78" si="19">LOG10(H58)</f>
        <v>6.9565744308896518</v>
      </c>
    </row>
    <row r="59" spans="1:31">
      <c r="A59" s="66">
        <v>83.9726</v>
      </c>
      <c r="B59" s="10">
        <f t="shared" si="17"/>
        <v>0.83972599999999997</v>
      </c>
      <c r="C59" s="10">
        <v>1</v>
      </c>
      <c r="D59" s="68">
        <f t="shared" si="18"/>
        <v>0.9419132449875105</v>
      </c>
      <c r="E59" s="10">
        <f t="shared" si="14"/>
        <v>9.8689999999999992E-16</v>
      </c>
      <c r="F59" s="10">
        <f t="shared" si="15"/>
        <v>-15.00572685102683</v>
      </c>
      <c r="G59" s="66">
        <v>0.68032294999999998</v>
      </c>
      <c r="H59" s="68">
        <v>8543562</v>
      </c>
      <c r="I59" s="68">
        <f t="shared" ref="H59:I80" si="20">H59/10^22</f>
        <v>8.5435620000000004E-16</v>
      </c>
      <c r="J59" s="67">
        <f t="shared" si="19"/>
        <v>6.9316389754219587</v>
      </c>
    </row>
    <row r="60" spans="1:31">
      <c r="A60" s="66"/>
      <c r="B60" s="10"/>
      <c r="C60" s="10"/>
      <c r="D60" s="10"/>
      <c r="E60" s="10"/>
      <c r="F60" s="10"/>
      <c r="G60" s="66">
        <v>0.65326340000000005</v>
      </c>
      <c r="H60" s="68">
        <v>7870352</v>
      </c>
      <c r="I60" s="68">
        <f t="shared" si="20"/>
        <v>7.8703520000000004E-16</v>
      </c>
      <c r="J60" s="67">
        <f t="shared" si="19"/>
        <v>6.8959941565317457</v>
      </c>
    </row>
    <row r="61" spans="1:31">
      <c r="A61" s="66"/>
      <c r="B61" s="10"/>
      <c r="C61" s="10"/>
      <c r="D61" s="10"/>
      <c r="E61" s="10"/>
      <c r="F61" s="10"/>
      <c r="G61" s="66">
        <v>0.62621634999999998</v>
      </c>
      <c r="H61" s="68">
        <v>7309502</v>
      </c>
      <c r="I61" s="68">
        <f t="shared" si="20"/>
        <v>7.3095020000000004E-16</v>
      </c>
      <c r="J61" s="67">
        <f t="shared" si="19"/>
        <v>6.8638877892671069</v>
      </c>
    </row>
    <row r="62" spans="1:31">
      <c r="A62" s="66" t="s">
        <v>209</v>
      </c>
      <c r="B62" s="10" t="s">
        <v>6</v>
      </c>
      <c r="C62" s="10" t="s">
        <v>180</v>
      </c>
      <c r="D62" s="16" t="s">
        <v>437</v>
      </c>
      <c r="E62" s="10" t="s">
        <v>213</v>
      </c>
      <c r="F62" s="10" t="s">
        <v>212</v>
      </c>
      <c r="G62" s="66">
        <v>0.60553425999999999</v>
      </c>
      <c r="H62" s="68">
        <v>6888878</v>
      </c>
      <c r="I62" s="68">
        <f t="shared" si="20"/>
        <v>6.8888780000000004E-16</v>
      </c>
      <c r="J62" s="67">
        <f t="shared" si="19"/>
        <v>6.8381484935929153</v>
      </c>
    </row>
    <row r="63" spans="1:31">
      <c r="A63" s="66">
        <v>11.278539</v>
      </c>
      <c r="B63" s="10">
        <f t="shared" si="17"/>
        <v>0.11278539</v>
      </c>
      <c r="C63" s="10">
        <v>1E-3</v>
      </c>
      <c r="D63" s="10">
        <f>EXP((A63-71.83)/8.79)</f>
        <v>1.0192625720994032E-3</v>
      </c>
      <c r="E63" s="10">
        <f t="shared" ref="E63:E69" si="21">9.869*10^-16*C63</f>
        <v>9.8689999999999993E-19</v>
      </c>
      <c r="F63" s="10">
        <f t="shared" ref="F63:F69" si="22">LOG10(9.869*10^-16*C63)</f>
        <v>-18.005726851026829</v>
      </c>
      <c r="G63" s="66">
        <v>0.5816808</v>
      </c>
      <c r="H63" s="68">
        <v>6496455.5</v>
      </c>
      <c r="I63" s="68">
        <f t="shared" si="20"/>
        <v>6.4964555000000003E-16</v>
      </c>
      <c r="J63" s="67">
        <f t="shared" si="19"/>
        <v>6.8126764679266554</v>
      </c>
    </row>
    <row r="64" spans="1:31">
      <c r="A64" s="66">
        <v>21.50685</v>
      </c>
      <c r="B64" s="10">
        <f t="shared" si="17"/>
        <v>0.2150685</v>
      </c>
      <c r="C64" s="10">
        <v>3.0787335999999999E-3</v>
      </c>
      <c r="D64" s="10">
        <f t="shared" ref="D64:D69" si="23">EXP((A64-71.83)/8.79)</f>
        <v>3.2632047763617839E-3</v>
      </c>
      <c r="E64" s="10">
        <f t="shared" si="21"/>
        <v>3.0384021898399998E-18</v>
      </c>
      <c r="F64" s="10">
        <f t="shared" si="22"/>
        <v>-17.517354739601828</v>
      </c>
      <c r="G64" s="66">
        <v>0.55624620000000002</v>
      </c>
      <c r="H64" s="68">
        <v>6160269</v>
      </c>
      <c r="I64" s="68">
        <f t="shared" si="20"/>
        <v>6.1602690000000004E-16</v>
      </c>
      <c r="J64" s="67">
        <f t="shared" si="19"/>
        <v>6.7895996768827525</v>
      </c>
    </row>
    <row r="65" spans="1:10">
      <c r="A65" s="66">
        <v>31.187214000000001</v>
      </c>
      <c r="B65" s="10">
        <f t="shared" si="17"/>
        <v>0.31187214000000002</v>
      </c>
      <c r="C65" s="10">
        <v>9.8670210000000001E-3</v>
      </c>
      <c r="D65" s="10">
        <f t="shared" si="23"/>
        <v>9.8158910241672379E-3</v>
      </c>
      <c r="E65" s="10">
        <f t="shared" si="21"/>
        <v>9.7377630248999988E-18</v>
      </c>
      <c r="F65" s="10">
        <f t="shared" si="22"/>
        <v>-17.011540798513739</v>
      </c>
      <c r="G65" s="66">
        <v>0.51809130000000003</v>
      </c>
      <c r="H65" s="68">
        <v>5627898.5</v>
      </c>
      <c r="I65" s="68">
        <f t="shared" si="20"/>
        <v>5.6278985000000005E-16</v>
      </c>
      <c r="J65" s="67">
        <f t="shared" si="19"/>
        <v>6.7503462562667211</v>
      </c>
    </row>
    <row r="66" spans="1:10">
      <c r="A66" s="66">
        <v>43.242010000000001</v>
      </c>
      <c r="B66" s="10">
        <f t="shared" si="17"/>
        <v>0.43242010000000003</v>
      </c>
      <c r="C66" s="10">
        <v>4.0239367999999998E-2</v>
      </c>
      <c r="D66" s="10">
        <f t="shared" si="23"/>
        <v>3.8683928168015642E-2</v>
      </c>
      <c r="E66" s="10">
        <f t="shared" si="21"/>
        <v>3.9712232279199997E-17</v>
      </c>
      <c r="F66" s="10">
        <f t="shared" si="22"/>
        <v>-16.401075699959772</v>
      </c>
      <c r="G66" s="66">
        <v>0.48311411999999998</v>
      </c>
      <c r="H66" s="68">
        <v>5123507</v>
      </c>
      <c r="I66" s="68">
        <f t="shared" si="20"/>
        <v>5.1235070000000001E-16</v>
      </c>
      <c r="J66" s="67">
        <f t="shared" si="19"/>
        <v>6.7095673338985113</v>
      </c>
    </row>
    <row r="67" spans="1:10">
      <c r="A67" s="66">
        <v>52.374428000000002</v>
      </c>
      <c r="B67" s="10">
        <f t="shared" si="17"/>
        <v>0.52374428000000006</v>
      </c>
      <c r="C67" s="10">
        <v>0.109824106</v>
      </c>
      <c r="D67" s="10">
        <f t="shared" si="23"/>
        <v>0.10933096138482287</v>
      </c>
      <c r="E67" s="10">
        <f t="shared" si="21"/>
        <v>1.0838541021139999E-16</v>
      </c>
      <c r="F67" s="10">
        <f t="shared" si="22"/>
        <v>-15.965029174357827</v>
      </c>
      <c r="G67" s="66">
        <v>0.44496235000000001</v>
      </c>
      <c r="H67" s="68">
        <v>4619226.5</v>
      </c>
      <c r="I67" s="68">
        <f t="shared" si="20"/>
        <v>4.6192265000000004E-16</v>
      </c>
      <c r="J67" s="67">
        <f t="shared" si="19"/>
        <v>6.664569258043997</v>
      </c>
    </row>
    <row r="68" spans="1:10">
      <c r="A68" s="66">
        <v>67.899540000000002</v>
      </c>
      <c r="B68" s="10">
        <f t="shared" si="17"/>
        <v>0.67899540000000003</v>
      </c>
      <c r="C68" s="10">
        <v>0.66923920000000003</v>
      </c>
      <c r="D68" s="10">
        <f t="shared" si="23"/>
        <v>0.63944714729069096</v>
      </c>
      <c r="E68" s="10">
        <f t="shared" si="21"/>
        <v>6.6047216647999996E-16</v>
      </c>
      <c r="F68" s="10">
        <f t="shared" si="22"/>
        <v>-15.180145479637416</v>
      </c>
      <c r="G68" s="66">
        <v>0.41953099999999999</v>
      </c>
      <c r="H68" s="68">
        <v>4311129.5</v>
      </c>
      <c r="I68" s="68">
        <f t="shared" si="20"/>
        <v>4.3111294999999998E-16</v>
      </c>
      <c r="J68" s="67">
        <f t="shared" si="19"/>
        <v>6.6345910686183736</v>
      </c>
    </row>
    <row r="69" spans="1:10" ht="16.5" thickBot="1">
      <c r="A69" s="69">
        <v>71.917810000000003</v>
      </c>
      <c r="B69" s="51">
        <f t="shared" si="17"/>
        <v>0.71917810000000004</v>
      </c>
      <c r="C69" s="51">
        <v>1.0409788</v>
      </c>
      <c r="D69" s="10">
        <f t="shared" si="23"/>
        <v>1.0100398253265284</v>
      </c>
      <c r="E69" s="51">
        <f t="shared" si="21"/>
        <v>1.02734197772E-15</v>
      </c>
      <c r="F69" s="51">
        <f t="shared" si="22"/>
        <v>-14.988284966028079</v>
      </c>
      <c r="G69" s="66">
        <v>0.40046137999999998</v>
      </c>
      <c r="H69" s="68">
        <v>4115169.2</v>
      </c>
      <c r="I69" s="68">
        <f t="shared" si="20"/>
        <v>4.1151692000000004E-16</v>
      </c>
      <c r="J69" s="67">
        <f t="shared" si="19"/>
        <v>6.614387696441522</v>
      </c>
    </row>
    <row r="70" spans="1:10">
      <c r="D70" s="10"/>
      <c r="F70" s="66">
        <v>0.36708723999999998</v>
      </c>
      <c r="G70" s="68">
        <v>3751171</v>
      </c>
      <c r="H70" s="68">
        <f t="shared" si="20"/>
        <v>3.751171E-16</v>
      </c>
      <c r="I70" s="67">
        <f t="shared" si="19"/>
        <v>6.5741668622482115</v>
      </c>
    </row>
    <row r="71" spans="1:10">
      <c r="D71" s="10"/>
      <c r="F71" s="66">
        <v>0.32577348</v>
      </c>
      <c r="G71" s="68">
        <v>3359361.8</v>
      </c>
      <c r="H71" s="68">
        <f t="shared" si="20"/>
        <v>3.3593617999999999E-16</v>
      </c>
      <c r="I71" s="67">
        <f t="shared" si="19"/>
        <v>6.526256779454048</v>
      </c>
    </row>
    <row r="72" spans="1:10">
      <c r="D72" s="10"/>
      <c r="F72" s="66">
        <v>0.29081833000000001</v>
      </c>
      <c r="G72" s="68">
        <v>3051599.2</v>
      </c>
      <c r="H72" s="68">
        <f t="shared" si="20"/>
        <v>3.0515992000000003E-16</v>
      </c>
      <c r="I72" s="67">
        <f t="shared" si="19"/>
        <v>6.4845274923697387</v>
      </c>
    </row>
    <row r="73" spans="1:10">
      <c r="D73" s="10"/>
      <c r="F73" s="66">
        <v>0.27333289999999999</v>
      </c>
      <c r="G73" s="68">
        <v>2827493.2</v>
      </c>
      <c r="H73" s="68">
        <f t="shared" si="20"/>
        <v>2.8274932000000003E-16</v>
      </c>
      <c r="I73" s="67">
        <f t="shared" si="19"/>
        <v>6.4514015691391275</v>
      </c>
    </row>
    <row r="74" spans="1:10">
      <c r="D74" s="10"/>
      <c r="F74" s="66">
        <v>0.22725724</v>
      </c>
      <c r="G74" s="68">
        <v>2435851</v>
      </c>
      <c r="H74" s="68">
        <f t="shared" si="20"/>
        <v>2.4358510000000002E-16</v>
      </c>
      <c r="I74" s="67">
        <f t="shared" si="19"/>
        <v>6.3866507191591539</v>
      </c>
    </row>
    <row r="75" spans="1:10">
      <c r="D75" s="10"/>
      <c r="F75" s="66">
        <v>0.19865442999999999</v>
      </c>
      <c r="G75" s="68">
        <v>2155955.5</v>
      </c>
      <c r="H75" s="68">
        <f t="shared" si="20"/>
        <v>2.1559555000000001E-16</v>
      </c>
      <c r="I75" s="67">
        <f t="shared" si="19"/>
        <v>6.3336397925518559</v>
      </c>
    </row>
    <row r="76" spans="1:10">
      <c r="D76" s="10"/>
      <c r="F76" s="66">
        <v>0.16687701999999999</v>
      </c>
      <c r="G76" s="68">
        <v>1876171.2</v>
      </c>
      <c r="H76" s="68">
        <f t="shared" si="20"/>
        <v>1.8761712000000001E-16</v>
      </c>
      <c r="I76" s="67">
        <f t="shared" si="19"/>
        <v>6.2732724650787262</v>
      </c>
    </row>
    <row r="77" spans="1:10">
      <c r="D77" s="10"/>
      <c r="F77" s="66">
        <v>0.14145824000000001</v>
      </c>
      <c r="G77" s="68">
        <v>1680433.8</v>
      </c>
      <c r="H77" s="68">
        <f t="shared" si="20"/>
        <v>1.6804338E-16</v>
      </c>
      <c r="I77" s="67">
        <f t="shared" si="19"/>
        <v>6.2254214082895798</v>
      </c>
    </row>
    <row r="78" spans="1:10">
      <c r="D78" s="10"/>
      <c r="F78" s="66">
        <v>0.11921406499999999</v>
      </c>
      <c r="G78" s="68">
        <v>1484584.9</v>
      </c>
      <c r="H78" s="68">
        <f t="shared" si="20"/>
        <v>1.4845849E-16</v>
      </c>
      <c r="I78" s="67">
        <f t="shared" si="19"/>
        <v>6.1716050389460024</v>
      </c>
    </row>
    <row r="79" spans="1:10">
      <c r="D79" s="10"/>
      <c r="F79" s="66">
        <v>8.5839929999999995E-2</v>
      </c>
      <c r="G79" s="10">
        <v>1120586.8</v>
      </c>
      <c r="H79" s="68">
        <f t="shared" si="20"/>
        <v>1.1205868000000001E-16</v>
      </c>
      <c r="I79" s="67"/>
    </row>
    <row r="80" spans="1:10" ht="16.5" thickBot="1">
      <c r="D80" s="10"/>
      <c r="F80" s="69">
        <v>5.0872184000000001E-2</v>
      </c>
      <c r="G80" s="51">
        <v>700464.6</v>
      </c>
      <c r="H80" s="59">
        <f t="shared" si="20"/>
        <v>7.0046459999999996E-17</v>
      </c>
      <c r="I80" s="70"/>
    </row>
    <row r="81" spans="29:30">
      <c r="AC81">
        <v>7.2239999999999999E-2</v>
      </c>
      <c r="AD81">
        <f>1/AC81</f>
        <v>13.842746400885936</v>
      </c>
    </row>
  </sheetData>
  <mergeCells count="2">
    <mergeCell ref="A32:C32"/>
    <mergeCell ref="A33:C3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17"/>
  <sheetViews>
    <sheetView zoomScaleNormal="100" workbookViewId="0">
      <selection activeCell="V12" sqref="V12"/>
    </sheetView>
  </sheetViews>
  <sheetFormatPr defaultRowHeight="15.75"/>
  <cols>
    <col min="1" max="1" width="6.375" bestFit="1" customWidth="1"/>
    <col min="2" max="2" width="5.75" bestFit="1" customWidth="1"/>
    <col min="3" max="3" width="8.875" bestFit="1" customWidth="1"/>
    <col min="4" max="4" width="20.75" bestFit="1" customWidth="1"/>
    <col min="5" max="5" width="26" bestFit="1" customWidth="1"/>
    <col min="6" max="6" width="9.875" bestFit="1" customWidth="1"/>
    <col min="7" max="7" width="19.5" bestFit="1" customWidth="1"/>
    <col min="8" max="8" width="13.75" bestFit="1" customWidth="1"/>
    <col min="9" max="11" width="10.75" bestFit="1" customWidth="1"/>
    <col min="12" max="12" width="11.875" bestFit="1" customWidth="1"/>
    <col min="13" max="15" width="17.5" bestFit="1" customWidth="1"/>
    <col min="16" max="16" width="13.625" bestFit="1" customWidth="1"/>
    <col min="17" max="17" width="7.375" bestFit="1" customWidth="1"/>
    <col min="18" max="18" width="14.25" bestFit="1" customWidth="1"/>
    <col min="19" max="23" width="14.25" customWidth="1"/>
    <col min="24" max="24" width="18.375" bestFit="1" customWidth="1"/>
    <col min="25" max="25" width="18.5" bestFit="1" customWidth="1"/>
    <col min="26" max="27" width="11.875" bestFit="1" customWidth="1"/>
    <col min="28" max="28" width="9.375" bestFit="1" customWidth="1"/>
    <col min="29" max="29" width="29.25" bestFit="1" customWidth="1"/>
    <col min="30" max="38" width="11.875" bestFit="1" customWidth="1"/>
    <col min="39" max="39" width="16.375" bestFit="1" customWidth="1"/>
  </cols>
  <sheetData>
    <row r="1" spans="1:40" ht="16.5" thickBot="1">
      <c r="A1" s="359" t="s">
        <v>187</v>
      </c>
      <c r="B1" s="360"/>
      <c r="C1" s="361"/>
      <c r="D1" s="78" t="s">
        <v>109</v>
      </c>
      <c r="E1" s="79">
        <v>5.7142857142857144E-9</v>
      </c>
    </row>
    <row r="2" spans="1:40" ht="16.5" thickBot="1">
      <c r="A2" s="362" t="s">
        <v>225</v>
      </c>
      <c r="B2" s="363"/>
      <c r="C2" s="364"/>
    </row>
    <row r="3" spans="1:40">
      <c r="A3" s="63" t="s">
        <v>0</v>
      </c>
      <c r="B3" s="64" t="s">
        <v>14</v>
      </c>
      <c r="C3" s="64" t="s">
        <v>1</v>
      </c>
      <c r="D3" s="64" t="s">
        <v>2</v>
      </c>
      <c r="E3" s="64" t="s">
        <v>3</v>
      </c>
      <c r="F3" s="64" t="s">
        <v>4</v>
      </c>
      <c r="G3" s="64" t="s">
        <v>13</v>
      </c>
      <c r="H3" s="64" t="s">
        <v>5</v>
      </c>
      <c r="I3" s="64" t="s">
        <v>184</v>
      </c>
      <c r="J3" s="64" t="s">
        <v>185</v>
      </c>
      <c r="K3" s="64" t="s">
        <v>186</v>
      </c>
      <c r="L3" s="80" t="s">
        <v>109</v>
      </c>
      <c r="M3" s="80" t="s">
        <v>226</v>
      </c>
      <c r="N3" s="80" t="s">
        <v>227</v>
      </c>
      <c r="O3" s="80" t="s">
        <v>228</v>
      </c>
      <c r="P3" s="64" t="s">
        <v>231</v>
      </c>
      <c r="Q3" s="64" t="s">
        <v>6</v>
      </c>
      <c r="R3" s="80" t="s">
        <v>232</v>
      </c>
      <c r="S3" s="80" t="s">
        <v>284</v>
      </c>
      <c r="T3" s="80" t="s">
        <v>282</v>
      </c>
      <c r="U3" s="80" t="s">
        <v>279</v>
      </c>
      <c r="V3" s="80" t="s">
        <v>281</v>
      </c>
      <c r="W3" s="80" t="s">
        <v>285</v>
      </c>
      <c r="X3" s="80" t="s">
        <v>233</v>
      </c>
      <c r="Y3" s="80" t="s">
        <v>244</v>
      </c>
      <c r="Z3" s="80" t="s">
        <v>235</v>
      </c>
      <c r="AA3" s="80" t="s">
        <v>242</v>
      </c>
      <c r="AB3" s="81" t="s">
        <v>238</v>
      </c>
      <c r="AC3" s="35" t="s">
        <v>243</v>
      </c>
      <c r="AD3" s="35" t="s">
        <v>236</v>
      </c>
      <c r="AE3" s="80" t="s">
        <v>237</v>
      </c>
      <c r="AF3" s="80" t="s">
        <v>239</v>
      </c>
      <c r="AG3" s="80" t="s">
        <v>240</v>
      </c>
      <c r="AH3" s="82" t="s">
        <v>246</v>
      </c>
      <c r="AI3" s="82" t="s">
        <v>247</v>
      </c>
      <c r="AJ3" s="82" t="s">
        <v>248</v>
      </c>
      <c r="AK3" s="88" t="s">
        <v>249</v>
      </c>
      <c r="AL3" s="89" t="s">
        <v>250</v>
      </c>
      <c r="AM3" s="89" t="s">
        <v>278</v>
      </c>
    </row>
    <row r="4" spans="1:40">
      <c r="A4" s="85"/>
      <c r="B4" s="7"/>
      <c r="C4" s="7"/>
      <c r="D4" s="7"/>
      <c r="E4" s="7"/>
      <c r="F4" s="7"/>
      <c r="G4" s="7"/>
      <c r="H4" s="7"/>
      <c r="I4" s="7" t="s">
        <v>241</v>
      </c>
      <c r="J4" s="7" t="s">
        <v>241</v>
      </c>
      <c r="K4" s="7" t="s">
        <v>241</v>
      </c>
      <c r="L4" s="7" t="s">
        <v>229</v>
      </c>
      <c r="M4" s="7" t="s">
        <v>108</v>
      </c>
      <c r="N4" s="7" t="s">
        <v>108</v>
      </c>
      <c r="O4" s="7" t="s">
        <v>108</v>
      </c>
      <c r="P4" s="25" t="s">
        <v>230</v>
      </c>
      <c r="Q4" s="7"/>
      <c r="R4" s="25" t="s">
        <v>230</v>
      </c>
      <c r="S4" s="25" t="s">
        <v>283</v>
      </c>
      <c r="T4" s="25" t="s">
        <v>283</v>
      </c>
      <c r="U4" s="25" t="s">
        <v>280</v>
      </c>
      <c r="V4" s="25" t="s">
        <v>280</v>
      </c>
      <c r="W4" s="25" t="s">
        <v>245</v>
      </c>
      <c r="X4" s="25" t="s">
        <v>245</v>
      </c>
      <c r="Y4" s="25" t="s">
        <v>234</v>
      </c>
      <c r="Z4" s="7" t="s">
        <v>108</v>
      </c>
      <c r="AA4" s="7" t="s">
        <v>234</v>
      </c>
      <c r="AB4" s="7" t="s">
        <v>206</v>
      </c>
      <c r="AC4" s="35" t="s">
        <v>234</v>
      </c>
      <c r="AD4" s="35" t="s">
        <v>234</v>
      </c>
      <c r="AE4" s="25" t="s">
        <v>234</v>
      </c>
      <c r="AF4" s="7"/>
      <c r="AG4" s="7"/>
      <c r="AH4" s="85"/>
      <c r="AI4" s="87"/>
      <c r="AJ4" s="83"/>
      <c r="AK4" s="67"/>
    </row>
    <row r="5" spans="1:40">
      <c r="A5" s="66">
        <v>350</v>
      </c>
      <c r="B5" s="10">
        <v>350</v>
      </c>
      <c r="C5" s="10">
        <v>10</v>
      </c>
      <c r="D5" s="10">
        <v>1</v>
      </c>
      <c r="E5" s="10">
        <v>2</v>
      </c>
      <c r="F5" s="10" t="s">
        <v>15</v>
      </c>
      <c r="G5" s="10">
        <v>0</v>
      </c>
      <c r="H5" s="10" t="s">
        <v>83</v>
      </c>
      <c r="I5" s="10">
        <v>1054</v>
      </c>
      <c r="J5" s="10">
        <v>1054</v>
      </c>
      <c r="K5" s="10">
        <v>32</v>
      </c>
      <c r="L5" s="10">
        <v>5.7142857142857144E-9</v>
      </c>
      <c r="M5" s="10">
        <f>I5*L5</f>
        <v>6.0228571428571433E-6</v>
      </c>
      <c r="N5" s="10">
        <f>J5*L5</f>
        <v>6.0228571428571433E-6</v>
      </c>
      <c r="O5" s="10">
        <f>K5*L5</f>
        <v>1.8285714285714286E-7</v>
      </c>
      <c r="P5" s="10">
        <f>M5*N5*O5</f>
        <v>6.6331077784256577E-18</v>
      </c>
      <c r="Q5" s="10">
        <v>7.0000000000000007E-2</v>
      </c>
      <c r="R5" s="10">
        <f>P5*Q5</f>
        <v>4.6431754448979613E-19</v>
      </c>
      <c r="S5" s="10">
        <f>D5+G5</f>
        <v>1</v>
      </c>
      <c r="T5" s="10">
        <f>E5+G5</f>
        <v>2</v>
      </c>
      <c r="U5" s="10">
        <f>2*(2*S5*(3*T5+3*B5)+(3*T5+3*B5)^2)</f>
        <v>2234496</v>
      </c>
      <c r="V5" s="10">
        <f>7*(2*T5*C5+2*C5*B5+2*B5*T5)</f>
        <v>59080</v>
      </c>
      <c r="W5" s="10">
        <f>U5+V5</f>
        <v>2293576</v>
      </c>
      <c r="X5" s="91">
        <v>2331000</v>
      </c>
      <c r="Y5">
        <f>W5*L5^2</f>
        <v>7.4892277551020422E-11</v>
      </c>
      <c r="Z5" s="10">
        <f>R5/Y5</f>
        <v>6.1998053694318408E-9</v>
      </c>
      <c r="AA5" s="10">
        <f>Z5^2</f>
        <v>3.8437586618835884E-17</v>
      </c>
      <c r="AB5" s="16">
        <v>1000</v>
      </c>
      <c r="AC5" s="35">
        <f>Q5*AA5/AB5</f>
        <v>2.6906310633185122E-21</v>
      </c>
      <c r="AD5" s="35">
        <v>1.0244375510204081E-20</v>
      </c>
      <c r="AE5" s="10">
        <v>4.0080653061224492E-19</v>
      </c>
      <c r="AF5" s="10">
        <v>2.1</v>
      </c>
      <c r="AG5" s="10">
        <v>1.6594464603289432</v>
      </c>
      <c r="AH5" s="66">
        <f>Q5*AA5/AD5</f>
        <v>262.64471276345387</v>
      </c>
      <c r="AI5" s="83">
        <f>Q5*AA5/AE5</f>
        <v>6.7130419736636684</v>
      </c>
      <c r="AJ5" s="83">
        <f>AH5/(AF5^2)</f>
        <v>59.55662420939997</v>
      </c>
      <c r="AK5" s="67">
        <f>AI5/AG5^2</f>
        <v>2.4377708100541895</v>
      </c>
      <c r="AL5">
        <f>Q5*AA5</f>
        <v>2.6906310633185122E-18</v>
      </c>
      <c r="AM5">
        <f>(AD5-AC5)^2</f>
        <v>5.705905516885458E-41</v>
      </c>
      <c r="AN5">
        <f>RSQ(AD5:AD13,AC5:AC13)</f>
        <v>0.96757900775131978</v>
      </c>
    </row>
    <row r="6" spans="1:40">
      <c r="A6" s="66">
        <v>350</v>
      </c>
      <c r="B6" s="10">
        <v>350</v>
      </c>
      <c r="C6" s="10">
        <v>10</v>
      </c>
      <c r="D6" s="10">
        <v>1</v>
      </c>
      <c r="E6" s="10">
        <v>2</v>
      </c>
      <c r="F6" s="10" t="s">
        <v>20</v>
      </c>
      <c r="G6" s="10">
        <v>2</v>
      </c>
      <c r="H6" s="10" t="s">
        <v>84</v>
      </c>
      <c r="I6" s="10">
        <v>1058</v>
      </c>
      <c r="J6" s="10">
        <v>1058</v>
      </c>
      <c r="K6" s="10">
        <v>36</v>
      </c>
      <c r="L6" s="10">
        <v>5.7142857142857144E-9</v>
      </c>
      <c r="M6" s="10">
        <f t="shared" ref="M6:M13" si="0">I6*L6</f>
        <v>6.0457142857142855E-6</v>
      </c>
      <c r="N6" s="10">
        <f t="shared" ref="N6:N13" si="1">J6*L6</f>
        <v>6.0457142857142855E-6</v>
      </c>
      <c r="O6" s="10">
        <f t="shared" ref="O6:O13" si="2">K6*L6</f>
        <v>2.0571428571428572E-7</v>
      </c>
      <c r="P6" s="10">
        <f t="shared" ref="P6:P13" si="3">M6*N6*O6</f>
        <v>7.5189931661807574E-18</v>
      </c>
      <c r="Q6" s="10">
        <v>0.18099999999999999</v>
      </c>
      <c r="R6" s="10">
        <f t="shared" ref="R6:R13" si="4">P6*Q6</f>
        <v>1.360937763078717E-18</v>
      </c>
      <c r="S6" s="10">
        <f t="shared" ref="S6:S13" si="5">D6+G6</f>
        <v>3</v>
      </c>
      <c r="T6" s="10">
        <f t="shared" ref="T6:T13" si="6">E6+G6</f>
        <v>4</v>
      </c>
      <c r="U6" s="10">
        <f t="shared" ref="U6:U13" si="7">2*(2*S6*(3*T6+3*B6)+(3*T6+3*B6)^2)</f>
        <v>2268432</v>
      </c>
      <c r="V6" s="10">
        <f t="shared" ref="V6:V13" si="8">7*(2*T6*C6+2*C6*B6+2*B6*T6)</f>
        <v>69160</v>
      </c>
      <c r="W6" s="10">
        <f t="shared" ref="W6:W13" si="9">U6+V6</f>
        <v>2337592</v>
      </c>
      <c r="X6" s="91">
        <v>2331000</v>
      </c>
      <c r="Y6">
        <f t="shared" ref="Y6:Y13" si="10">W6*L6^2</f>
        <v>7.6329534693877561E-11</v>
      </c>
      <c r="Z6" s="10">
        <f t="shared" ref="Z6:Z13" si="11">R6/Y6</f>
        <v>1.7829766269856203E-8</v>
      </c>
      <c r="AA6" s="10">
        <f t="shared" ref="AA6:AA13" si="12">Z6^2</f>
        <v>3.1790056523770198E-16</v>
      </c>
      <c r="AB6" s="16">
        <v>1000</v>
      </c>
      <c r="AC6" s="35">
        <f t="shared" ref="AC6:AC13" si="13">Q6*AA6/AB6</f>
        <v>5.7540002308024061E-20</v>
      </c>
      <c r="AD6" s="35">
        <v>1.2909844897959183E-19</v>
      </c>
      <c r="AE6" s="10">
        <v>5.0094040816326531E-18</v>
      </c>
      <c r="AF6" s="10">
        <v>2.0699999999999998</v>
      </c>
      <c r="AG6" s="10">
        <v>1.6142281214639009</v>
      </c>
      <c r="AH6" s="66">
        <f t="shared" ref="AH6:AH13" si="14">Q6*AA6/AD6</f>
        <v>445.70637961049488</v>
      </c>
      <c r="AI6" s="83">
        <f t="shared" ref="AI6:AI13" si="15">Q6*AA6/AE6</f>
        <v>11.486396659235115</v>
      </c>
      <c r="AJ6" s="83">
        <f t="shared" ref="AJ6:AK13" si="16">AH6/AF6^2</f>
        <v>104.01791864699175</v>
      </c>
      <c r="AK6" s="67">
        <f t="shared" si="16"/>
        <v>4.4081259208570795</v>
      </c>
      <c r="AL6">
        <f t="shared" ref="AL6:AL13" si="17">Q6*AA6</f>
        <v>5.7540002308024061E-17</v>
      </c>
      <c r="AM6">
        <f t="shared" ref="AM6:AM13" si="18">(AD6-AC6)^2</f>
        <v>5.1206112900476081E-39</v>
      </c>
    </row>
    <row r="7" spans="1:40">
      <c r="A7" s="66">
        <v>350</v>
      </c>
      <c r="B7" s="10">
        <v>350</v>
      </c>
      <c r="C7" s="10">
        <v>10</v>
      </c>
      <c r="D7" s="10">
        <v>1</v>
      </c>
      <c r="E7" s="10">
        <v>2</v>
      </c>
      <c r="F7" s="10" t="s">
        <v>20</v>
      </c>
      <c r="G7" s="10">
        <v>4</v>
      </c>
      <c r="H7" s="10" t="s">
        <v>85</v>
      </c>
      <c r="I7" s="10">
        <v>1062</v>
      </c>
      <c r="J7" s="10">
        <v>1062</v>
      </c>
      <c r="K7" s="10">
        <v>40</v>
      </c>
      <c r="L7" s="10">
        <v>5.7142857142857144E-9</v>
      </c>
      <c r="M7" s="10">
        <f t="shared" si="0"/>
        <v>6.0685714285714287E-6</v>
      </c>
      <c r="N7" s="10">
        <f t="shared" si="1"/>
        <v>6.0685714285714287E-6</v>
      </c>
      <c r="O7" s="10">
        <f t="shared" si="2"/>
        <v>2.2857142857142858E-7</v>
      </c>
      <c r="P7" s="10">
        <f t="shared" si="3"/>
        <v>8.417727813411078E-18</v>
      </c>
      <c r="Q7" s="10">
        <v>0.26900000000000002</v>
      </c>
      <c r="R7" s="10">
        <f t="shared" si="4"/>
        <v>2.26436878180758E-18</v>
      </c>
      <c r="S7" s="10">
        <f t="shared" si="5"/>
        <v>5</v>
      </c>
      <c r="T7" s="10">
        <f t="shared" si="6"/>
        <v>6</v>
      </c>
      <c r="U7" s="10">
        <f t="shared" si="7"/>
        <v>2302608</v>
      </c>
      <c r="V7" s="10">
        <f t="shared" si="8"/>
        <v>79240</v>
      </c>
      <c r="W7" s="10">
        <f t="shared" si="9"/>
        <v>2381848</v>
      </c>
      <c r="X7" s="91">
        <v>2331000</v>
      </c>
      <c r="Y7">
        <f t="shared" si="10"/>
        <v>7.7774628571428584E-11</v>
      </c>
      <c r="Z7" s="10">
        <f t="shared" si="11"/>
        <v>2.9114491748783769E-8</v>
      </c>
      <c r="AA7" s="10">
        <f t="shared" si="12"/>
        <v>8.4765362978999814E-16</v>
      </c>
      <c r="AB7" s="16">
        <v>1000</v>
      </c>
      <c r="AC7" s="35">
        <f t="shared" si="13"/>
        <v>2.2801882641350954E-19</v>
      </c>
      <c r="AD7" s="35">
        <v>5.435004081632652E-19</v>
      </c>
      <c r="AE7" s="10">
        <v>1.9349746938775508E-17</v>
      </c>
      <c r="AF7" s="10">
        <v>2.0499999999999998</v>
      </c>
      <c r="AG7" s="10">
        <v>1.6074559725049464</v>
      </c>
      <c r="AH7" s="66">
        <f t="shared" si="14"/>
        <v>419.53754401783937</v>
      </c>
      <c r="AI7" s="83">
        <f t="shared" si="15"/>
        <v>11.784072790976719</v>
      </c>
      <c r="AJ7" s="83">
        <f t="shared" si="16"/>
        <v>99.830468534881476</v>
      </c>
      <c r="AK7" s="67">
        <f t="shared" si="16"/>
        <v>4.5605502282347237</v>
      </c>
      <c r="AL7">
        <f t="shared" si="17"/>
        <v>2.2801882641350954E-16</v>
      </c>
      <c r="AM7">
        <f t="shared" si="18"/>
        <v>9.9528628423327774E-38</v>
      </c>
    </row>
    <row r="8" spans="1:40">
      <c r="A8" s="66">
        <v>350</v>
      </c>
      <c r="B8" s="10">
        <v>350</v>
      </c>
      <c r="C8" s="10">
        <v>10</v>
      </c>
      <c r="D8" s="10">
        <v>1</v>
      </c>
      <c r="E8" s="10">
        <v>2</v>
      </c>
      <c r="F8" s="10" t="s">
        <v>20</v>
      </c>
      <c r="G8" s="10">
        <v>6</v>
      </c>
      <c r="H8" s="10" t="s">
        <v>86</v>
      </c>
      <c r="I8" s="10">
        <v>1066</v>
      </c>
      <c r="J8" s="10">
        <v>1066</v>
      </c>
      <c r="K8" s="10">
        <v>44</v>
      </c>
      <c r="L8" s="10">
        <v>5.7142857142857144E-9</v>
      </c>
      <c r="M8" s="10">
        <f t="shared" si="0"/>
        <v>6.0914285714285718E-6</v>
      </c>
      <c r="N8" s="10">
        <f t="shared" si="1"/>
        <v>6.0914285714285718E-6</v>
      </c>
      <c r="O8" s="10">
        <f t="shared" si="2"/>
        <v>2.5142857142857143E-7</v>
      </c>
      <c r="P8" s="10">
        <f t="shared" si="3"/>
        <v>9.3293833702623919E-18</v>
      </c>
      <c r="Q8" s="10">
        <v>0.34100000000000003</v>
      </c>
      <c r="R8" s="10">
        <f t="shared" si="4"/>
        <v>3.1813197292594757E-18</v>
      </c>
      <c r="S8" s="10">
        <f t="shared" si="5"/>
        <v>7</v>
      </c>
      <c r="T8" s="10">
        <f t="shared" si="6"/>
        <v>8</v>
      </c>
      <c r="U8" s="10">
        <f t="shared" si="7"/>
        <v>2337024</v>
      </c>
      <c r="V8" s="10">
        <f t="shared" si="8"/>
        <v>89320</v>
      </c>
      <c r="W8" s="10">
        <f t="shared" si="9"/>
        <v>2426344</v>
      </c>
      <c r="X8" s="91">
        <v>2331000</v>
      </c>
      <c r="Y8">
        <f t="shared" si="10"/>
        <v>7.9227559183673478E-11</v>
      </c>
      <c r="Z8" s="10">
        <f t="shared" si="11"/>
        <v>4.0154205961138006E-8</v>
      </c>
      <c r="AA8" s="10">
        <f t="shared" si="12"/>
        <v>1.6123602563694909E-15</v>
      </c>
      <c r="AB8" s="16">
        <v>1000</v>
      </c>
      <c r="AC8" s="35">
        <f t="shared" si="13"/>
        <v>5.498148474219964E-19</v>
      </c>
      <c r="AD8" s="35">
        <v>1.481054693877551E-18</v>
      </c>
      <c r="AE8" s="10">
        <v>4.7366530612244892E-17</v>
      </c>
      <c r="AF8" s="10">
        <v>2.0499999999999998</v>
      </c>
      <c r="AG8" s="10">
        <v>1.6123714466112151</v>
      </c>
      <c r="AH8" s="66">
        <f t="shared" si="14"/>
        <v>371.23196712102879</v>
      </c>
      <c r="AI8" s="83">
        <f t="shared" si="15"/>
        <v>11.607665588238413</v>
      </c>
      <c r="AJ8" s="83">
        <f t="shared" si="16"/>
        <v>88.335982658186509</v>
      </c>
      <c r="AK8" s="67">
        <f t="shared" si="16"/>
        <v>4.464930369540042</v>
      </c>
      <c r="AL8">
        <f t="shared" si="17"/>
        <v>5.4981484742199642E-16</v>
      </c>
      <c r="AM8">
        <f t="shared" si="18"/>
        <v>8.6720765162656521E-37</v>
      </c>
    </row>
    <row r="9" spans="1:40">
      <c r="A9" s="66">
        <v>350</v>
      </c>
      <c r="B9" s="10">
        <v>350</v>
      </c>
      <c r="C9" s="10">
        <v>10</v>
      </c>
      <c r="D9" s="10">
        <v>1</v>
      </c>
      <c r="E9" s="10">
        <v>2</v>
      </c>
      <c r="F9" s="10" t="s">
        <v>20</v>
      </c>
      <c r="G9" s="10">
        <v>8</v>
      </c>
      <c r="H9" s="10" t="s">
        <v>87</v>
      </c>
      <c r="I9" s="10">
        <v>1070</v>
      </c>
      <c r="J9" s="10">
        <v>1070</v>
      </c>
      <c r="K9" s="10">
        <v>48</v>
      </c>
      <c r="L9" s="10">
        <v>5.7142857142857144E-9</v>
      </c>
      <c r="M9" s="10">
        <f t="shared" si="0"/>
        <v>6.1142857142857141E-6</v>
      </c>
      <c r="N9" s="10">
        <f t="shared" si="1"/>
        <v>6.1142857142857141E-6</v>
      </c>
      <c r="O9" s="10">
        <f t="shared" si="2"/>
        <v>2.7428571428571429E-7</v>
      </c>
      <c r="P9" s="10">
        <f t="shared" si="3"/>
        <v>1.0254031486880467E-17</v>
      </c>
      <c r="Q9" s="10">
        <v>0.40100000000000002</v>
      </c>
      <c r="R9" s="10">
        <f t="shared" si="4"/>
        <v>4.1118666262390678E-18</v>
      </c>
      <c r="S9" s="10">
        <f t="shared" si="5"/>
        <v>9</v>
      </c>
      <c r="T9" s="10">
        <f t="shared" si="6"/>
        <v>10</v>
      </c>
      <c r="U9" s="10">
        <f t="shared" si="7"/>
        <v>2371680</v>
      </c>
      <c r="V9" s="10">
        <f t="shared" si="8"/>
        <v>99400</v>
      </c>
      <c r="W9" s="10">
        <f t="shared" si="9"/>
        <v>2471080</v>
      </c>
      <c r="X9" s="91">
        <v>2331000</v>
      </c>
      <c r="Y9">
        <f t="shared" si="10"/>
        <v>8.0688326530612256E-11</v>
      </c>
      <c r="Z9" s="10">
        <f t="shared" si="11"/>
        <v>5.0959869946975181E-8</v>
      </c>
      <c r="AA9" s="10">
        <f t="shared" si="12"/>
        <v>2.5969083450126243E-15</v>
      </c>
      <c r="AB9" s="16">
        <v>1000</v>
      </c>
      <c r="AC9" s="35">
        <f t="shared" si="13"/>
        <v>1.0413602463500624E-18</v>
      </c>
      <c r="AD9" s="35">
        <v>3.2036114285714286E-18</v>
      </c>
      <c r="AE9" s="10">
        <v>9.1849142857142857E-17</v>
      </c>
      <c r="AF9" s="10">
        <v>2.0439925854922039</v>
      </c>
      <c r="AG9" s="10">
        <v>1.6215256078742062</v>
      </c>
      <c r="AH9" s="66">
        <f t="shared" si="14"/>
        <v>325.05822555840717</v>
      </c>
      <c r="AI9" s="83">
        <f t="shared" si="15"/>
        <v>11.337724163302616</v>
      </c>
      <c r="AJ9" s="83">
        <f t="shared" si="16"/>
        <v>77.804108017968275</v>
      </c>
      <c r="AK9" s="67">
        <f t="shared" si="16"/>
        <v>4.3119951480978544</v>
      </c>
      <c r="AL9">
        <f t="shared" si="17"/>
        <v>1.0413602463500624E-15</v>
      </c>
      <c r="AM9">
        <f t="shared" si="18"/>
        <v>4.6753301750176952E-36</v>
      </c>
    </row>
    <row r="10" spans="1:40">
      <c r="A10" s="66">
        <v>350</v>
      </c>
      <c r="B10" s="10">
        <v>350</v>
      </c>
      <c r="C10" s="10">
        <v>10</v>
      </c>
      <c r="D10" s="10">
        <v>1</v>
      </c>
      <c r="E10" s="10">
        <v>2</v>
      </c>
      <c r="F10" s="10" t="s">
        <v>20</v>
      </c>
      <c r="G10" s="10">
        <v>12</v>
      </c>
      <c r="H10" s="10" t="s">
        <v>88</v>
      </c>
      <c r="I10" s="10">
        <v>1078</v>
      </c>
      <c r="J10" s="10">
        <v>1078</v>
      </c>
      <c r="K10" s="10">
        <v>56</v>
      </c>
      <c r="L10" s="10">
        <v>5.7142857142857144E-9</v>
      </c>
      <c r="M10" s="10">
        <f t="shared" si="0"/>
        <v>6.1600000000000003E-6</v>
      </c>
      <c r="N10" s="10">
        <f t="shared" si="1"/>
        <v>6.1600000000000003E-6</v>
      </c>
      <c r="O10" s="10">
        <f t="shared" si="2"/>
        <v>3.2000000000000001E-7</v>
      </c>
      <c r="P10" s="10">
        <f t="shared" si="3"/>
        <v>1.2142592000000001E-17</v>
      </c>
      <c r="Q10" s="10">
        <v>0.496</v>
      </c>
      <c r="R10" s="10">
        <f t="shared" si="4"/>
        <v>6.0227256320000007E-18</v>
      </c>
      <c r="S10" s="10">
        <f t="shared" si="5"/>
        <v>13</v>
      </c>
      <c r="T10" s="10">
        <f t="shared" si="6"/>
        <v>14</v>
      </c>
      <c r="U10" s="10">
        <f t="shared" si="7"/>
        <v>2441712</v>
      </c>
      <c r="V10" s="10">
        <f t="shared" si="8"/>
        <v>119560</v>
      </c>
      <c r="W10" s="10">
        <f t="shared" si="9"/>
        <v>2561272</v>
      </c>
      <c r="X10" s="91">
        <v>2331000</v>
      </c>
      <c r="Y10">
        <f t="shared" si="10"/>
        <v>8.3633371428571439E-11</v>
      </c>
      <c r="Z10" s="10">
        <f t="shared" si="11"/>
        <v>7.201342632879288E-8</v>
      </c>
      <c r="AA10" s="10">
        <f t="shared" si="12"/>
        <v>5.1859335716124794E-15</v>
      </c>
      <c r="AB10" s="16">
        <v>1000</v>
      </c>
      <c r="AC10" s="35">
        <f t="shared" si="13"/>
        <v>2.5722230515197901E-18</v>
      </c>
      <c r="AD10" s="35">
        <v>1.0194612244897959E-17</v>
      </c>
      <c r="AE10" s="10">
        <v>2.3805126530612247E-16</v>
      </c>
      <c r="AF10" s="10">
        <v>1.9606052666577154</v>
      </c>
      <c r="AG10" s="10">
        <v>1.6441537500836756</v>
      </c>
      <c r="AH10" s="66">
        <f t="shared" si="14"/>
        <v>252.31200458919818</v>
      </c>
      <c r="AI10" s="83">
        <f t="shared" si="15"/>
        <v>10.805332406916783</v>
      </c>
      <c r="AJ10" s="83">
        <f t="shared" si="16"/>
        <v>65.638339245560772</v>
      </c>
      <c r="AK10" s="67">
        <f t="shared" si="16"/>
        <v>3.9971760537903034</v>
      </c>
      <c r="AL10">
        <f t="shared" si="17"/>
        <v>2.5722230515197899E-15</v>
      </c>
      <c r="AM10">
        <f t="shared" si="18"/>
        <v>5.8100817015328304E-35</v>
      </c>
    </row>
    <row r="11" spans="1:40">
      <c r="A11" s="66">
        <v>350</v>
      </c>
      <c r="B11" s="10">
        <v>350</v>
      </c>
      <c r="C11" s="10">
        <v>10</v>
      </c>
      <c r="D11" s="10">
        <v>1</v>
      </c>
      <c r="E11" s="10">
        <v>2</v>
      </c>
      <c r="F11" s="10" t="s">
        <v>20</v>
      </c>
      <c r="G11" s="10">
        <v>16</v>
      </c>
      <c r="H11" s="10" t="s">
        <v>89</v>
      </c>
      <c r="I11" s="10">
        <v>1086</v>
      </c>
      <c r="J11" s="10">
        <v>1086</v>
      </c>
      <c r="K11" s="10">
        <v>64</v>
      </c>
      <c r="L11" s="10">
        <v>5.7142857142857144E-9</v>
      </c>
      <c r="M11" s="10">
        <f t="shared" si="0"/>
        <v>6.2057142857142857E-6</v>
      </c>
      <c r="N11" s="10">
        <f t="shared" si="1"/>
        <v>6.2057142857142857E-6</v>
      </c>
      <c r="O11" s="10">
        <f t="shared" si="2"/>
        <v>3.6571428571428572E-7</v>
      </c>
      <c r="P11" s="10">
        <f t="shared" si="3"/>
        <v>1.4083982553935862E-17</v>
      </c>
      <c r="Q11" s="10">
        <v>0.56599999999999995</v>
      </c>
      <c r="R11" s="10">
        <f t="shared" si="4"/>
        <v>7.9715341255276979E-18</v>
      </c>
      <c r="S11" s="10">
        <f t="shared" si="5"/>
        <v>17</v>
      </c>
      <c r="T11" s="10">
        <f t="shared" si="6"/>
        <v>18</v>
      </c>
      <c r="U11" s="10">
        <f t="shared" si="7"/>
        <v>2512704</v>
      </c>
      <c r="V11" s="10">
        <f t="shared" si="8"/>
        <v>139720</v>
      </c>
      <c r="W11" s="10">
        <f t="shared" si="9"/>
        <v>2652424</v>
      </c>
      <c r="X11" s="91">
        <v>2331000</v>
      </c>
      <c r="Y11">
        <f t="shared" si="10"/>
        <v>8.6609763265306133E-11</v>
      </c>
      <c r="Z11" s="10">
        <f t="shared" si="11"/>
        <v>9.2039671106235554E-8</v>
      </c>
      <c r="AA11" s="10">
        <f t="shared" si="12"/>
        <v>8.4713010573440126E-15</v>
      </c>
      <c r="AB11" s="16">
        <v>1000</v>
      </c>
      <c r="AC11" s="35">
        <f t="shared" si="13"/>
        <v>4.7947563984567109E-18</v>
      </c>
      <c r="AD11" s="35">
        <v>2.4155591836734693E-17</v>
      </c>
      <c r="AE11" s="10">
        <v>4.6989061224489798E-16</v>
      </c>
      <c r="AF11" s="10">
        <v>1.8845604953702433</v>
      </c>
      <c r="AG11" s="10">
        <v>1.6684818445891585</v>
      </c>
      <c r="AH11" s="66">
        <f t="shared" si="14"/>
        <v>198.49467696192275</v>
      </c>
      <c r="AI11" s="83">
        <f t="shared" si="15"/>
        <v>10.203984232734099</v>
      </c>
      <c r="AJ11" s="83">
        <f t="shared" si="16"/>
        <v>55.889303651518077</v>
      </c>
      <c r="AK11" s="67">
        <f t="shared" si="16"/>
        <v>3.6654458523380695</v>
      </c>
      <c r="AL11">
        <f t="shared" si="17"/>
        <v>4.7947563984567109E-15</v>
      </c>
      <c r="AM11">
        <f t="shared" si="18"/>
        <v>3.7484194886808059E-34</v>
      </c>
    </row>
    <row r="12" spans="1:40">
      <c r="A12" s="66">
        <v>350</v>
      </c>
      <c r="B12" s="10">
        <v>350</v>
      </c>
      <c r="C12" s="10">
        <v>10</v>
      </c>
      <c r="D12" s="10">
        <v>1</v>
      </c>
      <c r="E12" s="10">
        <v>2</v>
      </c>
      <c r="F12" s="10" t="s">
        <v>20</v>
      </c>
      <c r="G12" s="10">
        <v>22</v>
      </c>
      <c r="H12" s="10" t="s">
        <v>91</v>
      </c>
      <c r="I12" s="10">
        <v>1098</v>
      </c>
      <c r="J12" s="10">
        <v>1098</v>
      </c>
      <c r="K12" s="10">
        <v>76</v>
      </c>
      <c r="L12" s="10">
        <v>5.7142857142857144E-9</v>
      </c>
      <c r="M12" s="10">
        <f t="shared" si="0"/>
        <v>6.2742857142857142E-6</v>
      </c>
      <c r="N12" s="10">
        <f t="shared" si="1"/>
        <v>6.2742857142857142E-6</v>
      </c>
      <c r="O12" s="10">
        <f t="shared" si="2"/>
        <v>4.3428571428571429E-7</v>
      </c>
      <c r="P12" s="10">
        <f t="shared" si="3"/>
        <v>1.7096378588921282E-17</v>
      </c>
      <c r="Q12" s="10">
        <v>0.64400000000000002</v>
      </c>
      <c r="R12" s="10">
        <f t="shared" si="4"/>
        <v>1.1010067811265306E-17</v>
      </c>
      <c r="S12" s="10">
        <f t="shared" si="5"/>
        <v>23</v>
      </c>
      <c r="T12" s="10">
        <f t="shared" si="6"/>
        <v>24</v>
      </c>
      <c r="U12" s="10">
        <f t="shared" si="7"/>
        <v>2620992</v>
      </c>
      <c r="V12" s="10">
        <f t="shared" si="8"/>
        <v>169960</v>
      </c>
      <c r="W12" s="10">
        <f t="shared" si="9"/>
        <v>2790952</v>
      </c>
      <c r="X12" s="91">
        <v>2331000</v>
      </c>
      <c r="Y12">
        <f t="shared" si="10"/>
        <v>9.1133126530612253E-11</v>
      </c>
      <c r="Z12" s="10">
        <f t="shared" si="11"/>
        <v>1.2081301531520427E-7</v>
      </c>
      <c r="AA12" s="10">
        <f t="shared" si="12"/>
        <v>1.4595784669551781E-14</v>
      </c>
      <c r="AB12" s="16">
        <v>1000</v>
      </c>
      <c r="AC12" s="35">
        <f t="shared" si="13"/>
        <v>9.3996853271913469E-18</v>
      </c>
      <c r="AD12" s="35">
        <v>6.4677877551020415E-17</v>
      </c>
      <c r="AE12" s="10">
        <v>9.9571591836734712E-16</v>
      </c>
      <c r="AF12" s="10">
        <v>1.7932237526435097</v>
      </c>
      <c r="AG12" s="10">
        <v>1.703722120561296</v>
      </c>
      <c r="AH12" s="66">
        <f t="shared" si="14"/>
        <v>145.33076351765735</v>
      </c>
      <c r="AI12" s="83">
        <f t="shared" si="15"/>
        <v>9.440127604471563</v>
      </c>
      <c r="AJ12" s="83">
        <f t="shared" si="16"/>
        <v>45.194812564374814</v>
      </c>
      <c r="AK12" s="67">
        <f t="shared" si="16"/>
        <v>3.2522231766822096</v>
      </c>
      <c r="AL12">
        <f t="shared" si="17"/>
        <v>9.3996853271913471E-15</v>
      </c>
      <c r="AM12">
        <f t="shared" si="18"/>
        <v>3.0556785355345962E-33</v>
      </c>
    </row>
    <row r="13" spans="1:40" ht="16.5" thickBot="1">
      <c r="A13" s="69">
        <v>350</v>
      </c>
      <c r="B13" s="51">
        <v>350</v>
      </c>
      <c r="C13" s="51">
        <v>10</v>
      </c>
      <c r="D13" s="51">
        <v>1</v>
      </c>
      <c r="E13" s="51">
        <v>2</v>
      </c>
      <c r="F13" s="51" t="s">
        <v>20</v>
      </c>
      <c r="G13" s="51">
        <v>30</v>
      </c>
      <c r="H13" s="51" t="s">
        <v>90</v>
      </c>
      <c r="I13" s="51">
        <v>1114</v>
      </c>
      <c r="J13" s="51">
        <v>1114</v>
      </c>
      <c r="K13" s="51">
        <v>92</v>
      </c>
      <c r="L13" s="51">
        <v>5.7142857142857144E-9</v>
      </c>
      <c r="M13" s="51">
        <f t="shared" si="0"/>
        <v>6.3657142857142859E-6</v>
      </c>
      <c r="N13" s="51">
        <f t="shared" si="1"/>
        <v>6.3657142857142859E-6</v>
      </c>
      <c r="O13" s="51">
        <f t="shared" si="2"/>
        <v>5.2571428571428567E-7</v>
      </c>
      <c r="P13" s="51">
        <f t="shared" si="3"/>
        <v>2.1303161655976677E-17</v>
      </c>
      <c r="Q13" s="51">
        <v>0.71599999999999997</v>
      </c>
      <c r="R13" s="7">
        <f t="shared" si="4"/>
        <v>1.5253063745679299E-17</v>
      </c>
      <c r="S13" s="10">
        <f t="shared" si="5"/>
        <v>31</v>
      </c>
      <c r="T13" s="10">
        <f t="shared" si="6"/>
        <v>32</v>
      </c>
      <c r="U13" s="10">
        <f t="shared" si="7"/>
        <v>2768736</v>
      </c>
      <c r="V13" s="10">
        <f t="shared" si="8"/>
        <v>210280</v>
      </c>
      <c r="W13" s="10">
        <f t="shared" si="9"/>
        <v>2979016</v>
      </c>
      <c r="X13" s="92">
        <v>2331000</v>
      </c>
      <c r="Y13">
        <f t="shared" si="10"/>
        <v>9.7273991836734704E-11</v>
      </c>
      <c r="Z13" s="10">
        <f t="shared" si="11"/>
        <v>1.5680515888851503E-7</v>
      </c>
      <c r="AA13" s="10">
        <f t="shared" si="12"/>
        <v>2.4587857854052446E-14</v>
      </c>
      <c r="AB13" s="16">
        <v>1000</v>
      </c>
      <c r="AC13" s="35">
        <f t="shared" si="13"/>
        <v>1.7604906223501552E-17</v>
      </c>
      <c r="AD13" s="35">
        <v>1.7238791836734695E-16</v>
      </c>
      <c r="AE13" s="7">
        <v>2.0600522448979589E-15</v>
      </c>
      <c r="AF13" s="7">
        <v>1.7056621389267095</v>
      </c>
      <c r="AG13" s="7">
        <v>1.7457128817626324</v>
      </c>
      <c r="AH13" s="69">
        <f t="shared" si="14"/>
        <v>102.12378216660572</v>
      </c>
      <c r="AI13" s="84">
        <f t="shared" si="15"/>
        <v>8.5458542457371411</v>
      </c>
      <c r="AJ13" s="84">
        <f t="shared" si="16"/>
        <v>35.102728234620479</v>
      </c>
      <c r="AK13" s="70">
        <f t="shared" si="16"/>
        <v>2.8042055736049831</v>
      </c>
      <c r="AL13">
        <f t="shared" si="17"/>
        <v>1.7604906223501551E-14</v>
      </c>
      <c r="AM13">
        <f t="shared" si="18"/>
        <v>2.3957780848321792E-32</v>
      </c>
    </row>
    <row r="15" spans="1:40">
      <c r="AG15" s="5" t="s">
        <v>287</v>
      </c>
      <c r="AH15" s="5">
        <f>AVERAGE(AH5:AH13)</f>
        <v>280.27111736740096</v>
      </c>
      <c r="AI15" s="5"/>
      <c r="AJ15" s="5">
        <f>AVERAGE(AJ5:AJ13)</f>
        <v>70.152253973722452</v>
      </c>
      <c r="AK15" s="5"/>
      <c r="AL15" s="5" t="s">
        <v>286</v>
      </c>
      <c r="AM15" s="5">
        <f>SQRT(SUM(AM5:AM13)/8)</f>
        <v>5.8579059178456863E-17</v>
      </c>
    </row>
    <row r="16" spans="1:40">
      <c r="AJ16">
        <f>MEDIAN(AJ5:AJ13)</f>
        <v>65.638339245560772</v>
      </c>
    </row>
    <row r="17" spans="36:36">
      <c r="AJ17">
        <f>AVERAGE(AJ6:AJ13)</f>
        <v>71.476707694262771</v>
      </c>
    </row>
  </sheetData>
  <mergeCells count="2">
    <mergeCell ref="A1:C1"/>
    <mergeCell ref="A2:C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E30"/>
  <sheetViews>
    <sheetView topLeftCell="AX1" workbookViewId="0">
      <selection activeCell="BC23" sqref="BC23"/>
    </sheetView>
  </sheetViews>
  <sheetFormatPr defaultRowHeight="15.75"/>
  <cols>
    <col min="1" max="1" width="7.125" bestFit="1" customWidth="1"/>
    <col min="2" max="2" width="6.5" bestFit="1" customWidth="1"/>
    <col min="3" max="3" width="9.625" bestFit="1" customWidth="1"/>
    <col min="4" max="4" width="22.75" bestFit="1" customWidth="1"/>
    <col min="5" max="5" width="28.625" bestFit="1" customWidth="1"/>
    <col min="6" max="6" width="9.875" bestFit="1" customWidth="1"/>
    <col min="7" max="7" width="21.5" bestFit="1" customWidth="1"/>
    <col min="8" max="8" width="22.875" bestFit="1" customWidth="1"/>
    <col min="9" max="9" width="13.5" bestFit="1" customWidth="1"/>
    <col min="10" max="10" width="8.375" bestFit="1" customWidth="1"/>
    <col min="11" max="11" width="30.5" bestFit="1" customWidth="1"/>
    <col min="12" max="12" width="19.625" bestFit="1" customWidth="1"/>
    <col min="13" max="13" width="24.625" bestFit="1" customWidth="1"/>
    <col min="14" max="14" width="19.625" bestFit="1" customWidth="1"/>
    <col min="15" max="15" width="24.5" bestFit="1" customWidth="1"/>
    <col min="16" max="16" width="19.5" bestFit="1" customWidth="1"/>
    <col min="17" max="17" width="37.125" bestFit="1" customWidth="1"/>
    <col min="18" max="18" width="11.875" bestFit="1" customWidth="1"/>
    <col min="19" max="19" width="33.25" bestFit="1" customWidth="1"/>
    <col min="20" max="21" width="11.875" bestFit="1" customWidth="1"/>
    <col min="22" max="22" width="17.375" bestFit="1" customWidth="1"/>
    <col min="23" max="23" width="11.875" bestFit="1" customWidth="1"/>
    <col min="24" max="24" width="8.375" bestFit="1" customWidth="1"/>
    <col min="25" max="25" width="24.875" bestFit="1" customWidth="1"/>
    <col min="26" max="26" width="26.875" bestFit="1" customWidth="1"/>
    <col min="27" max="27" width="30.25" bestFit="1" customWidth="1"/>
    <col min="28" max="28" width="20.75" bestFit="1" customWidth="1"/>
    <col min="29" max="29" width="22.25" bestFit="1" customWidth="1"/>
    <col min="30" max="30" width="25" bestFit="1" customWidth="1"/>
    <col min="31" max="31" width="14.75" bestFit="1" customWidth="1"/>
    <col min="32" max="32" width="14.625" bestFit="1" customWidth="1"/>
    <col min="33" max="33" width="11.875" bestFit="1" customWidth="1"/>
    <col min="37" max="37" width="13.625" bestFit="1" customWidth="1"/>
    <col min="41" max="41" width="11.75" bestFit="1" customWidth="1"/>
    <col min="42" max="42" width="12.5" bestFit="1" customWidth="1"/>
    <col min="43" max="43" width="11.875" bestFit="1" customWidth="1"/>
    <col min="44" max="44" width="11.875" customWidth="1"/>
    <col min="45" max="47" width="12.125" bestFit="1" customWidth="1"/>
    <col min="49" max="50" width="11.875" bestFit="1" customWidth="1"/>
    <col min="51" max="51" width="11.875" style="130" customWidth="1"/>
    <col min="52" max="52" width="11.875" customWidth="1"/>
    <col min="54" max="54" width="22.75" style="130" bestFit="1" customWidth="1"/>
    <col min="55" max="55" width="23.25" bestFit="1" customWidth="1"/>
    <col min="56" max="56" width="22.75" style="130" bestFit="1" customWidth="1"/>
    <col min="57" max="57" width="23.25" bestFit="1" customWidth="1"/>
  </cols>
  <sheetData>
    <row r="1" spans="1:57" s="13" customFormat="1" ht="18" thickBot="1">
      <c r="A1" s="100" t="s">
        <v>0</v>
      </c>
      <c r="B1" s="101" t="s">
        <v>14</v>
      </c>
      <c r="C1" s="101" t="s">
        <v>1</v>
      </c>
      <c r="D1" s="101" t="s">
        <v>2</v>
      </c>
      <c r="E1" s="102" t="s">
        <v>3</v>
      </c>
      <c r="F1" s="101" t="s">
        <v>4</v>
      </c>
      <c r="G1" s="101" t="s">
        <v>13</v>
      </c>
      <c r="H1" s="64" t="s">
        <v>253</v>
      </c>
      <c r="I1" s="103" t="s">
        <v>5</v>
      </c>
      <c r="J1" s="104" t="s">
        <v>6</v>
      </c>
      <c r="K1" s="101" t="s">
        <v>19</v>
      </c>
      <c r="L1" s="101" t="s">
        <v>126</v>
      </c>
      <c r="M1" s="105" t="s">
        <v>18</v>
      </c>
      <c r="N1" s="102" t="s">
        <v>127</v>
      </c>
      <c r="O1" s="105" t="s">
        <v>161</v>
      </c>
      <c r="P1" s="102" t="s">
        <v>160</v>
      </c>
      <c r="Q1" s="106" t="s">
        <v>162</v>
      </c>
      <c r="R1" s="102" t="s">
        <v>165</v>
      </c>
      <c r="S1" s="102" t="s">
        <v>163</v>
      </c>
      <c r="T1" s="102" t="s">
        <v>179</v>
      </c>
      <c r="U1" s="101" t="s">
        <v>7</v>
      </c>
      <c r="V1" s="101" t="s">
        <v>8</v>
      </c>
      <c r="W1" s="102" t="s">
        <v>9</v>
      </c>
      <c r="X1" s="106" t="s">
        <v>6</v>
      </c>
      <c r="Y1" s="101" t="s">
        <v>10</v>
      </c>
      <c r="Z1" s="101" t="s">
        <v>183</v>
      </c>
      <c r="AA1" s="102" t="s">
        <v>141</v>
      </c>
      <c r="AB1" s="107" t="s">
        <v>78</v>
      </c>
      <c r="AC1" s="107" t="s">
        <v>182</v>
      </c>
      <c r="AD1" s="102" t="s">
        <v>142</v>
      </c>
      <c r="AE1" s="101" t="s">
        <v>11</v>
      </c>
      <c r="AF1" s="101" t="s">
        <v>164</v>
      </c>
      <c r="AG1" s="108" t="s">
        <v>59</v>
      </c>
      <c r="AH1" s="118" t="s">
        <v>257</v>
      </c>
      <c r="AI1" s="13" t="s">
        <v>254</v>
      </c>
      <c r="AJ1" s="13" t="s">
        <v>255</v>
      </c>
      <c r="AK1" s="117" t="s">
        <v>256</v>
      </c>
      <c r="AL1" s="13" t="s">
        <v>258</v>
      </c>
      <c r="AM1" s="13" t="s">
        <v>259</v>
      </c>
      <c r="AN1" s="13" t="s">
        <v>260</v>
      </c>
      <c r="AO1" s="13" t="s">
        <v>263</v>
      </c>
      <c r="AP1" s="13" t="s">
        <v>262</v>
      </c>
      <c r="AQ1" s="13" t="s">
        <v>261</v>
      </c>
      <c r="AR1" s="118" t="s">
        <v>270</v>
      </c>
      <c r="AS1" s="13" t="s">
        <v>264</v>
      </c>
      <c r="AT1" s="119" t="s">
        <v>266</v>
      </c>
      <c r="AU1" s="121" t="s">
        <v>265</v>
      </c>
      <c r="AV1" s="119" t="s">
        <v>267</v>
      </c>
      <c r="AW1" s="35" t="s">
        <v>268</v>
      </c>
      <c r="AX1" s="123" t="s">
        <v>269</v>
      </c>
      <c r="AY1" s="127" t="s">
        <v>271</v>
      </c>
      <c r="AZ1" s="125" t="s">
        <v>272</v>
      </c>
      <c r="BA1" s="124" t="s">
        <v>236</v>
      </c>
      <c r="BB1" s="131" t="s">
        <v>273</v>
      </c>
      <c r="BC1" s="13" t="s">
        <v>274</v>
      </c>
      <c r="BD1" s="131" t="s">
        <v>276</v>
      </c>
      <c r="BE1" s="13" t="s">
        <v>277</v>
      </c>
    </row>
    <row r="2" spans="1:57" s="10" customFormat="1" ht="16.5" thickTop="1">
      <c r="A2" s="66">
        <v>350</v>
      </c>
      <c r="B2" s="10">
        <v>350</v>
      </c>
      <c r="C2" s="10">
        <v>10</v>
      </c>
      <c r="D2" s="10">
        <v>1</v>
      </c>
      <c r="E2" s="8">
        <v>2</v>
      </c>
      <c r="F2" s="10" t="s">
        <v>15</v>
      </c>
      <c r="G2" s="10">
        <v>0</v>
      </c>
      <c r="H2" s="10">
        <f t="shared" ref="H2:H10" si="0">U2*G2</f>
        <v>0</v>
      </c>
      <c r="I2" s="94" t="s">
        <v>83</v>
      </c>
      <c r="J2" s="97">
        <v>7.0000000000000007E-2</v>
      </c>
      <c r="K2" s="10">
        <v>3.1373399999999997E-4</v>
      </c>
      <c r="L2" s="10">
        <f>3.03613*10^-8</f>
        <v>3.0361299999999999E-8</v>
      </c>
      <c r="M2" s="10">
        <v>1.22747E-2</v>
      </c>
      <c r="N2" s="8">
        <f>3.49706*10^-8</f>
        <v>3.4970600000000001E-8</v>
      </c>
      <c r="O2" s="27">
        <v>1.22747E-2</v>
      </c>
      <c r="P2" s="10">
        <v>3.4970600000000001E-8</v>
      </c>
      <c r="Q2" s="12">
        <v>2.1</v>
      </c>
      <c r="R2" s="9">
        <f t="shared" ref="R2:R10" si="1">LOG10(Q2)</f>
        <v>0.3222192947339193</v>
      </c>
      <c r="S2" s="8">
        <f t="shared" ref="S2:S10" si="2">SQRT(L2^2+N2^2+P2^2)/N2</f>
        <v>1.6594464603289432</v>
      </c>
      <c r="T2" s="8">
        <f t="shared" ref="T2:T10" si="3">M2/K2</f>
        <v>39.124544996716963</v>
      </c>
      <c r="U2" s="10">
        <v>5.7142857142857144E-9</v>
      </c>
      <c r="V2" s="10">
        <v>1000</v>
      </c>
      <c r="W2" s="10">
        <v>1.3605442176870701E-12</v>
      </c>
      <c r="X2" s="10">
        <v>7.0000000000000007E-2</v>
      </c>
      <c r="Y2" s="10">
        <f t="shared" ref="Y2:Y10" si="4">((U2^2)*K2*1000)/(0.9869*(10^-12))</f>
        <v>1.0380358202658914E-5</v>
      </c>
      <c r="Z2" s="10">
        <f t="shared" ref="Z2:Z10" si="5">9.869*10^-16*Y2</f>
        <v>1.0244375510204081E-20</v>
      </c>
      <c r="AA2" s="10">
        <f>LOG10(9.869*10^-16*Y2)</f>
        <v>-19.989514510736544</v>
      </c>
      <c r="AB2" s="33">
        <f t="shared" ref="AB2:AB10" si="6">((U2^2)*M2*1000)/(0.9869*(10^-12))</f>
        <v>4.0612679158196874E-4</v>
      </c>
      <c r="AC2" s="10">
        <f t="shared" ref="AC2:AC10" si="7">9.869*10^-16*AB2</f>
        <v>4.0080653061224492E-19</v>
      </c>
      <c r="AD2" s="10">
        <f>LOG10(9.869*10^-16*AB2)</f>
        <v>-18.397065210829048</v>
      </c>
      <c r="AE2" s="10">
        <v>5.0000000000000001E-4</v>
      </c>
      <c r="AF2" s="10">
        <f t="shared" ref="AF2:AF10" si="8">(AE2*U2^2*V2/W2^2)/10^6</f>
        <v>8.8200000000000625</v>
      </c>
      <c r="AG2" s="67">
        <f t="shared" ref="AG2:AG10" si="9">AB2/Y2</f>
        <v>39.124544996716963</v>
      </c>
      <c r="AH2" s="116">
        <v>1</v>
      </c>
      <c r="AI2" s="10">
        <f>C2/(2*(E2+G2))</f>
        <v>2.5</v>
      </c>
      <c r="AJ2" s="10">
        <v>1</v>
      </c>
      <c r="AK2" s="109">
        <f>2.371-1.62+153.8*J2^4</f>
        <v>0.75469273799999992</v>
      </c>
      <c r="AL2" s="10">
        <f>0.3024+1.687+1.951</f>
        <v>3.9404000000000003</v>
      </c>
      <c r="AM2" s="10">
        <f>J2/(1-J2)</f>
        <v>7.5268817204301092E-2</v>
      </c>
      <c r="AN2" s="116">
        <f>45-10.24*(AL2-AM2)</f>
        <v>5.4210566881720368</v>
      </c>
      <c r="AO2" s="116">
        <f>(SIN(AN2))^2</f>
        <v>0.5764296397914267</v>
      </c>
      <c r="AP2" s="10">
        <f>E2+G2</f>
        <v>2</v>
      </c>
      <c r="AQ2" s="10">
        <f>AP2*U2</f>
        <v>1.1428571428571429E-8</v>
      </c>
      <c r="AR2" s="116">
        <f>AQ2*10^9</f>
        <v>11.428571428571429</v>
      </c>
      <c r="AS2" s="10">
        <f>AH2^3/((1+AH2+AH2^2))^2</f>
        <v>0.1111111111111111</v>
      </c>
      <c r="AT2" s="120">
        <f>(9/8)*J2*AO2*AS2</f>
        <v>5.0437593481749846E-3</v>
      </c>
      <c r="AU2" s="121">
        <f t="shared" ref="AU2:AU10" si="10">AK2^3/((1+AK2+AK2^2))^2</f>
        <v>7.9568906336263637E-2</v>
      </c>
      <c r="AV2" s="120">
        <f>(9/8)*J2*AO2*AU2</f>
        <v>3.6119377364183052E-3</v>
      </c>
      <c r="AW2" s="35">
        <f>(10^-19.21)*(AT2^1.118)*(AR2^1.074)</f>
        <v>2.2801463464022453E-21</v>
      </c>
      <c r="AX2" s="123">
        <f>(10^-19.21)*(AV2^1.118)*(AR2^1.074)</f>
        <v>1.569773366566123E-21</v>
      </c>
      <c r="AY2" s="128">
        <f>(9/8)*10^-18*AO2*AR2^2*AS2</f>
        <v>9.4110961598600289E-18</v>
      </c>
      <c r="AZ2" s="126">
        <f>(9/8)*10^-18*AO2*AR2^2*AU2</f>
        <v>6.7394756597892574E-18</v>
      </c>
      <c r="BA2" s="83">
        <v>1.0244375510204081E-20</v>
      </c>
      <c r="BB2" s="132">
        <f>(BA2-AY2)^2</f>
        <v>8.8376014271313296E-35</v>
      </c>
      <c r="BC2" s="67">
        <f>(BA2-AZ2)^2</f>
        <v>4.5282553677319915E-35</v>
      </c>
      <c r="BD2" s="133">
        <f>RSQ(BA2:BA10,AY2:AY10)</f>
        <v>0.89858558775521902</v>
      </c>
      <c r="BE2" s="10">
        <f>RSQ(BA2:BA10,AZ2:AZ10)</f>
        <v>0.48729346221059788</v>
      </c>
    </row>
    <row r="3" spans="1:57">
      <c r="A3" s="66">
        <v>350</v>
      </c>
      <c r="B3" s="10">
        <v>350</v>
      </c>
      <c r="C3" s="10">
        <v>10</v>
      </c>
      <c r="D3" s="10">
        <v>1</v>
      </c>
      <c r="E3" s="8">
        <v>2</v>
      </c>
      <c r="F3" s="10" t="s">
        <v>20</v>
      </c>
      <c r="G3" s="10">
        <v>2</v>
      </c>
      <c r="H3" s="10">
        <f t="shared" si="0"/>
        <v>1.1428571428571429E-8</v>
      </c>
      <c r="I3" s="94" t="s">
        <v>84</v>
      </c>
      <c r="J3" s="97">
        <v>0.18099999999999999</v>
      </c>
      <c r="K3" s="10">
        <v>3.9536399999999996E-3</v>
      </c>
      <c r="L3" s="10">
        <f>3.38883*10^-7</f>
        <v>3.38883E-7</v>
      </c>
      <c r="M3" s="10">
        <v>0.15341299999999999</v>
      </c>
      <c r="N3" s="8">
        <f>4.35421*10^-7</f>
        <v>4.3542099999999999E-7</v>
      </c>
      <c r="O3" s="27">
        <v>0.15341299999999999</v>
      </c>
      <c r="P3" s="10">
        <v>4.3542099999999999E-7</v>
      </c>
      <c r="Q3" s="12">
        <v>2.0699999999999998</v>
      </c>
      <c r="R3" s="9">
        <f t="shared" si="1"/>
        <v>0.31597034545691771</v>
      </c>
      <c r="S3" s="8">
        <f t="shared" si="2"/>
        <v>1.6142281214639009</v>
      </c>
      <c r="T3" s="8">
        <f t="shared" si="3"/>
        <v>38.802976497607268</v>
      </c>
      <c r="U3" s="10">
        <v>5.7142857142857144E-9</v>
      </c>
      <c r="V3" s="10">
        <v>1000</v>
      </c>
      <c r="W3" s="8">
        <v>1.3605442176870747E-12</v>
      </c>
      <c r="X3" s="12">
        <v>0.18099999999999999</v>
      </c>
      <c r="Y3" s="10">
        <f t="shared" si="4"/>
        <v>1.3081208732353009E-4</v>
      </c>
      <c r="Z3" s="10">
        <f t="shared" si="5"/>
        <v>1.2909844897959183E-19</v>
      </c>
      <c r="AA3" s="8">
        <f t="shared" ref="AA3:AA10" si="11">LOG10(9.869*10^-16*Y3)</f>
        <v>-18.889078975422589</v>
      </c>
      <c r="AB3" s="33">
        <f t="shared" si="6"/>
        <v>5.0758983500178876E-3</v>
      </c>
      <c r="AC3" s="10">
        <f t="shared" si="7"/>
        <v>5.0094040816326531E-18</v>
      </c>
      <c r="AD3" s="8">
        <f t="shared" ref="AD3:AD10" si="12">LOG10(9.869*10^-16*AB3)</f>
        <v>-17.300213934701947</v>
      </c>
      <c r="AE3" s="10">
        <v>5.0000000000000001E-4</v>
      </c>
      <c r="AF3" s="10">
        <f t="shared" si="8"/>
        <v>8.8200000000000021</v>
      </c>
      <c r="AG3" s="67">
        <f t="shared" si="9"/>
        <v>38.802976497607268</v>
      </c>
      <c r="AH3" s="116">
        <v>1</v>
      </c>
      <c r="AI3" s="10">
        <f t="shared" ref="AI3:AI10" si="13">C3/(2*(E3+G3))</f>
        <v>1.25</v>
      </c>
      <c r="AJ3" s="10">
        <v>1</v>
      </c>
      <c r="AK3" s="109">
        <f t="shared" ref="AK3:AK10" si="14">2.371-1.62+153.8*J3^4</f>
        <v>0.91607094400979983</v>
      </c>
      <c r="AL3" s="10">
        <f t="shared" ref="AL3:AL10" si="15">0.3024+1.687+1.951</f>
        <v>3.9404000000000003</v>
      </c>
      <c r="AM3" s="10">
        <f t="shared" ref="AM3:AM10" si="16">J3/(1-J3)</f>
        <v>0.22100122100122102</v>
      </c>
      <c r="AN3" s="116">
        <f t="shared" ref="AN3:AN10" si="17">45-10.24*(AL3-AM3)</f>
        <v>6.9133565030524977</v>
      </c>
      <c r="AO3" s="116">
        <f t="shared" ref="AO3:AO10" si="18">(SIN(AN3))^2</f>
        <v>0.34725454870767974</v>
      </c>
      <c r="AP3" s="10">
        <f t="shared" ref="AP3:AP10" si="19">E3+G3</f>
        <v>4</v>
      </c>
      <c r="AQ3" s="10">
        <f t="shared" ref="AQ3:AQ10" si="20">AP3*U3</f>
        <v>2.2857142857142858E-8</v>
      </c>
      <c r="AR3" s="116">
        <f t="shared" ref="AR3:AR10" si="21">AQ3*10^9</f>
        <v>22.857142857142858</v>
      </c>
      <c r="AS3" s="10">
        <f t="shared" ref="AS3:AS10" si="22">AH3^3/((1+AH3+AH3^2))^2</f>
        <v>0.1111111111111111</v>
      </c>
      <c r="AT3" s="120">
        <f t="shared" ref="AT3:AT10" si="23">(9/8)*J3*AO3*AS3</f>
        <v>7.8566341645112548E-3</v>
      </c>
      <c r="AU3" s="121">
        <f t="shared" si="10"/>
        <v>0.10126587554878358</v>
      </c>
      <c r="AV3" s="120">
        <f t="shared" ref="AV3:AV10" si="24">(9/8)*J3*AO3*AU3</f>
        <v>7.1604804378214617E-3</v>
      </c>
      <c r="AW3" s="35">
        <f t="shared" ref="AW3:AW10" si="25">(10^-19.21)*(AT3^1.118)*(AR3^1.074)</f>
        <v>7.8788713333194241E-21</v>
      </c>
      <c r="AX3" s="123">
        <f t="shared" ref="AX3:AX10" si="26">(10^-19.21)*(AV3^1.118)*(AR3^1.074)</f>
        <v>7.102559885562171E-21</v>
      </c>
      <c r="AY3" s="128">
        <f t="shared" ref="AY3:AY10" si="27">(9/8)*10^-18*AO3*AR3^2*AS3</f>
        <v>2.2677848078868886E-17</v>
      </c>
      <c r="AZ3" s="126">
        <f t="shared" ref="AZ3:AZ10" si="28">(9/8)*10^-18*AO3*AR3^2*AU3</f>
        <v>2.0668429271420617E-17</v>
      </c>
      <c r="BA3" s="83">
        <v>1.2909844897959183E-19</v>
      </c>
      <c r="BB3" s="132">
        <f t="shared" ref="BB3:BB10" si="29">(BA3-AY3)^2</f>
        <v>5.0844610987143266E-34</v>
      </c>
      <c r="BC3" s="67">
        <f t="shared" ref="BC3:BC10" si="30">(BA3-AZ3)^2</f>
        <v>4.2186411063367599E-34</v>
      </c>
      <c r="BD3" s="133"/>
      <c r="BE3" s="10"/>
    </row>
    <row r="4" spans="1:57">
      <c r="A4" s="66">
        <v>350</v>
      </c>
      <c r="B4" s="10">
        <v>350</v>
      </c>
      <c r="C4" s="10">
        <v>10</v>
      </c>
      <c r="D4" s="10">
        <v>1</v>
      </c>
      <c r="E4" s="8">
        <v>2</v>
      </c>
      <c r="F4" s="10" t="s">
        <v>20</v>
      </c>
      <c r="G4" s="10">
        <v>4</v>
      </c>
      <c r="H4" s="10">
        <f t="shared" si="0"/>
        <v>2.2857142857142858E-8</v>
      </c>
      <c r="I4" s="109" t="s">
        <v>85</v>
      </c>
      <c r="J4" s="97">
        <v>0.26900000000000002</v>
      </c>
      <c r="K4" s="10">
        <v>1.6644699999999998E-2</v>
      </c>
      <c r="L4" s="10">
        <f>1.28036*10^-6</f>
        <v>1.2803599999999998E-6</v>
      </c>
      <c r="M4" s="10">
        <v>0.59258599999999995</v>
      </c>
      <c r="N4" s="8">
        <f>1.67555*10^-6</f>
        <v>1.67555E-6</v>
      </c>
      <c r="O4" s="27">
        <v>0.59258599999999995</v>
      </c>
      <c r="P4" s="10">
        <v>1.67555E-6</v>
      </c>
      <c r="Q4" s="12">
        <v>2.0499999999999998</v>
      </c>
      <c r="R4" s="9">
        <f t="shared" si="1"/>
        <v>0.31175386105575426</v>
      </c>
      <c r="S4" s="8">
        <f t="shared" si="2"/>
        <v>1.6074559725049464</v>
      </c>
      <c r="T4" s="8">
        <f t="shared" si="3"/>
        <v>35.602083546113775</v>
      </c>
      <c r="U4" s="10">
        <v>5.7142857142857144E-9</v>
      </c>
      <c r="V4" s="10">
        <v>1000</v>
      </c>
      <c r="W4" s="8">
        <v>1.3605442176870747E-12</v>
      </c>
      <c r="X4" s="12">
        <v>0.26900000000000002</v>
      </c>
      <c r="Y4" s="10">
        <f t="shared" si="4"/>
        <v>5.5071477167217072E-4</v>
      </c>
      <c r="Z4" s="10">
        <f t="shared" si="5"/>
        <v>5.435004081632652E-19</v>
      </c>
      <c r="AA4" s="8">
        <f t="shared" si="11"/>
        <v>-18.264800125426838</v>
      </c>
      <c r="AB4" s="33">
        <f t="shared" si="6"/>
        <v>1.9606593311151596E-2</v>
      </c>
      <c r="AC4" s="10">
        <f t="shared" si="7"/>
        <v>1.9349746938775508E-17</v>
      </c>
      <c r="AD4" s="8">
        <f t="shared" si="12"/>
        <v>-16.713324710428637</v>
      </c>
      <c r="AE4" s="10">
        <v>5.0000000000000001E-4</v>
      </c>
      <c r="AF4" s="10">
        <f t="shared" si="8"/>
        <v>8.8200000000000021</v>
      </c>
      <c r="AG4" s="67">
        <f t="shared" si="9"/>
        <v>35.602083546113782</v>
      </c>
      <c r="AH4" s="116">
        <v>1</v>
      </c>
      <c r="AI4" s="10">
        <f t="shared" si="13"/>
        <v>0.83333333333333337</v>
      </c>
      <c r="AJ4" s="10">
        <v>1</v>
      </c>
      <c r="AK4" s="109">
        <f t="shared" si="14"/>
        <v>1.5563143825698003</v>
      </c>
      <c r="AL4" s="10">
        <f t="shared" si="15"/>
        <v>3.9404000000000003</v>
      </c>
      <c r="AM4" s="10">
        <f t="shared" si="16"/>
        <v>0.36798905608755134</v>
      </c>
      <c r="AN4" s="116">
        <f t="shared" si="17"/>
        <v>8.4185119343365216</v>
      </c>
      <c r="AO4" s="116">
        <f t="shared" si="18"/>
        <v>0.71375461185179867</v>
      </c>
      <c r="AP4" s="10">
        <f t="shared" si="19"/>
        <v>6</v>
      </c>
      <c r="AQ4" s="10">
        <f t="shared" si="20"/>
        <v>3.4285714285714286E-8</v>
      </c>
      <c r="AR4" s="116">
        <f t="shared" si="21"/>
        <v>34.285714285714285</v>
      </c>
      <c r="AS4" s="10">
        <f t="shared" si="22"/>
        <v>0.1111111111111111</v>
      </c>
      <c r="AT4" s="120">
        <f t="shared" si="23"/>
        <v>2.3999998823516732E-2</v>
      </c>
      <c r="AU4" s="121">
        <f t="shared" si="10"/>
        <v>0.15209235523105094</v>
      </c>
      <c r="AV4" s="120">
        <f t="shared" si="24"/>
        <v>3.2851947119500007E-2</v>
      </c>
      <c r="AW4" s="35">
        <f t="shared" si="25"/>
        <v>4.2441206667834575E-20</v>
      </c>
      <c r="AX4" s="123">
        <f t="shared" si="26"/>
        <v>6.0287448688006292E-20</v>
      </c>
      <c r="AY4" s="128">
        <f t="shared" si="27"/>
        <v>1.048782286802643E-16</v>
      </c>
      <c r="AZ4" s="126">
        <f t="shared" si="28"/>
        <v>1.435605913119794E-16</v>
      </c>
      <c r="BA4" s="83">
        <v>5.435004081632652E-19</v>
      </c>
      <c r="BB4" s="132">
        <f t="shared" si="29"/>
        <v>1.0885735523613159E-32</v>
      </c>
      <c r="BC4" s="67">
        <f t="shared" si="30"/>
        <v>2.0453888290590411E-32</v>
      </c>
      <c r="BD4" s="133"/>
      <c r="BE4" s="10"/>
    </row>
    <row r="5" spans="1:57">
      <c r="A5" s="66">
        <v>350</v>
      </c>
      <c r="B5" s="10">
        <v>350</v>
      </c>
      <c r="C5" s="10">
        <v>10</v>
      </c>
      <c r="D5" s="10">
        <v>1</v>
      </c>
      <c r="E5" s="8">
        <v>2</v>
      </c>
      <c r="F5" s="10" t="s">
        <v>20</v>
      </c>
      <c r="G5" s="10">
        <v>6</v>
      </c>
      <c r="H5" s="10">
        <f t="shared" si="0"/>
        <v>3.4285714285714286E-8</v>
      </c>
      <c r="I5" s="94" t="s">
        <v>86</v>
      </c>
      <c r="J5" s="97">
        <v>0.34100000000000003</v>
      </c>
      <c r="K5" s="10">
        <v>4.5357300000000003E-2</v>
      </c>
      <c r="L5" s="10">
        <f>3.16446*10^-6</f>
        <v>3.1644600000000001E-6</v>
      </c>
      <c r="M5" s="10">
        <v>1.4505999999999999</v>
      </c>
      <c r="N5" s="8">
        <f>4.08618*10^-6</f>
        <v>4.0861799999999994E-6</v>
      </c>
      <c r="O5" s="27">
        <v>1.4505999999999999</v>
      </c>
      <c r="P5" s="10">
        <v>4.0861799999999994E-6</v>
      </c>
      <c r="Q5" s="12">
        <v>2.0499999999999998</v>
      </c>
      <c r="R5" s="9">
        <f t="shared" si="1"/>
        <v>0.31175386105575426</v>
      </c>
      <c r="S5" s="8">
        <f t="shared" si="2"/>
        <v>1.6123714466112151</v>
      </c>
      <c r="T5" s="8">
        <f t="shared" si="3"/>
        <v>31.981621480996438</v>
      </c>
      <c r="U5" s="10">
        <v>5.7142857142857144E-9</v>
      </c>
      <c r="V5" s="10">
        <v>1000</v>
      </c>
      <c r="W5" s="8">
        <v>1.3605442176870747E-12</v>
      </c>
      <c r="X5" s="12">
        <v>0.34100000000000003</v>
      </c>
      <c r="Y5" s="10">
        <f t="shared" si="4"/>
        <v>1.500714047905108E-3</v>
      </c>
      <c r="Z5" s="10">
        <f t="shared" si="5"/>
        <v>1.481054693877551E-18</v>
      </c>
      <c r="AA5" s="8">
        <f t="shared" si="11"/>
        <v>-17.829428903119158</v>
      </c>
      <c r="AB5" s="33">
        <f t="shared" si="6"/>
        <v>4.7995268631315126E-2</v>
      </c>
      <c r="AC5" s="10">
        <f t="shared" si="7"/>
        <v>4.7366530612244892E-17</v>
      </c>
      <c r="AD5" s="8">
        <f t="shared" si="12"/>
        <v>-16.324528424246861</v>
      </c>
      <c r="AE5" s="10">
        <v>5.0000000000000001E-4</v>
      </c>
      <c r="AF5" s="10">
        <f t="shared" si="8"/>
        <v>8.8200000000000021</v>
      </c>
      <c r="AG5" s="67">
        <f t="shared" si="9"/>
        <v>31.981621480996441</v>
      </c>
      <c r="AH5" s="116">
        <v>1</v>
      </c>
      <c r="AI5" s="10">
        <f t="shared" si="13"/>
        <v>0.625</v>
      </c>
      <c r="AJ5" s="10">
        <v>1</v>
      </c>
      <c r="AK5" s="109">
        <f t="shared" si="14"/>
        <v>2.8305714738018009</v>
      </c>
      <c r="AL5" s="10">
        <f t="shared" si="15"/>
        <v>3.9404000000000003</v>
      </c>
      <c r="AM5" s="10">
        <f t="shared" si="16"/>
        <v>0.51745068285280726</v>
      </c>
      <c r="AN5" s="116">
        <f t="shared" si="17"/>
        <v>9.94899899241274</v>
      </c>
      <c r="AO5" s="116">
        <f t="shared" si="18"/>
        <v>0.25053908300484318</v>
      </c>
      <c r="AP5" s="10">
        <f t="shared" si="19"/>
        <v>8</v>
      </c>
      <c r="AQ5" s="10">
        <f t="shared" si="20"/>
        <v>4.5714285714285715E-8</v>
      </c>
      <c r="AR5" s="116">
        <f t="shared" si="21"/>
        <v>45.714285714285715</v>
      </c>
      <c r="AS5" s="10">
        <f t="shared" si="22"/>
        <v>0.1111111111111111</v>
      </c>
      <c r="AT5" s="120">
        <f t="shared" si="23"/>
        <v>1.0679228413081441E-2</v>
      </c>
      <c r="AU5" s="121">
        <f t="shared" si="10"/>
        <v>0.1617038856602703</v>
      </c>
      <c r="AV5" s="120">
        <f t="shared" si="24"/>
        <v>1.5541854572239482E-2</v>
      </c>
      <c r="AW5" s="35">
        <f t="shared" si="25"/>
        <v>2.3377785127937208E-20</v>
      </c>
      <c r="AX5" s="123">
        <f t="shared" si="26"/>
        <v>3.5562800857523758E-20</v>
      </c>
      <c r="AY5" s="128">
        <f t="shared" si="27"/>
        <v>6.5446944131877399E-17</v>
      </c>
      <c r="AZ5" s="126">
        <f t="shared" si="28"/>
        <v>9.5247226536436826E-17</v>
      </c>
      <c r="BA5" s="83">
        <v>1.481054693877551E-18</v>
      </c>
      <c r="BB5" s="132">
        <f t="shared" si="29"/>
        <v>4.0916350115944202E-33</v>
      </c>
      <c r="BC5" s="67">
        <f t="shared" si="30"/>
        <v>8.7920949820083548E-33</v>
      </c>
      <c r="BD5" s="133"/>
      <c r="BE5" s="10"/>
    </row>
    <row r="6" spans="1:57">
      <c r="A6" s="66">
        <v>350</v>
      </c>
      <c r="B6" s="10">
        <v>350</v>
      </c>
      <c r="C6" s="10">
        <v>10</v>
      </c>
      <c r="D6" s="10">
        <v>1</v>
      </c>
      <c r="E6" s="8">
        <v>2</v>
      </c>
      <c r="F6" s="10" t="s">
        <v>20</v>
      </c>
      <c r="G6" s="10">
        <v>8</v>
      </c>
      <c r="H6" s="10">
        <f t="shared" si="0"/>
        <v>4.5714285714285715E-8</v>
      </c>
      <c r="I6" s="94" t="s">
        <v>87</v>
      </c>
      <c r="J6" s="97">
        <v>0.40100000000000002</v>
      </c>
      <c r="K6" s="10">
        <v>9.8110600000000006E-2</v>
      </c>
      <c r="L6" s="10">
        <f>6.26238*10^-6</f>
        <v>6.2623799999999998E-6</v>
      </c>
      <c r="M6" s="10">
        <v>2.8128799999999998</v>
      </c>
      <c r="N6" s="8">
        <f>7.89396*10^-6</f>
        <v>7.8939599999999999E-6</v>
      </c>
      <c r="O6" s="27">
        <v>2.8128799999999998</v>
      </c>
      <c r="P6" s="10">
        <v>7.8939599999999999E-6</v>
      </c>
      <c r="Q6" s="12">
        <v>2.02</v>
      </c>
      <c r="R6" s="9">
        <f t="shared" si="1"/>
        <v>0.30535136944662378</v>
      </c>
      <c r="S6" s="8">
        <f t="shared" si="2"/>
        <v>1.6215256078742062</v>
      </c>
      <c r="T6" s="8">
        <f t="shared" si="3"/>
        <v>28.670500435223101</v>
      </c>
      <c r="U6" s="10">
        <v>5.7142857142857144E-9</v>
      </c>
      <c r="V6" s="10">
        <v>1000</v>
      </c>
      <c r="W6" s="8">
        <v>1.3605442176870747E-12</v>
      </c>
      <c r="X6" s="12">
        <v>0.40100000000000002</v>
      </c>
      <c r="Y6" s="10">
        <f t="shared" si="4"/>
        <v>3.2461358076516659E-3</v>
      </c>
      <c r="Z6" s="10">
        <f t="shared" si="5"/>
        <v>3.2036114285714286E-18</v>
      </c>
      <c r="AA6" s="8">
        <f t="shared" si="11"/>
        <v>-17.494360165702997</v>
      </c>
      <c r="AB6" s="33">
        <f t="shared" si="6"/>
        <v>9.3068338086070387E-2</v>
      </c>
      <c r="AC6" s="10">
        <f t="shared" si="7"/>
        <v>9.1849142857142857E-17</v>
      </c>
      <c r="AD6" s="8">
        <f t="shared" si="12"/>
        <v>-16.036924892206841</v>
      </c>
      <c r="AE6" s="10">
        <v>5.0000000000000001E-4</v>
      </c>
      <c r="AF6" s="10">
        <f t="shared" si="8"/>
        <v>8.8200000000000021</v>
      </c>
      <c r="AG6" s="67">
        <f t="shared" si="9"/>
        <v>28.670500435223104</v>
      </c>
      <c r="AH6" s="116">
        <v>1</v>
      </c>
      <c r="AI6" s="10">
        <f t="shared" si="13"/>
        <v>0.5</v>
      </c>
      <c r="AJ6" s="10">
        <v>1</v>
      </c>
      <c r="AK6" s="109">
        <f t="shared" si="14"/>
        <v>4.7278006942338013</v>
      </c>
      <c r="AL6" s="10">
        <f t="shared" si="15"/>
        <v>3.9404000000000003</v>
      </c>
      <c r="AM6" s="10">
        <f t="shared" si="16"/>
        <v>0.66944908180300511</v>
      </c>
      <c r="AN6" s="116">
        <f t="shared" si="17"/>
        <v>11.50546259766277</v>
      </c>
      <c r="AO6" s="116">
        <f t="shared" si="18"/>
        <v>0.76177814095727836</v>
      </c>
      <c r="AP6" s="10">
        <f t="shared" si="19"/>
        <v>10</v>
      </c>
      <c r="AQ6" s="10">
        <f t="shared" si="20"/>
        <v>5.7142857142857144E-8</v>
      </c>
      <c r="AR6" s="116">
        <f t="shared" si="21"/>
        <v>57.142857142857146</v>
      </c>
      <c r="AS6" s="10">
        <f t="shared" si="22"/>
        <v>0.1111111111111111</v>
      </c>
      <c r="AT6" s="120">
        <f t="shared" si="23"/>
        <v>3.8184129315483574E-2</v>
      </c>
      <c r="AU6" s="121">
        <f t="shared" si="10"/>
        <v>0.13402516901156611</v>
      </c>
      <c r="AV6" s="120">
        <f t="shared" si="24"/>
        <v>4.6058709465604641E-2</v>
      </c>
      <c r="AW6" s="35">
        <f t="shared" si="25"/>
        <v>1.234588448477767E-19</v>
      </c>
      <c r="AX6" s="123">
        <f t="shared" si="26"/>
        <v>1.5225083710772841E-19</v>
      </c>
      <c r="AY6" s="128">
        <f t="shared" si="27"/>
        <v>3.1092985345195039E-16</v>
      </c>
      <c r="AZ6" s="126">
        <f t="shared" si="28"/>
        <v>3.7505183543675221E-16</v>
      </c>
      <c r="BA6" s="83">
        <v>3.2036114285714286E-18</v>
      </c>
      <c r="BB6" s="132">
        <f t="shared" si="29"/>
        <v>9.469544002983121E-32</v>
      </c>
      <c r="BC6" s="67">
        <f t="shared" si="30"/>
        <v>1.382711016980382E-31</v>
      </c>
      <c r="BD6" s="133"/>
      <c r="BE6" s="10"/>
    </row>
    <row r="7" spans="1:57">
      <c r="A7" s="66">
        <v>350</v>
      </c>
      <c r="B7" s="10">
        <v>350</v>
      </c>
      <c r="C7" s="10">
        <v>10</v>
      </c>
      <c r="D7" s="10">
        <v>1</v>
      </c>
      <c r="E7" s="8">
        <v>2</v>
      </c>
      <c r="F7" s="10" t="s">
        <v>20</v>
      </c>
      <c r="G7" s="10">
        <v>12</v>
      </c>
      <c r="H7" s="10">
        <f t="shared" si="0"/>
        <v>6.8571428571428573E-8</v>
      </c>
      <c r="I7" s="94" t="s">
        <v>88</v>
      </c>
      <c r="J7" s="97">
        <v>0.496</v>
      </c>
      <c r="K7" s="10">
        <v>0.31220999999999999</v>
      </c>
      <c r="L7" s="10">
        <f>1.70296*10^-5</f>
        <v>1.70296E-5</v>
      </c>
      <c r="M7" s="10">
        <v>7.2903200000000004</v>
      </c>
      <c r="N7" s="8">
        <f>2.03073*10^-5</f>
        <v>2.0307300000000005E-5</v>
      </c>
      <c r="O7" s="27">
        <v>7.2903200000000004</v>
      </c>
      <c r="P7" s="10">
        <v>2.0307300000000005E-5</v>
      </c>
      <c r="Q7" s="12">
        <f>SQRT(L7^2+N7^2+P7^2)/L7</f>
        <v>1.9606052666577154</v>
      </c>
      <c r="R7" s="9">
        <f t="shared" si="1"/>
        <v>0.29239016492302283</v>
      </c>
      <c r="S7" s="8">
        <f t="shared" si="2"/>
        <v>1.6441537500836756</v>
      </c>
      <c r="T7" s="8">
        <f t="shared" si="3"/>
        <v>23.350693443515585</v>
      </c>
      <c r="U7" s="10">
        <v>5.7142857142857144E-9</v>
      </c>
      <c r="V7" s="10">
        <v>1000</v>
      </c>
      <c r="W7" s="8">
        <v>1.3605442176870747E-12</v>
      </c>
      <c r="X7" s="12">
        <v>0.496</v>
      </c>
      <c r="Y7" s="10">
        <f t="shared" si="4"/>
        <v>1.0329934385345992E-2</v>
      </c>
      <c r="Z7" s="10">
        <f t="shared" si="5"/>
        <v>1.0194612244897959E-17</v>
      </c>
      <c r="AA7" s="8">
        <f t="shared" si="11"/>
        <v>-16.991629288091204</v>
      </c>
      <c r="AB7" s="33">
        <f t="shared" si="6"/>
        <v>0.24121113112384485</v>
      </c>
      <c r="AC7" s="10">
        <f t="shared" si="7"/>
        <v>2.3805126530612247E-16</v>
      </c>
      <c r="AD7" s="8">
        <f t="shared" si="12"/>
        <v>-15.623329505792048</v>
      </c>
      <c r="AE7" s="10">
        <v>5.0000000000000001E-4</v>
      </c>
      <c r="AF7" s="10">
        <f t="shared" si="8"/>
        <v>8.8200000000000021</v>
      </c>
      <c r="AG7" s="67">
        <f t="shared" si="9"/>
        <v>23.350693443515585</v>
      </c>
      <c r="AH7" s="116">
        <v>1</v>
      </c>
      <c r="AI7" s="10">
        <f t="shared" si="13"/>
        <v>0.35714285714285715</v>
      </c>
      <c r="AJ7" s="10">
        <v>1</v>
      </c>
      <c r="AK7" s="109">
        <f t="shared" si="14"/>
        <v>10.059571552972798</v>
      </c>
      <c r="AL7" s="10">
        <f t="shared" si="15"/>
        <v>3.9404000000000003</v>
      </c>
      <c r="AM7" s="10">
        <f t="shared" si="16"/>
        <v>0.98412698412698407</v>
      </c>
      <c r="AN7" s="116">
        <f t="shared" si="17"/>
        <v>14.727764317460313</v>
      </c>
      <c r="AO7" s="116">
        <f t="shared" si="18"/>
        <v>0.68990993865419581</v>
      </c>
      <c r="AP7" s="10">
        <f t="shared" si="19"/>
        <v>14</v>
      </c>
      <c r="AQ7" s="10">
        <f t="shared" si="20"/>
        <v>8.0000000000000002E-8</v>
      </c>
      <c r="AR7" s="116">
        <f t="shared" si="21"/>
        <v>80</v>
      </c>
      <c r="AS7" s="10">
        <f t="shared" si="22"/>
        <v>0.1111111111111111</v>
      </c>
      <c r="AT7" s="120">
        <f t="shared" si="23"/>
        <v>4.2774416196560146E-2</v>
      </c>
      <c r="AU7" s="121">
        <f t="shared" si="10"/>
        <v>8.0784963870631055E-2</v>
      </c>
      <c r="AV7" s="120">
        <f t="shared" si="24"/>
        <v>3.1099767003238025E-2</v>
      </c>
      <c r="AW7" s="35">
        <f t="shared" si="25"/>
        <v>2.0117891406692556E-19</v>
      </c>
      <c r="AX7" s="123">
        <f t="shared" si="26"/>
        <v>1.4087084618694352E-19</v>
      </c>
      <c r="AY7" s="128">
        <f t="shared" si="27"/>
        <v>5.5192795092335671E-16</v>
      </c>
      <c r="AZ7" s="126">
        <f t="shared" si="28"/>
        <v>4.012873161708132E-16</v>
      </c>
      <c r="BA7" s="83">
        <v>1.0194612244897959E-17</v>
      </c>
      <c r="BB7" s="132">
        <f t="shared" si="29"/>
        <v>2.9347501023570965E-31</v>
      </c>
      <c r="BC7" s="67">
        <f t="shared" si="30"/>
        <v>1.5295350306408362E-31</v>
      </c>
      <c r="BD7" s="133"/>
      <c r="BE7" s="10"/>
    </row>
    <row r="8" spans="1:57">
      <c r="A8" s="66">
        <v>350</v>
      </c>
      <c r="B8" s="10">
        <v>350</v>
      </c>
      <c r="C8" s="10">
        <v>10</v>
      </c>
      <c r="D8" s="10">
        <v>1</v>
      </c>
      <c r="E8" s="8">
        <v>2</v>
      </c>
      <c r="F8" s="10" t="s">
        <v>20</v>
      </c>
      <c r="G8" s="10">
        <v>16</v>
      </c>
      <c r="H8" s="10">
        <f t="shared" si="0"/>
        <v>9.142857142857143E-8</v>
      </c>
      <c r="I8" s="94" t="s">
        <v>89</v>
      </c>
      <c r="J8" s="97">
        <v>0.56599999999999995</v>
      </c>
      <c r="K8" s="10">
        <v>0.73976500000000001</v>
      </c>
      <c r="L8" s="10">
        <f>3.52269*10^-5</f>
        <v>3.52269E-5</v>
      </c>
      <c r="M8" s="10">
        <v>14.3904</v>
      </c>
      <c r="N8" s="8">
        <f>3.9789*10^-5</f>
        <v>3.9789000000000001E-5</v>
      </c>
      <c r="O8" s="27">
        <v>14.3904</v>
      </c>
      <c r="P8" s="10">
        <v>3.9789000000000001E-5</v>
      </c>
      <c r="Q8" s="12">
        <f>SQRT(L8^2+N8^2+P8^2)/L8</f>
        <v>1.8845604953702433</v>
      </c>
      <c r="R8" s="9">
        <f t="shared" si="1"/>
        <v>0.27521008308771316</v>
      </c>
      <c r="S8" s="8">
        <f t="shared" si="2"/>
        <v>1.6684818445891585</v>
      </c>
      <c r="T8" s="8">
        <f t="shared" si="3"/>
        <v>19.452664021682562</v>
      </c>
      <c r="U8" s="10">
        <v>5.7142857142857144E-9</v>
      </c>
      <c r="V8" s="10">
        <v>1000</v>
      </c>
      <c r="W8" s="8">
        <v>1.3605442176870747E-12</v>
      </c>
      <c r="X8" s="12">
        <v>0.56599999999999995</v>
      </c>
      <c r="Y8" s="10">
        <f t="shared" si="4"/>
        <v>2.4476230455704424E-2</v>
      </c>
      <c r="Z8" s="10">
        <f t="shared" si="5"/>
        <v>2.4155591836734693E-17</v>
      </c>
      <c r="AA8" s="8">
        <f t="shared" si="11"/>
        <v>-16.616982317387592</v>
      </c>
      <c r="AB8" s="33">
        <f t="shared" si="6"/>
        <v>0.4761278875720924</v>
      </c>
      <c r="AC8" s="10">
        <f t="shared" si="7"/>
        <v>4.6989061224489798E-16</v>
      </c>
      <c r="AD8" s="8">
        <f t="shared" si="12"/>
        <v>-15.328003231484741</v>
      </c>
      <c r="AE8" s="10">
        <v>5.0000000000000001E-4</v>
      </c>
      <c r="AF8" s="10">
        <f t="shared" si="8"/>
        <v>8.8200000000000021</v>
      </c>
      <c r="AG8" s="67">
        <f t="shared" si="9"/>
        <v>19.452664021682562</v>
      </c>
      <c r="AH8" s="116">
        <v>1</v>
      </c>
      <c r="AI8" s="10">
        <f t="shared" si="13"/>
        <v>0.27777777777777779</v>
      </c>
      <c r="AJ8" s="10">
        <v>1</v>
      </c>
      <c r="AK8" s="109">
        <f t="shared" si="14"/>
        <v>16.535181283996792</v>
      </c>
      <c r="AL8" s="10">
        <f t="shared" si="15"/>
        <v>3.9404000000000003</v>
      </c>
      <c r="AM8" s="10">
        <f t="shared" si="16"/>
        <v>1.3041474654377878</v>
      </c>
      <c r="AN8" s="116">
        <f t="shared" si="17"/>
        <v>18.004774046082943</v>
      </c>
      <c r="AO8" s="116">
        <f t="shared" si="18"/>
        <v>0.55924420234077443</v>
      </c>
      <c r="AP8" s="10">
        <f t="shared" si="19"/>
        <v>18</v>
      </c>
      <c r="AQ8" s="10">
        <f t="shared" si="20"/>
        <v>1.0285714285714286E-7</v>
      </c>
      <c r="AR8" s="116">
        <f t="shared" si="21"/>
        <v>102.85714285714286</v>
      </c>
      <c r="AS8" s="10">
        <f t="shared" si="22"/>
        <v>0.1111111111111111</v>
      </c>
      <c r="AT8" s="120">
        <f t="shared" si="23"/>
        <v>3.9566527315609785E-2</v>
      </c>
      <c r="AU8" s="121">
        <f t="shared" si="10"/>
        <v>5.3406967230969028E-2</v>
      </c>
      <c r="AV8" s="120">
        <f t="shared" si="24"/>
        <v>1.9018154050092113E-2</v>
      </c>
      <c r="AW8" s="35">
        <f t="shared" si="25"/>
        <v>2.4151963137363286E-19</v>
      </c>
      <c r="AX8" s="123">
        <f t="shared" si="26"/>
        <v>1.0647558471867181E-19</v>
      </c>
      <c r="AY8" s="128">
        <f t="shared" si="27"/>
        <v>7.3957192472820799E-16</v>
      </c>
      <c r="AZ8" s="126">
        <f t="shared" si="28"/>
        <v>3.554846419401369E-16</v>
      </c>
      <c r="BA8" s="83">
        <v>2.4155591836734693E-17</v>
      </c>
      <c r="BB8" s="132">
        <f t="shared" si="29"/>
        <v>5.1182052936788327E-31</v>
      </c>
      <c r="BC8" s="67">
        <f t="shared" si="30"/>
        <v>1.0977893944242279E-31</v>
      </c>
      <c r="BD8" s="133"/>
      <c r="BE8" s="10"/>
    </row>
    <row r="9" spans="1:57">
      <c r="A9" s="66">
        <v>350</v>
      </c>
      <c r="B9" s="10">
        <v>350</v>
      </c>
      <c r="C9" s="10">
        <v>10</v>
      </c>
      <c r="D9" s="10">
        <v>1</v>
      </c>
      <c r="E9" s="8">
        <v>2</v>
      </c>
      <c r="F9" s="10" t="s">
        <v>20</v>
      </c>
      <c r="G9" s="10">
        <v>22</v>
      </c>
      <c r="H9" s="10">
        <f t="shared" si="0"/>
        <v>1.2571428571428572E-7</v>
      </c>
      <c r="I9" s="94" t="s">
        <v>91</v>
      </c>
      <c r="J9" s="97">
        <v>0.64400000000000002</v>
      </c>
      <c r="K9" s="10">
        <v>1.9807600000000001</v>
      </c>
      <c r="L9" s="10">
        <f>7.92302*10^-5</f>
        <v>7.9230200000000013E-5</v>
      </c>
      <c r="M9" s="10">
        <v>30.4938</v>
      </c>
      <c r="N9" s="8">
        <f>8.33924*10^-5</f>
        <v>8.3392400000000005E-5</v>
      </c>
      <c r="O9" s="27">
        <v>30.4938</v>
      </c>
      <c r="P9" s="10">
        <v>8.3392400000000005E-5</v>
      </c>
      <c r="Q9" s="12">
        <f>SQRT(L9^2+N9^2+P9^2)/L9</f>
        <v>1.7932237526435097</v>
      </c>
      <c r="R9" s="9">
        <f t="shared" si="1"/>
        <v>0.25363448280009332</v>
      </c>
      <c r="S9" s="8">
        <f t="shared" si="2"/>
        <v>1.703722120561296</v>
      </c>
      <c r="T9" s="8">
        <f t="shared" si="3"/>
        <v>15.394999899028655</v>
      </c>
      <c r="U9" s="10">
        <v>5.7142857142857144E-9</v>
      </c>
      <c r="V9" s="10">
        <v>1000</v>
      </c>
      <c r="W9" s="8">
        <v>1.3605442176870747E-12</v>
      </c>
      <c r="X9" s="12">
        <v>0.64400000000000002</v>
      </c>
      <c r="Y9" s="10">
        <f t="shared" si="4"/>
        <v>6.5536404449306335E-2</v>
      </c>
      <c r="Z9" s="10">
        <f t="shared" si="5"/>
        <v>6.4677877551020415E-17</v>
      </c>
      <c r="AA9" s="8">
        <f t="shared" si="11"/>
        <v>-16.189244240203546</v>
      </c>
      <c r="AB9" s="33">
        <f t="shared" si="6"/>
        <v>1.0089329398797722</v>
      </c>
      <c r="AC9" s="10">
        <f t="shared" si="7"/>
        <v>9.9571591836734712E-16</v>
      </c>
      <c r="AD9" s="8">
        <f t="shared" si="12"/>
        <v>-15.001864549812741</v>
      </c>
      <c r="AE9" s="10">
        <v>5.0000000000000001E-4</v>
      </c>
      <c r="AF9" s="10">
        <f t="shared" si="8"/>
        <v>8.8200000000000021</v>
      </c>
      <c r="AG9" s="67">
        <f t="shared" si="9"/>
        <v>15.394999899028656</v>
      </c>
      <c r="AH9" s="116">
        <v>1</v>
      </c>
      <c r="AI9" s="10">
        <f t="shared" si="13"/>
        <v>0.20833333333333334</v>
      </c>
      <c r="AJ9" s="10">
        <v>1</v>
      </c>
      <c r="AK9" s="109">
        <f t="shared" si="14"/>
        <v>27.20551506324481</v>
      </c>
      <c r="AL9" s="10">
        <f t="shared" si="15"/>
        <v>3.9404000000000003</v>
      </c>
      <c r="AM9" s="10">
        <f t="shared" si="16"/>
        <v>1.808988764044944</v>
      </c>
      <c r="AN9" s="116">
        <f t="shared" si="17"/>
        <v>23.174348943820224</v>
      </c>
      <c r="AO9" s="116">
        <f t="shared" si="18"/>
        <v>0.85714336702263272</v>
      </c>
      <c r="AP9" s="10">
        <f t="shared" si="19"/>
        <v>24</v>
      </c>
      <c r="AQ9" s="10">
        <f t="shared" si="20"/>
        <v>1.3714285714285715E-7</v>
      </c>
      <c r="AR9" s="116">
        <f t="shared" si="21"/>
        <v>137.14285714285714</v>
      </c>
      <c r="AS9" s="10">
        <f t="shared" si="22"/>
        <v>0.1111111111111111</v>
      </c>
      <c r="AT9" s="120">
        <f t="shared" si="23"/>
        <v>6.9000041045321925E-2</v>
      </c>
      <c r="AU9" s="121">
        <f t="shared" si="10"/>
        <v>3.4108111971340671E-2</v>
      </c>
      <c r="AV9" s="120">
        <f t="shared" si="24"/>
        <v>2.1181150134008484E-2</v>
      </c>
      <c r="AW9" s="35">
        <f t="shared" si="25"/>
        <v>6.1257262031888379E-19</v>
      </c>
      <c r="AX9" s="123">
        <f t="shared" si="26"/>
        <v>1.6358203002569112E-19</v>
      </c>
      <c r="AY9" s="128">
        <f t="shared" si="27"/>
        <v>2.0151615485919854E-15</v>
      </c>
      <c r="AZ9" s="126">
        <f t="shared" si="28"/>
        <v>6.1860020165744133E-16</v>
      </c>
      <c r="BA9" s="83">
        <v>6.4677877551020415E-17</v>
      </c>
      <c r="BB9" s="132">
        <f t="shared" si="29"/>
        <v>3.8043865509974387E-30</v>
      </c>
      <c r="BC9" s="67">
        <f t="shared" si="30"/>
        <v>3.0682994114345877E-31</v>
      </c>
      <c r="BD9" s="133"/>
      <c r="BE9" s="10"/>
    </row>
    <row r="10" spans="1:57" s="7" customFormat="1" ht="16.5" thickBot="1">
      <c r="A10" s="69">
        <v>350</v>
      </c>
      <c r="B10" s="51">
        <v>350</v>
      </c>
      <c r="C10" s="51">
        <v>10</v>
      </c>
      <c r="D10" s="51">
        <v>1</v>
      </c>
      <c r="E10" s="110">
        <v>2</v>
      </c>
      <c r="F10" s="51" t="s">
        <v>20</v>
      </c>
      <c r="G10" s="51">
        <v>30</v>
      </c>
      <c r="H10" s="51">
        <f t="shared" si="0"/>
        <v>1.7142857142857143E-7</v>
      </c>
      <c r="I10" s="111" t="s">
        <v>90</v>
      </c>
      <c r="J10" s="112">
        <v>0.71599999999999997</v>
      </c>
      <c r="K10" s="51">
        <v>5.2793799999999997</v>
      </c>
      <c r="L10" s="51">
        <v>1.74045E-4</v>
      </c>
      <c r="M10" s="51">
        <v>63.089100000000002</v>
      </c>
      <c r="N10" s="110">
        <v>1.7005199999999999E-4</v>
      </c>
      <c r="O10" s="113">
        <v>63.089100000000002</v>
      </c>
      <c r="P10" s="51">
        <v>1.7005199999999999E-4</v>
      </c>
      <c r="Q10" s="114">
        <f>SQRT(L10^2+N10^2+P10^2)/L10</f>
        <v>1.7056621389267095</v>
      </c>
      <c r="R10" s="110">
        <f t="shared" si="1"/>
        <v>0.23189300940405413</v>
      </c>
      <c r="S10" s="110">
        <f t="shared" si="2"/>
        <v>1.7457128817626324</v>
      </c>
      <c r="T10" s="110">
        <f t="shared" si="3"/>
        <v>11.950096412836357</v>
      </c>
      <c r="U10" s="51">
        <v>5.7142857142857144E-9</v>
      </c>
      <c r="V10" s="51">
        <v>1000</v>
      </c>
      <c r="W10" s="110">
        <v>1.3605442176870747E-12</v>
      </c>
      <c r="X10" s="114">
        <v>0.71599999999999997</v>
      </c>
      <c r="Y10" s="51">
        <f t="shared" si="4"/>
        <v>0.17467617627657003</v>
      </c>
      <c r="Z10" s="51">
        <f t="shared" si="5"/>
        <v>1.7238791836734695E-16</v>
      </c>
      <c r="AA10" s="110">
        <f t="shared" si="11"/>
        <v>-15.763493174533663</v>
      </c>
      <c r="AB10" s="115">
        <f t="shared" si="6"/>
        <v>2.0873971475306101</v>
      </c>
      <c r="AC10" s="51">
        <f t="shared" si="7"/>
        <v>2.0600522448979589E-15</v>
      </c>
      <c r="AD10" s="110">
        <f t="shared" si="12"/>
        <v>-14.686121765367171</v>
      </c>
      <c r="AE10" s="51">
        <v>5.0000000000000001E-4</v>
      </c>
      <c r="AF10" s="51">
        <f t="shared" si="8"/>
        <v>8.8200000000000021</v>
      </c>
      <c r="AG10" s="70">
        <f t="shared" si="9"/>
        <v>11.950096412836354</v>
      </c>
      <c r="AH10" s="116">
        <v>1</v>
      </c>
      <c r="AI10" s="10">
        <f t="shared" si="13"/>
        <v>0.15625</v>
      </c>
      <c r="AJ10" s="10">
        <v>1</v>
      </c>
      <c r="AK10" s="109">
        <f t="shared" si="14"/>
        <v>41.172127612876807</v>
      </c>
      <c r="AL10" s="10">
        <f t="shared" si="15"/>
        <v>3.9404000000000003</v>
      </c>
      <c r="AM10" s="10">
        <f t="shared" si="16"/>
        <v>2.52112676056338</v>
      </c>
      <c r="AN10" s="116">
        <f t="shared" si="17"/>
        <v>30.466642028169005</v>
      </c>
      <c r="AO10" s="116">
        <f t="shared" si="18"/>
        <v>0.66096754776263278</v>
      </c>
      <c r="AP10" s="10">
        <f t="shared" si="19"/>
        <v>32</v>
      </c>
      <c r="AQ10" s="10">
        <f t="shared" si="20"/>
        <v>1.8285714285714286E-7</v>
      </c>
      <c r="AR10" s="116">
        <f t="shared" si="21"/>
        <v>182.85714285714286</v>
      </c>
      <c r="AS10" s="10">
        <f t="shared" si="22"/>
        <v>0.1111111111111111</v>
      </c>
      <c r="AT10" s="120">
        <f t="shared" si="23"/>
        <v>5.9156595524755627E-2</v>
      </c>
      <c r="AU10" s="121">
        <f t="shared" si="10"/>
        <v>2.3123426095869423E-2</v>
      </c>
      <c r="AV10" s="120">
        <f t="shared" si="24"/>
        <v>1.231112848229934E-2</v>
      </c>
      <c r="AW10" s="35">
        <f t="shared" si="25"/>
        <v>7.0243761402607577E-19</v>
      </c>
      <c r="AX10" s="123">
        <f t="shared" si="26"/>
        <v>1.2146781633172365E-19</v>
      </c>
      <c r="AY10" s="129">
        <f t="shared" si="27"/>
        <v>2.7625745669752495E-15</v>
      </c>
      <c r="AZ10" s="122">
        <f t="shared" si="28"/>
        <v>5.7492169950402586E-16</v>
      </c>
      <c r="BA10" s="84">
        <v>1.7238791836734695E-16</v>
      </c>
      <c r="BB10" s="132">
        <f t="shared" si="29"/>
        <v>6.7090668746266376E-30</v>
      </c>
      <c r="BC10" s="67">
        <f t="shared" si="30"/>
        <v>1.6203344495619172E-31</v>
      </c>
      <c r="BD10" s="133"/>
      <c r="BE10" s="10"/>
    </row>
    <row r="11" spans="1:57" ht="16.5" thickBot="1">
      <c r="A11" s="90"/>
      <c r="BA11" s="35" t="s">
        <v>275</v>
      </c>
      <c r="BB11" s="129">
        <f>SQRT(SUM(BB2:BB10)/8)</f>
        <v>1.1952519921504446E-15</v>
      </c>
      <c r="BC11" s="122">
        <f>SQRT(SUM(BC2:BC10)/8)</f>
        <v>3.3533193634090105E-16</v>
      </c>
    </row>
    <row r="12" spans="1:57">
      <c r="A12" s="90"/>
    </row>
    <row r="13" spans="1:57">
      <c r="A13" s="90"/>
    </row>
    <row r="14" spans="1:57">
      <c r="A14" s="90"/>
    </row>
    <row r="15" spans="1:57">
      <c r="A15" s="90"/>
    </row>
    <row r="16" spans="1:57">
      <c r="A16" s="90"/>
    </row>
    <row r="17" spans="1:1">
      <c r="A17" s="90"/>
    </row>
    <row r="18" spans="1:1">
      <c r="A18" s="90"/>
    </row>
    <row r="19" spans="1:1">
      <c r="A19" s="90"/>
    </row>
    <row r="20" spans="1:1">
      <c r="A20" s="90"/>
    </row>
    <row r="21" spans="1:1">
      <c r="A21" s="90"/>
    </row>
    <row r="22" spans="1:1">
      <c r="A22" s="90"/>
    </row>
    <row r="23" spans="1:1">
      <c r="A23" s="90"/>
    </row>
    <row r="24" spans="1:1">
      <c r="A24" s="90"/>
    </row>
    <row r="25" spans="1:1">
      <c r="A25" s="90"/>
    </row>
    <row r="26" spans="1:1">
      <c r="A26" s="90"/>
    </row>
    <row r="27" spans="1:1">
      <c r="A27" s="90"/>
    </row>
    <row r="28" spans="1:1">
      <c r="A28" s="90"/>
    </row>
    <row r="29" spans="1:1">
      <c r="A29" s="90"/>
    </row>
    <row r="30" spans="1:1">
      <c r="A30" s="90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5"/>
  <sheetViews>
    <sheetView workbookViewId="0">
      <selection activeCell="G15" sqref="G15"/>
    </sheetView>
  </sheetViews>
  <sheetFormatPr defaultRowHeight="15.75"/>
  <cols>
    <col min="4" max="4" width="10.875" bestFit="1" customWidth="1"/>
    <col min="5" max="5" width="11.875" bestFit="1" customWidth="1"/>
    <col min="6" max="6" width="19.5" bestFit="1" customWidth="1"/>
    <col min="7" max="7" width="24.25" bestFit="1" customWidth="1"/>
    <col min="8" max="8" width="22.875" bestFit="1" customWidth="1"/>
    <col min="9" max="9" width="22.625" customWidth="1"/>
  </cols>
  <sheetData>
    <row r="1" spans="1:9">
      <c r="A1" t="s">
        <v>20</v>
      </c>
    </row>
    <row r="2" spans="1:9" ht="16.5" thickBot="1"/>
    <row r="3" spans="1:9">
      <c r="A3" s="73" t="s">
        <v>6</v>
      </c>
      <c r="B3" s="64" t="s">
        <v>217</v>
      </c>
      <c r="C3" s="65" t="s">
        <v>218</v>
      </c>
      <c r="D3" s="74" t="s">
        <v>219</v>
      </c>
      <c r="E3" s="137" t="s">
        <v>220</v>
      </c>
      <c r="F3" s="137" t="s">
        <v>221</v>
      </c>
      <c r="G3" s="136" t="s">
        <v>288</v>
      </c>
      <c r="H3" s="17" t="s">
        <v>304</v>
      </c>
      <c r="I3" s="136" t="s">
        <v>303</v>
      </c>
    </row>
    <row r="4" spans="1:9">
      <c r="A4" s="71">
        <v>7.0000000000000007E-2</v>
      </c>
      <c r="B4" s="10">
        <v>2.2000000000000002</v>
      </c>
      <c r="C4" s="67">
        <v>1.6594464603289432</v>
      </c>
      <c r="D4" s="75"/>
      <c r="E4" s="12">
        <f>0.8*(1-A4)+1</f>
        <v>1.744</v>
      </c>
      <c r="F4" s="12">
        <f>-0.5191*A4^3+0.879*A4^2-1.1657*A4+1.8058</f>
        <v>1.7283300487000002</v>
      </c>
      <c r="G4" s="8">
        <f>SQRT((1+1.13*(1-A4))^2)</f>
        <v>2.0508999999999995</v>
      </c>
      <c r="H4">
        <f>1-0.8*(LN(A4))</f>
        <v>3.1274080295462223</v>
      </c>
      <c r="I4">
        <f>1+3*(1-A4)</f>
        <v>3.79</v>
      </c>
    </row>
    <row r="5" spans="1:9">
      <c r="A5" s="71">
        <v>0.18099999999999999</v>
      </c>
      <c r="B5" s="10">
        <v>2.16</v>
      </c>
      <c r="C5" s="67">
        <v>1.6142281214639009</v>
      </c>
      <c r="D5" s="75"/>
      <c r="E5" s="12">
        <f t="shared" ref="E5:E12" si="0">0.8*(1-A5)+1</f>
        <v>1.6552</v>
      </c>
      <c r="F5" s="12">
        <f t="shared" ref="F5:F12" si="1">-0.5191*A5^3+0.879*A5^2-1.1657*A5+1.8058</f>
        <v>1.6205270904469</v>
      </c>
      <c r="G5" s="8">
        <f t="shared" ref="G5:G12" si="2">SQRT((1+1.13*(1-A5))^2)</f>
        <v>1.9254699999999998</v>
      </c>
      <c r="H5">
        <f t="shared" ref="H5:H12" si="3">1-0.8*(LN(A5))</f>
        <v>2.3674065981730492</v>
      </c>
      <c r="I5">
        <f t="shared" ref="I5:I12" si="4">1+3*(1-A5)</f>
        <v>3.4569999999999999</v>
      </c>
    </row>
    <row r="6" spans="1:9">
      <c r="A6" s="71">
        <v>0.26900000000000002</v>
      </c>
      <c r="B6" s="10">
        <v>2.12</v>
      </c>
      <c r="C6" s="67">
        <v>1.6074559725049464</v>
      </c>
      <c r="D6" s="75"/>
      <c r="E6" s="12">
        <f t="shared" si="0"/>
        <v>1.5848</v>
      </c>
      <c r="F6" s="12">
        <f t="shared" si="1"/>
        <v>1.5457276809181</v>
      </c>
      <c r="G6" s="8">
        <f t="shared" si="2"/>
        <v>1.8260299999999998</v>
      </c>
      <c r="H6">
        <f t="shared" si="3"/>
        <v>2.0504351195042387</v>
      </c>
      <c r="I6">
        <f t="shared" si="4"/>
        <v>3.1930000000000001</v>
      </c>
    </row>
    <row r="7" spans="1:9">
      <c r="A7" s="71">
        <v>0.34100000000000003</v>
      </c>
      <c r="B7" s="10">
        <v>2.0699999999999998</v>
      </c>
      <c r="C7" s="67">
        <v>1.6123714466112151</v>
      </c>
      <c r="D7" s="75">
        <f t="shared" ref="D7:D12" si="5">1+(0.19*(1-A7)/(A7-0.33)^0.65)</f>
        <v>3.3481928978896844</v>
      </c>
      <c r="E7" s="12">
        <f t="shared" si="0"/>
        <v>1.5272000000000001</v>
      </c>
      <c r="F7" s="12">
        <f t="shared" si="1"/>
        <v>1.4899240387189001</v>
      </c>
      <c r="G7" s="8">
        <f t="shared" si="2"/>
        <v>1.7446699999999999</v>
      </c>
      <c r="H7">
        <f t="shared" si="3"/>
        <v>1.8606982413588962</v>
      </c>
      <c r="I7">
        <f t="shared" si="4"/>
        <v>2.9770000000000003</v>
      </c>
    </row>
    <row r="8" spans="1:9">
      <c r="A8" s="71">
        <v>0.40100000000000002</v>
      </c>
      <c r="B8" s="10">
        <v>2.02</v>
      </c>
      <c r="C8" s="67">
        <v>1.6215256078742062</v>
      </c>
      <c r="D8" s="75">
        <f t="shared" si="5"/>
        <v>1.6351298095921027</v>
      </c>
      <c r="E8" s="12">
        <f t="shared" si="0"/>
        <v>1.4792000000000001</v>
      </c>
      <c r="F8" s="12">
        <f t="shared" si="1"/>
        <v>1.4462261875608999</v>
      </c>
      <c r="G8" s="8">
        <f t="shared" si="2"/>
        <v>1.6768699999999999</v>
      </c>
      <c r="H8">
        <f t="shared" si="3"/>
        <v>1.7310350813404543</v>
      </c>
      <c r="I8">
        <f t="shared" si="4"/>
        <v>2.7969999999999997</v>
      </c>
    </row>
    <row r="9" spans="1:9">
      <c r="A9" s="71">
        <v>0.496</v>
      </c>
      <c r="B9" s="10">
        <v>1.9606052666577154</v>
      </c>
      <c r="C9" s="67">
        <v>1.6441537500836756</v>
      </c>
      <c r="D9" s="75">
        <f t="shared" si="5"/>
        <v>1.3076903530880124</v>
      </c>
      <c r="E9" s="12">
        <f t="shared" si="0"/>
        <v>1.4032</v>
      </c>
      <c r="F9" s="12">
        <f t="shared" si="1"/>
        <v>1.3805182388224</v>
      </c>
      <c r="G9" s="8">
        <f t="shared" si="2"/>
        <v>1.5695199999999998</v>
      </c>
      <c r="H9">
        <f t="shared" si="3"/>
        <v>1.5609434818057677</v>
      </c>
      <c r="I9">
        <f t="shared" si="4"/>
        <v>2.512</v>
      </c>
    </row>
    <row r="10" spans="1:9">
      <c r="A10" s="71">
        <v>0.56599999999999995</v>
      </c>
      <c r="B10" s="10">
        <v>1.8845604953702433</v>
      </c>
      <c r="C10" s="67">
        <v>1.6684818445891585</v>
      </c>
      <c r="D10" s="75">
        <f t="shared" si="5"/>
        <v>1.210790254663709</v>
      </c>
      <c r="E10" s="12">
        <f t="shared" si="0"/>
        <v>1.3472</v>
      </c>
      <c r="F10" s="12">
        <f t="shared" si="1"/>
        <v>1.3334827354264003</v>
      </c>
      <c r="G10" s="8">
        <f t="shared" si="2"/>
        <v>1.4904200000000001</v>
      </c>
      <c r="H10">
        <f t="shared" si="3"/>
        <v>1.4553289606231634</v>
      </c>
      <c r="I10">
        <f t="shared" si="4"/>
        <v>2.302</v>
      </c>
    </row>
    <row r="11" spans="1:9">
      <c r="A11" s="71">
        <v>0.64400000000000002</v>
      </c>
      <c r="B11" s="10">
        <v>1.7932237526435097</v>
      </c>
      <c r="C11" s="67">
        <v>1.703722120561296</v>
      </c>
      <c r="D11" s="75">
        <f t="shared" si="5"/>
        <v>1.1436148429635462</v>
      </c>
      <c r="E11" s="12">
        <f t="shared" si="0"/>
        <v>1.2847999999999999</v>
      </c>
      <c r="F11" s="12">
        <f t="shared" si="1"/>
        <v>1.2809957333056001</v>
      </c>
      <c r="G11" s="8">
        <f t="shared" si="2"/>
        <v>1.40228</v>
      </c>
      <c r="H11">
        <f t="shared" si="3"/>
        <v>1.3520452423022267</v>
      </c>
      <c r="I11">
        <f t="shared" si="4"/>
        <v>2.0680000000000001</v>
      </c>
    </row>
    <row r="12" spans="1:9" ht="16.5" thickBot="1">
      <c r="A12" s="72">
        <v>0.71599999999999997</v>
      </c>
      <c r="B12" s="51">
        <v>1.7056621389267095</v>
      </c>
      <c r="C12" s="70">
        <v>1.7457128817626324</v>
      </c>
      <c r="D12" s="75">
        <f t="shared" si="5"/>
        <v>1.1001821142807711</v>
      </c>
      <c r="E12" s="12">
        <f t="shared" si="0"/>
        <v>1.2272000000000001</v>
      </c>
      <c r="F12" s="12">
        <f t="shared" si="1"/>
        <v>1.2312416976064</v>
      </c>
      <c r="G12" s="8">
        <f t="shared" si="2"/>
        <v>1.3209200000000001</v>
      </c>
      <c r="H12">
        <f t="shared" si="3"/>
        <v>1.2672600896171933</v>
      </c>
      <c r="I12">
        <f t="shared" si="4"/>
        <v>1.8520000000000001</v>
      </c>
    </row>
    <row r="14" spans="1:9">
      <c r="D14">
        <f>RSQ(B4:B12,D4:D12)</f>
        <v>0.52413168689465461</v>
      </c>
      <c r="E14">
        <f>RSQ(E4:E12,B4:B12)</f>
        <v>0.96215885195197914</v>
      </c>
      <c r="F14">
        <f>RSQ(F4:F12,B4:B12)</f>
        <v>0.93272284024864438</v>
      </c>
      <c r="G14">
        <f>RSQ(G4:G12,B4:B12)</f>
        <v>0.96215885195197959</v>
      </c>
      <c r="H14">
        <f>RSQ(B4:B12,H4:H12)</f>
        <v>0.75608418979049941</v>
      </c>
      <c r="I14">
        <f>RSQ(I4:I12,B4:B12)</f>
        <v>0.96215885195197959</v>
      </c>
    </row>
    <row r="15" spans="1:9">
      <c r="G15">
        <f>RSQ(G4:G12,A4:A12)</f>
        <v>0.99999999999999956</v>
      </c>
      <c r="H15">
        <f>RSQ(H4:H12,B4:B12)</f>
        <v>0.75608418979049941</v>
      </c>
      <c r="I15">
        <f>RSQ(I4:I12,C4:C12)</f>
        <v>0.50991010775266232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9"/>
  <sheetViews>
    <sheetView zoomScale="50" zoomScaleNormal="50" workbookViewId="0">
      <selection activeCell="D7" sqref="D7:P13"/>
    </sheetView>
  </sheetViews>
  <sheetFormatPr defaultRowHeight="15.75"/>
  <cols>
    <col min="1" max="1" width="10.375" bestFit="1" customWidth="1"/>
    <col min="2" max="2" width="17.875" bestFit="1" customWidth="1"/>
    <col min="3" max="3" width="21.625" bestFit="1" customWidth="1"/>
  </cols>
  <sheetData>
    <row r="1" spans="1:3">
      <c r="A1" t="s">
        <v>6</v>
      </c>
      <c r="B1" t="s">
        <v>180</v>
      </c>
      <c r="C1" t="s">
        <v>181</v>
      </c>
    </row>
    <row r="2" spans="1:3">
      <c r="A2">
        <v>0.47599999999999998</v>
      </c>
      <c r="B2">
        <v>9.0854077301539036</v>
      </c>
      <c r="C2">
        <f>LOG10(9.869*10^-16*B2)</f>
        <v>-14.047382428905886</v>
      </c>
    </row>
    <row r="3" spans="1:3">
      <c r="A3">
        <v>0.53600000000000003</v>
      </c>
      <c r="B3">
        <v>14.71301831774017</v>
      </c>
      <c r="C3">
        <f t="shared" ref="C3:C9" si="0">LOG10(9.869*10^-16*B3)</f>
        <v>-13.838025075357539</v>
      </c>
    </row>
    <row r="4" spans="1:3">
      <c r="A4">
        <v>0.58806999999999998</v>
      </c>
      <c r="B4">
        <v>22.187602031051213</v>
      </c>
      <c r="C4">
        <f t="shared" si="0"/>
        <v>-13.65961648349321</v>
      </c>
    </row>
    <row r="5" spans="1:3">
      <c r="A5">
        <v>0.63217000000000001</v>
      </c>
      <c r="B5">
        <v>31.529002150392355</v>
      </c>
      <c r="C5">
        <f t="shared" si="0"/>
        <v>-13.507016624885203</v>
      </c>
    </row>
    <row r="6" spans="1:3">
      <c r="A6">
        <v>0.67</v>
      </c>
      <c r="B6">
        <v>42.667767194694939</v>
      </c>
      <c r="C6">
        <f t="shared" si="0"/>
        <v>-13.375626934213798</v>
      </c>
    </row>
    <row r="7" spans="1:3">
      <c r="A7">
        <v>0.70299999999999996</v>
      </c>
      <c r="B7">
        <v>55.495040587248496</v>
      </c>
      <c r="C7">
        <f t="shared" si="0"/>
        <v>-13.26147267766685</v>
      </c>
    </row>
    <row r="8" spans="1:3">
      <c r="A8">
        <v>0.73185</v>
      </c>
      <c r="B8">
        <v>69.870441674829124</v>
      </c>
      <c r="C8">
        <f t="shared" si="0"/>
        <v>-13.161433362440659</v>
      </c>
    </row>
    <row r="9" spans="1:3">
      <c r="A9">
        <v>0.75600000000000001</v>
      </c>
      <c r="B9">
        <v>85.646975377444505</v>
      </c>
      <c r="C9">
        <f t="shared" si="0"/>
        <v>-13.073014820562193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9"/>
  <sheetViews>
    <sheetView zoomScale="40" zoomScaleNormal="40" workbookViewId="0">
      <selection activeCell="A27" sqref="A27"/>
    </sheetView>
  </sheetViews>
  <sheetFormatPr defaultRowHeight="15.75"/>
  <cols>
    <col min="1" max="1" width="7.125" bestFit="1" customWidth="1"/>
    <col min="2" max="2" width="6.5" bestFit="1" customWidth="1"/>
    <col min="3" max="3" width="9.625" bestFit="1" customWidth="1"/>
    <col min="4" max="4" width="22.75" bestFit="1" customWidth="1"/>
    <col min="5" max="5" width="28.625" bestFit="1" customWidth="1"/>
    <col min="6" max="6" width="20.5" style="8" bestFit="1" customWidth="1"/>
    <col min="7" max="7" width="21.5" style="12" bestFit="1" customWidth="1"/>
    <col min="8" max="8" width="19" style="8" bestFit="1" customWidth="1"/>
    <col min="9" max="9" width="8.375" style="12" bestFit="1" customWidth="1"/>
    <col min="10" max="10" width="30.5" bestFit="1" customWidth="1"/>
    <col min="11" max="11" width="19.625" style="8" bestFit="1" customWidth="1"/>
    <col min="12" max="12" width="24.625" bestFit="1" customWidth="1"/>
    <col min="13" max="13" width="19.625" style="8" bestFit="1" customWidth="1"/>
    <col min="14" max="14" width="18.25" style="12" bestFit="1" customWidth="1"/>
    <col min="15" max="15" width="6.75" bestFit="1" customWidth="1"/>
    <col min="16" max="16" width="17.375" bestFit="1" customWidth="1"/>
    <col min="17" max="17" width="5.625" style="8" bestFit="1" customWidth="1"/>
    <col min="18" max="18" width="8.375" style="12" bestFit="1" customWidth="1"/>
    <col min="19" max="19" width="24.875" bestFit="1" customWidth="1"/>
    <col min="20" max="20" width="30.25" style="8" bestFit="1" customWidth="1"/>
    <col min="21" max="21" width="20.75" bestFit="1" customWidth="1"/>
    <col min="22" max="22" width="25" style="8" bestFit="1" customWidth="1"/>
    <col min="23" max="23" width="14.75" style="12" bestFit="1" customWidth="1"/>
    <col min="24" max="24" width="12.75" style="12" bestFit="1" customWidth="1"/>
  </cols>
  <sheetData>
    <row r="1" spans="1:24" s="18" customFormat="1" ht="17.25">
      <c r="A1" s="18" t="s">
        <v>0</v>
      </c>
      <c r="B1" s="18" t="s">
        <v>14</v>
      </c>
      <c r="C1" s="18" t="s">
        <v>1</v>
      </c>
      <c r="D1" s="18" t="s">
        <v>2</v>
      </c>
      <c r="E1" s="19" t="s">
        <v>3</v>
      </c>
      <c r="F1" s="19" t="s">
        <v>4</v>
      </c>
      <c r="G1" s="20" t="s">
        <v>13</v>
      </c>
      <c r="H1" s="19" t="s">
        <v>143</v>
      </c>
      <c r="I1" s="20" t="s">
        <v>6</v>
      </c>
      <c r="J1" s="18" t="s">
        <v>19</v>
      </c>
      <c r="K1" s="19" t="s">
        <v>126</v>
      </c>
      <c r="L1" s="18" t="s">
        <v>18</v>
      </c>
      <c r="M1" s="19" t="s">
        <v>127</v>
      </c>
      <c r="N1" s="20" t="s">
        <v>79</v>
      </c>
      <c r="O1" s="18" t="s">
        <v>7</v>
      </c>
      <c r="P1" s="18" t="s">
        <v>8</v>
      </c>
      <c r="Q1" s="19" t="s">
        <v>9</v>
      </c>
      <c r="R1" s="20" t="s">
        <v>6</v>
      </c>
      <c r="S1" s="18" t="s">
        <v>10</v>
      </c>
      <c r="T1" s="19" t="s">
        <v>141</v>
      </c>
      <c r="U1" s="18" t="s">
        <v>78</v>
      </c>
      <c r="V1" s="19" t="s">
        <v>142</v>
      </c>
      <c r="W1" s="20" t="s">
        <v>11</v>
      </c>
      <c r="X1" s="20" t="s">
        <v>12</v>
      </c>
    </row>
    <row r="2" spans="1:24">
      <c r="A2" s="10">
        <v>350</v>
      </c>
      <c r="B2" s="10">
        <v>350</v>
      </c>
      <c r="C2" s="10">
        <v>10</v>
      </c>
      <c r="D2" s="10">
        <v>1</v>
      </c>
      <c r="E2" s="8">
        <v>2</v>
      </c>
      <c r="F2" s="8" t="s">
        <v>15</v>
      </c>
      <c r="G2" s="12">
        <v>0</v>
      </c>
      <c r="H2" s="21" t="s">
        <v>145</v>
      </c>
      <c r="I2" s="22">
        <v>1.0999999999999999E-2</v>
      </c>
      <c r="J2" s="17">
        <v>4.7647000000000002E-3</v>
      </c>
      <c r="K2">
        <f>1.58823*10^-6</f>
        <v>1.5882299999999999E-6</v>
      </c>
      <c r="L2">
        <v>2.05404E-3</v>
      </c>
      <c r="M2">
        <f>5.85198*10^-9</f>
        <v>5.8519800000000003E-9</v>
      </c>
    </row>
    <row r="3" spans="1:24">
      <c r="A3">
        <v>350</v>
      </c>
      <c r="B3">
        <v>350</v>
      </c>
      <c r="C3">
        <v>10</v>
      </c>
      <c r="D3">
        <v>1</v>
      </c>
      <c r="E3" s="8">
        <v>2</v>
      </c>
      <c r="F3" s="8" t="s">
        <v>99</v>
      </c>
      <c r="G3" s="12">
        <v>8</v>
      </c>
      <c r="H3" s="8" t="s">
        <v>101</v>
      </c>
      <c r="I3" s="12">
        <v>5.5E-2</v>
      </c>
      <c r="J3">
        <v>0.47695500000000002</v>
      </c>
      <c r="K3">
        <v>1.58985E-4</v>
      </c>
      <c r="L3">
        <v>0.55898599999999998</v>
      </c>
      <c r="M3" s="8">
        <f>1.5687*10^-6</f>
        <v>1.5686999999999999E-6</v>
      </c>
    </row>
    <row r="4" spans="1:24">
      <c r="A4">
        <v>350</v>
      </c>
      <c r="B4">
        <v>350</v>
      </c>
      <c r="C4">
        <v>10</v>
      </c>
      <c r="D4">
        <v>1</v>
      </c>
      <c r="E4" s="8">
        <v>2</v>
      </c>
      <c r="F4" s="8" t="s">
        <v>99</v>
      </c>
      <c r="G4" s="12">
        <v>30</v>
      </c>
      <c r="H4" s="21" t="s">
        <v>144</v>
      </c>
      <c r="I4" s="22">
        <v>0.16400000000000001</v>
      </c>
      <c r="J4">
        <v>15.043699999999999</v>
      </c>
      <c r="K4">
        <v>5.0145700000000003E-3</v>
      </c>
      <c r="L4" s="17">
        <v>0.59681799999999996</v>
      </c>
      <c r="M4" s="8">
        <f>1.60867*10^-6</f>
        <v>1.60867E-6</v>
      </c>
    </row>
    <row r="5" spans="1:24">
      <c r="A5">
        <v>350</v>
      </c>
      <c r="B5">
        <v>350</v>
      </c>
      <c r="C5">
        <v>10</v>
      </c>
      <c r="D5">
        <v>1</v>
      </c>
      <c r="E5" s="8">
        <v>2</v>
      </c>
      <c r="F5" s="8" t="s">
        <v>99</v>
      </c>
      <c r="G5" s="12">
        <v>50</v>
      </c>
      <c r="H5" t="s">
        <v>146</v>
      </c>
      <c r="I5">
        <v>0.252</v>
      </c>
      <c r="J5">
        <v>61.151000000000003</v>
      </c>
      <c r="K5">
        <f>0.0203837</f>
        <v>2.0383700000000001E-2</v>
      </c>
      <c r="L5">
        <v>1.0381400000000001</v>
      </c>
      <c r="M5">
        <f>2.70114*10^-6</f>
        <v>2.7011400000000001E-6</v>
      </c>
    </row>
    <row r="6" spans="1:24">
      <c r="A6">
        <v>350</v>
      </c>
      <c r="B6">
        <v>350</v>
      </c>
      <c r="C6">
        <v>10</v>
      </c>
      <c r="D6">
        <v>1</v>
      </c>
      <c r="E6" s="8">
        <v>2</v>
      </c>
      <c r="F6" s="8" t="s">
        <v>99</v>
      </c>
      <c r="G6" s="12">
        <v>80</v>
      </c>
      <c r="H6" t="s">
        <v>147</v>
      </c>
      <c r="I6">
        <v>0.36399999999999999</v>
      </c>
      <c r="J6">
        <v>198.29400000000001</v>
      </c>
      <c r="K6">
        <v>6.6098100000000007E-2</v>
      </c>
      <c r="L6">
        <v>1.6664699999999999</v>
      </c>
      <c r="M6">
        <f>4.12152*10^-6</f>
        <v>4.12152E-6</v>
      </c>
    </row>
    <row r="7" spans="1:24">
      <c r="A7">
        <v>350</v>
      </c>
      <c r="B7">
        <v>350</v>
      </c>
      <c r="C7">
        <v>10</v>
      </c>
      <c r="D7">
        <v>1</v>
      </c>
      <c r="E7" s="8">
        <v>2</v>
      </c>
      <c r="F7" s="8" t="s">
        <v>99</v>
      </c>
      <c r="G7" s="12">
        <v>110</v>
      </c>
      <c r="H7" t="s">
        <v>148</v>
      </c>
      <c r="I7">
        <v>0.45700000000000002</v>
      </c>
      <c r="J7">
        <v>372.75599999999997</v>
      </c>
      <c r="K7">
        <v>0.124252</v>
      </c>
      <c r="L7">
        <v>2.2581799999999999</v>
      </c>
      <c r="M7">
        <f>5.32172*10^-6</f>
        <v>5.3217199999999999E-6</v>
      </c>
    </row>
    <row r="8" spans="1:24">
      <c r="A8">
        <v>350</v>
      </c>
      <c r="B8">
        <v>350</v>
      </c>
      <c r="C8">
        <v>10</v>
      </c>
      <c r="D8">
        <v>1</v>
      </c>
      <c r="E8" s="8">
        <v>2</v>
      </c>
      <c r="F8" s="8" t="s">
        <v>99</v>
      </c>
      <c r="G8" s="12">
        <v>150</v>
      </c>
      <c r="H8" t="s">
        <v>149</v>
      </c>
      <c r="I8">
        <v>0.56000000000000005</v>
      </c>
      <c r="J8">
        <v>590.57100000000003</v>
      </c>
      <c r="K8">
        <v>0.196857</v>
      </c>
      <c r="L8">
        <v>2.9942899999999999</v>
      </c>
      <c r="M8">
        <f>6.63923*10^-6</f>
        <v>6.6392300000000003E-6</v>
      </c>
    </row>
    <row r="9" spans="1:24">
      <c r="A9">
        <v>350</v>
      </c>
      <c r="B9">
        <v>350</v>
      </c>
      <c r="C9">
        <v>10</v>
      </c>
      <c r="D9">
        <v>1</v>
      </c>
      <c r="E9" s="8">
        <v>2</v>
      </c>
      <c r="F9" s="8" t="s">
        <v>99</v>
      </c>
      <c r="G9" s="12">
        <v>200</v>
      </c>
      <c r="H9" t="s">
        <v>150</v>
      </c>
      <c r="I9">
        <v>0.65900000000000003</v>
      </c>
      <c r="J9">
        <v>811.31700000000001</v>
      </c>
      <c r="K9">
        <v>0.27043899999999998</v>
      </c>
      <c r="L9">
        <v>3.8284699999999998</v>
      </c>
      <c r="M9">
        <f>7.90461*10^-6</f>
        <v>7.9046099999999995E-6</v>
      </c>
    </row>
    <row r="10" spans="1:24" s="7" customFormat="1">
      <c r="A10" s="7">
        <v>350</v>
      </c>
      <c r="B10" s="7">
        <v>350</v>
      </c>
      <c r="C10" s="7">
        <v>10</v>
      </c>
      <c r="D10" s="7">
        <v>1</v>
      </c>
      <c r="E10" s="9">
        <v>2</v>
      </c>
      <c r="F10" s="9" t="s">
        <v>99</v>
      </c>
      <c r="G10" s="11">
        <v>280</v>
      </c>
      <c r="H10" s="23" t="s">
        <v>151</v>
      </c>
      <c r="I10" s="7">
        <v>0.77300000000000002</v>
      </c>
      <c r="J10" s="16">
        <v>1066.54</v>
      </c>
      <c r="K10" s="16">
        <v>0.35551199999999999</v>
      </c>
      <c r="L10">
        <v>4.93248</v>
      </c>
      <c r="M10">
        <f>9.17386*10^-6</f>
        <v>9.1738599999999993E-6</v>
      </c>
      <c r="N10" s="11"/>
      <c r="Q10" s="9"/>
      <c r="R10" s="11"/>
      <c r="T10" s="9"/>
      <c r="V10" s="9"/>
      <c r="W10" s="11"/>
      <c r="X10" s="11"/>
    </row>
    <row r="11" spans="1:24">
      <c r="A11" s="10">
        <v>350</v>
      </c>
      <c r="B11" s="10">
        <v>350</v>
      </c>
      <c r="C11" s="10">
        <v>10</v>
      </c>
      <c r="D11" s="10">
        <v>1</v>
      </c>
      <c r="E11" s="8">
        <v>2</v>
      </c>
      <c r="F11" s="8" t="s">
        <v>15</v>
      </c>
      <c r="G11" s="12">
        <v>0</v>
      </c>
      <c r="H11" s="21" t="s">
        <v>145</v>
      </c>
      <c r="I11" s="22">
        <v>1.0999999999999999E-2</v>
      </c>
      <c r="J11" s="17">
        <v>4.7647000000000002E-3</v>
      </c>
      <c r="K11">
        <f>1.58823*10^-6</f>
        <v>1.5882299999999999E-6</v>
      </c>
      <c r="L11">
        <v>2.05404E-3</v>
      </c>
      <c r="M11">
        <f>5.85198*10^-9</f>
        <v>5.8519800000000003E-9</v>
      </c>
    </row>
    <row r="12" spans="1:24">
      <c r="A12">
        <v>350</v>
      </c>
      <c r="B12">
        <v>350</v>
      </c>
      <c r="C12">
        <v>10</v>
      </c>
      <c r="D12">
        <v>1</v>
      </c>
      <c r="E12" s="8">
        <v>2</v>
      </c>
      <c r="F12" s="8" t="s">
        <v>132</v>
      </c>
      <c r="G12" s="12">
        <v>64</v>
      </c>
      <c r="H12" s="8" t="s">
        <v>152</v>
      </c>
      <c r="I12" s="12">
        <v>6.7000000000000004E-2</v>
      </c>
      <c r="J12" s="17">
        <v>19.402699999999999</v>
      </c>
      <c r="K12" s="17">
        <v>6.4675799999999997E-3</v>
      </c>
      <c r="L12" s="17">
        <v>2.16869E-3</v>
      </c>
      <c r="M12">
        <f>5.82458*10^-9</f>
        <v>5.8245800000000002E-9</v>
      </c>
    </row>
    <row r="13" spans="1:24">
      <c r="A13">
        <v>350</v>
      </c>
      <c r="B13">
        <v>350</v>
      </c>
      <c r="C13">
        <v>10</v>
      </c>
      <c r="D13">
        <v>1</v>
      </c>
      <c r="E13" s="8">
        <v>2</v>
      </c>
      <c r="F13" s="8" t="s">
        <v>132</v>
      </c>
      <c r="G13">
        <v>192</v>
      </c>
      <c r="H13" t="s">
        <v>153</v>
      </c>
      <c r="I13">
        <v>0.16300000000000001</v>
      </c>
      <c r="J13">
        <v>168.47300000000001</v>
      </c>
      <c r="K13">
        <v>5.6157699999999998E-2</v>
      </c>
      <c r="L13" s="16">
        <v>2.4369700000000001E-3</v>
      </c>
      <c r="M13">
        <f>5.87223*10^-9</f>
        <v>5.8722300000000001E-9</v>
      </c>
    </row>
    <row r="14" spans="1:24">
      <c r="A14">
        <v>350</v>
      </c>
      <c r="B14">
        <v>350</v>
      </c>
      <c r="C14">
        <v>10</v>
      </c>
      <c r="D14">
        <v>1</v>
      </c>
      <c r="E14" s="8">
        <v>2</v>
      </c>
      <c r="F14" s="8" t="s">
        <v>132</v>
      </c>
      <c r="G14" s="12">
        <f>G13*2</f>
        <v>384</v>
      </c>
      <c r="H14" t="s">
        <v>154</v>
      </c>
      <c r="I14">
        <v>0.27500000000000002</v>
      </c>
      <c r="J14">
        <v>361.74900000000002</v>
      </c>
      <c r="K14">
        <v>0.120583</v>
      </c>
      <c r="L14">
        <v>2.9152599999999998E-3</v>
      </c>
      <c r="M14">
        <f>6.08613*10^-9</f>
        <v>6.08613E-9</v>
      </c>
    </row>
    <row r="15" spans="1:24">
      <c r="A15">
        <v>350</v>
      </c>
      <c r="B15">
        <v>350</v>
      </c>
      <c r="C15">
        <v>10</v>
      </c>
      <c r="D15">
        <v>1</v>
      </c>
      <c r="E15" s="8">
        <v>2</v>
      </c>
      <c r="F15" s="8" t="s">
        <v>132</v>
      </c>
      <c r="G15" s="12">
        <v>600</v>
      </c>
      <c r="H15" t="s">
        <v>155</v>
      </c>
      <c r="I15">
        <v>0.36899999999999999</v>
      </c>
      <c r="J15">
        <v>525.46699999999998</v>
      </c>
      <c r="K15">
        <v>0.17515600000000001</v>
      </c>
      <c r="L15">
        <v>3.5603800000000001E-3</v>
      </c>
      <c r="M15" s="8">
        <f>6.46167*10^-9</f>
        <v>6.4616700000000001E-9</v>
      </c>
    </row>
    <row r="16" spans="1:24">
      <c r="A16">
        <v>350</v>
      </c>
      <c r="B16">
        <v>350</v>
      </c>
      <c r="C16">
        <v>10</v>
      </c>
      <c r="D16">
        <v>1</v>
      </c>
      <c r="E16" s="8">
        <v>2</v>
      </c>
      <c r="F16" s="8" t="s">
        <v>132</v>
      </c>
      <c r="G16" s="12">
        <v>800</v>
      </c>
      <c r="H16" s="8" t="s">
        <v>156</v>
      </c>
      <c r="I16" s="12">
        <v>0.47099999999999997</v>
      </c>
      <c r="J16" s="17">
        <v>643.04300000000001</v>
      </c>
      <c r="K16" s="17">
        <v>0.21434800000000001</v>
      </c>
      <c r="L16">
        <v>5.52769E-3</v>
      </c>
      <c r="M16">
        <f>8.94931*10^-9</f>
        <v>8.9493100000000008E-9</v>
      </c>
    </row>
    <row r="17" spans="1:24">
      <c r="A17">
        <v>350</v>
      </c>
      <c r="B17">
        <v>350</v>
      </c>
      <c r="C17">
        <v>10</v>
      </c>
      <c r="D17">
        <v>1</v>
      </c>
      <c r="E17" s="8">
        <v>2</v>
      </c>
      <c r="F17" s="8" t="s">
        <v>132</v>
      </c>
      <c r="G17" s="12">
        <v>1100</v>
      </c>
      <c r="H17" s="16" t="s">
        <v>157</v>
      </c>
      <c r="I17" s="16">
        <v>0.51600000000000001</v>
      </c>
      <c r="J17" s="16">
        <v>778.46900000000005</v>
      </c>
      <c r="K17" s="16">
        <v>0.25949</v>
      </c>
      <c r="L17" s="16">
        <v>6.3619899999999993E-2</v>
      </c>
      <c r="M17">
        <f>8.86483*10^-8</f>
        <v>8.8648300000000004E-8</v>
      </c>
    </row>
    <row r="18" spans="1:24">
      <c r="A18">
        <v>350</v>
      </c>
      <c r="B18">
        <v>350</v>
      </c>
      <c r="C18">
        <v>10</v>
      </c>
      <c r="D18">
        <v>1</v>
      </c>
      <c r="E18" s="8">
        <v>2</v>
      </c>
      <c r="F18" s="8" t="s">
        <v>132</v>
      </c>
      <c r="G18" s="12">
        <v>1500</v>
      </c>
      <c r="H18" t="s">
        <v>158</v>
      </c>
      <c r="I18">
        <v>0.59599999999999997</v>
      </c>
      <c r="J18" s="16">
        <v>909.54600000000005</v>
      </c>
      <c r="K18" s="16">
        <v>0.30318200000000001</v>
      </c>
      <c r="L18" s="16">
        <v>0.45091100000000001</v>
      </c>
      <c r="M18">
        <f>5.2986*10^-7</f>
        <v>5.2986000000000006E-7</v>
      </c>
    </row>
    <row r="19" spans="1:24" s="7" customFormat="1">
      <c r="A19" s="7">
        <v>350</v>
      </c>
      <c r="B19" s="7">
        <v>350</v>
      </c>
      <c r="C19" s="7">
        <v>10</v>
      </c>
      <c r="D19" s="7">
        <v>1</v>
      </c>
      <c r="E19" s="9">
        <v>2</v>
      </c>
      <c r="F19" s="9" t="s">
        <v>132</v>
      </c>
      <c r="G19" s="11">
        <v>2000</v>
      </c>
      <c r="H19" t="s">
        <v>159</v>
      </c>
      <c r="I19">
        <v>0.65800000000000003</v>
      </c>
      <c r="J19" s="16">
        <v>1025.1099999999999</v>
      </c>
      <c r="K19" s="16">
        <v>0.34170299999999998</v>
      </c>
      <c r="L19" s="16">
        <v>1.30193</v>
      </c>
      <c r="M19">
        <f>1.27933*10^-6</f>
        <v>1.27933E-6</v>
      </c>
      <c r="N19" s="11"/>
      <c r="Q19" s="9"/>
      <c r="R19" s="11"/>
      <c r="T19" s="9"/>
      <c r="V19" s="9"/>
      <c r="W19" s="11"/>
      <c r="X19" s="1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53"/>
  <sheetViews>
    <sheetView topLeftCell="F1" zoomScale="85" zoomScaleNormal="85" zoomScaleSheetLayoutView="70" zoomScalePageLayoutView="30" workbookViewId="0">
      <selection activeCell="F10" sqref="F10"/>
    </sheetView>
  </sheetViews>
  <sheetFormatPr defaultColWidth="11" defaultRowHeight="15.75"/>
  <cols>
    <col min="1" max="1" width="13.125" customWidth="1"/>
    <col min="2" max="2" width="16" customWidth="1"/>
    <col min="3" max="3" width="15.125" customWidth="1"/>
    <col min="4" max="4" width="19.5" customWidth="1"/>
    <col min="5" max="5" width="44.5" customWidth="1"/>
    <col min="6" max="6" width="31.625" customWidth="1"/>
    <col min="7" max="7" width="37.875" customWidth="1"/>
    <col min="8" max="8" width="23.625" customWidth="1"/>
    <col min="9" max="9" width="14.875" customWidth="1"/>
    <col min="10" max="10" width="47.375" customWidth="1"/>
    <col min="11" max="11" width="38.625" customWidth="1"/>
    <col min="12" max="12" width="41.625" customWidth="1"/>
    <col min="13" max="13" width="12" customWidth="1"/>
    <col min="14" max="14" width="13.5" customWidth="1"/>
    <col min="15" max="16" width="37" customWidth="1"/>
    <col min="17" max="17" width="21.125" customWidth="1"/>
    <col min="18" max="18" width="27" customWidth="1"/>
    <col min="19" max="19" width="12.625" customWidth="1"/>
    <col min="20" max="20" width="14.875" customWidth="1"/>
    <col min="21" max="21" width="50.125" customWidth="1"/>
    <col min="22" max="22" width="51" customWidth="1"/>
    <col min="23" max="24" width="40.375" customWidth="1"/>
    <col min="25" max="25" width="23.375" customWidth="1"/>
    <col min="26" max="26" width="20.125" customWidth="1"/>
  </cols>
  <sheetData>
    <row r="1" spans="1:26" ht="22.5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13</v>
      </c>
      <c r="H1" s="1" t="s">
        <v>5</v>
      </c>
      <c r="I1" s="1" t="s">
        <v>6</v>
      </c>
      <c r="J1" s="1" t="s">
        <v>19</v>
      </c>
      <c r="K1" s="1" t="s">
        <v>18</v>
      </c>
      <c r="L1" s="1" t="s">
        <v>17</v>
      </c>
      <c r="M1" s="1" t="s">
        <v>58</v>
      </c>
      <c r="N1" s="1" t="s">
        <v>59</v>
      </c>
      <c r="O1" s="1" t="s">
        <v>79</v>
      </c>
      <c r="P1" s="1" t="s">
        <v>80</v>
      </c>
      <c r="Q1" s="1" t="s">
        <v>7</v>
      </c>
      <c r="R1" s="1" t="s">
        <v>8</v>
      </c>
      <c r="S1" s="1" t="s">
        <v>9</v>
      </c>
      <c r="T1" s="1" t="s">
        <v>6</v>
      </c>
      <c r="U1" s="1" t="s">
        <v>10</v>
      </c>
      <c r="V1" s="1" t="s">
        <v>81</v>
      </c>
      <c r="W1" s="1" t="s">
        <v>78</v>
      </c>
      <c r="X1" s="1" t="s">
        <v>82</v>
      </c>
      <c r="Y1" s="1" t="s">
        <v>11</v>
      </c>
      <c r="Z1" s="1" t="s">
        <v>12</v>
      </c>
    </row>
    <row r="3" spans="1:26">
      <c r="A3">
        <v>40</v>
      </c>
      <c r="B3">
        <v>40</v>
      </c>
      <c r="C3">
        <v>2</v>
      </c>
      <c r="D3">
        <v>1</v>
      </c>
      <c r="E3">
        <v>2</v>
      </c>
      <c r="F3" t="s">
        <v>15</v>
      </c>
      <c r="G3">
        <v>0</v>
      </c>
      <c r="H3" t="s">
        <v>16</v>
      </c>
      <c r="I3">
        <v>0.30299999999999999</v>
      </c>
      <c r="J3">
        <v>5.7381400000000001E-3</v>
      </c>
      <c r="K3">
        <v>5.80426E-2</v>
      </c>
      <c r="L3">
        <v>5.80426E-2</v>
      </c>
      <c r="M3">
        <f>J3/K3</f>
        <v>9.8860836695806184E-2</v>
      </c>
      <c r="N3">
        <f>K3/J3</f>
        <v>10.115228976637029</v>
      </c>
      <c r="O3">
        <f>M3</f>
        <v>9.8860836695806184E-2</v>
      </c>
      <c r="P3">
        <f>1/O3</f>
        <v>10.115228976637029</v>
      </c>
      <c r="Q3">
        <v>4.9999999999999998E-8</v>
      </c>
      <c r="R3">
        <v>1000</v>
      </c>
      <c r="S3">
        <v>2.2471910112359548E-9</v>
      </c>
      <c r="T3">
        <v>0.30299999999999999</v>
      </c>
      <c r="U3">
        <f>((Q3^2)*J3*1000)/(0.9869*(10^-12))</f>
        <v>1.4535768568243995E-2</v>
      </c>
      <c r="V3">
        <f>LOG10(9.869*10^-16*U3)</f>
        <v>-16.843288851306838</v>
      </c>
      <c r="W3">
        <f>((Q3^2)*K3*1000)/(0.9869*(10^-12))</f>
        <v>0.14703262741919138</v>
      </c>
      <c r="X3">
        <f>LOG10(9.869*10^-16*W3)</f>
        <v>-15.838313133041895</v>
      </c>
      <c r="Y3">
        <v>5.0000000000000001E-4</v>
      </c>
      <c r="Z3">
        <f>Y3*Q3^2*R3/S3^2</f>
        <v>247.53125000000003</v>
      </c>
    </row>
    <row r="4" spans="1:26">
      <c r="Q4">
        <v>4.9999999999999998E-8</v>
      </c>
      <c r="Y4">
        <v>5.0000000000000001E-4</v>
      </c>
    </row>
    <row r="5" spans="1:26">
      <c r="A5">
        <v>40</v>
      </c>
      <c r="B5">
        <v>40</v>
      </c>
      <c r="C5">
        <v>2</v>
      </c>
      <c r="D5">
        <v>1</v>
      </c>
      <c r="E5">
        <v>2</v>
      </c>
      <c r="F5" t="s">
        <v>15</v>
      </c>
      <c r="G5">
        <v>0</v>
      </c>
      <c r="H5" t="s">
        <v>16</v>
      </c>
      <c r="I5">
        <v>0.30299999999999999</v>
      </c>
      <c r="J5">
        <v>5.7381400000000001E-3</v>
      </c>
      <c r="K5">
        <v>5.80426E-2</v>
      </c>
      <c r="L5">
        <v>5.80426E-2</v>
      </c>
      <c r="M5">
        <f>J5/K5</f>
        <v>9.8860836695806184E-2</v>
      </c>
      <c r="N5">
        <f>K5/J5</f>
        <v>10.115228976637029</v>
      </c>
      <c r="O5">
        <f>N5</f>
        <v>10.115228976637029</v>
      </c>
      <c r="P5">
        <f>1/O5</f>
        <v>9.8860836695806184E-2</v>
      </c>
      <c r="Q5">
        <v>4.9999999999999998E-8</v>
      </c>
      <c r="R5">
        <v>1000</v>
      </c>
      <c r="S5">
        <v>2.2471910112359548E-9</v>
      </c>
      <c r="T5">
        <v>0.30299999999999999</v>
      </c>
      <c r="U5">
        <f>((Q5^2)*J5*1000)/(0.9869*(10^-12))</f>
        <v>1.4535768568243995E-2</v>
      </c>
      <c r="V5">
        <f t="shared" ref="V5:V53" si="0">LOG10(9.869*10^-16*U5)</f>
        <v>-16.843288851306838</v>
      </c>
      <c r="W5">
        <f>((Q5^2)*K5*1000)/(0.9869*(10^-12))</f>
        <v>0.14703262741919138</v>
      </c>
      <c r="X5">
        <f t="shared" ref="X5:X53" si="1">LOG10(9.869*10^-16*W5)</f>
        <v>-15.838313133041895</v>
      </c>
      <c r="Y5">
        <v>5.0000000000000001E-4</v>
      </c>
      <c r="Z5">
        <f>Y5*Q5^2*R5/S5^2</f>
        <v>247.53125000000003</v>
      </c>
    </row>
    <row r="6" spans="1:26">
      <c r="A6">
        <v>40</v>
      </c>
      <c r="B6">
        <v>40</v>
      </c>
      <c r="C6">
        <v>2</v>
      </c>
      <c r="D6">
        <v>1</v>
      </c>
      <c r="E6">
        <v>2</v>
      </c>
      <c r="F6" t="s">
        <v>20</v>
      </c>
      <c r="G6">
        <v>2</v>
      </c>
      <c r="H6" t="s">
        <v>21</v>
      </c>
      <c r="I6">
        <v>0.56999999999999995</v>
      </c>
      <c r="J6">
        <v>7.9453099999999999E-2</v>
      </c>
      <c r="K6">
        <v>0.57193700000000003</v>
      </c>
      <c r="L6">
        <v>0.57193700000000003</v>
      </c>
      <c r="M6">
        <f>J6/K6</f>
        <v>0.1389193215336654</v>
      </c>
      <c r="N6">
        <f t="shared" ref="N6:N53" si="2">K6/J6</f>
        <v>7.1984227173011508</v>
      </c>
      <c r="O6">
        <f>N6</f>
        <v>7.1984227173011508</v>
      </c>
      <c r="P6">
        <f t="shared" ref="P6:P53" si="3">1/O6</f>
        <v>0.1389193215336654</v>
      </c>
      <c r="Q6">
        <v>4.9999999999999998E-8</v>
      </c>
      <c r="R6">
        <v>1000</v>
      </c>
      <c r="S6">
        <v>2.2471910112359548E-9</v>
      </c>
      <c r="T6">
        <v>0.56999999999999995</v>
      </c>
      <c r="U6">
        <f t="shared" ref="U6:U53" si="4">((Q6^2)*J6*1000)/(0.9869*(10^-12))</f>
        <v>0.20126937886310667</v>
      </c>
      <c r="V6">
        <f t="shared" si="0"/>
        <v>-15.701949144704272</v>
      </c>
      <c r="W6">
        <f t="shared" ref="W6:W53" si="5">((Q6^2)*K6*1000)/(0.9869*(10^-12))</f>
        <v>1.4488220691052791</v>
      </c>
      <c r="X6">
        <f t="shared" si="1"/>
        <v>-14.844711798302795</v>
      </c>
      <c r="Y6">
        <v>5.0000000000000001E-4</v>
      </c>
      <c r="Z6">
        <f>Y6*Q6^2*R6/S6^2</f>
        <v>247.53125000000003</v>
      </c>
    </row>
    <row r="7" spans="1:26">
      <c r="A7">
        <v>40</v>
      </c>
      <c r="B7">
        <v>40</v>
      </c>
      <c r="C7">
        <v>2</v>
      </c>
      <c r="D7">
        <v>1</v>
      </c>
      <c r="E7">
        <v>2</v>
      </c>
      <c r="F7" t="s">
        <v>20</v>
      </c>
      <c r="G7">
        <v>4</v>
      </c>
      <c r="H7" t="s">
        <v>22</v>
      </c>
      <c r="I7">
        <v>0.7</v>
      </c>
      <c r="J7">
        <v>0.33787099999999998</v>
      </c>
      <c r="K7">
        <v>1.8942000000000001</v>
      </c>
      <c r="L7">
        <v>1.8942000000000001</v>
      </c>
      <c r="M7">
        <f>J7/K7</f>
        <v>0.17837134410305139</v>
      </c>
      <c r="N7">
        <f t="shared" si="2"/>
        <v>5.6062816873895667</v>
      </c>
      <c r="O7">
        <f>N7</f>
        <v>5.6062816873895667</v>
      </c>
      <c r="P7">
        <f t="shared" si="3"/>
        <v>0.17837134410305139</v>
      </c>
      <c r="Q7">
        <v>4.9999999999999998E-8</v>
      </c>
      <c r="R7">
        <v>1000</v>
      </c>
      <c r="S7">
        <v>2.2471910112359548E-9</v>
      </c>
      <c r="T7">
        <v>0.7</v>
      </c>
      <c r="U7">
        <f t="shared" si="4"/>
        <v>0.85588965447360399</v>
      </c>
      <c r="V7">
        <f t="shared" si="0"/>
        <v>-15.073309074132718</v>
      </c>
      <c r="W7">
        <f t="shared" si="5"/>
        <v>4.7983584963015504</v>
      </c>
      <c r="X7">
        <f t="shared" si="1"/>
        <v>-14.324634159052101</v>
      </c>
      <c r="Y7">
        <v>5.0000000000000001E-4</v>
      </c>
      <c r="Z7">
        <f>Y7*Q7^2*R7/S7^2</f>
        <v>247.53125000000003</v>
      </c>
    </row>
    <row r="8" spans="1:26">
      <c r="A8">
        <v>40</v>
      </c>
      <c r="B8">
        <v>40</v>
      </c>
      <c r="C8">
        <v>2</v>
      </c>
      <c r="D8">
        <v>1</v>
      </c>
      <c r="E8">
        <v>2</v>
      </c>
      <c r="F8" t="s">
        <v>20</v>
      </c>
      <c r="G8">
        <v>6</v>
      </c>
      <c r="H8" t="s">
        <v>23</v>
      </c>
      <c r="I8">
        <v>0.77600000000000002</v>
      </c>
      <c r="J8">
        <v>0.90827899999999995</v>
      </c>
      <c r="K8">
        <v>4.1971400000000001</v>
      </c>
      <c r="L8">
        <v>4.1971400000000001</v>
      </c>
      <c r="M8">
        <f>J8/K8</f>
        <v>0.21640426576192359</v>
      </c>
      <c r="N8">
        <f t="shared" si="2"/>
        <v>4.6209809981294301</v>
      </c>
      <c r="O8">
        <f>N8</f>
        <v>4.6209809981294301</v>
      </c>
      <c r="P8">
        <f t="shared" si="3"/>
        <v>0.21640426576192356</v>
      </c>
      <c r="Q8">
        <v>4.9999999999999998E-8</v>
      </c>
      <c r="R8">
        <v>1000</v>
      </c>
      <c r="S8">
        <v>2.2471910112359548E-9</v>
      </c>
      <c r="T8">
        <v>0.77600000000000002</v>
      </c>
      <c r="U8">
        <f t="shared" si="4"/>
        <v>2.3008384841422633</v>
      </c>
      <c r="V8">
        <f t="shared" si="0"/>
        <v>-14.643840718193804</v>
      </c>
      <c r="W8">
        <f t="shared" si="5"/>
        <v>10.632130914986321</v>
      </c>
      <c r="X8">
        <f t="shared" si="1"/>
        <v>-13.97910653552762</v>
      </c>
      <c r="Y8">
        <v>5.0000000000000001E-4</v>
      </c>
      <c r="Z8">
        <f>Y8*Q8^2*R8/S8^2</f>
        <v>247.53125000000003</v>
      </c>
    </row>
    <row r="9" spans="1:26">
      <c r="A9">
        <v>40</v>
      </c>
      <c r="B9">
        <v>40</v>
      </c>
      <c r="C9">
        <v>2</v>
      </c>
      <c r="D9">
        <v>1</v>
      </c>
      <c r="E9">
        <v>2</v>
      </c>
      <c r="F9" t="s">
        <v>20</v>
      </c>
      <c r="G9">
        <v>8</v>
      </c>
      <c r="H9" t="s">
        <v>24</v>
      </c>
      <c r="I9">
        <v>0.82599999999999996</v>
      </c>
      <c r="J9">
        <v>1.9153800000000001</v>
      </c>
      <c r="K9">
        <v>7.6001399999999997</v>
      </c>
      <c r="L9">
        <v>7.6001399999999997</v>
      </c>
      <c r="M9">
        <f>J9/K9</f>
        <v>0.25201904175449402</v>
      </c>
      <c r="N9">
        <f t="shared" si="2"/>
        <v>3.9679541396485289</v>
      </c>
      <c r="O9">
        <f>N9</f>
        <v>3.9679541396485289</v>
      </c>
      <c r="P9">
        <f t="shared" si="3"/>
        <v>0.25201904175449402</v>
      </c>
      <c r="Q9">
        <v>4.9999999999999998E-8</v>
      </c>
      <c r="R9">
        <v>1000</v>
      </c>
      <c r="S9">
        <v>2.2471910112359548E-9</v>
      </c>
      <c r="T9">
        <v>0.82599999999999996</v>
      </c>
      <c r="U9">
        <f t="shared" si="4"/>
        <v>4.8520113486675438</v>
      </c>
      <c r="V9">
        <f t="shared" si="0"/>
        <v>-14.319805043033051</v>
      </c>
      <c r="W9">
        <f t="shared" si="5"/>
        <v>19.252558516567024</v>
      </c>
      <c r="X9">
        <f t="shared" si="1"/>
        <v>-13.721238398959347</v>
      </c>
      <c r="Y9">
        <v>5.0000000000000001E-4</v>
      </c>
      <c r="Z9">
        <f>Y9*Q9^2*R9/S9^2</f>
        <v>247.53125000000003</v>
      </c>
    </row>
    <row r="11" spans="1:26">
      <c r="A11">
        <v>40</v>
      </c>
      <c r="B11">
        <v>40</v>
      </c>
      <c r="C11">
        <v>2</v>
      </c>
      <c r="D11">
        <v>1</v>
      </c>
      <c r="E11">
        <v>2</v>
      </c>
      <c r="F11" t="s">
        <v>15</v>
      </c>
      <c r="G11">
        <v>0</v>
      </c>
      <c r="H11" t="s">
        <v>16</v>
      </c>
      <c r="I11">
        <v>0.30299999999999999</v>
      </c>
      <c r="J11">
        <v>5.7381400000000001E-3</v>
      </c>
      <c r="K11">
        <v>5.80426E-2</v>
      </c>
      <c r="L11">
        <v>5.80426E-2</v>
      </c>
      <c r="M11">
        <f>J11/K11</f>
        <v>9.8860836695806184E-2</v>
      </c>
      <c r="N11">
        <f>K11/J11</f>
        <v>10.115228976637029</v>
      </c>
      <c r="O11">
        <f>N11</f>
        <v>10.115228976637029</v>
      </c>
      <c r="P11">
        <f t="shared" si="3"/>
        <v>9.8860836695806184E-2</v>
      </c>
      <c r="Q11">
        <v>4.9999999999999998E-8</v>
      </c>
      <c r="R11">
        <v>1000</v>
      </c>
      <c r="S11">
        <v>2.2471910112359548E-9</v>
      </c>
      <c r="T11">
        <v>0.30299999999999999</v>
      </c>
      <c r="U11">
        <f>((Q11^2)*J11*1000)/(0.9869*(10^-12))</f>
        <v>1.4535768568243995E-2</v>
      </c>
      <c r="V11">
        <f t="shared" si="0"/>
        <v>-16.843288851306838</v>
      </c>
      <c r="W11">
        <f>((Q11^2)*K11*1000)/(0.9869*(10^-12))</f>
        <v>0.14703262741919138</v>
      </c>
      <c r="X11">
        <f t="shared" si="1"/>
        <v>-15.838313133041895</v>
      </c>
      <c r="Y11">
        <v>5.0000000000000001E-4</v>
      </c>
      <c r="Z11">
        <f t="shared" ref="Z11:Z19" si="6">Y11*Q11^2*R11/S11^2</f>
        <v>247.53125000000003</v>
      </c>
    </row>
    <row r="12" spans="1:26">
      <c r="A12">
        <v>40</v>
      </c>
      <c r="B12">
        <v>40</v>
      </c>
      <c r="C12">
        <v>2</v>
      </c>
      <c r="D12">
        <v>1</v>
      </c>
      <c r="E12">
        <v>2</v>
      </c>
      <c r="F12" t="s">
        <v>25</v>
      </c>
      <c r="G12">
        <v>1</v>
      </c>
      <c r="H12" t="s">
        <v>26</v>
      </c>
      <c r="I12">
        <v>0.44400000000000001</v>
      </c>
      <c r="J12">
        <v>1.60082E-2</v>
      </c>
      <c r="K12">
        <v>0.19577</v>
      </c>
      <c r="L12">
        <v>0.19577</v>
      </c>
      <c r="M12">
        <f t="shared" ref="M12:M19" si="7">J12/K12</f>
        <v>8.1770444909843185E-2</v>
      </c>
      <c r="N12">
        <f t="shared" si="2"/>
        <v>12.229357454304669</v>
      </c>
      <c r="O12">
        <f t="shared" ref="O12:O19" si="8">N12</f>
        <v>12.229357454304669</v>
      </c>
      <c r="P12">
        <f t="shared" si="3"/>
        <v>8.1770444909843185E-2</v>
      </c>
      <c r="Q12">
        <v>4.9999999999999998E-8</v>
      </c>
      <c r="R12">
        <v>1000</v>
      </c>
      <c r="S12">
        <v>2.2471910112359548E-9</v>
      </c>
      <c r="T12">
        <v>0.44400000000000001</v>
      </c>
      <c r="U12">
        <f t="shared" si="4"/>
        <v>4.0551727631978916E-2</v>
      </c>
      <c r="V12">
        <f t="shared" si="0"/>
        <v>-16.397717489765665</v>
      </c>
      <c r="W12">
        <f t="shared" si="5"/>
        <v>0.49592157260107411</v>
      </c>
      <c r="X12">
        <f t="shared" si="1"/>
        <v>-15.310313850503755</v>
      </c>
      <c r="Y12">
        <v>5.0000000000000001E-4</v>
      </c>
      <c r="Z12">
        <f t="shared" si="6"/>
        <v>247.53125000000003</v>
      </c>
    </row>
    <row r="13" spans="1:26">
      <c r="A13">
        <v>40</v>
      </c>
      <c r="B13">
        <v>40</v>
      </c>
      <c r="C13">
        <v>2</v>
      </c>
      <c r="D13">
        <v>1</v>
      </c>
      <c r="E13">
        <v>2</v>
      </c>
      <c r="F13" t="s">
        <v>25</v>
      </c>
      <c r="G13">
        <v>2</v>
      </c>
      <c r="H13" t="s">
        <v>27</v>
      </c>
      <c r="I13">
        <v>0.53600000000000003</v>
      </c>
      <c r="J13">
        <v>3.0432399999999998E-2</v>
      </c>
      <c r="K13">
        <v>0.45710000000000001</v>
      </c>
      <c r="L13">
        <v>0.45710000000000001</v>
      </c>
      <c r="M13">
        <f t="shared" si="7"/>
        <v>6.6577116604681685E-2</v>
      </c>
      <c r="N13">
        <f t="shared" si="2"/>
        <v>15.020175865196306</v>
      </c>
      <c r="O13">
        <f t="shared" si="8"/>
        <v>15.020175865196306</v>
      </c>
      <c r="P13">
        <f t="shared" si="3"/>
        <v>6.6577116604681685E-2</v>
      </c>
      <c r="Q13">
        <v>4.9999999999999998E-8</v>
      </c>
      <c r="R13">
        <v>1000</v>
      </c>
      <c r="S13">
        <v>2.2471910112359548E-9</v>
      </c>
      <c r="T13">
        <v>0.53600000000000003</v>
      </c>
      <c r="U13">
        <f t="shared" si="4"/>
        <v>7.7090890667747478E-2</v>
      </c>
      <c r="V13">
        <f t="shared" si="0"/>
        <v>-16.118723787715915</v>
      </c>
      <c r="W13">
        <f t="shared" si="5"/>
        <v>1.1579187354341878</v>
      </c>
      <c r="X13">
        <f t="shared" si="1"/>
        <v>-14.942048770038632</v>
      </c>
      <c r="Y13">
        <v>5.0000000000000001E-4</v>
      </c>
      <c r="Z13">
        <f t="shared" si="6"/>
        <v>247.53125000000003</v>
      </c>
    </row>
    <row r="14" spans="1:26">
      <c r="A14">
        <v>40</v>
      </c>
      <c r="B14">
        <v>40</v>
      </c>
      <c r="C14">
        <v>2</v>
      </c>
      <c r="D14">
        <v>1</v>
      </c>
      <c r="E14">
        <v>2</v>
      </c>
      <c r="F14" t="s">
        <v>25</v>
      </c>
      <c r="G14">
        <v>3</v>
      </c>
      <c r="H14" t="s">
        <v>28</v>
      </c>
      <c r="I14">
        <v>0.60299999999999998</v>
      </c>
      <c r="J14">
        <v>4.5804999999999998E-2</v>
      </c>
      <c r="K14">
        <v>0.85672899999999996</v>
      </c>
      <c r="L14">
        <v>0.85672899999999996</v>
      </c>
      <c r="M14">
        <f t="shared" si="7"/>
        <v>5.3464981341824543E-2</v>
      </c>
      <c r="N14">
        <f t="shared" si="2"/>
        <v>18.70383145944766</v>
      </c>
      <c r="O14">
        <f t="shared" si="8"/>
        <v>18.70383145944766</v>
      </c>
      <c r="P14">
        <f t="shared" si="3"/>
        <v>5.3464981341824543E-2</v>
      </c>
      <c r="Q14">
        <v>4.9999999999999998E-8</v>
      </c>
      <c r="R14">
        <v>1000</v>
      </c>
      <c r="S14">
        <v>2.2471910112359548E-9</v>
      </c>
      <c r="T14">
        <v>0.60299999999999998</v>
      </c>
      <c r="U14">
        <f t="shared" si="4"/>
        <v>0.1160325260918026</v>
      </c>
      <c r="V14">
        <f t="shared" si="0"/>
        <v>-15.941147103850556</v>
      </c>
      <c r="W14">
        <f t="shared" si="5"/>
        <v>2.1702528118350388</v>
      </c>
      <c r="X14">
        <f t="shared" si="1"/>
        <v>-14.669216523450331</v>
      </c>
      <c r="Y14">
        <v>5.0000000000000001E-4</v>
      </c>
      <c r="Z14">
        <f t="shared" si="6"/>
        <v>247.53125000000003</v>
      </c>
    </row>
    <row r="15" spans="1:26">
      <c r="A15">
        <v>40</v>
      </c>
      <c r="B15">
        <v>40</v>
      </c>
      <c r="C15">
        <v>2</v>
      </c>
      <c r="D15">
        <v>1</v>
      </c>
      <c r="E15">
        <v>2</v>
      </c>
      <c r="F15" t="s">
        <v>25</v>
      </c>
      <c r="G15">
        <v>4</v>
      </c>
      <c r="H15" t="s">
        <v>29</v>
      </c>
      <c r="I15">
        <v>0.65200000000000002</v>
      </c>
      <c r="J15">
        <v>6.0451999999999999E-2</v>
      </c>
      <c r="K15">
        <v>1.4008100000000001</v>
      </c>
      <c r="L15">
        <v>1.4008100000000001</v>
      </c>
      <c r="M15">
        <f t="shared" si="7"/>
        <v>4.3155031731640973E-2</v>
      </c>
      <c r="N15">
        <f t="shared" si="2"/>
        <v>23.172268907563026</v>
      </c>
      <c r="O15">
        <f t="shared" si="8"/>
        <v>23.172268907563026</v>
      </c>
      <c r="P15">
        <f t="shared" si="3"/>
        <v>4.315503173164098E-2</v>
      </c>
      <c r="Q15">
        <v>4.9999999999999998E-8</v>
      </c>
      <c r="R15">
        <v>1000</v>
      </c>
      <c r="S15">
        <v>2.2471910112359548E-9</v>
      </c>
      <c r="T15">
        <v>0.65200000000000002</v>
      </c>
      <c r="U15">
        <f t="shared" si="4"/>
        <v>0.15313608268314924</v>
      </c>
      <c r="V15">
        <f t="shared" si="0"/>
        <v>-15.820649317651512</v>
      </c>
      <c r="W15">
        <f t="shared" si="5"/>
        <v>3.54851048738474</v>
      </c>
      <c r="X15">
        <f t="shared" si="1"/>
        <v>-14.455680757931814</v>
      </c>
      <c r="Y15">
        <v>5.0000000000000001E-4</v>
      </c>
      <c r="Z15">
        <f t="shared" si="6"/>
        <v>247.53125000000003</v>
      </c>
    </row>
    <row r="16" spans="1:26">
      <c r="A16">
        <v>40</v>
      </c>
      <c r="B16">
        <v>40</v>
      </c>
      <c r="C16">
        <v>2</v>
      </c>
      <c r="D16">
        <v>1</v>
      </c>
      <c r="E16">
        <v>2</v>
      </c>
      <c r="F16" t="s">
        <v>25</v>
      </c>
      <c r="G16">
        <v>5</v>
      </c>
      <c r="H16" t="s">
        <v>30</v>
      </c>
      <c r="I16">
        <v>0.69099999999999995</v>
      </c>
      <c r="J16">
        <v>7.4018200000000006E-2</v>
      </c>
      <c r="K16">
        <v>2.0916600000000001</v>
      </c>
      <c r="L16" s="3">
        <v>2.0916600000000001</v>
      </c>
      <c r="M16">
        <f t="shared" si="7"/>
        <v>3.5387300039203311E-2</v>
      </c>
      <c r="N16">
        <f t="shared" si="2"/>
        <v>28.258725556687409</v>
      </c>
      <c r="O16">
        <f t="shared" si="8"/>
        <v>28.258725556687409</v>
      </c>
      <c r="P16">
        <f t="shared" si="3"/>
        <v>3.5387300039203311E-2</v>
      </c>
      <c r="Q16">
        <v>4.9999999999999998E-8</v>
      </c>
      <c r="R16">
        <v>1000</v>
      </c>
      <c r="S16">
        <v>2.2471910112359548E-9</v>
      </c>
      <c r="T16">
        <v>0.69099999999999995</v>
      </c>
      <c r="U16">
        <f t="shared" si="4"/>
        <v>0.18750177322930386</v>
      </c>
      <c r="V16">
        <f t="shared" si="0"/>
        <v>-15.732721471762771</v>
      </c>
      <c r="W16">
        <f t="shared" si="5"/>
        <v>5.2985611510791371</v>
      </c>
      <c r="X16">
        <f t="shared" si="1"/>
        <v>-14.281568900102275</v>
      </c>
      <c r="Y16">
        <v>5.0000000000000001E-4</v>
      </c>
      <c r="Z16">
        <f t="shared" si="6"/>
        <v>247.53125000000003</v>
      </c>
    </row>
    <row r="17" spans="1:26">
      <c r="A17">
        <v>40</v>
      </c>
      <c r="B17">
        <v>40</v>
      </c>
      <c r="C17">
        <v>2</v>
      </c>
      <c r="D17">
        <v>1</v>
      </c>
      <c r="E17">
        <v>2</v>
      </c>
      <c r="F17" t="s">
        <v>25</v>
      </c>
      <c r="G17">
        <v>6</v>
      </c>
      <c r="H17" t="s">
        <v>31</v>
      </c>
      <c r="I17">
        <v>0.72199999999999998</v>
      </c>
      <c r="J17">
        <v>8.6657100000000001E-2</v>
      </c>
      <c r="K17">
        <v>2.92964</v>
      </c>
      <c r="L17">
        <v>2.92964</v>
      </c>
      <c r="M17">
        <f t="shared" si="7"/>
        <v>2.9579436381261863E-2</v>
      </c>
      <c r="N17">
        <f t="shared" si="2"/>
        <v>33.807270264063767</v>
      </c>
      <c r="O17">
        <f t="shared" si="8"/>
        <v>33.807270264063767</v>
      </c>
      <c r="P17">
        <f t="shared" si="3"/>
        <v>2.957943638126186E-2</v>
      </c>
      <c r="Q17">
        <v>4.9999999999999998E-8</v>
      </c>
      <c r="R17">
        <v>1000</v>
      </c>
      <c r="S17">
        <v>2.2471910112359548E-9</v>
      </c>
      <c r="T17">
        <v>0.72199999999999998</v>
      </c>
      <c r="U17">
        <f t="shared" si="4"/>
        <v>0.21951844158476033</v>
      </c>
      <c r="V17">
        <f t="shared" si="0"/>
        <v>-15.664255840152238</v>
      </c>
      <c r="W17">
        <f t="shared" si="5"/>
        <v>7.4213192826020862</v>
      </c>
      <c r="X17">
        <f t="shared" si="1"/>
        <v>-14.135245734666395</v>
      </c>
      <c r="Y17">
        <v>5.0000000000000001E-4</v>
      </c>
      <c r="Z17">
        <f t="shared" si="6"/>
        <v>247.53125000000003</v>
      </c>
    </row>
    <row r="18" spans="1:26">
      <c r="A18">
        <v>40</v>
      </c>
      <c r="B18">
        <v>40</v>
      </c>
      <c r="C18">
        <v>2</v>
      </c>
      <c r="D18">
        <v>1</v>
      </c>
      <c r="E18">
        <v>2</v>
      </c>
      <c r="F18" t="s">
        <v>25</v>
      </c>
      <c r="G18">
        <v>7</v>
      </c>
      <c r="H18" t="s">
        <v>32</v>
      </c>
      <c r="I18">
        <v>0.747</v>
      </c>
      <c r="J18">
        <v>9.8605100000000001E-2</v>
      </c>
      <c r="K18">
        <v>3.9140700000000002</v>
      </c>
      <c r="L18">
        <v>3.9140700000000002</v>
      </c>
      <c r="M18">
        <f t="shared" si="7"/>
        <v>2.5192472285881447E-2</v>
      </c>
      <c r="N18">
        <f t="shared" si="2"/>
        <v>39.694397145786581</v>
      </c>
      <c r="O18">
        <f t="shared" si="8"/>
        <v>39.694397145786581</v>
      </c>
      <c r="P18">
        <f t="shared" si="3"/>
        <v>2.5192472285881444E-2</v>
      </c>
      <c r="Q18">
        <v>4.9999999999999998E-8</v>
      </c>
      <c r="R18">
        <v>1000</v>
      </c>
      <c r="S18">
        <v>2.2471910112359548E-9</v>
      </c>
      <c r="T18">
        <v>0.747</v>
      </c>
      <c r="U18">
        <f t="shared" si="4"/>
        <v>0.24978493261728646</v>
      </c>
      <c r="V18">
        <f t="shared" si="0"/>
        <v>-15.608160613459999</v>
      </c>
      <c r="W18">
        <f t="shared" si="5"/>
        <v>9.9150623163441072</v>
      </c>
      <c r="X18">
        <f t="shared" si="1"/>
        <v>-14.009431402928339</v>
      </c>
      <c r="Y18">
        <v>5.0000000000000001E-4</v>
      </c>
      <c r="Z18">
        <f t="shared" si="6"/>
        <v>247.53125000000003</v>
      </c>
    </row>
    <row r="19" spans="1:26">
      <c r="A19">
        <v>40</v>
      </c>
      <c r="B19">
        <v>40</v>
      </c>
      <c r="C19">
        <v>2</v>
      </c>
      <c r="D19">
        <v>1</v>
      </c>
      <c r="E19">
        <v>2</v>
      </c>
      <c r="F19" t="s">
        <v>25</v>
      </c>
      <c r="G19">
        <v>8</v>
      </c>
      <c r="H19" t="s">
        <v>33</v>
      </c>
      <c r="I19">
        <v>0.76800000000000002</v>
      </c>
      <c r="J19">
        <v>0.110058</v>
      </c>
      <c r="K19">
        <v>5.0436199999999998</v>
      </c>
      <c r="L19">
        <v>5.0436199999999998</v>
      </c>
      <c r="M19">
        <f t="shared" si="7"/>
        <v>2.1821231575733305E-2</v>
      </c>
      <c r="N19">
        <f t="shared" si="2"/>
        <v>45.826927619982186</v>
      </c>
      <c r="O19">
        <f t="shared" si="8"/>
        <v>45.826927619982186</v>
      </c>
      <c r="P19">
        <f t="shared" si="3"/>
        <v>2.1821231575733305E-2</v>
      </c>
      <c r="Q19">
        <v>4.9999999999999998E-8</v>
      </c>
      <c r="R19">
        <v>1000</v>
      </c>
      <c r="S19">
        <v>2.2471910112359548E-9</v>
      </c>
      <c r="T19">
        <v>0.76800000000000002</v>
      </c>
      <c r="U19">
        <f t="shared" si="4"/>
        <v>0.27879724389502475</v>
      </c>
      <c r="V19">
        <f t="shared" si="0"/>
        <v>-15.560438374883134</v>
      </c>
      <c r="W19">
        <f t="shared" si="5"/>
        <v>12.776421116627821</v>
      </c>
      <c r="X19">
        <f t="shared" si="1"/>
        <v>-13.899317633117629</v>
      </c>
      <c r="Y19">
        <v>5.0000000000000001E-4</v>
      </c>
      <c r="Z19">
        <f t="shared" si="6"/>
        <v>247.53125000000003</v>
      </c>
    </row>
    <row r="21" spans="1:26">
      <c r="A21">
        <v>40</v>
      </c>
      <c r="B21">
        <v>40</v>
      </c>
      <c r="C21">
        <v>2</v>
      </c>
      <c r="D21">
        <v>1</v>
      </c>
      <c r="E21">
        <v>2</v>
      </c>
      <c r="F21" t="s">
        <v>15</v>
      </c>
      <c r="G21">
        <v>0</v>
      </c>
      <c r="H21" t="s">
        <v>16</v>
      </c>
      <c r="I21">
        <v>0.30299999999999999</v>
      </c>
      <c r="J21">
        <v>5.7381400000000001E-3</v>
      </c>
      <c r="K21">
        <v>5.80426E-2</v>
      </c>
      <c r="L21">
        <v>5.80426E-2</v>
      </c>
      <c r="M21">
        <f>J21/K21</f>
        <v>9.8860836695806184E-2</v>
      </c>
      <c r="N21">
        <f>K21/J21</f>
        <v>10.115228976637029</v>
      </c>
      <c r="O21">
        <f>M21</f>
        <v>9.8860836695806184E-2</v>
      </c>
      <c r="P21">
        <f t="shared" si="3"/>
        <v>10.115228976637029</v>
      </c>
      <c r="Q21">
        <v>4.9999999999999998E-8</v>
      </c>
      <c r="R21">
        <v>1000</v>
      </c>
      <c r="S21">
        <v>2.2471910112359548E-9</v>
      </c>
      <c r="T21">
        <v>0.30299999999999999</v>
      </c>
      <c r="U21">
        <f>((Q21^2)*J21*1000)/(0.9869*(10^-12))</f>
        <v>1.4535768568243995E-2</v>
      </c>
      <c r="V21">
        <f t="shared" si="0"/>
        <v>-16.843288851306838</v>
      </c>
      <c r="W21">
        <f>((Q21^2)*K21*1000)/(0.9869*(10^-12))</f>
        <v>0.14703262741919138</v>
      </c>
      <c r="X21">
        <f t="shared" si="1"/>
        <v>-15.838313133041895</v>
      </c>
      <c r="Y21">
        <v>5.0000000000000001E-4</v>
      </c>
      <c r="Z21">
        <f t="shared" ref="Z21:Z30" si="9">Y21*Q21^2*R21/S21^2</f>
        <v>247.53125000000003</v>
      </c>
    </row>
    <row r="22" spans="1:26">
      <c r="A22">
        <v>40</v>
      </c>
      <c r="B22">
        <v>40</v>
      </c>
      <c r="C22">
        <v>2</v>
      </c>
      <c r="D22">
        <v>1</v>
      </c>
      <c r="E22">
        <v>2</v>
      </c>
      <c r="F22" t="s">
        <v>34</v>
      </c>
      <c r="G22">
        <v>2</v>
      </c>
      <c r="H22" t="s">
        <v>35</v>
      </c>
      <c r="I22">
        <v>0.35499999999999998</v>
      </c>
      <c r="J22">
        <v>2.1506299999999999E-2</v>
      </c>
      <c r="K22">
        <v>0.100386</v>
      </c>
      <c r="L22">
        <v>0.100386</v>
      </c>
      <c r="M22">
        <f t="shared" ref="M22:M28" si="10">J22/K22</f>
        <v>0.21423604885143346</v>
      </c>
      <c r="N22">
        <f t="shared" si="2"/>
        <v>4.6677485202010578</v>
      </c>
      <c r="O22">
        <f t="shared" ref="O22:O30" si="11">M22</f>
        <v>0.21423604885143346</v>
      </c>
      <c r="P22">
        <f t="shared" si="3"/>
        <v>4.6677485202010578</v>
      </c>
      <c r="Q22">
        <v>4.9999999999999998E-8</v>
      </c>
      <c r="R22">
        <v>1000</v>
      </c>
      <c r="S22">
        <v>2.2471910112359548E-9</v>
      </c>
      <c r="T22">
        <v>0.35499999999999998</v>
      </c>
      <c r="U22">
        <f t="shared" si="4"/>
        <v>5.4479430540074973E-2</v>
      </c>
      <c r="V22">
        <f t="shared" si="0"/>
        <v>-16.26949429167048</v>
      </c>
      <c r="W22">
        <f t="shared" si="5"/>
        <v>0.25429628128483128</v>
      </c>
      <c r="X22">
        <f t="shared" si="1"/>
        <v>-15.600386841733096</v>
      </c>
      <c r="Y22">
        <v>5.0000000000000001E-4</v>
      </c>
      <c r="Z22">
        <f t="shared" si="9"/>
        <v>247.53125000000003</v>
      </c>
    </row>
    <row r="23" spans="1:26">
      <c r="A23">
        <v>40</v>
      </c>
      <c r="B23">
        <v>40</v>
      </c>
      <c r="C23">
        <v>2</v>
      </c>
      <c r="D23">
        <v>1</v>
      </c>
      <c r="E23">
        <v>2</v>
      </c>
      <c r="F23" t="s">
        <v>34</v>
      </c>
      <c r="G23">
        <v>4</v>
      </c>
      <c r="H23" t="s">
        <v>36</v>
      </c>
      <c r="I23">
        <v>0.4</v>
      </c>
      <c r="J23">
        <v>6.3871200000000003E-2</v>
      </c>
      <c r="K23">
        <v>0.15451500000000001</v>
      </c>
      <c r="L23">
        <v>0.15451500000000001</v>
      </c>
      <c r="M23">
        <f t="shared" si="10"/>
        <v>0.41336569265119888</v>
      </c>
      <c r="N23">
        <f t="shared" si="2"/>
        <v>2.4191654454589862</v>
      </c>
      <c r="O23">
        <f t="shared" si="11"/>
        <v>0.41336569265119888</v>
      </c>
      <c r="P23">
        <f t="shared" si="3"/>
        <v>2.4191654454589866</v>
      </c>
      <c r="Q23">
        <v>4.9999999999999998E-8</v>
      </c>
      <c r="R23">
        <v>1000</v>
      </c>
      <c r="S23">
        <v>2.2471910112359548E-9</v>
      </c>
      <c r="T23">
        <v>0.4</v>
      </c>
      <c r="U23">
        <f t="shared" si="4"/>
        <v>0.16179754787719119</v>
      </c>
      <c r="V23">
        <f t="shared" si="0"/>
        <v>-15.796754915650913</v>
      </c>
      <c r="W23">
        <f t="shared" si="5"/>
        <v>0.39141503698449692</v>
      </c>
      <c r="X23">
        <f t="shared" si="1"/>
        <v>-15.413089345100991</v>
      </c>
      <c r="Y23">
        <v>5.0000000000000001E-4</v>
      </c>
      <c r="Z23">
        <f t="shared" si="9"/>
        <v>247.53125000000003</v>
      </c>
    </row>
    <row r="24" spans="1:26">
      <c r="A24">
        <v>40</v>
      </c>
      <c r="B24">
        <v>40</v>
      </c>
      <c r="C24">
        <v>2</v>
      </c>
      <c r="D24">
        <v>1</v>
      </c>
      <c r="E24">
        <v>2</v>
      </c>
      <c r="F24" t="s">
        <v>34</v>
      </c>
      <c r="G24">
        <v>6</v>
      </c>
      <c r="H24" t="s">
        <v>37</v>
      </c>
      <c r="I24">
        <v>0.441</v>
      </c>
      <c r="J24">
        <v>0.153173</v>
      </c>
      <c r="K24">
        <v>0.21262500000000001</v>
      </c>
      <c r="L24">
        <v>0.21262500000000001</v>
      </c>
      <c r="M24">
        <f t="shared" si="10"/>
        <v>0.72039035861258083</v>
      </c>
      <c r="N24">
        <f t="shared" si="2"/>
        <v>1.3881362903383756</v>
      </c>
      <c r="O24">
        <f t="shared" si="11"/>
        <v>0.72039035861258083</v>
      </c>
      <c r="P24">
        <f t="shared" si="3"/>
        <v>1.3881362903383756</v>
      </c>
      <c r="Q24">
        <v>4.9999999999999998E-8</v>
      </c>
      <c r="R24">
        <v>1000</v>
      </c>
      <c r="S24">
        <v>2.2471910112359548E-9</v>
      </c>
      <c r="T24">
        <v>0.441</v>
      </c>
      <c r="U24">
        <f t="shared" si="4"/>
        <v>0.38801550309048533</v>
      </c>
      <c r="V24">
        <f t="shared" si="0"/>
        <v>-15.416877772927101</v>
      </c>
      <c r="W24">
        <f t="shared" si="5"/>
        <v>0.53861840105380476</v>
      </c>
      <c r="X24">
        <f t="shared" si="1"/>
        <v>-15.274445664707336</v>
      </c>
      <c r="Y24">
        <v>5.0000000000000001E-4</v>
      </c>
      <c r="Z24">
        <f t="shared" si="9"/>
        <v>247.53125000000003</v>
      </c>
    </row>
    <row r="25" spans="1:26">
      <c r="A25">
        <v>40</v>
      </c>
      <c r="B25">
        <v>40</v>
      </c>
      <c r="C25">
        <v>2</v>
      </c>
      <c r="D25">
        <v>1</v>
      </c>
      <c r="E25">
        <v>2</v>
      </c>
      <c r="F25" t="s">
        <v>34</v>
      </c>
      <c r="G25">
        <v>8</v>
      </c>
      <c r="H25" t="s">
        <v>38</v>
      </c>
      <c r="I25">
        <v>0.47799999999999998</v>
      </c>
      <c r="J25">
        <v>0.31335099999999999</v>
      </c>
      <c r="K25">
        <v>0.27275899999999997</v>
      </c>
      <c r="L25">
        <v>0.27275899999999997</v>
      </c>
      <c r="M25">
        <f t="shared" si="10"/>
        <v>1.1488200206042698</v>
      </c>
      <c r="N25">
        <f t="shared" si="2"/>
        <v>0.87045836777288088</v>
      </c>
      <c r="O25">
        <f t="shared" si="11"/>
        <v>1.1488200206042698</v>
      </c>
      <c r="P25">
        <f t="shared" si="3"/>
        <v>0.87045836777288077</v>
      </c>
      <c r="Q25">
        <v>4.9999999999999998E-8</v>
      </c>
      <c r="R25">
        <v>1000</v>
      </c>
      <c r="S25">
        <v>2.2471910112359548E-9</v>
      </c>
      <c r="T25">
        <v>0.47799999999999998</v>
      </c>
      <c r="U25">
        <f t="shared" si="4"/>
        <v>0.79377596514337823</v>
      </c>
      <c r="V25">
        <f t="shared" si="0"/>
        <v>-15.106028906321688</v>
      </c>
      <c r="W25">
        <f t="shared" si="5"/>
        <v>0.69094893099604804</v>
      </c>
      <c r="X25">
        <f t="shared" si="1"/>
        <v>-15.16628090178032</v>
      </c>
      <c r="Y25">
        <v>5.0000000000000001E-4</v>
      </c>
      <c r="Z25">
        <f t="shared" si="9"/>
        <v>247.53125000000003</v>
      </c>
    </row>
    <row r="26" spans="1:26">
      <c r="A26">
        <v>40</v>
      </c>
      <c r="B26">
        <v>40</v>
      </c>
      <c r="C26">
        <v>2</v>
      </c>
      <c r="D26">
        <v>1</v>
      </c>
      <c r="E26">
        <v>2</v>
      </c>
      <c r="F26" t="s">
        <v>34</v>
      </c>
      <c r="G26">
        <v>12</v>
      </c>
      <c r="H26" t="s">
        <v>39</v>
      </c>
      <c r="I26">
        <v>0.54300000000000004</v>
      </c>
      <c r="J26">
        <v>0.95218899999999995</v>
      </c>
      <c r="K26">
        <v>0.39777099999999999</v>
      </c>
      <c r="L26">
        <v>0.39777099999999999</v>
      </c>
      <c r="M26">
        <f t="shared" si="10"/>
        <v>2.3938120174673365</v>
      </c>
      <c r="N26">
        <f t="shared" si="2"/>
        <v>0.41774374625205712</v>
      </c>
      <c r="O26">
        <f t="shared" si="11"/>
        <v>2.3938120174673365</v>
      </c>
      <c r="P26">
        <f t="shared" si="3"/>
        <v>0.41774374625205712</v>
      </c>
      <c r="Q26">
        <v>4.9999999999999998E-8</v>
      </c>
      <c r="R26">
        <v>1000</v>
      </c>
      <c r="S26">
        <v>2.2471910112359548E-9</v>
      </c>
      <c r="T26">
        <v>0.54300000000000004</v>
      </c>
      <c r="U26">
        <f t="shared" si="4"/>
        <v>2.4120706251899882</v>
      </c>
      <c r="V26">
        <f t="shared" si="0"/>
        <v>-14.623336831272956</v>
      </c>
      <c r="W26">
        <f t="shared" si="5"/>
        <v>1.0076274191914072</v>
      </c>
      <c r="X26">
        <f t="shared" si="1"/>
        <v>-15.002426874176233</v>
      </c>
      <c r="Y26">
        <v>5.0000000000000001E-4</v>
      </c>
      <c r="Z26">
        <f t="shared" si="9"/>
        <v>247.53125000000003</v>
      </c>
    </row>
    <row r="27" spans="1:26">
      <c r="A27">
        <v>40</v>
      </c>
      <c r="B27">
        <v>40</v>
      </c>
      <c r="C27">
        <v>2</v>
      </c>
      <c r="D27">
        <v>1</v>
      </c>
      <c r="E27">
        <v>2</v>
      </c>
      <c r="F27" t="s">
        <v>34</v>
      </c>
      <c r="G27">
        <v>16</v>
      </c>
      <c r="H27" t="s">
        <v>40</v>
      </c>
      <c r="I27">
        <v>0.59699999999999998</v>
      </c>
      <c r="J27">
        <v>2.2000199999999999</v>
      </c>
      <c r="K27">
        <v>0.52890899999999996</v>
      </c>
      <c r="L27">
        <v>0.52890899999999996</v>
      </c>
      <c r="M27">
        <f t="shared" si="10"/>
        <v>4.1595435131563274</v>
      </c>
      <c r="N27">
        <f t="shared" si="2"/>
        <v>0.24041099626367032</v>
      </c>
      <c r="O27">
        <f t="shared" si="11"/>
        <v>4.1595435131563274</v>
      </c>
      <c r="P27">
        <f t="shared" si="3"/>
        <v>0.24041099626367032</v>
      </c>
      <c r="Q27">
        <v>4.9999999999999998E-8</v>
      </c>
      <c r="R27">
        <v>1000</v>
      </c>
      <c r="S27">
        <v>2.2471910112359548E-9</v>
      </c>
      <c r="T27">
        <v>0.59699999999999998</v>
      </c>
      <c r="U27">
        <f t="shared" si="4"/>
        <v>5.5730570473198897</v>
      </c>
      <c r="V27">
        <f t="shared" si="0"/>
        <v>-14.259633362392048</v>
      </c>
      <c r="W27">
        <f t="shared" si="5"/>
        <v>1.3398241969804434</v>
      </c>
      <c r="X27">
        <f t="shared" si="1"/>
        <v>-14.87867903422185</v>
      </c>
      <c r="Y27">
        <v>5.0000000000000001E-4</v>
      </c>
      <c r="Z27">
        <f t="shared" si="9"/>
        <v>247.53125000000003</v>
      </c>
    </row>
    <row r="28" spans="1:26">
      <c r="A28">
        <v>40</v>
      </c>
      <c r="B28">
        <v>40</v>
      </c>
      <c r="C28">
        <v>2</v>
      </c>
      <c r="D28">
        <v>1</v>
      </c>
      <c r="E28">
        <v>2</v>
      </c>
      <c r="F28" t="s">
        <v>34</v>
      </c>
      <c r="G28">
        <v>20</v>
      </c>
      <c r="H28" t="s">
        <v>41</v>
      </c>
      <c r="I28">
        <v>0.64300000000000002</v>
      </c>
      <c r="J28">
        <v>4.2774799999999997</v>
      </c>
      <c r="K28">
        <v>0.66661400000000004</v>
      </c>
      <c r="L28">
        <v>0.66661400000000004</v>
      </c>
      <c r="M28">
        <f t="shared" si="10"/>
        <v>6.4167269214267924</v>
      </c>
      <c r="N28">
        <f t="shared" si="2"/>
        <v>0.15584269242638191</v>
      </c>
      <c r="O28">
        <f t="shared" si="11"/>
        <v>6.4167269214267924</v>
      </c>
      <c r="P28">
        <f t="shared" si="3"/>
        <v>0.15584269242638191</v>
      </c>
      <c r="Q28">
        <v>4.9999999999999998E-8</v>
      </c>
      <c r="R28">
        <v>1000</v>
      </c>
      <c r="S28">
        <v>2.2471910112359548E-9</v>
      </c>
      <c r="T28">
        <v>0.64300000000000002</v>
      </c>
      <c r="U28">
        <f t="shared" si="4"/>
        <v>10.835646975377442</v>
      </c>
      <c r="V28">
        <f t="shared" si="0"/>
        <v>-13.970872003719137</v>
      </c>
      <c r="W28">
        <f t="shared" si="5"/>
        <v>1.6886563988246022</v>
      </c>
      <c r="X28">
        <f t="shared" si="1"/>
        <v>-14.778185561003001</v>
      </c>
      <c r="Y28">
        <v>5.0000000000000001E-4</v>
      </c>
      <c r="Z28">
        <f t="shared" si="9"/>
        <v>247.53125000000003</v>
      </c>
    </row>
    <row r="29" spans="1:26">
      <c r="A29">
        <v>40</v>
      </c>
      <c r="B29">
        <v>40</v>
      </c>
      <c r="C29">
        <v>2</v>
      </c>
      <c r="D29">
        <v>1</v>
      </c>
      <c r="E29">
        <v>2</v>
      </c>
      <c r="F29" t="s">
        <v>34</v>
      </c>
      <c r="G29">
        <v>26</v>
      </c>
      <c r="H29" t="s">
        <v>42</v>
      </c>
      <c r="I29">
        <v>0.69899999999999995</v>
      </c>
      <c r="J29">
        <v>9.4066799999999997</v>
      </c>
      <c r="K29">
        <v>0.88991299999999995</v>
      </c>
      <c r="L29">
        <v>0.88991299999999995</v>
      </c>
      <c r="M29">
        <f>J29/K29</f>
        <v>10.570336650886098</v>
      </c>
      <c r="N29">
        <f t="shared" si="2"/>
        <v>9.460436625887135E-2</v>
      </c>
      <c r="O29">
        <f t="shared" si="11"/>
        <v>10.570336650886098</v>
      </c>
      <c r="P29">
        <f t="shared" si="3"/>
        <v>9.460436625887135E-2</v>
      </c>
      <c r="Q29">
        <v>4.9999999999999998E-8</v>
      </c>
      <c r="R29">
        <v>1000</v>
      </c>
      <c r="S29">
        <v>2.2471910112359548E-9</v>
      </c>
      <c r="T29">
        <v>0.69899999999999995</v>
      </c>
      <c r="U29">
        <f t="shared" si="4"/>
        <v>23.828858040328296</v>
      </c>
      <c r="V29">
        <f t="shared" si="0"/>
        <v>-13.628623621045774</v>
      </c>
      <c r="W29">
        <f t="shared" si="5"/>
        <v>2.2543140135778699</v>
      </c>
      <c r="X29">
        <f t="shared" si="1"/>
        <v>-14.652712440263693</v>
      </c>
      <c r="Y29">
        <v>5.0000000000000001E-4</v>
      </c>
      <c r="Z29">
        <f t="shared" si="9"/>
        <v>247.53125000000003</v>
      </c>
    </row>
    <row r="30" spans="1:26">
      <c r="A30">
        <v>40</v>
      </c>
      <c r="B30">
        <v>40</v>
      </c>
      <c r="C30">
        <v>2</v>
      </c>
      <c r="D30">
        <v>1</v>
      </c>
      <c r="E30">
        <v>2</v>
      </c>
      <c r="F30" t="s">
        <v>34</v>
      </c>
      <c r="G30">
        <v>32</v>
      </c>
      <c r="H30" t="s">
        <v>43</v>
      </c>
      <c r="I30">
        <v>0.74299999999999999</v>
      </c>
      <c r="J30">
        <v>17.5151</v>
      </c>
      <c r="K30">
        <v>1.1516</v>
      </c>
      <c r="L30">
        <v>1.1516</v>
      </c>
      <c r="M30">
        <f>J30/K30</f>
        <v>15.209360889197638</v>
      </c>
      <c r="N30">
        <f t="shared" si="2"/>
        <v>6.5748982306695361E-2</v>
      </c>
      <c r="O30">
        <f t="shared" si="11"/>
        <v>15.209360889197638</v>
      </c>
      <c r="P30">
        <f t="shared" si="3"/>
        <v>6.5748982306695361E-2</v>
      </c>
      <c r="Q30">
        <v>4.9999999999999998E-8</v>
      </c>
      <c r="R30">
        <v>1000</v>
      </c>
      <c r="S30">
        <v>2.2471910112359548E-9</v>
      </c>
      <c r="T30">
        <v>0.74299999999999999</v>
      </c>
      <c r="U30">
        <f t="shared" si="4"/>
        <v>44.368983686290406</v>
      </c>
      <c r="V30">
        <f t="shared" si="0"/>
        <v>-13.358647370123911</v>
      </c>
      <c r="W30">
        <f t="shared" si="5"/>
        <v>2.9172155233559627</v>
      </c>
      <c r="X30">
        <f t="shared" si="1"/>
        <v>-14.540758335121918</v>
      </c>
      <c r="Y30">
        <v>5.0000000000000001E-4</v>
      </c>
      <c r="Z30">
        <f t="shared" si="9"/>
        <v>247.53125000000003</v>
      </c>
    </row>
    <row r="31" spans="1:26" s="4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>
      <c r="A32">
        <v>40</v>
      </c>
      <c r="B32">
        <v>40</v>
      </c>
      <c r="C32">
        <v>2</v>
      </c>
      <c r="D32">
        <v>1</v>
      </c>
      <c r="E32">
        <v>2</v>
      </c>
      <c r="F32" t="s">
        <v>15</v>
      </c>
      <c r="G32">
        <v>0</v>
      </c>
      <c r="H32" t="s">
        <v>16</v>
      </c>
      <c r="I32">
        <v>0.30299999999999999</v>
      </c>
      <c r="J32">
        <v>5.7381400000000001E-3</v>
      </c>
      <c r="K32">
        <v>5.80426E-2</v>
      </c>
      <c r="L32">
        <v>5.80426E-2</v>
      </c>
      <c r="M32">
        <f>J32/K32</f>
        <v>9.8860836695806184E-2</v>
      </c>
      <c r="N32">
        <f>K32/J32</f>
        <v>10.115228976637029</v>
      </c>
      <c r="O32">
        <f>N32</f>
        <v>10.115228976637029</v>
      </c>
      <c r="P32">
        <f t="shared" si="3"/>
        <v>9.8860836695806184E-2</v>
      </c>
      <c r="Q32">
        <v>4.9999999999999998E-8</v>
      </c>
      <c r="R32">
        <v>1000</v>
      </c>
      <c r="S32">
        <v>2.2471910112359548E-9</v>
      </c>
      <c r="T32">
        <v>0.30299999999999999</v>
      </c>
      <c r="U32">
        <f>((Q32^2)*J32*1000)/(0.9869*(10^-12))</f>
        <v>1.4535768568243995E-2</v>
      </c>
      <c r="V32">
        <f t="shared" si="0"/>
        <v>-16.843288851306838</v>
      </c>
      <c r="W32">
        <f>((Q32^2)*K32*1000)/(0.9869*(10^-12))</f>
        <v>0.14703262741919138</v>
      </c>
      <c r="X32">
        <f t="shared" si="1"/>
        <v>-15.838313133041895</v>
      </c>
      <c r="Y32">
        <v>5.0000000000000001E-4</v>
      </c>
      <c r="Z32">
        <f t="shared" ref="Z32:Z41" si="12">Y32*Q32^2*R32/S32^2</f>
        <v>247.53125000000003</v>
      </c>
    </row>
    <row r="33" spans="1:26">
      <c r="A33" s="4">
        <v>40</v>
      </c>
      <c r="B33" s="4">
        <v>40</v>
      </c>
      <c r="C33" s="4">
        <v>2</v>
      </c>
      <c r="D33" s="4">
        <v>1</v>
      </c>
      <c r="E33" s="4">
        <v>2</v>
      </c>
      <c r="F33" s="4" t="s">
        <v>44</v>
      </c>
      <c r="G33" s="4">
        <v>1</v>
      </c>
      <c r="H33" s="4" t="s">
        <v>45</v>
      </c>
      <c r="I33" s="4">
        <v>0.38200000000000001</v>
      </c>
      <c r="J33" s="4">
        <v>8.6976999999999992E-3</v>
      </c>
      <c r="K33" s="4">
        <v>0.13444700000000001</v>
      </c>
      <c r="L33" s="4">
        <v>0.13444700000000001</v>
      </c>
      <c r="M33" s="4">
        <f t="shared" ref="M33:M39" si="13">J33/K33</f>
        <v>6.4692406673261565E-2</v>
      </c>
      <c r="N33">
        <f t="shared" si="2"/>
        <v>15.457764696413998</v>
      </c>
      <c r="O33">
        <f t="shared" ref="O33:O41" si="14">N33</f>
        <v>15.457764696413998</v>
      </c>
      <c r="P33">
        <f t="shared" si="3"/>
        <v>6.4692406673261565E-2</v>
      </c>
      <c r="Q33">
        <v>4.9999999999999998E-8</v>
      </c>
      <c r="R33">
        <v>1000</v>
      </c>
      <c r="S33">
        <v>2.2471910112359548E-9</v>
      </c>
      <c r="T33" s="4">
        <v>0.38200000000000001</v>
      </c>
      <c r="U33">
        <f t="shared" si="4"/>
        <v>2.2032880737663386E-2</v>
      </c>
      <c r="V33">
        <f t="shared" si="0"/>
        <v>-16.662655567372237</v>
      </c>
      <c r="W33">
        <f t="shared" si="5"/>
        <v>0.34057908602695308</v>
      </c>
      <c r="X33">
        <f t="shared" si="1"/>
        <v>-15.473508875344928</v>
      </c>
      <c r="Y33">
        <v>5.0000000000000001E-4</v>
      </c>
      <c r="Z33">
        <f t="shared" si="12"/>
        <v>247.53125000000003</v>
      </c>
    </row>
    <row r="34" spans="1:26">
      <c r="A34">
        <v>40</v>
      </c>
      <c r="B34">
        <v>40</v>
      </c>
      <c r="C34">
        <v>2</v>
      </c>
      <c r="D34">
        <v>1</v>
      </c>
      <c r="E34">
        <v>2</v>
      </c>
      <c r="F34" t="s">
        <v>44</v>
      </c>
      <c r="G34">
        <v>2</v>
      </c>
      <c r="H34" t="s">
        <v>26</v>
      </c>
      <c r="I34">
        <v>0.44400000000000001</v>
      </c>
      <c r="J34">
        <v>1.06876E-2</v>
      </c>
      <c r="K34">
        <v>0.29711700000000002</v>
      </c>
      <c r="L34">
        <v>0.29711700000000002</v>
      </c>
      <c r="M34">
        <f t="shared" si="13"/>
        <v>3.5971014785421231E-2</v>
      </c>
      <c r="N34">
        <f t="shared" si="2"/>
        <v>27.800160934166698</v>
      </c>
      <c r="O34">
        <f t="shared" si="14"/>
        <v>27.800160934166698</v>
      </c>
      <c r="P34">
        <f t="shared" si="3"/>
        <v>3.5971014785421231E-2</v>
      </c>
      <c r="Q34">
        <v>4.9999999999999998E-8</v>
      </c>
      <c r="R34">
        <v>1000</v>
      </c>
      <c r="S34">
        <v>2.2471910112359548E-9</v>
      </c>
      <c r="T34">
        <v>0.44400000000000001</v>
      </c>
      <c r="U34">
        <f t="shared" si="4"/>
        <v>2.7073665011652651E-2</v>
      </c>
      <c r="V34">
        <f t="shared" si="0"/>
        <v>-16.573179800036645</v>
      </c>
      <c r="W34">
        <f t="shared" si="5"/>
        <v>0.75265224440166179</v>
      </c>
      <c r="X34">
        <f t="shared" si="1"/>
        <v>-15.129132489995611</v>
      </c>
      <c r="Y34">
        <v>5.0000000000000001E-4</v>
      </c>
      <c r="Z34">
        <f t="shared" si="12"/>
        <v>247.53125000000003</v>
      </c>
    </row>
    <row r="35" spans="1:26">
      <c r="A35">
        <v>40</v>
      </c>
      <c r="B35">
        <v>40</v>
      </c>
      <c r="C35">
        <v>2</v>
      </c>
      <c r="D35">
        <v>1</v>
      </c>
      <c r="E35">
        <v>2</v>
      </c>
      <c r="F35" t="s">
        <v>44</v>
      </c>
      <c r="G35">
        <v>3</v>
      </c>
      <c r="H35" t="s">
        <v>46</v>
      </c>
      <c r="I35">
        <v>0.49399999999999999</v>
      </c>
      <c r="J35">
        <v>1.22816E-2</v>
      </c>
      <c r="K35">
        <v>0.56560299999999997</v>
      </c>
      <c r="L35">
        <v>0.56560299999999997</v>
      </c>
      <c r="M35">
        <f t="shared" si="13"/>
        <v>2.1714170540113827E-2</v>
      </c>
      <c r="N35">
        <f t="shared" si="2"/>
        <v>46.052875846795203</v>
      </c>
      <c r="O35">
        <f t="shared" si="14"/>
        <v>46.052875846795203</v>
      </c>
      <c r="P35">
        <f t="shared" si="3"/>
        <v>2.1714170540113827E-2</v>
      </c>
      <c r="Q35">
        <v>4.9999999999999998E-8</v>
      </c>
      <c r="R35">
        <v>1000</v>
      </c>
      <c r="S35">
        <v>2.2471910112359548E-9</v>
      </c>
      <c r="T35">
        <v>0.49399999999999999</v>
      </c>
      <c r="U35">
        <f t="shared" si="4"/>
        <v>3.1111561455061294E-2</v>
      </c>
      <c r="V35">
        <f t="shared" si="0"/>
        <v>-16.512805042608605</v>
      </c>
      <c r="W35">
        <f t="shared" si="5"/>
        <v>1.4327768770898772</v>
      </c>
      <c r="X35">
        <f t="shared" si="1"/>
        <v>-14.849548287003069</v>
      </c>
      <c r="Y35">
        <v>5.0000000000000001E-4</v>
      </c>
      <c r="Z35">
        <f t="shared" si="12"/>
        <v>247.53125000000003</v>
      </c>
    </row>
    <row r="36" spans="1:26">
      <c r="A36">
        <v>40</v>
      </c>
      <c r="B36">
        <v>40</v>
      </c>
      <c r="C36">
        <v>2</v>
      </c>
      <c r="D36">
        <v>1</v>
      </c>
      <c r="E36">
        <v>2</v>
      </c>
      <c r="F36" t="s">
        <v>44</v>
      </c>
      <c r="G36">
        <v>4</v>
      </c>
      <c r="H36" t="s">
        <v>27</v>
      </c>
      <c r="I36">
        <v>0.53600000000000003</v>
      </c>
      <c r="J36">
        <v>1.3713400000000001E-2</v>
      </c>
      <c r="K36">
        <v>0.95213499999999995</v>
      </c>
      <c r="L36">
        <v>0.95213499999999995</v>
      </c>
      <c r="M36">
        <f t="shared" si="13"/>
        <v>1.4402789520393642E-2</v>
      </c>
      <c r="N36">
        <f t="shared" si="2"/>
        <v>69.430994501728236</v>
      </c>
      <c r="O36">
        <f t="shared" si="14"/>
        <v>69.430994501728236</v>
      </c>
      <c r="P36">
        <f t="shared" si="3"/>
        <v>1.4402789520393642E-2</v>
      </c>
      <c r="Q36">
        <v>4.9999999999999998E-8</v>
      </c>
      <c r="R36">
        <v>1000</v>
      </c>
      <c r="S36">
        <v>2.2471910112359548E-9</v>
      </c>
      <c r="T36">
        <v>0.53600000000000003</v>
      </c>
      <c r="U36">
        <f t="shared" si="4"/>
        <v>3.473857533691356E-2</v>
      </c>
      <c r="V36">
        <f t="shared" si="0"/>
        <v>-16.4649148473937</v>
      </c>
      <c r="W36">
        <f t="shared" si="5"/>
        <v>2.4119338332151177</v>
      </c>
      <c r="X36">
        <f t="shared" si="1"/>
        <v>-14.623361461432561</v>
      </c>
      <c r="Y36">
        <v>5.0000000000000001E-4</v>
      </c>
      <c r="Z36">
        <f t="shared" si="12"/>
        <v>247.53125000000003</v>
      </c>
    </row>
    <row r="37" spans="1:26">
      <c r="A37">
        <v>40</v>
      </c>
      <c r="B37">
        <v>40</v>
      </c>
      <c r="C37">
        <v>2</v>
      </c>
      <c r="D37">
        <v>1</v>
      </c>
      <c r="E37">
        <v>2</v>
      </c>
      <c r="F37" t="s">
        <v>44</v>
      </c>
      <c r="G37">
        <v>6</v>
      </c>
      <c r="H37" t="s">
        <v>28</v>
      </c>
      <c r="I37">
        <v>0.60299999999999998</v>
      </c>
      <c r="J37">
        <v>1.6391699999999999E-2</v>
      </c>
      <c r="K37">
        <v>2.1071900000000001</v>
      </c>
      <c r="L37">
        <v>2.1071900000000001</v>
      </c>
      <c r="M37">
        <f t="shared" si="13"/>
        <v>7.7789378271536968E-3</v>
      </c>
      <c r="N37">
        <f t="shared" si="2"/>
        <v>128.55225510471766</v>
      </c>
      <c r="O37">
        <f t="shared" si="14"/>
        <v>128.55225510471766</v>
      </c>
      <c r="P37">
        <f t="shared" si="3"/>
        <v>7.7789378271536959E-3</v>
      </c>
      <c r="Q37">
        <v>4.9999999999999998E-8</v>
      </c>
      <c r="R37">
        <v>1000</v>
      </c>
      <c r="S37">
        <v>2.2471910112359548E-9</v>
      </c>
      <c r="T37">
        <v>0.60299999999999998</v>
      </c>
      <c r="U37">
        <f t="shared" si="4"/>
        <v>4.1523203972033629E-2</v>
      </c>
      <c r="V37">
        <f t="shared" si="0"/>
        <v>-16.387435994296027</v>
      </c>
      <c r="W37">
        <f t="shared" si="5"/>
        <v>5.3379015097780922</v>
      </c>
      <c r="X37">
        <f t="shared" si="1"/>
        <v>-14.278356294717812</v>
      </c>
      <c r="Y37">
        <v>5.0000000000000001E-4</v>
      </c>
      <c r="Z37">
        <f t="shared" si="12"/>
        <v>247.53125000000003</v>
      </c>
    </row>
    <row r="38" spans="1:26">
      <c r="A38">
        <v>40</v>
      </c>
      <c r="B38">
        <v>40</v>
      </c>
      <c r="C38">
        <v>2</v>
      </c>
      <c r="D38">
        <v>1</v>
      </c>
      <c r="E38">
        <v>2</v>
      </c>
      <c r="F38" t="s">
        <v>44</v>
      </c>
      <c r="G38">
        <v>8</v>
      </c>
      <c r="H38" t="s">
        <v>29</v>
      </c>
      <c r="I38">
        <v>0.65200000000000002</v>
      </c>
      <c r="J38">
        <v>1.8982599999999999E-2</v>
      </c>
      <c r="K38">
        <v>3.7942100000000001</v>
      </c>
      <c r="L38">
        <v>3.7942100000000001</v>
      </c>
      <c r="M38">
        <f t="shared" si="13"/>
        <v>5.0030441119495225E-3</v>
      </c>
      <c r="N38">
        <f t="shared" si="2"/>
        <v>199.87830960985326</v>
      </c>
      <c r="O38">
        <f t="shared" si="14"/>
        <v>199.87830960985326</v>
      </c>
      <c r="P38">
        <f t="shared" si="3"/>
        <v>5.0030441119495225E-3</v>
      </c>
      <c r="Q38">
        <v>4.9999999999999998E-8</v>
      </c>
      <c r="R38">
        <v>1000</v>
      </c>
      <c r="S38">
        <v>2.2471910112359548E-9</v>
      </c>
      <c r="T38">
        <v>0.65200000000000002</v>
      </c>
      <c r="U38">
        <f t="shared" si="4"/>
        <v>4.8086432262640581E-2</v>
      </c>
      <c r="V38">
        <f t="shared" si="0"/>
        <v>-16.323704294916357</v>
      </c>
      <c r="W38">
        <f t="shared" si="5"/>
        <v>9.6114347958253106</v>
      </c>
      <c r="X38">
        <f t="shared" si="1"/>
        <v>-14.022938627000606</v>
      </c>
      <c r="Y38">
        <v>5.0000000000000001E-4</v>
      </c>
      <c r="Z38">
        <f t="shared" si="12"/>
        <v>247.53125000000003</v>
      </c>
    </row>
    <row r="39" spans="1:26">
      <c r="A39">
        <v>40</v>
      </c>
      <c r="B39">
        <v>40</v>
      </c>
      <c r="C39">
        <v>2</v>
      </c>
      <c r="D39">
        <v>1</v>
      </c>
      <c r="E39">
        <v>2</v>
      </c>
      <c r="F39" t="s">
        <v>44</v>
      </c>
      <c r="G39">
        <v>10</v>
      </c>
      <c r="H39" t="s">
        <v>30</v>
      </c>
      <c r="I39">
        <v>0.69099999999999995</v>
      </c>
      <c r="J39">
        <v>2.1544899999999999E-2</v>
      </c>
      <c r="K39">
        <v>6.0218400000000001</v>
      </c>
      <c r="L39">
        <v>6.0218400000000001</v>
      </c>
      <c r="M39">
        <f t="shared" si="13"/>
        <v>3.5777934983327354E-3</v>
      </c>
      <c r="N39">
        <f t="shared" si="2"/>
        <v>279.50187747448354</v>
      </c>
      <c r="O39">
        <f t="shared" si="14"/>
        <v>279.50187747448354</v>
      </c>
      <c r="P39">
        <f t="shared" si="3"/>
        <v>3.5777934983327354E-3</v>
      </c>
      <c r="Q39">
        <v>4.9999999999999998E-8</v>
      </c>
      <c r="R39">
        <v>1000</v>
      </c>
      <c r="S39">
        <v>2.2471910112359548E-9</v>
      </c>
      <c r="T39">
        <v>0.69099999999999995</v>
      </c>
      <c r="U39">
        <f t="shared" si="4"/>
        <v>5.4577211470260401E-2</v>
      </c>
      <c r="V39">
        <f t="shared" si="0"/>
        <v>-16.268715508663565</v>
      </c>
      <c r="W39">
        <f t="shared" si="5"/>
        <v>15.254433073259701</v>
      </c>
      <c r="X39">
        <f t="shared" si="1"/>
        <v>-13.822330779181483</v>
      </c>
      <c r="Y39">
        <v>5.0000000000000001E-4</v>
      </c>
      <c r="Z39">
        <f t="shared" si="12"/>
        <v>247.53125000000003</v>
      </c>
    </row>
    <row r="40" spans="1:26">
      <c r="A40">
        <v>40</v>
      </c>
      <c r="B40">
        <v>40</v>
      </c>
      <c r="C40">
        <v>2</v>
      </c>
      <c r="D40">
        <v>1</v>
      </c>
      <c r="E40">
        <v>2</v>
      </c>
      <c r="F40" t="s">
        <v>44</v>
      </c>
      <c r="G40">
        <v>12</v>
      </c>
      <c r="H40" t="s">
        <v>31</v>
      </c>
      <c r="I40">
        <v>0.72199999999999998</v>
      </c>
      <c r="J40">
        <v>2.40959E-2</v>
      </c>
      <c r="K40">
        <v>8.7870699999999999</v>
      </c>
      <c r="L40">
        <v>8.7870699999999999</v>
      </c>
      <c r="M40">
        <f>J40/K40</f>
        <v>2.7421996183028016E-3</v>
      </c>
      <c r="N40">
        <f t="shared" si="2"/>
        <v>364.67075311567527</v>
      </c>
      <c r="O40">
        <f t="shared" si="14"/>
        <v>364.67075311567527</v>
      </c>
      <c r="P40">
        <f t="shared" si="3"/>
        <v>2.742199618302802E-3</v>
      </c>
      <c r="Q40">
        <v>4.9999999999999998E-8</v>
      </c>
      <c r="R40">
        <v>1000</v>
      </c>
      <c r="S40">
        <v>2.2471910112359548E-9</v>
      </c>
      <c r="T40">
        <v>0.72199999999999998</v>
      </c>
      <c r="U40">
        <f t="shared" si="4"/>
        <v>6.1039365690546139E-2</v>
      </c>
      <c r="V40">
        <f t="shared" si="0"/>
        <v>-16.220116839162035</v>
      </c>
      <c r="W40">
        <f t="shared" si="5"/>
        <v>22.259271456074572</v>
      </c>
      <c r="X40">
        <f t="shared" si="1"/>
        <v>-13.658215905214327</v>
      </c>
      <c r="Y40">
        <v>5.0000000000000001E-4</v>
      </c>
      <c r="Z40">
        <f t="shared" si="12"/>
        <v>247.53125000000003</v>
      </c>
    </row>
    <row r="41" spans="1:26">
      <c r="A41">
        <v>40</v>
      </c>
      <c r="B41">
        <v>40</v>
      </c>
      <c r="C41">
        <v>2</v>
      </c>
      <c r="D41">
        <v>1</v>
      </c>
      <c r="E41">
        <v>2</v>
      </c>
      <c r="F41" t="s">
        <v>44</v>
      </c>
      <c r="G41">
        <v>16</v>
      </c>
      <c r="H41" t="s">
        <v>32</v>
      </c>
      <c r="I41">
        <v>0.76800000000000002</v>
      </c>
      <c r="J41">
        <v>2.9185599999999999E-2</v>
      </c>
      <c r="K41">
        <v>15.888999999999999</v>
      </c>
      <c r="L41">
        <v>15.888999999999999</v>
      </c>
      <c r="M41">
        <f>J41/K41</f>
        <v>1.8368430989993078E-3</v>
      </c>
      <c r="N41">
        <f t="shared" si="2"/>
        <v>544.41231292144073</v>
      </c>
      <c r="O41">
        <f t="shared" si="14"/>
        <v>544.41231292144073</v>
      </c>
      <c r="P41">
        <f t="shared" si="3"/>
        <v>1.8368430989993076E-3</v>
      </c>
      <c r="Q41">
        <v>4.9999999999999998E-8</v>
      </c>
      <c r="R41">
        <v>1000</v>
      </c>
      <c r="S41">
        <v>2.2471910112359548E-9</v>
      </c>
      <c r="T41">
        <v>0.76800000000000002</v>
      </c>
      <c r="U41">
        <f t="shared" si="4"/>
        <v>7.3932515959063722E-2</v>
      </c>
      <c r="V41">
        <f t="shared" si="0"/>
        <v>-16.136891365327813</v>
      </c>
      <c r="W41">
        <f t="shared" si="5"/>
        <v>40.249772013375207</v>
      </c>
      <c r="X41">
        <f t="shared" si="1"/>
        <v>-13.400963426288495</v>
      </c>
      <c r="Y41">
        <v>5.0000000000000001E-4</v>
      </c>
      <c r="Z41">
        <f t="shared" si="12"/>
        <v>247.53125000000003</v>
      </c>
    </row>
    <row r="43" spans="1:26">
      <c r="A43">
        <v>40</v>
      </c>
      <c r="B43">
        <v>40</v>
      </c>
      <c r="C43">
        <v>2</v>
      </c>
      <c r="D43">
        <v>1</v>
      </c>
      <c r="E43">
        <v>2</v>
      </c>
      <c r="F43" t="s">
        <v>15</v>
      </c>
      <c r="G43">
        <v>0</v>
      </c>
      <c r="H43" t="s">
        <v>16</v>
      </c>
      <c r="I43">
        <v>0.30299999999999999</v>
      </c>
      <c r="J43">
        <v>5.7381400000000001E-3</v>
      </c>
      <c r="K43">
        <v>5.80426E-2</v>
      </c>
      <c r="L43">
        <v>5.80426E-2</v>
      </c>
      <c r="M43">
        <f>J43/K43</f>
        <v>9.8860836695806184E-2</v>
      </c>
      <c r="N43">
        <f>K43/J43</f>
        <v>10.115228976637029</v>
      </c>
      <c r="O43">
        <f>M43</f>
        <v>9.8860836695806184E-2</v>
      </c>
      <c r="P43">
        <f t="shared" si="3"/>
        <v>10.115228976637029</v>
      </c>
      <c r="Q43">
        <v>4.9999999999999998E-8</v>
      </c>
      <c r="R43">
        <v>1000</v>
      </c>
      <c r="S43">
        <v>2.2471910112359548E-9</v>
      </c>
      <c r="T43">
        <v>0.30299999999999999</v>
      </c>
      <c r="U43">
        <f>((Q43^2)*J43*1000)/(0.9869*(10^-12))</f>
        <v>1.4535768568243995E-2</v>
      </c>
      <c r="V43">
        <f t="shared" si="0"/>
        <v>-16.843288851306838</v>
      </c>
      <c r="W43">
        <f>((Q43^2)*K43*1000)/(0.9869*(10^-12))</f>
        <v>0.14703262741919138</v>
      </c>
      <c r="X43">
        <f t="shared" si="1"/>
        <v>-15.838313133041895</v>
      </c>
      <c r="Y43">
        <v>5.0000000000000001E-4</v>
      </c>
      <c r="Z43">
        <f t="shared" ref="Z43:Z53" si="15">Y43*Q43^2*R43/S43^2</f>
        <v>247.53125000000003</v>
      </c>
    </row>
    <row r="44" spans="1:26">
      <c r="A44">
        <v>40</v>
      </c>
      <c r="B44">
        <v>40</v>
      </c>
      <c r="C44">
        <v>2</v>
      </c>
      <c r="D44">
        <v>1</v>
      </c>
      <c r="E44">
        <v>2</v>
      </c>
      <c r="F44" t="s">
        <v>47</v>
      </c>
      <c r="G44">
        <v>2</v>
      </c>
      <c r="H44" t="s">
        <v>48</v>
      </c>
      <c r="I44">
        <v>0.316</v>
      </c>
      <c r="J44">
        <v>6.9098700000000002E-3</v>
      </c>
      <c r="K44">
        <v>5.9735200000000002E-2</v>
      </c>
      <c r="L44">
        <v>5.9735200000000002E-2</v>
      </c>
      <c r="M44">
        <f t="shared" ref="M44:M53" si="16">J44/K44</f>
        <v>0.11567501238800573</v>
      </c>
      <c r="N44">
        <f t="shared" si="2"/>
        <v>8.6449093832445474</v>
      </c>
      <c r="O44">
        <f t="shared" ref="O44:O53" si="17">M44</f>
        <v>0.11567501238800573</v>
      </c>
      <c r="P44">
        <f t="shared" si="3"/>
        <v>8.6449093832445474</v>
      </c>
      <c r="Q44">
        <v>4.9999999999999998E-8</v>
      </c>
      <c r="R44">
        <v>1000</v>
      </c>
      <c r="S44">
        <v>2.2471910112359548E-9</v>
      </c>
      <c r="T44">
        <v>0.316</v>
      </c>
      <c r="U44">
        <f t="shared" si="4"/>
        <v>1.7503977100010129E-2</v>
      </c>
      <c r="V44">
        <f t="shared" si="0"/>
        <v>-16.762590114549095</v>
      </c>
      <c r="W44">
        <f t="shared" si="5"/>
        <v>0.15132029587597529</v>
      </c>
      <c r="X44">
        <f t="shared" si="1"/>
        <v>-15.825829669231013</v>
      </c>
      <c r="Y44">
        <v>5.0000000000000001E-4</v>
      </c>
      <c r="Z44">
        <f t="shared" si="15"/>
        <v>247.53125000000003</v>
      </c>
    </row>
    <row r="45" spans="1:26">
      <c r="A45">
        <v>40</v>
      </c>
      <c r="B45">
        <v>40</v>
      </c>
      <c r="C45">
        <v>2</v>
      </c>
      <c r="D45">
        <v>1</v>
      </c>
      <c r="E45">
        <v>2</v>
      </c>
      <c r="F45" t="s">
        <v>47</v>
      </c>
      <c r="G45">
        <v>8</v>
      </c>
      <c r="H45" t="s">
        <v>49</v>
      </c>
      <c r="I45">
        <v>0.34699999999999998</v>
      </c>
      <c r="J45">
        <v>8.4609200000000002E-3</v>
      </c>
      <c r="K45">
        <v>6.6360000000000002E-2</v>
      </c>
      <c r="L45">
        <v>6.6360000000000002E-2</v>
      </c>
      <c r="M45">
        <f t="shared" si="16"/>
        <v>0.12750030138637733</v>
      </c>
      <c r="N45">
        <f t="shared" si="2"/>
        <v>7.8431187152224577</v>
      </c>
      <c r="O45">
        <f t="shared" si="17"/>
        <v>0.12750030138637733</v>
      </c>
      <c r="P45">
        <f t="shared" si="3"/>
        <v>7.8431187152224586</v>
      </c>
      <c r="Q45">
        <v>4.9999999999999998E-8</v>
      </c>
      <c r="R45">
        <v>1000</v>
      </c>
      <c r="S45">
        <v>2.2471910112359548E-9</v>
      </c>
      <c r="T45">
        <v>0.34699999999999998</v>
      </c>
      <c r="U45">
        <f t="shared" si="4"/>
        <v>2.1433073259702097E-2</v>
      </c>
      <c r="V45">
        <f t="shared" si="0"/>
        <v>-16.674642402615188</v>
      </c>
      <c r="W45">
        <f t="shared" si="5"/>
        <v>0.16810213800790352</v>
      </c>
      <c r="X45">
        <f t="shared" si="1"/>
        <v>-15.780153613975639</v>
      </c>
      <c r="Y45">
        <v>5.0000000000000001E-4</v>
      </c>
      <c r="Z45">
        <f t="shared" si="15"/>
        <v>247.53125000000003</v>
      </c>
    </row>
    <row r="46" spans="1:26">
      <c r="A46">
        <v>40</v>
      </c>
      <c r="B46">
        <v>40</v>
      </c>
      <c r="C46">
        <v>2</v>
      </c>
      <c r="D46">
        <v>1</v>
      </c>
      <c r="E46">
        <v>2</v>
      </c>
      <c r="F46" t="s">
        <v>47</v>
      </c>
      <c r="G46">
        <v>16</v>
      </c>
      <c r="H46" t="s">
        <v>50</v>
      </c>
      <c r="I46">
        <v>0.38400000000000001</v>
      </c>
      <c r="J46">
        <v>1.04376E-2</v>
      </c>
      <c r="K46">
        <v>7.8670000000000004E-2</v>
      </c>
      <c r="L46" s="2">
        <v>7.8670000000000004E-2</v>
      </c>
      <c r="M46">
        <f t="shared" si="16"/>
        <v>0.13267573407906444</v>
      </c>
      <c r="N46">
        <f t="shared" si="2"/>
        <v>7.5371732965432674</v>
      </c>
      <c r="O46">
        <f t="shared" si="17"/>
        <v>0.13267573407906444</v>
      </c>
      <c r="P46">
        <f t="shared" si="3"/>
        <v>7.5371732965432674</v>
      </c>
      <c r="Q46">
        <v>4.9999999999999998E-8</v>
      </c>
      <c r="R46">
        <v>1000</v>
      </c>
      <c r="S46">
        <v>2.2471910112359548E-9</v>
      </c>
      <c r="T46">
        <v>0.38400000000000001</v>
      </c>
      <c r="U46">
        <f t="shared" si="4"/>
        <v>2.6440368831695208E-2</v>
      </c>
      <c r="V46">
        <f t="shared" si="0"/>
        <v>-16.58345934195102</v>
      </c>
      <c r="W46">
        <f t="shared" si="5"/>
        <v>0.19928564190900799</v>
      </c>
      <c r="X46">
        <f t="shared" si="1"/>
        <v>-15.706250841158832</v>
      </c>
      <c r="Y46">
        <v>5.0000000000000001E-4</v>
      </c>
      <c r="Z46">
        <f t="shared" si="15"/>
        <v>247.53125000000003</v>
      </c>
    </row>
    <row r="47" spans="1:26">
      <c r="A47">
        <v>40</v>
      </c>
      <c r="B47">
        <v>40</v>
      </c>
      <c r="C47">
        <v>2</v>
      </c>
      <c r="D47">
        <v>1</v>
      </c>
      <c r="E47">
        <v>2</v>
      </c>
      <c r="F47" t="s">
        <v>47</v>
      </c>
      <c r="G47">
        <v>32</v>
      </c>
      <c r="H47" t="s">
        <v>51</v>
      </c>
      <c r="I47">
        <v>0.44700000000000001</v>
      </c>
      <c r="J47">
        <v>3.6903400000000003E-2</v>
      </c>
      <c r="K47">
        <v>9.5364599999999994E-2</v>
      </c>
      <c r="L47">
        <v>9.5364599999999994E-2</v>
      </c>
      <c r="M47">
        <f t="shared" si="16"/>
        <v>0.38697168551013694</v>
      </c>
      <c r="N47">
        <f t="shared" si="2"/>
        <v>2.5841683964079185</v>
      </c>
      <c r="O47">
        <f t="shared" si="17"/>
        <v>0.38697168551013694</v>
      </c>
      <c r="P47">
        <f t="shared" si="3"/>
        <v>2.5841683964079185</v>
      </c>
      <c r="Q47">
        <v>4.9999999999999998E-8</v>
      </c>
      <c r="R47">
        <v>1000</v>
      </c>
      <c r="S47">
        <v>2.2471910112359548E-9</v>
      </c>
      <c r="T47">
        <v>0.44700000000000001</v>
      </c>
      <c r="U47">
        <f t="shared" si="4"/>
        <v>9.3483128989765935E-2</v>
      </c>
      <c r="V47">
        <f t="shared" si="0"/>
        <v>-16.034993610718633</v>
      </c>
      <c r="W47">
        <f t="shared" si="5"/>
        <v>0.24157614753267803</v>
      </c>
      <c r="X47">
        <f t="shared" si="1"/>
        <v>-15.622672799829093</v>
      </c>
      <c r="Y47">
        <v>5.0000000000000001E-4</v>
      </c>
      <c r="Z47">
        <f t="shared" si="15"/>
        <v>247.53125000000003</v>
      </c>
    </row>
    <row r="48" spans="1:26">
      <c r="A48">
        <v>40</v>
      </c>
      <c r="B48">
        <v>40</v>
      </c>
      <c r="C48">
        <v>2</v>
      </c>
      <c r="D48">
        <v>1</v>
      </c>
      <c r="E48">
        <v>2</v>
      </c>
      <c r="F48" t="s">
        <v>47</v>
      </c>
      <c r="G48">
        <v>48</v>
      </c>
      <c r="H48" t="s">
        <v>52</v>
      </c>
      <c r="I48">
        <v>0.499</v>
      </c>
      <c r="J48">
        <v>0.52878700000000001</v>
      </c>
      <c r="K48">
        <v>0.10545400000000001</v>
      </c>
      <c r="L48">
        <v>0.10545400000000001</v>
      </c>
      <c r="M48">
        <f t="shared" si="16"/>
        <v>5.0143854192349266</v>
      </c>
      <c r="N48">
        <f t="shared" si="2"/>
        <v>0.19942623400348344</v>
      </c>
      <c r="O48">
        <f t="shared" si="17"/>
        <v>5.0143854192349266</v>
      </c>
      <c r="P48">
        <f t="shared" si="3"/>
        <v>0.19942623400348347</v>
      </c>
      <c r="Q48">
        <v>4.9999999999999998E-8</v>
      </c>
      <c r="R48">
        <v>1000</v>
      </c>
      <c r="S48">
        <v>2.2471910112359548E-9</v>
      </c>
      <c r="T48">
        <v>0.499</v>
      </c>
      <c r="U48">
        <f t="shared" si="4"/>
        <v>1.3395151484446242</v>
      </c>
      <c r="V48">
        <f t="shared" si="0"/>
        <v>-14.878779221661393</v>
      </c>
      <c r="W48">
        <f t="shared" si="5"/>
        <v>0.26713446144492858</v>
      </c>
      <c r="X48">
        <f t="shared" si="1"/>
        <v>-15.578996933615848</v>
      </c>
      <c r="Y48">
        <v>5.0000000000000001E-4</v>
      </c>
      <c r="Z48">
        <f t="shared" si="15"/>
        <v>247.53125000000003</v>
      </c>
    </row>
    <row r="49" spans="1:26">
      <c r="A49">
        <v>40</v>
      </c>
      <c r="B49">
        <v>40</v>
      </c>
      <c r="C49">
        <v>2</v>
      </c>
      <c r="D49">
        <v>1</v>
      </c>
      <c r="E49">
        <v>2</v>
      </c>
      <c r="F49" t="s">
        <v>47</v>
      </c>
      <c r="G49">
        <v>56</v>
      </c>
      <c r="H49" t="s">
        <v>57</v>
      </c>
      <c r="I49">
        <v>0.52100000000000002</v>
      </c>
      <c r="J49">
        <v>2.4601500000000001</v>
      </c>
      <c r="K49">
        <v>0.110288</v>
      </c>
      <c r="L49">
        <v>0.110288</v>
      </c>
      <c r="M49">
        <f>J49/K49</f>
        <v>22.306597272595386</v>
      </c>
      <c r="N49">
        <f t="shared" si="2"/>
        <v>4.4829786801617783E-2</v>
      </c>
      <c r="O49">
        <f t="shared" si="17"/>
        <v>22.306597272595386</v>
      </c>
      <c r="P49">
        <f t="shared" si="3"/>
        <v>4.4829786801617789E-2</v>
      </c>
      <c r="Q49">
        <v>4.9999999999999998E-8</v>
      </c>
      <c r="R49">
        <v>1000</v>
      </c>
      <c r="S49">
        <v>2.2471910112359548E-9</v>
      </c>
      <c r="T49">
        <v>0.52100000000000002</v>
      </c>
      <c r="U49">
        <f t="shared" si="4"/>
        <v>6.2320143884892074</v>
      </c>
      <c r="V49">
        <f t="shared" si="0"/>
        <v>-14.211098403661062</v>
      </c>
      <c r="W49">
        <f t="shared" si="5"/>
        <v>0.27937987638058565</v>
      </c>
      <c r="X49">
        <f t="shared" si="1"/>
        <v>-15.55953173017785</v>
      </c>
      <c r="Y49">
        <v>5.0000000000000001E-4</v>
      </c>
      <c r="Z49">
        <f t="shared" si="15"/>
        <v>247.53125000000003</v>
      </c>
    </row>
    <row r="50" spans="1:26">
      <c r="A50">
        <v>40</v>
      </c>
      <c r="B50">
        <v>40</v>
      </c>
      <c r="C50">
        <v>2</v>
      </c>
      <c r="D50">
        <v>1</v>
      </c>
      <c r="E50">
        <v>2</v>
      </c>
      <c r="F50" t="s">
        <v>47</v>
      </c>
      <c r="G50">
        <v>64</v>
      </c>
      <c r="H50" t="s">
        <v>53</v>
      </c>
      <c r="I50">
        <v>0.54100000000000004</v>
      </c>
      <c r="J50">
        <v>6.7023400000000004</v>
      </c>
      <c r="K50">
        <v>0.11511299999999999</v>
      </c>
      <c r="L50">
        <v>0.11511299999999999</v>
      </c>
      <c r="M50">
        <f t="shared" si="16"/>
        <v>58.22400597673591</v>
      </c>
      <c r="N50">
        <f t="shared" si="2"/>
        <v>1.7175046327103666E-2</v>
      </c>
      <c r="O50">
        <f t="shared" si="17"/>
        <v>58.22400597673591</v>
      </c>
      <c r="P50">
        <f t="shared" si="3"/>
        <v>1.7175046327103666E-2</v>
      </c>
      <c r="Q50">
        <v>4.9999999999999998E-8</v>
      </c>
      <c r="R50">
        <v>1000</v>
      </c>
      <c r="S50">
        <v>2.2471910112359548E-9</v>
      </c>
      <c r="T50">
        <v>0.54100000000000004</v>
      </c>
      <c r="U50">
        <f t="shared" si="4"/>
        <v>16.978265275103858</v>
      </c>
      <c r="V50">
        <f t="shared" si="0"/>
        <v>-13.775833536139887</v>
      </c>
      <c r="W50">
        <f t="shared" si="5"/>
        <v>0.29160249265376426</v>
      </c>
      <c r="X50">
        <f t="shared" si="1"/>
        <v>-15.540935618962688</v>
      </c>
      <c r="Y50">
        <v>5.0000000000000001E-4</v>
      </c>
      <c r="Z50">
        <f t="shared" si="15"/>
        <v>247.53125000000003</v>
      </c>
    </row>
    <row r="51" spans="1:26">
      <c r="A51">
        <v>40</v>
      </c>
      <c r="B51">
        <v>40</v>
      </c>
      <c r="C51">
        <v>2</v>
      </c>
      <c r="D51">
        <v>1</v>
      </c>
      <c r="E51">
        <v>2</v>
      </c>
      <c r="F51" t="s">
        <v>47</v>
      </c>
      <c r="G51">
        <v>96</v>
      </c>
      <c r="H51" t="s">
        <v>54</v>
      </c>
      <c r="I51">
        <v>0.60799999999999998</v>
      </c>
      <c r="J51">
        <v>50.339300000000001</v>
      </c>
      <c r="K51">
        <v>0.13431399999999999</v>
      </c>
      <c r="L51">
        <v>0.13431399999999999</v>
      </c>
      <c r="M51">
        <f t="shared" si="16"/>
        <v>374.78818291466268</v>
      </c>
      <c r="N51">
        <f t="shared" si="2"/>
        <v>2.6681737727779287E-3</v>
      </c>
      <c r="O51">
        <f t="shared" si="17"/>
        <v>374.78818291466268</v>
      </c>
      <c r="P51">
        <f t="shared" si="3"/>
        <v>2.6681737727779287E-3</v>
      </c>
      <c r="Q51">
        <v>4.9999999999999998E-8</v>
      </c>
      <c r="R51">
        <v>1000</v>
      </c>
      <c r="S51">
        <v>2.2471910112359548E-9</v>
      </c>
      <c r="T51">
        <v>0.60799999999999998</v>
      </c>
      <c r="U51">
        <f t="shared" si="4"/>
        <v>127.51874556692674</v>
      </c>
      <c r="V51">
        <f t="shared" si="0"/>
        <v>-12.900152819214766</v>
      </c>
      <c r="W51">
        <f t="shared" si="5"/>
        <v>0.34024217245921573</v>
      </c>
      <c r="X51">
        <f t="shared" si="1"/>
        <v>-15.473938708325219</v>
      </c>
      <c r="Y51">
        <v>5.0000000000000001E-4</v>
      </c>
      <c r="Z51">
        <f t="shared" si="15"/>
        <v>247.53125000000003</v>
      </c>
    </row>
    <row r="52" spans="1:26">
      <c r="A52">
        <v>40</v>
      </c>
      <c r="B52">
        <v>40</v>
      </c>
      <c r="C52">
        <v>2</v>
      </c>
      <c r="D52">
        <v>1</v>
      </c>
      <c r="E52">
        <v>2</v>
      </c>
      <c r="F52" t="s">
        <v>47</v>
      </c>
      <c r="G52">
        <v>128</v>
      </c>
      <c r="H52" t="s">
        <v>55</v>
      </c>
      <c r="I52">
        <v>0.65800000000000003</v>
      </c>
      <c r="J52">
        <v>117.85299999999999</v>
      </c>
      <c r="K52">
        <v>0.153367</v>
      </c>
      <c r="L52">
        <v>0.153367</v>
      </c>
      <c r="M52">
        <f t="shared" si="16"/>
        <v>768.43779952662567</v>
      </c>
      <c r="N52">
        <f t="shared" si="2"/>
        <v>1.301341501701272E-3</v>
      </c>
      <c r="O52">
        <f t="shared" si="17"/>
        <v>768.43779952662567</v>
      </c>
      <c r="P52">
        <f t="shared" si="3"/>
        <v>1.301341501701272E-3</v>
      </c>
      <c r="Q52">
        <v>4.9999999999999998E-8</v>
      </c>
      <c r="R52">
        <v>1000</v>
      </c>
      <c r="S52">
        <v>2.2471910112359548E-9</v>
      </c>
      <c r="T52">
        <v>0.65800000000000003</v>
      </c>
      <c r="U52">
        <f t="shared" si="4"/>
        <v>298.54341878609785</v>
      </c>
      <c r="V52">
        <f t="shared" si="0"/>
        <v>-12.530719349169674</v>
      </c>
      <c r="W52">
        <f t="shared" si="5"/>
        <v>0.38850694092613225</v>
      </c>
      <c r="X52">
        <f t="shared" si="1"/>
        <v>-15.416328068870614</v>
      </c>
      <c r="Y52">
        <v>5.0000000000000001E-4</v>
      </c>
      <c r="Z52">
        <f t="shared" si="15"/>
        <v>247.53125000000003</v>
      </c>
    </row>
    <row r="53" spans="1:26">
      <c r="A53">
        <v>40</v>
      </c>
      <c r="B53">
        <v>40</v>
      </c>
      <c r="C53">
        <v>2</v>
      </c>
      <c r="D53">
        <v>1</v>
      </c>
      <c r="E53">
        <v>2</v>
      </c>
      <c r="F53" t="s">
        <v>47</v>
      </c>
      <c r="G53">
        <v>160</v>
      </c>
      <c r="H53" t="s">
        <v>56</v>
      </c>
      <c r="I53">
        <v>0.69599999999999995</v>
      </c>
      <c r="J53">
        <v>182.298</v>
      </c>
      <c r="K53">
        <v>0.17227500000000001</v>
      </c>
      <c r="L53">
        <v>0.17227500000000001</v>
      </c>
      <c r="M53">
        <f t="shared" si="16"/>
        <v>1058.1802350892467</v>
      </c>
      <c r="N53">
        <f t="shared" si="2"/>
        <v>9.4501859592535306E-4</v>
      </c>
      <c r="O53">
        <f t="shared" si="17"/>
        <v>1058.1802350892467</v>
      </c>
      <c r="P53">
        <f t="shared" si="3"/>
        <v>9.4501859592535306E-4</v>
      </c>
      <c r="Q53">
        <v>4.9999999999999998E-8</v>
      </c>
      <c r="R53">
        <v>1000</v>
      </c>
      <c r="S53">
        <v>2.2471910112359548E-9</v>
      </c>
      <c r="T53">
        <v>0.69599999999999995</v>
      </c>
      <c r="U53">
        <f t="shared" si="4"/>
        <v>461.79450805552733</v>
      </c>
      <c r="V53">
        <f t="shared" si="0"/>
        <v>-12.341278087312199</v>
      </c>
      <c r="W53">
        <f t="shared" si="5"/>
        <v>0.43640439760867361</v>
      </c>
      <c r="X53">
        <f t="shared" si="1"/>
        <v>-15.365837732741236</v>
      </c>
      <c r="Y53">
        <v>5.0000000000000001E-4</v>
      </c>
      <c r="Z53">
        <f t="shared" si="15"/>
        <v>247.53125000000003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31"/>
  <sheetViews>
    <sheetView zoomScale="40" zoomScaleNormal="40" workbookViewId="0">
      <selection activeCell="J73" sqref="J73"/>
    </sheetView>
  </sheetViews>
  <sheetFormatPr defaultColWidth="11" defaultRowHeight="15.75"/>
  <cols>
    <col min="1" max="1" width="30.375" customWidth="1"/>
    <col min="2" max="3" width="32.125" customWidth="1"/>
    <col min="4" max="4" width="48.5" customWidth="1"/>
    <col min="5" max="5" width="52.625" customWidth="1"/>
    <col min="6" max="6" width="15.875" customWidth="1"/>
    <col min="7" max="7" width="30.375" customWidth="1"/>
    <col min="8" max="8" width="68" bestFit="1" customWidth="1"/>
    <col min="9" max="9" width="47.5" customWidth="1"/>
    <col min="10" max="10" width="23.125" customWidth="1"/>
    <col min="11" max="11" width="28.375" customWidth="1"/>
    <col min="12" max="12" width="18.5" customWidth="1"/>
    <col min="13" max="13" width="51.125" bestFit="1" customWidth="1"/>
    <col min="14" max="15" width="39.625" customWidth="1"/>
    <col min="16" max="16" width="35.875" customWidth="1"/>
    <col min="17" max="17" width="26.125" customWidth="1"/>
    <col min="18" max="18" width="34" customWidth="1"/>
  </cols>
  <sheetData>
    <row r="1" spans="1:17" s="1" customFormat="1" ht="22.5">
      <c r="A1" s="1" t="s">
        <v>166</v>
      </c>
      <c r="B1" s="1" t="s">
        <v>167</v>
      </c>
      <c r="C1" s="1" t="s">
        <v>168</v>
      </c>
      <c r="D1" s="1" t="s">
        <v>169</v>
      </c>
      <c r="E1" s="1" t="s">
        <v>170</v>
      </c>
      <c r="F1" s="1" t="s">
        <v>6</v>
      </c>
      <c r="G1" s="1" t="s">
        <v>171</v>
      </c>
      <c r="H1" s="1" t="s">
        <v>172</v>
      </c>
      <c r="I1" s="1" t="s">
        <v>173</v>
      </c>
      <c r="J1" s="1" t="s">
        <v>7</v>
      </c>
      <c r="K1" s="1" t="s">
        <v>8</v>
      </c>
      <c r="L1" s="1" t="s">
        <v>9</v>
      </c>
      <c r="M1" s="1" t="s">
        <v>174</v>
      </c>
      <c r="N1" s="1" t="s">
        <v>175</v>
      </c>
      <c r="P1" s="1" t="s">
        <v>11</v>
      </c>
      <c r="Q1" s="1" t="s">
        <v>12</v>
      </c>
    </row>
    <row r="2" spans="1:17">
      <c r="A2">
        <v>12</v>
      </c>
      <c r="B2">
        <v>0</v>
      </c>
      <c r="C2">
        <v>0</v>
      </c>
      <c r="D2" s="34">
        <f t="shared" ref="D2:D10" si="0">2*A2+B2</f>
        <v>24</v>
      </c>
      <c r="E2" s="34">
        <f t="shared" ref="E2:E11" si="1">2*A2+C2+B2</f>
        <v>24</v>
      </c>
      <c r="F2" s="35">
        <v>0.47599999999999998</v>
      </c>
      <c r="G2" t="s">
        <v>176</v>
      </c>
      <c r="H2" s="35">
        <v>1.2911600000000001</v>
      </c>
      <c r="I2" s="35">
        <v>1.2911600000000001</v>
      </c>
      <c r="J2">
        <f>10^-6/A2</f>
        <v>8.3333333333333325E-8</v>
      </c>
      <c r="K2">
        <v>1000</v>
      </c>
      <c r="L2">
        <f>0.045*J2</f>
        <v>3.7499999999999997E-9</v>
      </c>
      <c r="M2" s="35">
        <f>((J2^2)*H2*1000)/(0.9869*(10^-12))</f>
        <v>9.0854077301539036</v>
      </c>
      <c r="N2" s="35">
        <f>((J2^2)*I2*1000)/(0.9869*(10^-12))</f>
        <v>9.0854077301539036</v>
      </c>
      <c r="O2" s="35"/>
      <c r="P2">
        <v>5.0000000000000002E-5</v>
      </c>
      <c r="Q2">
        <f t="shared" ref="Q2:Q11" si="2">P2*J2^2*K2/L2^2</f>
        <v>24.691358024691358</v>
      </c>
    </row>
    <row r="3" spans="1:17">
      <c r="A3">
        <v>12</v>
      </c>
      <c r="B3">
        <v>0</v>
      </c>
      <c r="C3">
        <v>1</v>
      </c>
      <c r="D3" s="34">
        <f t="shared" si="0"/>
        <v>24</v>
      </c>
      <c r="E3" s="34">
        <f t="shared" si="1"/>
        <v>25</v>
      </c>
      <c r="F3" s="35">
        <v>0.49722</v>
      </c>
      <c r="G3" t="s">
        <v>176</v>
      </c>
      <c r="H3" s="35">
        <v>1.6412199999999999</v>
      </c>
      <c r="I3" s="35">
        <v>1.3949400000000001</v>
      </c>
      <c r="J3">
        <f t="shared" ref="J3:J31" si="3">10^-6/A3</f>
        <v>8.3333333333333325E-8</v>
      </c>
      <c r="K3">
        <v>1000</v>
      </c>
      <c r="L3">
        <f t="shared" ref="L3:L31" si="4">0.045*J3</f>
        <v>3.7499999999999997E-9</v>
      </c>
      <c r="M3" s="35">
        <f t="shared" ref="M3:M31" si="5">((J3^2)*H3*1000)/(0.9869*(10^-12))</f>
        <v>11.548648405219483</v>
      </c>
      <c r="N3" s="35">
        <f t="shared" ref="N3:N31" si="6">((J3^2)*I3*1000)/(0.9869*(10^-12))</f>
        <v>9.8156685918870519</v>
      </c>
      <c r="O3" s="35"/>
      <c r="P3">
        <v>5.0000000000000002E-5</v>
      </c>
      <c r="Q3">
        <f t="shared" si="2"/>
        <v>24.691358024691358</v>
      </c>
    </row>
    <row r="4" spans="1:17">
      <c r="A4">
        <v>12</v>
      </c>
      <c r="B4">
        <v>0</v>
      </c>
      <c r="C4">
        <v>2</v>
      </c>
      <c r="D4" s="34">
        <f t="shared" si="0"/>
        <v>24</v>
      </c>
      <c r="E4" s="34">
        <f t="shared" si="1"/>
        <v>26</v>
      </c>
      <c r="F4" s="35">
        <v>0.51600000000000001</v>
      </c>
      <c r="G4" t="s">
        <v>176</v>
      </c>
      <c r="H4" s="35">
        <v>2.0640299999999998</v>
      </c>
      <c r="I4" s="35">
        <v>1.4439599999999999</v>
      </c>
      <c r="J4">
        <f t="shared" si="3"/>
        <v>8.3333333333333325E-8</v>
      </c>
      <c r="K4">
        <v>1000</v>
      </c>
      <c r="L4">
        <f t="shared" si="4"/>
        <v>3.7499999999999997E-9</v>
      </c>
      <c r="M4" s="35">
        <f t="shared" si="5"/>
        <v>14.523803492417327</v>
      </c>
      <c r="N4" s="35">
        <f t="shared" si="6"/>
        <v>10.160603911237203</v>
      </c>
      <c r="O4" s="35"/>
      <c r="P4">
        <v>5.0000000000000002E-5</v>
      </c>
      <c r="Q4">
        <f t="shared" si="2"/>
        <v>24.691358024691358</v>
      </c>
    </row>
    <row r="5" spans="1:17">
      <c r="A5">
        <v>12</v>
      </c>
      <c r="B5">
        <v>0</v>
      </c>
      <c r="C5">
        <v>3</v>
      </c>
      <c r="D5" s="34">
        <f t="shared" si="0"/>
        <v>24</v>
      </c>
      <c r="E5" s="34">
        <f t="shared" si="1"/>
        <v>27</v>
      </c>
      <c r="F5" s="35">
        <v>0.53400000000000003</v>
      </c>
      <c r="G5" t="s">
        <v>176</v>
      </c>
      <c r="H5" s="35">
        <v>2.55389</v>
      </c>
      <c r="I5" s="35">
        <v>1.49336</v>
      </c>
      <c r="J5">
        <f t="shared" si="3"/>
        <v>8.3333333333333325E-8</v>
      </c>
      <c r="K5">
        <v>1000</v>
      </c>
      <c r="L5">
        <f t="shared" si="4"/>
        <v>3.7499999999999997E-9</v>
      </c>
      <c r="M5" s="35">
        <f t="shared" si="5"/>
        <v>17.970764233683472</v>
      </c>
      <c r="N5" s="35">
        <f t="shared" si="6"/>
        <v>10.508213147791624</v>
      </c>
      <c r="O5" s="35"/>
      <c r="P5">
        <v>5.0000000000000002E-5</v>
      </c>
      <c r="Q5">
        <f t="shared" si="2"/>
        <v>24.691358024691358</v>
      </c>
    </row>
    <row r="6" spans="1:17">
      <c r="A6">
        <v>12</v>
      </c>
      <c r="B6">
        <v>0</v>
      </c>
      <c r="C6">
        <v>4</v>
      </c>
      <c r="D6" s="34">
        <f t="shared" si="0"/>
        <v>24</v>
      </c>
      <c r="E6" s="34">
        <f t="shared" si="1"/>
        <v>28</v>
      </c>
      <c r="F6" s="35">
        <v>0.55108999999999997</v>
      </c>
      <c r="G6" t="s">
        <v>176</v>
      </c>
      <c r="H6" s="35">
        <v>3.10216</v>
      </c>
      <c r="I6" s="35">
        <v>1.5430699999999999</v>
      </c>
      <c r="J6">
        <f t="shared" si="3"/>
        <v>8.3333333333333325E-8</v>
      </c>
      <c r="K6">
        <v>1000</v>
      </c>
      <c r="L6">
        <f t="shared" si="4"/>
        <v>3.7499999999999997E-9</v>
      </c>
      <c r="M6" s="35">
        <f t="shared" si="5"/>
        <v>21.828734195741994</v>
      </c>
      <c r="N6" s="35">
        <f t="shared" si="6"/>
        <v>10.858003737854784</v>
      </c>
      <c r="O6" s="35"/>
      <c r="P6">
        <v>5.0000000000000002E-5</v>
      </c>
      <c r="Q6">
        <f t="shared" si="2"/>
        <v>24.691358024691358</v>
      </c>
    </row>
    <row r="7" spans="1:17">
      <c r="A7">
        <v>12</v>
      </c>
      <c r="B7">
        <v>0</v>
      </c>
      <c r="C7">
        <v>7</v>
      </c>
      <c r="D7" s="34">
        <f t="shared" si="0"/>
        <v>24</v>
      </c>
      <c r="E7" s="34">
        <f t="shared" si="1"/>
        <v>31</v>
      </c>
      <c r="F7" s="35">
        <v>0.59399999999999997</v>
      </c>
      <c r="G7" t="s">
        <v>176</v>
      </c>
      <c r="H7" s="35">
        <v>5.0049099999999997</v>
      </c>
      <c r="I7" s="35">
        <v>1.6933100000000001</v>
      </c>
      <c r="J7">
        <f t="shared" si="3"/>
        <v>8.3333333333333325E-8</v>
      </c>
      <c r="K7">
        <v>1000</v>
      </c>
      <c r="L7">
        <f t="shared" si="4"/>
        <v>3.7499999999999997E-9</v>
      </c>
      <c r="M7" s="35">
        <f t="shared" si="5"/>
        <v>35.217670933675592</v>
      </c>
      <c r="N7" s="35">
        <f t="shared" si="6"/>
        <v>11.915186160930407</v>
      </c>
      <c r="O7" s="35"/>
      <c r="P7">
        <v>5.0000000000000002E-5</v>
      </c>
      <c r="Q7">
        <f t="shared" si="2"/>
        <v>24.691358024691358</v>
      </c>
    </row>
    <row r="8" spans="1:17">
      <c r="A8">
        <v>12</v>
      </c>
      <c r="B8">
        <v>0</v>
      </c>
      <c r="C8">
        <v>10</v>
      </c>
      <c r="D8" s="34">
        <f t="shared" si="0"/>
        <v>24</v>
      </c>
      <c r="E8" s="34">
        <f t="shared" si="1"/>
        <v>34</v>
      </c>
      <c r="F8" s="35">
        <v>0.63</v>
      </c>
      <c r="G8" t="s">
        <v>176</v>
      </c>
      <c r="H8" s="35">
        <v>7.1273499999999999</v>
      </c>
      <c r="I8" s="35">
        <v>1.84399</v>
      </c>
      <c r="J8">
        <f t="shared" si="3"/>
        <v>8.3333333333333325E-8</v>
      </c>
      <c r="K8">
        <v>1000</v>
      </c>
      <c r="L8">
        <f t="shared" si="4"/>
        <v>3.7499999999999997E-9</v>
      </c>
      <c r="M8" s="35">
        <f t="shared" si="5"/>
        <v>50.152483646885294</v>
      </c>
      <c r="N8" s="35">
        <f t="shared" si="6"/>
        <v>12.975464698663602</v>
      </c>
      <c r="O8" s="35"/>
      <c r="P8">
        <v>5.0000000000000002E-5</v>
      </c>
      <c r="Q8">
        <f t="shared" si="2"/>
        <v>24.691358024691358</v>
      </c>
    </row>
    <row r="9" spans="1:17">
      <c r="A9">
        <v>12</v>
      </c>
      <c r="B9">
        <v>0</v>
      </c>
      <c r="C9">
        <v>15</v>
      </c>
      <c r="D9" s="34">
        <f t="shared" si="0"/>
        <v>24</v>
      </c>
      <c r="E9" s="34">
        <f t="shared" si="1"/>
        <v>39</v>
      </c>
      <c r="F9" s="35">
        <v>0.67710000000000004</v>
      </c>
      <c r="G9" t="s">
        <v>176</v>
      </c>
      <c r="H9" s="35">
        <v>10.7475</v>
      </c>
      <c r="I9" s="35">
        <v>2.0928200000000001</v>
      </c>
      <c r="J9">
        <f t="shared" si="3"/>
        <v>8.3333333333333325E-8</v>
      </c>
      <c r="K9">
        <v>1000</v>
      </c>
      <c r="L9">
        <f t="shared" si="4"/>
        <v>3.7499999999999997E-9</v>
      </c>
      <c r="M9" s="35">
        <f t="shared" si="5"/>
        <v>75.626118823251247</v>
      </c>
      <c r="N9" s="35">
        <f t="shared" si="6"/>
        <v>14.726387903761497</v>
      </c>
      <c r="O9" s="35"/>
      <c r="P9">
        <v>5.0000000000000002E-5</v>
      </c>
      <c r="Q9">
        <f t="shared" si="2"/>
        <v>24.691358024691358</v>
      </c>
    </row>
    <row r="10" spans="1:17">
      <c r="A10">
        <v>12</v>
      </c>
      <c r="B10">
        <v>0</v>
      </c>
      <c r="C10">
        <v>20</v>
      </c>
      <c r="D10" s="34">
        <f t="shared" si="0"/>
        <v>24</v>
      </c>
      <c r="E10" s="34">
        <f t="shared" si="1"/>
        <v>44</v>
      </c>
      <c r="F10" s="35">
        <v>0.71399999999999997</v>
      </c>
      <c r="G10" t="s">
        <v>176</v>
      </c>
      <c r="H10" s="35">
        <v>14.144399999999999</v>
      </c>
      <c r="I10" s="35">
        <v>2.33623</v>
      </c>
      <c r="J10">
        <f t="shared" si="3"/>
        <v>8.3333333333333325E-8</v>
      </c>
      <c r="K10">
        <v>1000</v>
      </c>
      <c r="L10">
        <f t="shared" si="4"/>
        <v>3.7499999999999997E-9</v>
      </c>
      <c r="M10" s="35">
        <f t="shared" si="5"/>
        <v>99.528827642111622</v>
      </c>
      <c r="N10" s="35">
        <f t="shared" si="6"/>
        <v>16.439172605577507</v>
      </c>
      <c r="O10" s="35"/>
      <c r="P10">
        <v>5.0000000000000002E-5</v>
      </c>
      <c r="Q10">
        <f t="shared" si="2"/>
        <v>24.691358024691358</v>
      </c>
    </row>
    <row r="11" spans="1:17">
      <c r="A11">
        <v>12</v>
      </c>
      <c r="B11">
        <v>0</v>
      </c>
      <c r="C11">
        <v>24</v>
      </c>
      <c r="D11" s="34">
        <v>24</v>
      </c>
      <c r="E11" s="34">
        <f t="shared" si="1"/>
        <v>48</v>
      </c>
      <c r="F11" s="35">
        <v>0.73799999999999999</v>
      </c>
      <c r="G11" t="s">
        <v>176</v>
      </c>
      <c r="H11" s="35">
        <v>16.592300000000002</v>
      </c>
      <c r="I11" s="35">
        <v>2.5264899999999999</v>
      </c>
      <c r="J11">
        <f t="shared" si="3"/>
        <v>8.3333333333333325E-8</v>
      </c>
      <c r="K11">
        <v>1000</v>
      </c>
      <c r="L11">
        <f t="shared" si="4"/>
        <v>3.7499999999999997E-9</v>
      </c>
      <c r="M11" s="35">
        <f t="shared" si="5"/>
        <v>116.75378007453192</v>
      </c>
      <c r="N11" s="35">
        <f t="shared" si="6"/>
        <v>17.777960730007536</v>
      </c>
      <c r="O11" s="35"/>
      <c r="P11">
        <v>5.0000000000000002E-5</v>
      </c>
      <c r="Q11">
        <f t="shared" si="2"/>
        <v>24.691358024691358</v>
      </c>
    </row>
    <row r="12" spans="1:17">
      <c r="F12" s="35"/>
      <c r="H12" s="35"/>
      <c r="I12" s="35"/>
      <c r="K12">
        <v>1000</v>
      </c>
      <c r="M12" s="35"/>
      <c r="N12" s="35"/>
      <c r="O12" s="35"/>
    </row>
    <row r="13" spans="1:17">
      <c r="A13">
        <v>12</v>
      </c>
      <c r="B13">
        <v>0</v>
      </c>
      <c r="C13">
        <v>0</v>
      </c>
      <c r="D13" s="34">
        <f t="shared" ref="D13:D19" si="7">2*A13+B13</f>
        <v>24</v>
      </c>
      <c r="E13" s="34">
        <f t="shared" ref="E13:E19" si="8">2*A13+C13+B13</f>
        <v>24</v>
      </c>
      <c r="F13" s="35">
        <v>0.51851999999999998</v>
      </c>
      <c r="G13" t="s">
        <v>177</v>
      </c>
      <c r="H13" s="35">
        <v>1.85005</v>
      </c>
      <c r="I13" s="35">
        <v>1.9021600000000001</v>
      </c>
      <c r="J13">
        <f t="shared" si="3"/>
        <v>8.3333333333333325E-8</v>
      </c>
      <c r="K13">
        <v>1000</v>
      </c>
      <c r="L13">
        <f t="shared" si="4"/>
        <v>3.7499999999999997E-9</v>
      </c>
      <c r="M13" s="35">
        <f t="shared" si="5"/>
        <v>13.018106641447403</v>
      </c>
      <c r="N13" s="35">
        <f t="shared" si="6"/>
        <v>13.384785129642761</v>
      </c>
      <c r="O13" s="35"/>
      <c r="P13">
        <v>5.0000000000000002E-5</v>
      </c>
      <c r="Q13">
        <f t="shared" ref="Q13:Q21" si="9">P13*J13^2*K13/L13^2</f>
        <v>24.691358024691358</v>
      </c>
    </row>
    <row r="14" spans="1:17">
      <c r="A14">
        <v>12</v>
      </c>
      <c r="B14">
        <v>0</v>
      </c>
      <c r="C14">
        <v>1</v>
      </c>
      <c r="D14" s="34">
        <f t="shared" si="7"/>
        <v>24</v>
      </c>
      <c r="E14" s="34">
        <f t="shared" si="8"/>
        <v>25</v>
      </c>
      <c r="F14" s="35">
        <v>0.53778000000000004</v>
      </c>
      <c r="G14" t="s">
        <v>177</v>
      </c>
      <c r="H14" s="35">
        <v>2.2761399999999998</v>
      </c>
      <c r="I14" s="35">
        <v>1.96818</v>
      </c>
      <c r="J14">
        <f t="shared" si="3"/>
        <v>8.3333333333333325E-8</v>
      </c>
      <c r="K14">
        <v>1000</v>
      </c>
      <c r="L14">
        <f t="shared" si="4"/>
        <v>3.7499999999999997E-9</v>
      </c>
      <c r="M14" s="35">
        <f t="shared" si="5"/>
        <v>16.016341856092588</v>
      </c>
      <c r="N14" s="35">
        <f t="shared" si="6"/>
        <v>13.849343060762653</v>
      </c>
      <c r="O14" s="35"/>
      <c r="P14">
        <v>5.0000000000000002E-5</v>
      </c>
      <c r="Q14">
        <f t="shared" si="9"/>
        <v>24.691358024691358</v>
      </c>
    </row>
    <row r="15" spans="1:17">
      <c r="A15">
        <v>12</v>
      </c>
      <c r="B15">
        <v>0</v>
      </c>
      <c r="C15">
        <v>4</v>
      </c>
      <c r="D15" s="34">
        <f t="shared" si="7"/>
        <v>24</v>
      </c>
      <c r="E15" s="34">
        <f t="shared" si="8"/>
        <v>28</v>
      </c>
      <c r="F15" s="35">
        <v>0.58699999999999997</v>
      </c>
      <c r="G15" t="s">
        <v>177</v>
      </c>
      <c r="H15" s="35">
        <v>3.9453800000000001</v>
      </c>
      <c r="I15" s="35">
        <v>2.1693099999999998</v>
      </c>
      <c r="J15">
        <f t="shared" si="3"/>
        <v>8.3333333333333325E-8</v>
      </c>
      <c r="K15">
        <v>1000</v>
      </c>
      <c r="L15">
        <f t="shared" si="4"/>
        <v>3.7499999999999997E-9</v>
      </c>
      <c r="M15" s="35">
        <f t="shared" si="5"/>
        <v>27.76215647200549</v>
      </c>
      <c r="N15" s="35">
        <f t="shared" si="6"/>
        <v>15.2646192904831</v>
      </c>
      <c r="O15" s="35"/>
      <c r="P15">
        <v>5.0000000000000002E-5</v>
      </c>
      <c r="Q15">
        <f t="shared" si="9"/>
        <v>24.691358024691358</v>
      </c>
    </row>
    <row r="16" spans="1:17">
      <c r="A16">
        <v>12</v>
      </c>
      <c r="B16">
        <v>0</v>
      </c>
      <c r="C16">
        <v>7</v>
      </c>
      <c r="D16" s="34">
        <f t="shared" si="7"/>
        <v>24</v>
      </c>
      <c r="E16" s="34">
        <f t="shared" si="8"/>
        <v>31</v>
      </c>
      <c r="F16" s="35">
        <v>0.627</v>
      </c>
      <c r="G16" t="s">
        <v>177</v>
      </c>
      <c r="H16" s="35">
        <v>5.9952199999999998</v>
      </c>
      <c r="I16" s="35">
        <v>2.3725800000000001</v>
      </c>
      <c r="J16">
        <f t="shared" si="3"/>
        <v>8.3333333333333325E-8</v>
      </c>
      <c r="K16">
        <v>1000</v>
      </c>
      <c r="L16">
        <f t="shared" si="4"/>
        <v>3.7499999999999997E-9</v>
      </c>
      <c r="M16" s="35">
        <f t="shared" si="5"/>
        <v>42.186110266716192</v>
      </c>
      <c r="N16" s="35">
        <f t="shared" si="6"/>
        <v>16.694953896038097</v>
      </c>
      <c r="O16" s="35"/>
      <c r="P16">
        <v>5.0000000000000002E-5</v>
      </c>
      <c r="Q16">
        <f t="shared" si="9"/>
        <v>24.691358024691358</v>
      </c>
    </row>
    <row r="17" spans="1:17">
      <c r="A17">
        <v>12</v>
      </c>
      <c r="B17">
        <v>0</v>
      </c>
      <c r="C17">
        <v>10</v>
      </c>
      <c r="D17" s="34">
        <f t="shared" si="7"/>
        <v>24</v>
      </c>
      <c r="E17" s="34">
        <f t="shared" si="8"/>
        <v>34</v>
      </c>
      <c r="F17" s="35">
        <v>0.66</v>
      </c>
      <c r="G17" t="s">
        <v>177</v>
      </c>
      <c r="H17" s="35">
        <v>8.2015600000000006</v>
      </c>
      <c r="I17" s="35">
        <v>2.5754100000000002</v>
      </c>
      <c r="J17">
        <f t="shared" si="3"/>
        <v>8.3333333333333325E-8</v>
      </c>
      <c r="K17">
        <v>1000</v>
      </c>
      <c r="L17">
        <f t="shared" si="4"/>
        <v>3.7499999999999997E-9</v>
      </c>
      <c r="M17" s="35">
        <f t="shared" si="5"/>
        <v>57.711295752130681</v>
      </c>
      <c r="N17" s="35">
        <f t="shared" si="6"/>
        <v>18.12219238693552</v>
      </c>
      <c r="O17" s="35"/>
      <c r="P17">
        <v>5.0000000000000002E-5</v>
      </c>
      <c r="Q17">
        <f t="shared" si="9"/>
        <v>24.691358024691358</v>
      </c>
    </row>
    <row r="18" spans="1:17">
      <c r="A18">
        <v>12</v>
      </c>
      <c r="B18">
        <v>0</v>
      </c>
      <c r="C18">
        <v>13</v>
      </c>
      <c r="D18" s="34">
        <f t="shared" si="7"/>
        <v>24</v>
      </c>
      <c r="E18" s="34">
        <f t="shared" si="8"/>
        <v>37</v>
      </c>
      <c r="F18" s="35">
        <v>0.68700000000000006</v>
      </c>
      <c r="G18" t="s">
        <v>177</v>
      </c>
      <c r="H18" s="35">
        <v>10.419499999999999</v>
      </c>
      <c r="I18" s="35">
        <v>2.77583</v>
      </c>
      <c r="J18">
        <f t="shared" si="3"/>
        <v>8.3333333333333325E-8</v>
      </c>
      <c r="K18">
        <v>1000</v>
      </c>
      <c r="L18">
        <f t="shared" si="4"/>
        <v>3.7499999999999997E-9</v>
      </c>
      <c r="M18" s="35">
        <f t="shared" si="5"/>
        <v>73.318106078517445</v>
      </c>
      <c r="N18" s="35">
        <f t="shared" si="6"/>
        <v>19.532472613458527</v>
      </c>
      <c r="O18" s="35"/>
      <c r="P18">
        <v>5.0000000000000002E-5</v>
      </c>
      <c r="Q18">
        <f t="shared" si="9"/>
        <v>24.691358024691358</v>
      </c>
    </row>
    <row r="19" spans="1:17">
      <c r="A19">
        <v>12</v>
      </c>
      <c r="B19">
        <v>0</v>
      </c>
      <c r="C19">
        <v>17</v>
      </c>
      <c r="D19" s="34">
        <f t="shared" si="7"/>
        <v>24</v>
      </c>
      <c r="E19" s="34">
        <f t="shared" si="8"/>
        <v>41</v>
      </c>
      <c r="F19" s="35">
        <v>0.71799999999999997</v>
      </c>
      <c r="G19" t="s">
        <v>177</v>
      </c>
      <c r="H19" s="35">
        <v>13.2506</v>
      </c>
      <c r="I19" s="35">
        <v>3.0374599999999998</v>
      </c>
      <c r="J19">
        <f t="shared" si="3"/>
        <v>8.3333333333333325E-8</v>
      </c>
      <c r="K19">
        <v>1000</v>
      </c>
      <c r="L19">
        <f t="shared" si="4"/>
        <v>3.7499999999999997E-9</v>
      </c>
      <c r="M19" s="35">
        <f t="shared" si="5"/>
        <v>93.239492912712066</v>
      </c>
      <c r="N19" s="35">
        <f t="shared" si="6"/>
        <v>21.373464608594809</v>
      </c>
      <c r="O19" s="35"/>
      <c r="P19">
        <v>5.0000000000000002E-5</v>
      </c>
      <c r="Q19">
        <f t="shared" si="9"/>
        <v>24.691358024691358</v>
      </c>
    </row>
    <row r="20" spans="1:17">
      <c r="A20">
        <v>12</v>
      </c>
      <c r="B20">
        <v>0</v>
      </c>
      <c r="C20">
        <v>20</v>
      </c>
      <c r="D20" s="34">
        <f>2*A20+B20</f>
        <v>24</v>
      </c>
      <c r="E20" s="34">
        <f>2*A20+C20+B20</f>
        <v>44</v>
      </c>
      <c r="F20" s="35">
        <v>0.73699999999999999</v>
      </c>
      <c r="G20" t="s">
        <v>177</v>
      </c>
      <c r="H20" s="35">
        <v>15.2233</v>
      </c>
      <c r="I20" s="35">
        <v>3.2289400000000001</v>
      </c>
      <c r="J20">
        <f t="shared" si="3"/>
        <v>8.3333333333333325E-8</v>
      </c>
      <c r="K20">
        <v>1000</v>
      </c>
      <c r="L20">
        <f t="shared" si="4"/>
        <v>3.7499999999999997E-9</v>
      </c>
      <c r="M20" s="35">
        <f t="shared" si="5"/>
        <v>107.12064151495703</v>
      </c>
      <c r="N20" s="35">
        <f t="shared" si="6"/>
        <v>22.720837414575374</v>
      </c>
      <c r="O20" s="35"/>
      <c r="P20">
        <v>5.0000000000000002E-5</v>
      </c>
      <c r="Q20">
        <f t="shared" si="9"/>
        <v>24.691358024691358</v>
      </c>
    </row>
    <row r="21" spans="1:17">
      <c r="A21">
        <v>12</v>
      </c>
      <c r="B21">
        <v>0</v>
      </c>
      <c r="C21">
        <v>24</v>
      </c>
      <c r="D21" s="34">
        <f>2*A21+B21</f>
        <v>24</v>
      </c>
      <c r="E21" s="34">
        <f>2*A21+C21+B21</f>
        <v>48</v>
      </c>
      <c r="F21" s="35">
        <v>0.75900000000000001</v>
      </c>
      <c r="G21" t="s">
        <v>177</v>
      </c>
      <c r="H21" s="35">
        <v>17.621500000000001</v>
      </c>
      <c r="I21" s="35">
        <v>3.47783</v>
      </c>
      <c r="J21">
        <f t="shared" si="3"/>
        <v>8.3333333333333325E-8</v>
      </c>
      <c r="K21">
        <v>1000</v>
      </c>
      <c r="L21">
        <f t="shared" si="4"/>
        <v>3.7499999999999997E-9</v>
      </c>
      <c r="M21" s="35">
        <f t="shared" si="5"/>
        <v>123.99587372355633</v>
      </c>
      <c r="N21" s="35">
        <f t="shared" si="6"/>
        <v>24.472182817126576</v>
      </c>
      <c r="O21" s="35"/>
      <c r="P21">
        <v>5.0000000000000002E-5</v>
      </c>
      <c r="Q21">
        <f t="shared" si="9"/>
        <v>24.691358024691358</v>
      </c>
    </row>
    <row r="22" spans="1:17">
      <c r="F22" s="35"/>
      <c r="H22" s="35"/>
      <c r="I22" s="35"/>
      <c r="K22">
        <v>1000</v>
      </c>
      <c r="M22" s="35"/>
      <c r="N22" s="35"/>
      <c r="O22" s="35"/>
    </row>
    <row r="23" spans="1:17">
      <c r="A23">
        <v>12</v>
      </c>
      <c r="B23">
        <v>0</v>
      </c>
      <c r="C23">
        <v>0</v>
      </c>
      <c r="D23" s="34">
        <f t="shared" ref="D23:D31" si="10">2*A23+B23</f>
        <v>24</v>
      </c>
      <c r="E23" s="34">
        <f t="shared" ref="E23:E31" si="11">2*A23+C23+B23</f>
        <v>24</v>
      </c>
      <c r="F23" s="35">
        <v>0.57118000000000002</v>
      </c>
      <c r="G23" t="s">
        <v>178</v>
      </c>
      <c r="H23" s="35">
        <v>2.71394</v>
      </c>
      <c r="I23" s="35">
        <v>2.71394</v>
      </c>
      <c r="J23">
        <f t="shared" si="3"/>
        <v>8.3333333333333325E-8</v>
      </c>
      <c r="K23">
        <v>1000</v>
      </c>
      <c r="L23">
        <f t="shared" si="4"/>
        <v>3.7499999999999997E-9</v>
      </c>
      <c r="M23" s="35">
        <f t="shared" si="5"/>
        <v>19.09697594037446</v>
      </c>
      <c r="N23" s="35">
        <f t="shared" si="6"/>
        <v>19.09697594037446</v>
      </c>
      <c r="O23" s="35"/>
      <c r="P23">
        <v>5.0000000000000002E-5</v>
      </c>
      <c r="Q23">
        <f t="shared" ref="Q23:Q31" si="12">P23*J23^2*K23/L23^2</f>
        <v>24.691358024691358</v>
      </c>
    </row>
    <row r="24" spans="1:17">
      <c r="A24">
        <v>12</v>
      </c>
      <c r="B24">
        <v>0</v>
      </c>
      <c r="C24">
        <v>1</v>
      </c>
      <c r="D24" s="34">
        <f t="shared" si="10"/>
        <v>24</v>
      </c>
      <c r="E24" s="34">
        <f t="shared" si="11"/>
        <v>25</v>
      </c>
      <c r="F24" s="35">
        <v>0.58799999999999997</v>
      </c>
      <c r="G24" t="s">
        <v>178</v>
      </c>
      <c r="H24" s="35">
        <v>3.2437800000000001</v>
      </c>
      <c r="I24" s="35">
        <v>2.80383</v>
      </c>
      <c r="J24">
        <f t="shared" si="3"/>
        <v>8.3333333333333325E-8</v>
      </c>
      <c r="K24">
        <v>1000</v>
      </c>
      <c r="L24">
        <f t="shared" si="4"/>
        <v>3.7499999999999997E-9</v>
      </c>
      <c r="M24" s="35">
        <f t="shared" si="5"/>
        <v>22.825260918026139</v>
      </c>
      <c r="N24" s="35">
        <f t="shared" si="6"/>
        <v>19.729498091667509</v>
      </c>
      <c r="O24" s="35"/>
      <c r="P24">
        <v>5.0000000000000002E-5</v>
      </c>
      <c r="Q24">
        <f t="shared" si="12"/>
        <v>24.691358024691358</v>
      </c>
    </row>
    <row r="25" spans="1:17">
      <c r="A25">
        <v>12</v>
      </c>
      <c r="B25">
        <v>0</v>
      </c>
      <c r="C25">
        <v>4</v>
      </c>
      <c r="D25" s="34">
        <f t="shared" si="10"/>
        <v>24</v>
      </c>
      <c r="E25" s="34">
        <f t="shared" si="11"/>
        <v>28</v>
      </c>
      <c r="F25" s="35">
        <v>0.63244</v>
      </c>
      <c r="G25" t="s">
        <v>178</v>
      </c>
      <c r="H25" s="35">
        <v>5.1736500000000003</v>
      </c>
      <c r="I25" s="35">
        <v>3.07633</v>
      </c>
      <c r="J25">
        <f t="shared" si="3"/>
        <v>8.3333333333333325E-8</v>
      </c>
      <c r="K25">
        <v>1000</v>
      </c>
      <c r="L25">
        <f t="shared" si="4"/>
        <v>3.7499999999999997E-9</v>
      </c>
      <c r="M25" s="35">
        <f t="shared" si="5"/>
        <v>36.405030904853582</v>
      </c>
      <c r="N25" s="35">
        <f t="shared" si="6"/>
        <v>21.646978192094206</v>
      </c>
      <c r="O25" s="35"/>
      <c r="P25">
        <v>5.0000000000000002E-5</v>
      </c>
      <c r="Q25">
        <f t="shared" si="12"/>
        <v>24.691358024691358</v>
      </c>
    </row>
    <row r="26" spans="1:17">
      <c r="A26">
        <v>12</v>
      </c>
      <c r="B26">
        <v>0</v>
      </c>
      <c r="C26">
        <v>7</v>
      </c>
      <c r="D26" s="34">
        <f t="shared" si="10"/>
        <v>24</v>
      </c>
      <c r="E26" s="34">
        <f t="shared" si="11"/>
        <v>31</v>
      </c>
      <c r="F26" s="35">
        <v>0.66800000000000004</v>
      </c>
      <c r="G26" t="s">
        <v>178</v>
      </c>
      <c r="H26" s="35">
        <v>7.3845099999999997</v>
      </c>
      <c r="I26" s="35">
        <v>3.3495200000000001</v>
      </c>
      <c r="J26">
        <f t="shared" si="3"/>
        <v>8.3333333333333325E-8</v>
      </c>
      <c r="K26">
        <v>1000</v>
      </c>
      <c r="L26">
        <f t="shared" si="4"/>
        <v>3.7499999999999997E-9</v>
      </c>
      <c r="M26" s="35">
        <f t="shared" si="5"/>
        <v>51.962021931750364</v>
      </c>
      <c r="N26" s="35">
        <f t="shared" si="6"/>
        <v>23.569313563233916</v>
      </c>
      <c r="O26" s="35"/>
      <c r="P26">
        <v>5.0000000000000002E-5</v>
      </c>
      <c r="Q26">
        <f t="shared" si="12"/>
        <v>24.691358024691358</v>
      </c>
    </row>
    <row r="27" spans="1:17">
      <c r="A27">
        <v>12</v>
      </c>
      <c r="B27">
        <v>0</v>
      </c>
      <c r="C27">
        <v>10</v>
      </c>
      <c r="D27" s="34">
        <f t="shared" si="10"/>
        <v>24</v>
      </c>
      <c r="E27" s="34">
        <f t="shared" si="11"/>
        <v>34</v>
      </c>
      <c r="F27" s="35">
        <v>0.69730000000000003</v>
      </c>
      <c r="G27" t="s">
        <v>178</v>
      </c>
      <c r="H27" s="35">
        <v>9.6695600000000006</v>
      </c>
      <c r="I27" s="35">
        <v>3.6195599999999999</v>
      </c>
      <c r="J27">
        <f t="shared" si="3"/>
        <v>8.3333333333333325E-8</v>
      </c>
      <c r="K27">
        <v>1000</v>
      </c>
      <c r="L27">
        <f t="shared" si="4"/>
        <v>3.7499999999999997E-9</v>
      </c>
      <c r="M27" s="35">
        <f t="shared" si="5"/>
        <v>68.041060109658744</v>
      </c>
      <c r="N27" s="35">
        <f t="shared" si="6"/>
        <v>25.469483568075109</v>
      </c>
      <c r="O27" s="35"/>
      <c r="P27">
        <v>5.0000000000000002E-5</v>
      </c>
      <c r="Q27">
        <f t="shared" si="12"/>
        <v>24.691358024691358</v>
      </c>
    </row>
    <row r="28" spans="1:17">
      <c r="A28">
        <v>12</v>
      </c>
      <c r="B28">
        <v>0</v>
      </c>
      <c r="C28">
        <v>13</v>
      </c>
      <c r="D28" s="34">
        <f t="shared" si="10"/>
        <v>24</v>
      </c>
      <c r="E28" s="34">
        <f t="shared" si="11"/>
        <v>37</v>
      </c>
      <c r="F28" s="35">
        <v>0.72184999999999999</v>
      </c>
      <c r="G28" t="s">
        <v>178</v>
      </c>
      <c r="H28" s="35">
        <v>11.9086</v>
      </c>
      <c r="I28" s="35">
        <v>3.8837600000000001</v>
      </c>
      <c r="J28">
        <f t="shared" si="3"/>
        <v>8.3333333333333325E-8</v>
      </c>
      <c r="K28">
        <v>1000</v>
      </c>
      <c r="L28">
        <f t="shared" si="4"/>
        <v>3.7499999999999997E-9</v>
      </c>
      <c r="M28" s="35">
        <f t="shared" si="5"/>
        <v>83.796343207124423</v>
      </c>
      <c r="N28" s="35">
        <f t="shared" si="6"/>
        <v>27.328559687461293</v>
      </c>
      <c r="O28" s="35"/>
      <c r="P28">
        <v>5.0000000000000002E-5</v>
      </c>
      <c r="Q28">
        <f t="shared" si="12"/>
        <v>24.691358024691358</v>
      </c>
    </row>
    <row r="29" spans="1:17">
      <c r="A29">
        <v>12</v>
      </c>
      <c r="B29">
        <v>0</v>
      </c>
      <c r="C29">
        <v>17</v>
      </c>
      <c r="D29" s="34">
        <f t="shared" si="10"/>
        <v>24</v>
      </c>
      <c r="E29" s="34">
        <f t="shared" si="11"/>
        <v>41</v>
      </c>
      <c r="F29" s="35">
        <v>0.748</v>
      </c>
      <c r="G29" t="s">
        <v>178</v>
      </c>
      <c r="H29" s="35">
        <v>14.712300000000001</v>
      </c>
      <c r="I29" s="35">
        <v>4.2248000000000001</v>
      </c>
      <c r="J29">
        <f t="shared" si="3"/>
        <v>8.3333333333333325E-8</v>
      </c>
      <c r="K29">
        <v>1000</v>
      </c>
      <c r="L29">
        <f t="shared" si="4"/>
        <v>3.7499999999999997E-9</v>
      </c>
      <c r="M29" s="35">
        <f t="shared" si="5"/>
        <v>103.52492653764311</v>
      </c>
      <c r="N29" s="35">
        <f t="shared" si="6"/>
        <v>29.72833001204669</v>
      </c>
      <c r="O29" s="35"/>
      <c r="P29">
        <v>5.0000000000000002E-5</v>
      </c>
      <c r="Q29">
        <f t="shared" si="12"/>
        <v>24.691358024691358</v>
      </c>
    </row>
    <row r="30" spans="1:17">
      <c r="A30">
        <v>12</v>
      </c>
      <c r="B30">
        <v>0</v>
      </c>
      <c r="C30">
        <v>20</v>
      </c>
      <c r="D30" s="34">
        <f t="shared" si="10"/>
        <v>24</v>
      </c>
      <c r="E30" s="34">
        <f t="shared" si="11"/>
        <v>44</v>
      </c>
      <c r="F30" s="35">
        <v>0.7661</v>
      </c>
      <c r="G30" t="s">
        <v>178</v>
      </c>
      <c r="H30" s="35">
        <v>16.640899999999998</v>
      </c>
      <c r="I30" s="35">
        <v>4.4717700000000002</v>
      </c>
      <c r="J30">
        <f t="shared" si="3"/>
        <v>8.3333333333333325E-8</v>
      </c>
      <c r="K30">
        <v>1000</v>
      </c>
      <c r="L30">
        <f t="shared" si="4"/>
        <v>3.7499999999999997E-9</v>
      </c>
      <c r="M30" s="35">
        <f t="shared" si="5"/>
        <v>117.0957600117089</v>
      </c>
      <c r="N30" s="35">
        <f t="shared" si="6"/>
        <v>31.46616509609213</v>
      </c>
      <c r="O30" s="35"/>
      <c r="P30">
        <v>5.0000000000000002E-5</v>
      </c>
      <c r="Q30">
        <f t="shared" si="12"/>
        <v>24.691358024691358</v>
      </c>
    </row>
    <row r="31" spans="1:17">
      <c r="A31">
        <v>12</v>
      </c>
      <c r="B31">
        <v>0</v>
      </c>
      <c r="C31">
        <v>24</v>
      </c>
      <c r="D31" s="34">
        <f t="shared" si="10"/>
        <v>24</v>
      </c>
      <c r="E31" s="34">
        <f t="shared" si="11"/>
        <v>48</v>
      </c>
      <c r="F31" s="35">
        <v>0.78559000000000001</v>
      </c>
      <c r="G31" t="s">
        <v>178</v>
      </c>
      <c r="H31" s="35">
        <v>18.966100000000001</v>
      </c>
      <c r="I31" s="35">
        <v>4.7895899999999996</v>
      </c>
      <c r="J31">
        <f t="shared" si="3"/>
        <v>8.3333333333333325E-8</v>
      </c>
      <c r="K31">
        <v>1000</v>
      </c>
      <c r="L31">
        <f t="shared" si="4"/>
        <v>3.7499999999999997E-9</v>
      </c>
      <c r="M31" s="35">
        <f t="shared" si="5"/>
        <v>133.45731865212053</v>
      </c>
      <c r="N31" s="35">
        <f t="shared" si="6"/>
        <v>33.702545006248513</v>
      </c>
      <c r="O31" s="35"/>
      <c r="P31">
        <v>5.0000000000000002E-5</v>
      </c>
      <c r="Q31">
        <f t="shared" si="12"/>
        <v>24.691358024691358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310D-988D-4DBD-A840-C1FCD4E4DB8C}">
  <dimension ref="A1:AQ30"/>
  <sheetViews>
    <sheetView zoomScale="90" zoomScaleNormal="90" workbookViewId="0">
      <selection activeCell="I21" sqref="I21"/>
    </sheetView>
  </sheetViews>
  <sheetFormatPr defaultRowHeight="15.75"/>
  <cols>
    <col min="1" max="1" width="19.375" bestFit="1" customWidth="1"/>
    <col min="2" max="3" width="19.375" customWidth="1"/>
    <col min="4" max="4" width="6.125" bestFit="1" customWidth="1"/>
    <col min="5" max="5" width="5.75" bestFit="1" customWidth="1"/>
    <col min="6" max="6" width="12.25" bestFit="1" customWidth="1"/>
    <col min="7" max="7" width="12.5" customWidth="1"/>
    <col min="8" max="8" width="8.375" bestFit="1" customWidth="1"/>
    <col min="9" max="9" width="12.5" style="8" bestFit="1" customWidth="1"/>
    <col min="10" max="10" width="19.75" bestFit="1" customWidth="1"/>
    <col min="11" max="11" width="24.875" style="8" bestFit="1" customWidth="1"/>
    <col min="12" max="12" width="9.875" bestFit="1" customWidth="1"/>
    <col min="13" max="13" width="18.875" bestFit="1" customWidth="1"/>
    <col min="14" max="14" width="22.125" style="8" bestFit="1" customWidth="1"/>
    <col min="15" max="15" width="13.5" bestFit="1" customWidth="1"/>
    <col min="16" max="16" width="7.25" bestFit="1" customWidth="1"/>
    <col min="17" max="17" width="11.875" style="8" bestFit="1" customWidth="1"/>
    <col min="18" max="18" width="26.625" bestFit="1" customWidth="1"/>
    <col min="19" max="19" width="17.125" bestFit="1" customWidth="1"/>
    <col min="20" max="20" width="21.5" bestFit="1" customWidth="1"/>
    <col min="21" max="21" width="17.125" bestFit="1" customWidth="1"/>
    <col min="22" max="22" width="21.375" bestFit="1" customWidth="1"/>
    <col min="23" max="23" width="16.875" style="8" bestFit="1" customWidth="1"/>
    <col min="24" max="24" width="32.625" bestFit="1" customWidth="1"/>
    <col min="25" max="25" width="29" style="8" bestFit="1" customWidth="1"/>
    <col min="26" max="26" width="11.875" style="12" bestFit="1" customWidth="1"/>
    <col min="27" max="27" width="11.875" bestFit="1" customWidth="1"/>
    <col min="28" max="28" width="15" bestFit="1" customWidth="1"/>
    <col min="29" max="29" width="11.875" bestFit="1" customWidth="1"/>
    <col min="30" max="30" width="7.25" style="8" bestFit="1" customWidth="1"/>
    <col min="31" max="31" width="21.875" bestFit="1" customWidth="1"/>
    <col min="32" max="32" width="23.5" bestFit="1" customWidth="1"/>
    <col min="33" max="33" width="26.375" bestFit="1" customWidth="1"/>
    <col min="34" max="34" width="18" bestFit="1" customWidth="1"/>
    <col min="35" max="35" width="19.25" bestFit="1" customWidth="1"/>
    <col min="36" max="36" width="21.75" style="8" bestFit="1" customWidth="1"/>
    <col min="37" max="37" width="12.625" bestFit="1" customWidth="1"/>
    <col min="38" max="38" width="12.625" style="8" bestFit="1" customWidth="1"/>
    <col min="39" max="39" width="32.625" bestFit="1" customWidth="1"/>
    <col min="40" max="40" width="29" bestFit="1" customWidth="1"/>
    <col min="41" max="41" width="12.25" bestFit="1" customWidth="1"/>
    <col min="42" max="42" width="12.125" bestFit="1" customWidth="1"/>
    <col min="43" max="43" width="11.875" bestFit="1" customWidth="1"/>
  </cols>
  <sheetData>
    <row r="1" spans="1:43" s="154" customFormat="1" thickBot="1">
      <c r="A1" s="154" t="s">
        <v>402</v>
      </c>
      <c r="B1" s="154" t="s">
        <v>515</v>
      </c>
      <c r="C1" s="154" t="s">
        <v>524</v>
      </c>
      <c r="D1" s="154" t="s">
        <v>0</v>
      </c>
      <c r="E1" s="154" t="s">
        <v>14</v>
      </c>
      <c r="F1" s="154" t="s">
        <v>512</v>
      </c>
      <c r="G1" s="154" t="s">
        <v>190</v>
      </c>
      <c r="H1" s="154" t="s">
        <v>1</v>
      </c>
      <c r="I1" s="155" t="s">
        <v>330</v>
      </c>
      <c r="J1" s="154" t="s">
        <v>2</v>
      </c>
      <c r="K1" s="155" t="s">
        <v>3</v>
      </c>
      <c r="L1" s="156" t="s">
        <v>4</v>
      </c>
      <c r="M1" s="155" t="s">
        <v>13</v>
      </c>
      <c r="N1" s="155" t="s">
        <v>253</v>
      </c>
      <c r="O1" s="155" t="s">
        <v>5</v>
      </c>
      <c r="P1" s="154" t="s">
        <v>6</v>
      </c>
      <c r="Q1" s="155" t="s">
        <v>7</v>
      </c>
      <c r="R1" s="154" t="s">
        <v>534</v>
      </c>
      <c r="S1" s="154" t="s">
        <v>160</v>
      </c>
      <c r="T1" s="154" t="s">
        <v>18</v>
      </c>
      <c r="U1" s="154" t="s">
        <v>127</v>
      </c>
      <c r="V1" s="154" t="s">
        <v>535</v>
      </c>
      <c r="W1" s="155" t="s">
        <v>126</v>
      </c>
      <c r="X1" s="154" t="s">
        <v>162</v>
      </c>
      <c r="Y1" s="155" t="s">
        <v>163</v>
      </c>
      <c r="Z1" s="167" t="s">
        <v>179</v>
      </c>
      <c r="AA1" s="154" t="s">
        <v>7</v>
      </c>
      <c r="AB1" s="154" t="s">
        <v>8</v>
      </c>
      <c r="AC1" s="154" t="s">
        <v>9</v>
      </c>
      <c r="AD1" s="155" t="s">
        <v>6</v>
      </c>
      <c r="AE1" s="154" t="s">
        <v>10</v>
      </c>
      <c r="AF1" s="154" t="s">
        <v>183</v>
      </c>
      <c r="AG1" s="154" t="s">
        <v>141</v>
      </c>
      <c r="AH1" s="154" t="s">
        <v>78</v>
      </c>
      <c r="AI1" s="154" t="s">
        <v>182</v>
      </c>
      <c r="AJ1" s="155" t="s">
        <v>142</v>
      </c>
      <c r="AK1" s="155" t="s">
        <v>11</v>
      </c>
      <c r="AL1" s="155" t="s">
        <v>164</v>
      </c>
      <c r="AM1" s="155"/>
      <c r="AN1" s="155"/>
      <c r="AO1" s="156"/>
      <c r="AP1" s="156"/>
      <c r="AQ1" s="155"/>
    </row>
    <row r="2" spans="1:43" s="7" customFormat="1">
      <c r="A2" s="7" t="s">
        <v>511</v>
      </c>
      <c r="D2" s="7">
        <v>350</v>
      </c>
      <c r="E2" s="7">
        <v>350</v>
      </c>
      <c r="F2" s="7">
        <f t="shared" ref="F2:F12" si="0">E2*AA2*10^9</f>
        <v>2000</v>
      </c>
      <c r="G2" s="7">
        <v>35</v>
      </c>
      <c r="H2" s="7">
        <f>E2/G2</f>
        <v>10</v>
      </c>
      <c r="I2" s="9">
        <f t="shared" ref="I2:I21" si="1">H2*AA2*10^9</f>
        <v>57.142857142857146</v>
      </c>
      <c r="J2" s="7">
        <v>1</v>
      </c>
      <c r="K2" s="9">
        <v>2</v>
      </c>
      <c r="L2" s="7" t="s">
        <v>15</v>
      </c>
      <c r="M2" s="7">
        <v>0</v>
      </c>
      <c r="N2" s="9">
        <f t="shared" ref="N2:N12" si="2">AA2*M2</f>
        <v>0</v>
      </c>
      <c r="O2" s="7" t="s">
        <v>83</v>
      </c>
      <c r="P2" s="7">
        <v>7.0000000000000007E-2</v>
      </c>
      <c r="Q2" s="9">
        <v>5.7142857142857144E-9</v>
      </c>
      <c r="R2" s="7">
        <v>3.1373399999999997E-4</v>
      </c>
      <c r="S2" s="7">
        <f>3.03613*10^-8</f>
        <v>3.0361299999999999E-8</v>
      </c>
      <c r="T2" s="7">
        <v>1.22747E-2</v>
      </c>
      <c r="U2" s="7">
        <f>3.49706*10^-8</f>
        <v>3.4970600000000001E-8</v>
      </c>
      <c r="V2" s="7">
        <v>1.22747E-2</v>
      </c>
      <c r="W2" s="9">
        <v>3.4970600000000001E-8</v>
      </c>
      <c r="X2" s="7">
        <f>SQRT(S2^2+U2^2+W2^2)/S2</f>
        <v>1.9113752831920681</v>
      </c>
      <c r="Y2" s="9">
        <f t="shared" ref="Y2:Y12" si="3">SQRT(S2^2+U2^2+W2^2)/U2</f>
        <v>1.6594464603289432</v>
      </c>
      <c r="Z2" s="11">
        <f t="shared" ref="Z2:Z12" si="4">T2/R2</f>
        <v>39.124544996716963</v>
      </c>
      <c r="AA2" s="7">
        <v>5.7142857142857144E-9</v>
      </c>
      <c r="AB2" s="7">
        <v>1000</v>
      </c>
      <c r="AC2" s="7">
        <v>1.3605442176870701E-12</v>
      </c>
      <c r="AD2" s="9">
        <v>7.0000000000000007E-2</v>
      </c>
      <c r="AE2" s="7">
        <f t="shared" ref="AE2:AE16" si="5">((AA2^2)*R2*1000)/(0.9869*(10^-12))</f>
        <v>1.0380358202658914E-5</v>
      </c>
      <c r="AF2" s="7">
        <f>9.869*10^-16*AE2</f>
        <v>1.0244375510204081E-20</v>
      </c>
      <c r="AG2" s="7">
        <f>LOG10(9.869*10^-16*AE2)</f>
        <v>-19.989514510736544</v>
      </c>
      <c r="AH2" s="7">
        <f t="shared" ref="AH2:AH13" si="6">((AA2^2)*T2*1000)/(0.9869*(10^-12))</f>
        <v>4.0612679158196874E-4</v>
      </c>
      <c r="AI2" s="7">
        <f>9.869*10^-16*AH2</f>
        <v>4.0080653061224492E-19</v>
      </c>
      <c r="AJ2" s="9">
        <f>LOG10(9.869*10^-16*AH2)</f>
        <v>-18.397065210829048</v>
      </c>
      <c r="AK2" s="7">
        <v>5.0000000000000001E-4</v>
      </c>
      <c r="AL2" s="9">
        <f>(AK2*AA2^2*AB2/AC2^2)/10^6</f>
        <v>8.8200000000000625</v>
      </c>
    </row>
    <row r="3" spans="1:43">
      <c r="A3" t="s">
        <v>511</v>
      </c>
      <c r="D3">
        <v>350</v>
      </c>
      <c r="E3">
        <v>350</v>
      </c>
      <c r="F3">
        <f t="shared" si="0"/>
        <v>2000</v>
      </c>
      <c r="G3">
        <v>35</v>
      </c>
      <c r="H3">
        <f>E3/G3</f>
        <v>10</v>
      </c>
      <c r="I3" s="8">
        <f t="shared" si="1"/>
        <v>57.142857142857146</v>
      </c>
      <c r="J3">
        <v>1</v>
      </c>
      <c r="K3" s="8">
        <v>2</v>
      </c>
      <c r="L3" t="s">
        <v>15</v>
      </c>
      <c r="M3">
        <v>0</v>
      </c>
      <c r="N3" s="8">
        <f t="shared" si="2"/>
        <v>0</v>
      </c>
      <c r="O3" t="s">
        <v>83</v>
      </c>
      <c r="P3">
        <v>7.0000000000000007E-2</v>
      </c>
      <c r="Q3" s="8">
        <v>5.7142857142857144E-9</v>
      </c>
      <c r="R3">
        <v>3.1373399999999997E-4</v>
      </c>
      <c r="S3">
        <f>3.03613*10^-8</f>
        <v>3.0361299999999999E-8</v>
      </c>
      <c r="T3">
        <v>1.22747E-2</v>
      </c>
      <c r="U3">
        <f>3.49706*10^-8</f>
        <v>3.4970600000000001E-8</v>
      </c>
      <c r="V3">
        <v>1.22747E-2</v>
      </c>
      <c r="W3" s="8">
        <v>3.4970600000000001E-8</v>
      </c>
      <c r="X3">
        <v>2.2000000000000002</v>
      </c>
      <c r="Y3" s="8">
        <f t="shared" si="3"/>
        <v>1.6594464603289432</v>
      </c>
      <c r="Z3" s="12">
        <f t="shared" si="4"/>
        <v>39.124544996716963</v>
      </c>
      <c r="AA3">
        <v>5.7142857142857144E-9</v>
      </c>
      <c r="AB3">
        <v>1000</v>
      </c>
      <c r="AC3">
        <v>1.3605442176870701E-12</v>
      </c>
      <c r="AD3" s="8">
        <v>7.0000000000000007E-2</v>
      </c>
      <c r="AE3">
        <f t="shared" si="5"/>
        <v>1.0380358202658914E-5</v>
      </c>
      <c r="AF3">
        <f t="shared" ref="AF3:AF11" si="7">9.869*10^-16*AE3</f>
        <v>1.0244375510204081E-20</v>
      </c>
      <c r="AG3">
        <f>LOG10(9.869*10^-16*AE3)</f>
        <v>-19.989514510736544</v>
      </c>
      <c r="AH3">
        <f t="shared" si="6"/>
        <v>4.0612679158196874E-4</v>
      </c>
      <c r="AI3">
        <f t="shared" ref="AI3:AI11" si="8">9.869*10^-16*AH3</f>
        <v>4.0080653061224492E-19</v>
      </c>
      <c r="AJ3" s="8">
        <f>LOG10(9.869*10^-16*AH3)</f>
        <v>-18.397065210829048</v>
      </c>
      <c r="AK3">
        <v>5.0000000000000001E-4</v>
      </c>
      <c r="AL3" s="8">
        <f t="shared" ref="AL3:AL11" si="9">(AK3*AA3^2*AB3/AC3^2)/10^6</f>
        <v>8.8200000000000625</v>
      </c>
    </row>
    <row r="4" spans="1:43">
      <c r="A4" t="s">
        <v>513</v>
      </c>
      <c r="D4">
        <v>350</v>
      </c>
      <c r="E4">
        <v>350</v>
      </c>
      <c r="F4">
        <f t="shared" si="0"/>
        <v>2000</v>
      </c>
      <c r="G4">
        <v>35</v>
      </c>
      <c r="H4">
        <f t="shared" ref="H4:H21" si="10">E4/G4</f>
        <v>10</v>
      </c>
      <c r="I4" s="8">
        <f t="shared" si="1"/>
        <v>57.142857142857146</v>
      </c>
      <c r="J4">
        <v>1</v>
      </c>
      <c r="K4" s="8">
        <v>2</v>
      </c>
      <c r="L4" t="s">
        <v>20</v>
      </c>
      <c r="M4">
        <v>2</v>
      </c>
      <c r="N4" s="8">
        <f t="shared" si="2"/>
        <v>1.1428571428571429E-8</v>
      </c>
      <c r="O4" t="s">
        <v>84</v>
      </c>
      <c r="P4">
        <v>0.18099999999999999</v>
      </c>
      <c r="Q4" s="8">
        <v>5.7142857142857144E-9</v>
      </c>
      <c r="R4">
        <v>3.9536399999999996E-3</v>
      </c>
      <c r="S4">
        <f>3.38883*10^-7</f>
        <v>3.38883E-7</v>
      </c>
      <c r="T4">
        <v>0.15341299999999999</v>
      </c>
      <c r="U4">
        <f>4.35421*10^-7</f>
        <v>4.3542099999999999E-7</v>
      </c>
      <c r="V4">
        <v>0.15341299999999999</v>
      </c>
      <c r="W4" s="8">
        <v>4.3542099999999999E-7</v>
      </c>
      <c r="X4">
        <v>2.16</v>
      </c>
      <c r="Y4" s="8">
        <f t="shared" si="3"/>
        <v>1.6142281214639009</v>
      </c>
      <c r="Z4" s="12">
        <f t="shared" si="4"/>
        <v>38.802976497607268</v>
      </c>
      <c r="AA4">
        <v>5.7142857142857144E-9</v>
      </c>
      <c r="AB4">
        <v>1000</v>
      </c>
      <c r="AC4">
        <v>1.3605442176870747E-12</v>
      </c>
      <c r="AD4" s="8">
        <v>0.18099999999999999</v>
      </c>
      <c r="AE4">
        <f t="shared" si="5"/>
        <v>1.3081208732353009E-4</v>
      </c>
      <c r="AF4">
        <f t="shared" si="7"/>
        <v>1.2909844897959183E-19</v>
      </c>
      <c r="AG4">
        <f t="shared" ref="AG4:AG11" si="11">LOG10(9.869*10^-16*AE4)</f>
        <v>-18.889078975422589</v>
      </c>
      <c r="AH4">
        <f t="shared" si="6"/>
        <v>5.0758983500178876E-3</v>
      </c>
      <c r="AI4">
        <f t="shared" si="8"/>
        <v>5.0094040816326531E-18</v>
      </c>
      <c r="AJ4" s="8">
        <f t="shared" ref="AJ4:AJ11" si="12">LOG10(9.869*10^-16*AH4)</f>
        <v>-17.300213934701947</v>
      </c>
      <c r="AK4">
        <v>5.0000000000000001E-4</v>
      </c>
      <c r="AL4" s="8">
        <f t="shared" si="9"/>
        <v>8.8200000000000021</v>
      </c>
    </row>
    <row r="5" spans="1:43">
      <c r="D5">
        <v>350</v>
      </c>
      <c r="E5">
        <v>350</v>
      </c>
      <c r="F5">
        <f t="shared" si="0"/>
        <v>2000</v>
      </c>
      <c r="G5">
        <v>35</v>
      </c>
      <c r="H5">
        <f t="shared" si="10"/>
        <v>10</v>
      </c>
      <c r="I5" s="8">
        <f t="shared" si="1"/>
        <v>57.142857142857146</v>
      </c>
      <c r="J5">
        <v>1</v>
      </c>
      <c r="K5" s="8">
        <v>2</v>
      </c>
      <c r="L5" t="s">
        <v>20</v>
      </c>
      <c r="M5">
        <v>4</v>
      </c>
      <c r="N5" s="8">
        <f t="shared" si="2"/>
        <v>2.2857142857142858E-8</v>
      </c>
      <c r="O5" t="s">
        <v>85</v>
      </c>
      <c r="P5">
        <v>0.26900000000000002</v>
      </c>
      <c r="Q5" s="8">
        <v>5.7142857142857144E-9</v>
      </c>
      <c r="R5">
        <v>1.6644699999999998E-2</v>
      </c>
      <c r="S5">
        <f>1.28036*10^-6</f>
        <v>1.2803599999999998E-6</v>
      </c>
      <c r="T5">
        <v>0.59258599999999995</v>
      </c>
      <c r="U5">
        <f>1.67555*10^-6</f>
        <v>1.67555E-6</v>
      </c>
      <c r="V5">
        <v>0.59258599999999995</v>
      </c>
      <c r="W5" s="8">
        <v>1.67555E-6</v>
      </c>
      <c r="X5">
        <v>2.12</v>
      </c>
      <c r="Y5" s="8">
        <f t="shared" si="3"/>
        <v>1.6074559725049464</v>
      </c>
      <c r="Z5" s="12">
        <f t="shared" si="4"/>
        <v>35.602083546113775</v>
      </c>
      <c r="AA5">
        <v>5.7142857142857144E-9</v>
      </c>
      <c r="AB5">
        <v>1000</v>
      </c>
      <c r="AC5">
        <v>1.3605442176870747E-12</v>
      </c>
      <c r="AD5" s="8">
        <v>0.26900000000000002</v>
      </c>
      <c r="AE5">
        <f t="shared" si="5"/>
        <v>5.5071477167217072E-4</v>
      </c>
      <c r="AF5">
        <f t="shared" si="7"/>
        <v>5.435004081632652E-19</v>
      </c>
      <c r="AG5">
        <f t="shared" si="11"/>
        <v>-18.264800125426838</v>
      </c>
      <c r="AH5">
        <f t="shared" si="6"/>
        <v>1.9606593311151596E-2</v>
      </c>
      <c r="AI5">
        <f t="shared" si="8"/>
        <v>1.9349746938775508E-17</v>
      </c>
      <c r="AJ5" s="8">
        <f t="shared" si="12"/>
        <v>-16.713324710428637</v>
      </c>
      <c r="AK5">
        <v>5.0000000000000001E-4</v>
      </c>
      <c r="AL5" s="8">
        <f t="shared" si="9"/>
        <v>8.8200000000000021</v>
      </c>
    </row>
    <row r="6" spans="1:43">
      <c r="D6">
        <v>350</v>
      </c>
      <c r="E6">
        <v>350</v>
      </c>
      <c r="F6">
        <f t="shared" si="0"/>
        <v>2000</v>
      </c>
      <c r="G6">
        <v>35</v>
      </c>
      <c r="H6">
        <f t="shared" si="10"/>
        <v>10</v>
      </c>
      <c r="I6" s="8">
        <f t="shared" si="1"/>
        <v>57.142857142857146</v>
      </c>
      <c r="J6">
        <v>1</v>
      </c>
      <c r="K6" s="8">
        <v>2</v>
      </c>
      <c r="L6" t="s">
        <v>20</v>
      </c>
      <c r="M6">
        <v>6</v>
      </c>
      <c r="N6" s="8">
        <f t="shared" si="2"/>
        <v>3.4285714285714286E-8</v>
      </c>
      <c r="O6" t="s">
        <v>86</v>
      </c>
      <c r="P6">
        <v>0.34100000000000003</v>
      </c>
      <c r="Q6" s="8">
        <v>5.7142857142857144E-9</v>
      </c>
      <c r="R6">
        <v>4.5357300000000003E-2</v>
      </c>
      <c r="S6">
        <f>3.16446*10^-6</f>
        <v>3.1644600000000001E-6</v>
      </c>
      <c r="T6">
        <v>1.4505999999999999</v>
      </c>
      <c r="U6">
        <f>4.08618*10^-6</f>
        <v>4.0861799999999994E-6</v>
      </c>
      <c r="V6">
        <v>1.4505999999999999</v>
      </c>
      <c r="W6" s="8">
        <v>4.0861799999999994E-6</v>
      </c>
      <c r="X6">
        <v>2.0699999999999998</v>
      </c>
      <c r="Y6" s="8">
        <f t="shared" si="3"/>
        <v>1.6123714466112151</v>
      </c>
      <c r="Z6" s="12">
        <f t="shared" si="4"/>
        <v>31.981621480996438</v>
      </c>
      <c r="AA6">
        <v>5.7142857142857144E-9</v>
      </c>
      <c r="AB6">
        <v>1000</v>
      </c>
      <c r="AC6">
        <v>1.3605442176870747E-12</v>
      </c>
      <c r="AD6" s="8">
        <v>0.34100000000000003</v>
      </c>
      <c r="AE6">
        <f t="shared" si="5"/>
        <v>1.500714047905108E-3</v>
      </c>
      <c r="AF6">
        <f t="shared" si="7"/>
        <v>1.481054693877551E-18</v>
      </c>
      <c r="AG6">
        <f t="shared" si="11"/>
        <v>-17.829428903119158</v>
      </c>
      <c r="AH6">
        <f t="shared" si="6"/>
        <v>4.7995268631315126E-2</v>
      </c>
      <c r="AI6">
        <f t="shared" si="8"/>
        <v>4.7366530612244892E-17</v>
      </c>
      <c r="AJ6" s="8">
        <f t="shared" si="12"/>
        <v>-16.324528424246861</v>
      </c>
      <c r="AK6">
        <v>5.0000000000000001E-4</v>
      </c>
      <c r="AL6" s="8">
        <f t="shared" si="9"/>
        <v>8.8200000000000021</v>
      </c>
    </row>
    <row r="7" spans="1:43">
      <c r="D7">
        <v>350</v>
      </c>
      <c r="E7">
        <v>350</v>
      </c>
      <c r="F7">
        <f t="shared" si="0"/>
        <v>2000</v>
      </c>
      <c r="G7">
        <v>35</v>
      </c>
      <c r="H7">
        <f t="shared" si="10"/>
        <v>10</v>
      </c>
      <c r="I7" s="8">
        <f t="shared" si="1"/>
        <v>57.142857142857146</v>
      </c>
      <c r="J7">
        <v>1</v>
      </c>
      <c r="K7" s="8">
        <v>2</v>
      </c>
      <c r="L7" t="s">
        <v>20</v>
      </c>
      <c r="M7">
        <v>8</v>
      </c>
      <c r="N7" s="8">
        <f t="shared" si="2"/>
        <v>4.5714285714285715E-8</v>
      </c>
      <c r="O7" t="s">
        <v>87</v>
      </c>
      <c r="P7">
        <v>0.40100000000000002</v>
      </c>
      <c r="Q7" s="8">
        <v>5.7142857142857144E-9</v>
      </c>
      <c r="R7">
        <v>9.8110600000000006E-2</v>
      </c>
      <c r="S7">
        <f>6.26238*10^-6</f>
        <v>6.2623799999999998E-6</v>
      </c>
      <c r="T7">
        <v>2.8128799999999998</v>
      </c>
      <c r="U7">
        <f>7.89396*10^-6</f>
        <v>7.8939599999999999E-6</v>
      </c>
      <c r="V7">
        <v>2.8128799999999998</v>
      </c>
      <c r="W7" s="8">
        <v>7.8939599999999999E-6</v>
      </c>
      <c r="X7">
        <v>2.02</v>
      </c>
      <c r="Y7" s="8">
        <f t="shared" si="3"/>
        <v>1.6215256078742062</v>
      </c>
      <c r="Z7" s="12">
        <f t="shared" si="4"/>
        <v>28.670500435223101</v>
      </c>
      <c r="AA7">
        <v>5.7142857142857144E-9</v>
      </c>
      <c r="AB7">
        <v>1000</v>
      </c>
      <c r="AC7">
        <v>1.3605442176870747E-12</v>
      </c>
      <c r="AD7" s="8">
        <v>0.40100000000000002</v>
      </c>
      <c r="AE7">
        <f t="shared" si="5"/>
        <v>3.2461358076516659E-3</v>
      </c>
      <c r="AF7">
        <f t="shared" si="7"/>
        <v>3.2036114285714286E-18</v>
      </c>
      <c r="AG7">
        <f t="shared" si="11"/>
        <v>-17.494360165702997</v>
      </c>
      <c r="AH7">
        <f t="shared" si="6"/>
        <v>9.3068338086070387E-2</v>
      </c>
      <c r="AI7">
        <f t="shared" si="8"/>
        <v>9.1849142857142857E-17</v>
      </c>
      <c r="AJ7" s="8">
        <f t="shared" si="12"/>
        <v>-16.036924892206841</v>
      </c>
      <c r="AK7">
        <v>5.0000000000000001E-4</v>
      </c>
      <c r="AL7" s="8">
        <f t="shared" si="9"/>
        <v>8.8200000000000021</v>
      </c>
    </row>
    <row r="8" spans="1:43">
      <c r="D8">
        <v>350</v>
      </c>
      <c r="E8">
        <v>350</v>
      </c>
      <c r="F8">
        <f t="shared" si="0"/>
        <v>2000</v>
      </c>
      <c r="G8">
        <v>35</v>
      </c>
      <c r="H8">
        <f t="shared" si="10"/>
        <v>10</v>
      </c>
      <c r="I8" s="8">
        <f t="shared" si="1"/>
        <v>57.142857142857146</v>
      </c>
      <c r="J8">
        <v>1</v>
      </c>
      <c r="K8" s="8">
        <v>2</v>
      </c>
      <c r="L8" t="s">
        <v>20</v>
      </c>
      <c r="M8">
        <v>12</v>
      </c>
      <c r="N8" s="8">
        <f t="shared" si="2"/>
        <v>6.8571428571428573E-8</v>
      </c>
      <c r="O8" t="s">
        <v>88</v>
      </c>
      <c r="P8">
        <v>0.496</v>
      </c>
      <c r="Q8" s="8">
        <v>5.7142857142857144E-9</v>
      </c>
      <c r="R8">
        <v>0.31220999999999999</v>
      </c>
      <c r="S8">
        <f>1.70296*10^-5</f>
        <v>1.70296E-5</v>
      </c>
      <c r="T8">
        <v>7.2903200000000004</v>
      </c>
      <c r="U8">
        <f>2.03073*10^-5</f>
        <v>2.0307300000000005E-5</v>
      </c>
      <c r="V8">
        <v>7.2903200000000004</v>
      </c>
      <c r="W8" s="8">
        <v>2.0307300000000005E-5</v>
      </c>
      <c r="X8">
        <f>SQRT(S8^2+U8^2+W8^2)/S8</f>
        <v>1.9606052666577154</v>
      </c>
      <c r="Y8" s="8">
        <f t="shared" si="3"/>
        <v>1.6441537500836756</v>
      </c>
      <c r="Z8" s="12">
        <f t="shared" si="4"/>
        <v>23.350693443515585</v>
      </c>
      <c r="AA8">
        <v>5.7142857142857144E-9</v>
      </c>
      <c r="AB8">
        <v>1000</v>
      </c>
      <c r="AC8">
        <v>1.3605442176870747E-12</v>
      </c>
      <c r="AD8" s="8">
        <v>0.496</v>
      </c>
      <c r="AE8">
        <f t="shared" si="5"/>
        <v>1.0329934385345992E-2</v>
      </c>
      <c r="AF8">
        <f t="shared" si="7"/>
        <v>1.0194612244897959E-17</v>
      </c>
      <c r="AG8">
        <f t="shared" si="11"/>
        <v>-16.991629288091204</v>
      </c>
      <c r="AH8">
        <f t="shared" si="6"/>
        <v>0.24121113112384485</v>
      </c>
      <c r="AI8">
        <f t="shared" si="8"/>
        <v>2.3805126530612247E-16</v>
      </c>
      <c r="AJ8" s="8">
        <f t="shared" si="12"/>
        <v>-15.623329505792048</v>
      </c>
      <c r="AK8">
        <v>5.0000000000000001E-4</v>
      </c>
      <c r="AL8" s="8">
        <f t="shared" si="9"/>
        <v>8.8200000000000021</v>
      </c>
    </row>
    <row r="9" spans="1:43">
      <c r="D9">
        <v>350</v>
      </c>
      <c r="E9">
        <v>350</v>
      </c>
      <c r="F9">
        <f t="shared" si="0"/>
        <v>2000</v>
      </c>
      <c r="G9">
        <v>35</v>
      </c>
      <c r="H9">
        <f t="shared" si="10"/>
        <v>10</v>
      </c>
      <c r="I9" s="8">
        <f t="shared" si="1"/>
        <v>57.142857142857146</v>
      </c>
      <c r="J9">
        <v>1</v>
      </c>
      <c r="K9" s="8">
        <v>2</v>
      </c>
      <c r="L9" t="s">
        <v>20</v>
      </c>
      <c r="M9">
        <v>16</v>
      </c>
      <c r="N9" s="8">
        <f t="shared" si="2"/>
        <v>9.142857142857143E-8</v>
      </c>
      <c r="O9" t="s">
        <v>89</v>
      </c>
      <c r="P9">
        <v>0.56599999999999995</v>
      </c>
      <c r="Q9" s="8">
        <v>5.7142857142857144E-9</v>
      </c>
      <c r="R9">
        <v>0.73976500000000001</v>
      </c>
      <c r="S9">
        <f>3.52269*10^-5</f>
        <v>3.52269E-5</v>
      </c>
      <c r="T9">
        <v>14.3904</v>
      </c>
      <c r="U9">
        <f>3.9789*10^-5</f>
        <v>3.9789000000000001E-5</v>
      </c>
      <c r="V9">
        <v>14.3904</v>
      </c>
      <c r="W9" s="8">
        <v>3.9789000000000001E-5</v>
      </c>
      <c r="X9">
        <f t="shared" ref="X9:X11" si="13">SQRT(S9^2+U9^2+W9^2)/S9</f>
        <v>1.8845604953702433</v>
      </c>
      <c r="Y9" s="8">
        <f t="shared" si="3"/>
        <v>1.6684818445891585</v>
      </c>
      <c r="Z9" s="12">
        <f t="shared" si="4"/>
        <v>19.452664021682562</v>
      </c>
      <c r="AA9">
        <v>5.7142857142857144E-9</v>
      </c>
      <c r="AB9">
        <v>1000</v>
      </c>
      <c r="AC9">
        <v>1.3605442176870747E-12</v>
      </c>
      <c r="AD9" s="8">
        <v>0.56599999999999995</v>
      </c>
      <c r="AE9">
        <f t="shared" si="5"/>
        <v>2.4476230455704424E-2</v>
      </c>
      <c r="AF9">
        <f t="shared" si="7"/>
        <v>2.4155591836734693E-17</v>
      </c>
      <c r="AG9">
        <f t="shared" si="11"/>
        <v>-16.616982317387592</v>
      </c>
      <c r="AH9">
        <f t="shared" si="6"/>
        <v>0.4761278875720924</v>
      </c>
      <c r="AI9">
        <f t="shared" si="8"/>
        <v>4.6989061224489798E-16</v>
      </c>
      <c r="AJ9" s="8">
        <f t="shared" si="12"/>
        <v>-15.328003231484741</v>
      </c>
      <c r="AK9">
        <v>5.0000000000000001E-4</v>
      </c>
      <c r="AL9" s="8">
        <f t="shared" si="9"/>
        <v>8.8200000000000021</v>
      </c>
    </row>
    <row r="10" spans="1:43">
      <c r="D10">
        <v>350</v>
      </c>
      <c r="E10">
        <v>350</v>
      </c>
      <c r="F10">
        <f t="shared" si="0"/>
        <v>2000</v>
      </c>
      <c r="G10">
        <v>35</v>
      </c>
      <c r="H10">
        <f t="shared" si="10"/>
        <v>10</v>
      </c>
      <c r="I10" s="8">
        <f t="shared" si="1"/>
        <v>57.142857142857146</v>
      </c>
      <c r="J10">
        <v>1</v>
      </c>
      <c r="K10" s="8">
        <v>2</v>
      </c>
      <c r="L10" t="s">
        <v>20</v>
      </c>
      <c r="M10">
        <v>22</v>
      </c>
      <c r="N10" s="8">
        <f t="shared" si="2"/>
        <v>1.2571428571428572E-7</v>
      </c>
      <c r="O10" t="s">
        <v>91</v>
      </c>
      <c r="P10">
        <v>0.64400000000000002</v>
      </c>
      <c r="Q10" s="8">
        <v>5.7142857142857144E-9</v>
      </c>
      <c r="R10">
        <v>1.9807600000000001</v>
      </c>
      <c r="S10">
        <f>7.92302*10^-5</f>
        <v>7.9230200000000013E-5</v>
      </c>
      <c r="T10">
        <v>30.4938</v>
      </c>
      <c r="U10">
        <f>8.33924*10^-5</f>
        <v>8.3392400000000005E-5</v>
      </c>
      <c r="V10">
        <v>30.4938</v>
      </c>
      <c r="W10" s="8">
        <v>8.3392400000000005E-5</v>
      </c>
      <c r="X10">
        <f t="shared" si="13"/>
        <v>1.7932237526435097</v>
      </c>
      <c r="Y10" s="8">
        <f t="shared" si="3"/>
        <v>1.703722120561296</v>
      </c>
      <c r="Z10" s="12">
        <f t="shared" si="4"/>
        <v>15.394999899028655</v>
      </c>
      <c r="AA10">
        <v>5.7142857142857144E-9</v>
      </c>
      <c r="AB10">
        <v>1000</v>
      </c>
      <c r="AC10">
        <v>1.3605442176870747E-12</v>
      </c>
      <c r="AD10" s="8">
        <v>0.64400000000000002</v>
      </c>
      <c r="AE10">
        <f t="shared" si="5"/>
        <v>6.5536404449306335E-2</v>
      </c>
      <c r="AF10">
        <f t="shared" si="7"/>
        <v>6.4677877551020415E-17</v>
      </c>
      <c r="AG10">
        <f t="shared" si="11"/>
        <v>-16.189244240203546</v>
      </c>
      <c r="AH10">
        <f t="shared" si="6"/>
        <v>1.0089329398797722</v>
      </c>
      <c r="AI10">
        <f t="shared" si="8"/>
        <v>9.9571591836734712E-16</v>
      </c>
      <c r="AJ10" s="8">
        <f t="shared" si="12"/>
        <v>-15.001864549812741</v>
      </c>
      <c r="AK10">
        <v>5.0000000000000001E-4</v>
      </c>
      <c r="AL10" s="8">
        <f t="shared" si="9"/>
        <v>8.8200000000000021</v>
      </c>
    </row>
    <row r="11" spans="1:43" s="7" customFormat="1">
      <c r="D11" s="7">
        <v>350</v>
      </c>
      <c r="E11" s="7">
        <v>350</v>
      </c>
      <c r="F11" s="7">
        <f t="shared" si="0"/>
        <v>2000</v>
      </c>
      <c r="G11">
        <v>35</v>
      </c>
      <c r="H11">
        <f t="shared" si="10"/>
        <v>10</v>
      </c>
      <c r="I11" s="9">
        <f t="shared" si="1"/>
        <v>57.142857142857146</v>
      </c>
      <c r="J11" s="7">
        <v>1</v>
      </c>
      <c r="K11" s="9">
        <v>2</v>
      </c>
      <c r="L11" s="7" t="s">
        <v>20</v>
      </c>
      <c r="M11" s="7">
        <v>30</v>
      </c>
      <c r="N11" s="9">
        <f t="shared" si="2"/>
        <v>1.7142857142857143E-7</v>
      </c>
      <c r="O11" s="7" t="s">
        <v>90</v>
      </c>
      <c r="P11" s="7">
        <v>0.71599999999999997</v>
      </c>
      <c r="Q11" s="9">
        <v>5.7142857142857144E-9</v>
      </c>
      <c r="R11" s="7">
        <v>5.2793799999999997</v>
      </c>
      <c r="S11" s="7">
        <v>1.74045E-4</v>
      </c>
      <c r="T11" s="7">
        <v>63.089100000000002</v>
      </c>
      <c r="U11" s="7">
        <v>1.7005199999999999E-4</v>
      </c>
      <c r="V11" s="7">
        <v>63.089100000000002</v>
      </c>
      <c r="W11" s="9">
        <v>1.7005199999999999E-4</v>
      </c>
      <c r="X11" s="7">
        <f t="shared" si="13"/>
        <v>1.7056621389267095</v>
      </c>
      <c r="Y11" s="9">
        <f t="shared" si="3"/>
        <v>1.7457128817626324</v>
      </c>
      <c r="Z11" s="11">
        <f t="shared" si="4"/>
        <v>11.950096412836357</v>
      </c>
      <c r="AA11" s="7">
        <v>5.7142857142857144E-9</v>
      </c>
      <c r="AB11" s="7">
        <v>1000</v>
      </c>
      <c r="AC11" s="7">
        <v>1.3605442176870747E-12</v>
      </c>
      <c r="AD11" s="9">
        <v>0.71599999999999997</v>
      </c>
      <c r="AE11" s="7">
        <f t="shared" si="5"/>
        <v>0.17467617627657003</v>
      </c>
      <c r="AF11" s="7">
        <f t="shared" si="7"/>
        <v>1.7238791836734695E-16</v>
      </c>
      <c r="AG11" s="7">
        <f t="shared" si="11"/>
        <v>-15.763493174533663</v>
      </c>
      <c r="AH11" s="7">
        <f t="shared" si="6"/>
        <v>2.0873971475306101</v>
      </c>
      <c r="AI11" s="7">
        <f t="shared" si="8"/>
        <v>2.0600522448979589E-15</v>
      </c>
      <c r="AJ11" s="9">
        <f t="shared" si="12"/>
        <v>-14.686121765367171</v>
      </c>
      <c r="AK11" s="7">
        <v>5.0000000000000001E-4</v>
      </c>
      <c r="AL11" s="9">
        <f t="shared" si="9"/>
        <v>8.8200000000000021</v>
      </c>
    </row>
    <row r="12" spans="1:43">
      <c r="A12" t="s">
        <v>511</v>
      </c>
      <c r="B12" s="76" t="s">
        <v>516</v>
      </c>
      <c r="C12" s="76" t="s">
        <v>525</v>
      </c>
      <c r="D12" s="16">
        <v>350</v>
      </c>
      <c r="E12" s="16">
        <v>350</v>
      </c>
      <c r="F12">
        <f t="shared" si="0"/>
        <v>2000</v>
      </c>
      <c r="G12">
        <v>50</v>
      </c>
      <c r="H12">
        <f t="shared" si="10"/>
        <v>7</v>
      </c>
      <c r="I12" s="8">
        <f t="shared" si="1"/>
        <v>40</v>
      </c>
      <c r="J12">
        <v>1</v>
      </c>
      <c r="K12" s="17">
        <v>2</v>
      </c>
      <c r="L12" t="s">
        <v>15</v>
      </c>
      <c r="M12" s="16">
        <v>0</v>
      </c>
      <c r="N12" s="8">
        <f t="shared" si="2"/>
        <v>0</v>
      </c>
      <c r="O12" s="16" t="s">
        <v>517</v>
      </c>
      <c r="P12" s="16">
        <v>9.5000000000000001E-2</v>
      </c>
      <c r="Q12" s="9">
        <v>5.7142857142857144E-9</v>
      </c>
      <c r="R12" s="16">
        <v>1.63524E-2</v>
      </c>
      <c r="S12" s="54">
        <v>4.6588099999999999E-8</v>
      </c>
      <c r="V12" s="16">
        <v>2.4711500000000001E-4</v>
      </c>
      <c r="W12" s="157">
        <v>3.3697500000000001E-8</v>
      </c>
      <c r="X12">
        <f t="shared" ref="X12" si="14">SQRT(S12^2+U12^2+W12^2)/S12</f>
        <v>1.2341689722482452</v>
      </c>
      <c r="Y12" s="8" t="e">
        <f t="shared" si="3"/>
        <v>#DIV/0!</v>
      </c>
      <c r="Z12" s="12">
        <f t="shared" si="4"/>
        <v>0</v>
      </c>
      <c r="AA12">
        <v>5.7142857142857144E-9</v>
      </c>
      <c r="AB12">
        <v>1000</v>
      </c>
      <c r="AC12">
        <v>1.3605442176870747E-12</v>
      </c>
      <c r="AD12" s="8">
        <f>P12</f>
        <v>9.5000000000000001E-2</v>
      </c>
      <c r="AE12">
        <f t="shared" si="5"/>
        <v>5.410435893883342E-4</v>
      </c>
      <c r="AF12">
        <f t="shared" ref="AF12:AF16" si="15">9.869*10^-16*AE12</f>
        <v>5.3395591836734696E-19</v>
      </c>
      <c r="AG12">
        <f>LOG10(9.869*10^-16*AE12)</f>
        <v>-18.272494595405981</v>
      </c>
      <c r="AH12">
        <f t="shared" si="6"/>
        <v>0</v>
      </c>
      <c r="AI12">
        <f t="shared" ref="AI12:AI13" si="16">9.869*10^-16*AH12</f>
        <v>0</v>
      </c>
      <c r="AJ12" s="8" t="e">
        <f>LOG10(9.869*10^-16*AH12)</f>
        <v>#NUM!</v>
      </c>
      <c r="AK12">
        <v>5.0000000000000001E-4</v>
      </c>
      <c r="AL12" s="8">
        <v>8.8200000000000021</v>
      </c>
    </row>
    <row r="13" spans="1:43">
      <c r="A13" t="s">
        <v>514</v>
      </c>
      <c r="B13" t="s">
        <v>518</v>
      </c>
      <c r="C13" t="s">
        <v>526</v>
      </c>
      <c r="D13" s="16">
        <v>350</v>
      </c>
      <c r="E13" s="16">
        <v>350</v>
      </c>
      <c r="F13">
        <f t="shared" ref="F13:F21" si="17">E13*AA13*10^9</f>
        <v>2000</v>
      </c>
      <c r="G13">
        <v>50</v>
      </c>
      <c r="H13">
        <f t="shared" si="10"/>
        <v>7</v>
      </c>
      <c r="I13" s="8">
        <f t="shared" si="1"/>
        <v>40</v>
      </c>
      <c r="J13">
        <v>1</v>
      </c>
      <c r="K13" s="17">
        <v>2</v>
      </c>
      <c r="L13" t="s">
        <v>20</v>
      </c>
      <c r="M13" s="16">
        <v>2</v>
      </c>
      <c r="N13" s="8">
        <f t="shared" ref="N13:N30" si="18">AA13*M13</f>
        <v>1.1428571428571429E-8</v>
      </c>
      <c r="O13" s="16" t="s">
        <v>519</v>
      </c>
      <c r="P13" s="16">
        <v>0.23499999999999999</v>
      </c>
      <c r="Q13" s="8">
        <v>5.7142857142857144E-9</v>
      </c>
      <c r="R13" s="16">
        <v>0.200353</v>
      </c>
      <c r="S13" s="54">
        <v>5.6864500000000002E-7</v>
      </c>
      <c r="V13">
        <v>3.28802E-3</v>
      </c>
      <c r="W13" s="157">
        <v>3.7938699999999998E-7</v>
      </c>
      <c r="X13" t="e">
        <f>SQRT(S13^2+U13^2+#REF!^2)/S13</f>
        <v>#REF!</v>
      </c>
      <c r="Y13" s="8" t="e">
        <f>SQRT(S13^2+U13^2+#REF!^2)/U13</f>
        <v>#REF!</v>
      </c>
      <c r="Z13" s="12">
        <f t="shared" ref="Z13:Z29" si="19">T13/R13</f>
        <v>0</v>
      </c>
      <c r="AA13">
        <v>5.7142857142857144E-9</v>
      </c>
      <c r="AB13">
        <v>1000</v>
      </c>
      <c r="AC13">
        <v>1.3605442176870747E-12</v>
      </c>
      <c r="AD13" s="8">
        <f t="shared" ref="AD13:AD30" si="20">P13</f>
        <v>0.23499999999999999</v>
      </c>
      <c r="AE13">
        <f t="shared" si="5"/>
        <v>6.6289783924513178E-3</v>
      </c>
      <c r="AF13">
        <f t="shared" si="15"/>
        <v>6.5421387755102047E-18</v>
      </c>
      <c r="AG13">
        <f>LOG10(9.869*10^-16*AE13)</f>
        <v>-17.184280247615643</v>
      </c>
      <c r="AH13">
        <f t="shared" si="6"/>
        <v>0</v>
      </c>
      <c r="AI13">
        <f t="shared" si="16"/>
        <v>0</v>
      </c>
      <c r="AJ13" s="8" t="e">
        <f>LOG10(9.869*10^-16*AH13)</f>
        <v>#NUM!</v>
      </c>
      <c r="AK13">
        <v>5.0000000000000001E-4</v>
      </c>
      <c r="AL13" s="8">
        <v>8.8200000000000021</v>
      </c>
    </row>
    <row r="14" spans="1:43">
      <c r="B14" t="s">
        <v>522</v>
      </c>
      <c r="C14" t="s">
        <v>527</v>
      </c>
      <c r="D14" s="16">
        <v>350</v>
      </c>
      <c r="E14" s="16">
        <v>350</v>
      </c>
      <c r="F14">
        <f t="shared" si="17"/>
        <v>2000</v>
      </c>
      <c r="G14">
        <v>50</v>
      </c>
      <c r="H14">
        <f t="shared" si="10"/>
        <v>7</v>
      </c>
      <c r="I14" s="8">
        <f t="shared" si="1"/>
        <v>40</v>
      </c>
      <c r="J14">
        <v>1</v>
      </c>
      <c r="K14" s="17">
        <v>2</v>
      </c>
      <c r="L14" t="s">
        <v>20</v>
      </c>
      <c r="M14" s="16">
        <v>4</v>
      </c>
      <c r="N14" s="8">
        <f t="shared" si="18"/>
        <v>2.2857142857142858E-8</v>
      </c>
      <c r="O14" s="16" t="s">
        <v>520</v>
      </c>
      <c r="P14" s="16">
        <v>0.34</v>
      </c>
      <c r="Q14" s="8">
        <v>5.7142857142857144E-9</v>
      </c>
      <c r="R14" s="16">
        <v>0.75263000000000002</v>
      </c>
      <c r="S14" s="54">
        <v>2.1280799999999999E-6</v>
      </c>
      <c r="V14">
        <v>1.43152E-2</v>
      </c>
      <c r="W14" s="54">
        <v>1.4315200000000001E-6</v>
      </c>
      <c r="X14" t="e">
        <f>SQRT(S14^2+U14^2+#REF!^2)/S14</f>
        <v>#REF!</v>
      </c>
      <c r="Y14" s="8" t="e">
        <f>SQRT(S14^2+U14^2+#REF!^2)/U14</f>
        <v>#REF!</v>
      </c>
      <c r="Z14" s="12">
        <f t="shared" si="19"/>
        <v>0</v>
      </c>
      <c r="AA14">
        <v>5.7142857142857144E-9</v>
      </c>
      <c r="AB14">
        <v>1000</v>
      </c>
      <c r="AC14">
        <v>1.3605442176870747E-12</v>
      </c>
      <c r="AD14" s="8">
        <f t="shared" si="20"/>
        <v>0.34</v>
      </c>
      <c r="AE14">
        <f t="shared" si="5"/>
        <v>2.4901888204871575E-2</v>
      </c>
      <c r="AF14">
        <f t="shared" si="15"/>
        <v>2.4575673469387754E-17</v>
      </c>
      <c r="AG14">
        <f>LOG10(9.869*10^-16*AE14)</f>
        <v>-16.609494571968618</v>
      </c>
      <c r="AH14">
        <f t="shared" ref="AH14:AH29" si="21">((AA14^2)*T14*1000)/(0.9869*(10^-12))</f>
        <v>0</v>
      </c>
      <c r="AI14">
        <f t="shared" ref="AI14:AI29" si="22">9.869*10^-16*AH14</f>
        <v>0</v>
      </c>
      <c r="AJ14" s="8" t="e">
        <f t="shared" ref="AJ14:AJ29" si="23">LOG10(9.869*10^-16*AH14)</f>
        <v>#NUM!</v>
      </c>
      <c r="AK14">
        <v>5.0000000000000001E-4</v>
      </c>
      <c r="AL14" s="8">
        <v>8.8200000000000021</v>
      </c>
    </row>
    <row r="15" spans="1:43">
      <c r="B15" t="s">
        <v>523</v>
      </c>
      <c r="C15" t="s">
        <v>528</v>
      </c>
      <c r="D15" s="16">
        <v>350</v>
      </c>
      <c r="E15" s="16">
        <v>350</v>
      </c>
      <c r="F15">
        <f t="shared" si="17"/>
        <v>2000</v>
      </c>
      <c r="G15">
        <v>50</v>
      </c>
      <c r="H15">
        <f t="shared" si="10"/>
        <v>7</v>
      </c>
      <c r="I15" s="8">
        <f t="shared" si="1"/>
        <v>40</v>
      </c>
      <c r="J15">
        <v>1</v>
      </c>
      <c r="K15" s="17">
        <v>2</v>
      </c>
      <c r="L15" t="s">
        <v>20</v>
      </c>
      <c r="M15" s="16">
        <v>6</v>
      </c>
      <c r="N15" s="8">
        <f t="shared" si="18"/>
        <v>3.4285714285714286E-8</v>
      </c>
      <c r="O15" s="16" t="s">
        <v>521</v>
      </c>
      <c r="P15" s="16">
        <v>0.42</v>
      </c>
      <c r="Q15" s="8">
        <v>5.7142857142857144E-9</v>
      </c>
      <c r="R15" s="16">
        <v>1.79844</v>
      </c>
      <c r="S15" s="54">
        <v>5.06602E-6</v>
      </c>
      <c r="V15">
        <v>3.9960099999999998E-2</v>
      </c>
      <c r="W15" s="157">
        <v>3.5258900000000001E-6</v>
      </c>
      <c r="X15">
        <f t="shared" ref="X15:X20" si="24">SQRT(S15^2+U15^2+W15^2)/S15</f>
        <v>1.2183593623422235</v>
      </c>
      <c r="Y15" s="8" t="e">
        <f t="shared" ref="Y15:Y21" si="25">SQRT(S15^2+U15^2+W15^2)/U15</f>
        <v>#DIV/0!</v>
      </c>
      <c r="Z15" s="12">
        <f t="shared" si="19"/>
        <v>0</v>
      </c>
      <c r="AA15">
        <v>5.7142857142857144E-9</v>
      </c>
      <c r="AB15">
        <v>1000</v>
      </c>
      <c r="AC15">
        <v>1.3605442176870747E-12</v>
      </c>
      <c r="AD15" s="8">
        <f t="shared" si="20"/>
        <v>0.42</v>
      </c>
      <c r="AE15">
        <f t="shared" si="5"/>
        <v>5.9504074808563623E-2</v>
      </c>
      <c r="AF15">
        <f t="shared" si="15"/>
        <v>5.8724571428571434E-17</v>
      </c>
      <c r="AG15">
        <f>LOG10(9.869*10^-16*AE15)</f>
        <v>-16.231180144016268</v>
      </c>
      <c r="AH15">
        <f t="shared" si="21"/>
        <v>0</v>
      </c>
      <c r="AI15">
        <f t="shared" si="22"/>
        <v>0</v>
      </c>
      <c r="AJ15" s="8" t="e">
        <f t="shared" si="23"/>
        <v>#NUM!</v>
      </c>
      <c r="AK15">
        <v>5.0000000000000001E-4</v>
      </c>
      <c r="AL15" s="8">
        <v>8.8200000000000021</v>
      </c>
    </row>
    <row r="16" spans="1:43">
      <c r="B16" t="s">
        <v>529</v>
      </c>
      <c r="C16" t="s">
        <v>532</v>
      </c>
      <c r="D16" s="16">
        <v>350</v>
      </c>
      <c r="E16" s="16">
        <v>350</v>
      </c>
      <c r="F16">
        <f t="shared" si="17"/>
        <v>2000</v>
      </c>
      <c r="G16">
        <v>50</v>
      </c>
      <c r="H16">
        <f t="shared" si="10"/>
        <v>7</v>
      </c>
      <c r="I16" s="8">
        <f t="shared" si="1"/>
        <v>40</v>
      </c>
      <c r="J16">
        <v>1</v>
      </c>
      <c r="K16" s="17">
        <v>2</v>
      </c>
      <c r="L16" t="s">
        <v>20</v>
      </c>
      <c r="M16" s="16">
        <v>8</v>
      </c>
      <c r="N16" s="8">
        <f t="shared" si="18"/>
        <v>4.5714285714285715E-8</v>
      </c>
      <c r="O16" s="16" t="s">
        <v>530</v>
      </c>
      <c r="P16" s="16">
        <v>0.48399999999999999</v>
      </c>
      <c r="Q16" s="8">
        <v>5.7142857142857144E-9</v>
      </c>
      <c r="R16" s="16">
        <v>3.41757</v>
      </c>
      <c r="S16" s="54">
        <v>9.5909300000000003E-6</v>
      </c>
      <c r="V16">
        <v>8.8033100000000003E-2</v>
      </c>
      <c r="W16" s="157">
        <v>6.9499979999999999E-6</v>
      </c>
      <c r="X16">
        <f t="shared" si="24"/>
        <v>1.2349522791228624</v>
      </c>
      <c r="Y16" s="8" t="e">
        <f t="shared" si="25"/>
        <v>#DIV/0!</v>
      </c>
      <c r="Z16" s="12">
        <f t="shared" si="19"/>
        <v>0</v>
      </c>
      <c r="AA16">
        <v>5.7142857142857144E-9</v>
      </c>
      <c r="AB16">
        <v>1000</v>
      </c>
      <c r="AC16">
        <v>1.3605442176870747E-12</v>
      </c>
      <c r="AD16" s="8">
        <f t="shared" si="20"/>
        <v>0.48399999999999999</v>
      </c>
      <c r="AE16">
        <f t="shared" si="5"/>
        <v>0.11307541032422699</v>
      </c>
      <c r="AF16">
        <f t="shared" si="15"/>
        <v>1.1159412244897961E-16</v>
      </c>
      <c r="AG16">
        <f>LOG10(9.869*10^-16*AE16)</f>
        <v>-15.952358678652878</v>
      </c>
      <c r="AH16">
        <f t="shared" si="21"/>
        <v>0</v>
      </c>
      <c r="AI16">
        <f t="shared" si="22"/>
        <v>0</v>
      </c>
      <c r="AJ16" s="8" t="e">
        <f t="shared" si="23"/>
        <v>#NUM!</v>
      </c>
      <c r="AK16">
        <v>5.0000000000000001E-4</v>
      </c>
      <c r="AL16" s="8">
        <v>8.8200000000000021</v>
      </c>
    </row>
    <row r="17" spans="1:38">
      <c r="B17" t="s">
        <v>531</v>
      </c>
      <c r="C17" t="s">
        <v>536</v>
      </c>
      <c r="D17" s="16">
        <v>350</v>
      </c>
      <c r="E17" s="16">
        <v>350</v>
      </c>
      <c r="F17">
        <f t="shared" si="17"/>
        <v>2000</v>
      </c>
      <c r="G17">
        <v>50</v>
      </c>
      <c r="H17">
        <f t="shared" si="10"/>
        <v>7</v>
      </c>
      <c r="I17" s="8">
        <f t="shared" si="1"/>
        <v>40</v>
      </c>
      <c r="J17">
        <v>1</v>
      </c>
      <c r="K17" s="17">
        <v>2</v>
      </c>
      <c r="L17" t="s">
        <v>20</v>
      </c>
      <c r="M17" s="16">
        <v>12</v>
      </c>
      <c r="N17" s="8">
        <f t="shared" si="18"/>
        <v>6.8571428571428573E-8</v>
      </c>
      <c r="O17" s="16" t="s">
        <v>533</v>
      </c>
      <c r="P17" s="16">
        <v>0.57899999999999996</v>
      </c>
      <c r="Q17" s="8">
        <v>5.7142857142857144E-9</v>
      </c>
      <c r="R17" s="16">
        <v>8.5836900000000007</v>
      </c>
      <c r="S17" s="54">
        <v>2.391E-5</v>
      </c>
      <c r="V17">
        <v>0.28754000000000002</v>
      </c>
      <c r="W17" s="157">
        <v>1.8752600000000001E-5</v>
      </c>
      <c r="X17">
        <f t="shared" si="24"/>
        <v>1.2708759330256241</v>
      </c>
      <c r="Y17" s="8" t="e">
        <f t="shared" si="25"/>
        <v>#DIV/0!</v>
      </c>
      <c r="Z17" s="12">
        <f t="shared" si="19"/>
        <v>0</v>
      </c>
      <c r="AA17">
        <v>5.7142857142857144E-9</v>
      </c>
      <c r="AB17">
        <v>1000</v>
      </c>
      <c r="AC17">
        <v>1.3605442176870747E-12</v>
      </c>
      <c r="AD17" s="8">
        <f t="shared" si="20"/>
        <v>0.57899999999999996</v>
      </c>
      <c r="AE17">
        <f t="shared" ref="AE17:AE29" si="26">((AA17^2)*R17*1000)/(0.9869*(10^-12))</f>
        <v>0.28400421025639971</v>
      </c>
      <c r="AF17">
        <f t="shared" ref="AF17:AF29" si="27">9.869*10^-16*AE17</f>
        <v>2.8028375510204084E-16</v>
      </c>
      <c r="AG17">
        <f t="shared" ref="AG17:AG29" si="28">LOG10(9.869*10^-16*AE17)</f>
        <v>-15.552402072678495</v>
      </c>
      <c r="AH17">
        <f t="shared" si="21"/>
        <v>0</v>
      </c>
      <c r="AI17">
        <f t="shared" si="22"/>
        <v>0</v>
      </c>
      <c r="AJ17" s="8" t="e">
        <f t="shared" si="23"/>
        <v>#NUM!</v>
      </c>
      <c r="AK17">
        <v>5.0000000000000001E-4</v>
      </c>
      <c r="AL17" s="8">
        <v>8.8200000000000021</v>
      </c>
    </row>
    <row r="18" spans="1:38">
      <c r="B18" t="s">
        <v>540</v>
      </c>
      <c r="C18" t="s">
        <v>541</v>
      </c>
      <c r="D18" s="16">
        <v>350</v>
      </c>
      <c r="E18" s="16">
        <v>350</v>
      </c>
      <c r="F18">
        <f t="shared" si="17"/>
        <v>2000</v>
      </c>
      <c r="G18">
        <v>50</v>
      </c>
      <c r="H18">
        <f t="shared" si="10"/>
        <v>7</v>
      </c>
      <c r="I18" s="8">
        <f t="shared" si="1"/>
        <v>40</v>
      </c>
      <c r="J18">
        <v>1</v>
      </c>
      <c r="K18" s="17">
        <v>2</v>
      </c>
      <c r="L18" t="s">
        <v>20</v>
      </c>
      <c r="M18" s="16">
        <v>16</v>
      </c>
      <c r="N18" s="8">
        <f t="shared" si="18"/>
        <v>9.142857142857143E-8</v>
      </c>
      <c r="O18" s="16" t="s">
        <v>542</v>
      </c>
      <c r="P18" s="16">
        <v>0.64700000000000002</v>
      </c>
      <c r="Q18" s="8">
        <v>5.7142857142857144E-9</v>
      </c>
      <c r="R18" s="16">
        <v>16.557400000000001</v>
      </c>
      <c r="S18" s="54">
        <v>4.5780800000000001E-5</v>
      </c>
      <c r="V18">
        <v>0.69331399999999999</v>
      </c>
      <c r="W18" s="157">
        <v>3.8517399999999998E-5</v>
      </c>
      <c r="X18">
        <f t="shared" si="24"/>
        <v>1.3068510531254038</v>
      </c>
      <c r="Y18" s="8" t="e">
        <f t="shared" si="25"/>
        <v>#DIV/0!</v>
      </c>
      <c r="Z18" s="12">
        <f t="shared" si="19"/>
        <v>0</v>
      </c>
      <c r="AA18">
        <v>5.7142857142857144E-9</v>
      </c>
      <c r="AB18">
        <v>1000</v>
      </c>
      <c r="AC18">
        <v>1.3605442176870747E-12</v>
      </c>
      <c r="AD18" s="8">
        <f t="shared" si="20"/>
        <v>0.64700000000000002</v>
      </c>
      <c r="AE18">
        <f t="shared" si="26"/>
        <v>0.54782632071979676</v>
      </c>
      <c r="AF18">
        <f t="shared" si="27"/>
        <v>5.4064979591836737E-16</v>
      </c>
      <c r="AG18">
        <f t="shared" si="28"/>
        <v>-15.267083956608779</v>
      </c>
      <c r="AH18">
        <f t="shared" si="21"/>
        <v>0</v>
      </c>
      <c r="AI18">
        <f t="shared" si="22"/>
        <v>0</v>
      </c>
      <c r="AJ18" s="8" t="e">
        <f t="shared" si="23"/>
        <v>#NUM!</v>
      </c>
      <c r="AK18">
        <v>5.0000000000000001E-4</v>
      </c>
      <c r="AL18" s="8">
        <v>8.8200000000000021</v>
      </c>
    </row>
    <row r="19" spans="1:38">
      <c r="B19" s="76" t="s">
        <v>548</v>
      </c>
      <c r="C19" s="76" t="s">
        <v>553</v>
      </c>
      <c r="D19" s="16">
        <v>350</v>
      </c>
      <c r="E19" s="16">
        <v>350</v>
      </c>
      <c r="F19">
        <f t="shared" si="17"/>
        <v>2000</v>
      </c>
      <c r="G19">
        <v>50</v>
      </c>
      <c r="H19">
        <f t="shared" si="10"/>
        <v>7</v>
      </c>
      <c r="I19" s="8">
        <f t="shared" si="1"/>
        <v>40</v>
      </c>
      <c r="J19">
        <v>1</v>
      </c>
      <c r="K19" s="17">
        <v>2</v>
      </c>
      <c r="L19" t="s">
        <v>20</v>
      </c>
      <c r="M19" s="16">
        <v>22</v>
      </c>
      <c r="N19" s="8">
        <f t="shared" si="18"/>
        <v>1.2571428571428572E-7</v>
      </c>
      <c r="O19" s="16" t="s">
        <v>549</v>
      </c>
      <c r="P19" s="16">
        <v>0.71699999999999997</v>
      </c>
      <c r="Q19" s="8">
        <v>5.7142857142857144E-9</v>
      </c>
      <c r="R19" s="16">
        <v>34.221499999999999</v>
      </c>
      <c r="S19" s="54">
        <v>9.3586700000000003E-5</v>
      </c>
      <c r="V19">
        <v>1.88873</v>
      </c>
      <c r="W19" s="157">
        <v>8.5851200000000002E-5</v>
      </c>
      <c r="X19">
        <f t="shared" si="24"/>
        <v>1.3570261821126994</v>
      </c>
      <c r="Y19" s="8" t="e">
        <f t="shared" si="25"/>
        <v>#DIV/0!</v>
      </c>
      <c r="Z19" s="12">
        <f t="shared" si="19"/>
        <v>0</v>
      </c>
      <c r="AA19">
        <v>5.7142857142857144E-9</v>
      </c>
      <c r="AB19">
        <v>1000</v>
      </c>
      <c r="AC19">
        <v>1.3605442176870747E-12</v>
      </c>
      <c r="AD19" s="8">
        <f t="shared" si="20"/>
        <v>0.71699999999999997</v>
      </c>
      <c r="AE19">
        <f t="shared" si="26"/>
        <v>1.1322694646812015</v>
      </c>
      <c r="AF19">
        <f t="shared" si="27"/>
        <v>1.1174367346938777E-15</v>
      </c>
      <c r="AG19">
        <f t="shared" si="28"/>
        <v>-14.951777055713807</v>
      </c>
      <c r="AH19">
        <f t="shared" si="21"/>
        <v>0</v>
      </c>
      <c r="AI19">
        <f t="shared" si="22"/>
        <v>0</v>
      </c>
      <c r="AJ19" s="8" t="e">
        <f t="shared" si="23"/>
        <v>#NUM!</v>
      </c>
      <c r="AK19">
        <v>5.0000000000000001E-4</v>
      </c>
      <c r="AL19" s="8">
        <v>8.8200000000000021</v>
      </c>
    </row>
    <row r="20" spans="1:38" s="7" customFormat="1">
      <c r="B20" s="352" t="s">
        <v>551</v>
      </c>
      <c r="C20" s="352" t="s">
        <v>552</v>
      </c>
      <c r="D20" s="25">
        <v>350</v>
      </c>
      <c r="E20" s="25">
        <v>350</v>
      </c>
      <c r="F20" s="7">
        <f t="shared" si="17"/>
        <v>2000</v>
      </c>
      <c r="G20" s="7">
        <v>50</v>
      </c>
      <c r="H20" s="7">
        <f t="shared" si="10"/>
        <v>7</v>
      </c>
      <c r="I20" s="9">
        <f t="shared" si="1"/>
        <v>40</v>
      </c>
      <c r="J20" s="7">
        <v>1</v>
      </c>
      <c r="K20" s="351">
        <v>2</v>
      </c>
      <c r="L20" s="7" t="s">
        <v>20</v>
      </c>
      <c r="M20" s="7">
        <v>30</v>
      </c>
      <c r="N20" s="9">
        <f t="shared" si="18"/>
        <v>1.7142857142857143E-7</v>
      </c>
      <c r="O20" s="7" t="s">
        <v>554</v>
      </c>
      <c r="P20" s="7">
        <v>0.77900000000000003</v>
      </c>
      <c r="Q20" s="9">
        <v>5.7142857142857144E-9</v>
      </c>
      <c r="R20" s="7">
        <v>69.209100000000007</v>
      </c>
      <c r="S20" s="365">
        <v>1.86548E-4</v>
      </c>
      <c r="V20" s="7">
        <v>5.1056299999999997</v>
      </c>
      <c r="W20" s="9">
        <v>1.8679100000000001E-4</v>
      </c>
      <c r="X20" s="7">
        <f t="shared" si="24"/>
        <v>1.4151349491874277</v>
      </c>
      <c r="Y20" s="9" t="e">
        <f t="shared" si="25"/>
        <v>#DIV/0!</v>
      </c>
      <c r="Z20" s="11">
        <f t="shared" si="19"/>
        <v>0</v>
      </c>
      <c r="AA20">
        <v>5.7142857142857144E-9</v>
      </c>
      <c r="AB20">
        <v>1000</v>
      </c>
      <c r="AC20">
        <v>1.3605442176870747E-12</v>
      </c>
      <c r="AD20" s="9">
        <f t="shared" si="20"/>
        <v>0.77900000000000003</v>
      </c>
      <c r="AE20">
        <f t="shared" si="26"/>
        <v>2.2898864926454934</v>
      </c>
      <c r="AF20">
        <f t="shared" si="27"/>
        <v>2.2598889795918374E-15</v>
      </c>
      <c r="AG20">
        <f t="shared" si="28"/>
        <v>-14.645912895691074</v>
      </c>
      <c r="AH20">
        <f t="shared" si="21"/>
        <v>0</v>
      </c>
      <c r="AI20">
        <f t="shared" si="22"/>
        <v>0</v>
      </c>
      <c r="AJ20" s="8" t="e">
        <f t="shared" si="23"/>
        <v>#NUM!</v>
      </c>
      <c r="AK20" s="7">
        <v>5.0000000000000001E-4</v>
      </c>
      <c r="AL20" s="9">
        <v>8.8200000000000021</v>
      </c>
    </row>
    <row r="21" spans="1:38">
      <c r="A21" t="s">
        <v>511</v>
      </c>
      <c r="B21" s="76" t="s">
        <v>538</v>
      </c>
      <c r="C21" s="76" t="s">
        <v>539</v>
      </c>
      <c r="D21" s="16">
        <v>350</v>
      </c>
      <c r="E21" s="16">
        <v>350</v>
      </c>
      <c r="F21">
        <f t="shared" si="17"/>
        <v>2000</v>
      </c>
      <c r="G21">
        <v>20</v>
      </c>
      <c r="H21" s="16">
        <f t="shared" si="10"/>
        <v>17.5</v>
      </c>
      <c r="I21" s="8">
        <f t="shared" si="1"/>
        <v>100</v>
      </c>
      <c r="J21" s="16">
        <v>1</v>
      </c>
      <c r="K21" s="8">
        <v>2</v>
      </c>
      <c r="L21" s="16" t="s">
        <v>15</v>
      </c>
      <c r="M21" s="16">
        <v>0</v>
      </c>
      <c r="N21" s="8">
        <f t="shared" si="18"/>
        <v>0</v>
      </c>
      <c r="O21" s="16" t="s">
        <v>546</v>
      </c>
      <c r="P21">
        <v>4.3999999999999997E-2</v>
      </c>
      <c r="Q21" s="8">
        <v>5.7142857142857144E-9</v>
      </c>
      <c r="R21" s="16">
        <v>7.8085699999999999E-3</v>
      </c>
      <c r="S21" s="54">
        <v>2.2246599999999999E-8</v>
      </c>
      <c r="V21" s="16">
        <v>4.6583799999999999E-4</v>
      </c>
      <c r="W21" s="157">
        <v>2.5409299999999999E-8</v>
      </c>
      <c r="X21">
        <f>SQRT(S21^2+U21^2+W21^2)/S21</f>
        <v>1.5180718463924929</v>
      </c>
      <c r="Y21" s="8" t="e">
        <f t="shared" si="25"/>
        <v>#DIV/0!</v>
      </c>
      <c r="Z21" s="12">
        <f t="shared" si="19"/>
        <v>0</v>
      </c>
      <c r="AA21">
        <v>5.7142857142857144E-9</v>
      </c>
      <c r="AB21">
        <v>1000</v>
      </c>
      <c r="AC21">
        <v>1.3605442176870747E-12</v>
      </c>
      <c r="AD21" s="8">
        <f t="shared" si="20"/>
        <v>4.3999999999999997E-2</v>
      </c>
      <c r="AE21">
        <f t="shared" si="26"/>
        <v>2.5835820679472521E-4</v>
      </c>
      <c r="AF21">
        <f t="shared" si="27"/>
        <v>2.5497371428571429E-19</v>
      </c>
      <c r="AG21">
        <f t="shared" si="28"/>
        <v>-18.593504589484013</v>
      </c>
      <c r="AH21">
        <f t="shared" si="21"/>
        <v>0</v>
      </c>
      <c r="AI21">
        <f t="shared" si="22"/>
        <v>0</v>
      </c>
      <c r="AJ21" s="8" t="e">
        <f t="shared" si="23"/>
        <v>#NUM!</v>
      </c>
      <c r="AK21" s="16">
        <v>5.0000000000000001E-4</v>
      </c>
      <c r="AL21" s="8">
        <v>8.8200000000000021</v>
      </c>
    </row>
    <row r="22" spans="1:38">
      <c r="A22" t="s">
        <v>537</v>
      </c>
      <c r="B22" s="116" t="s">
        <v>543</v>
      </c>
      <c r="C22" s="116" t="s">
        <v>545</v>
      </c>
      <c r="D22" s="16">
        <v>350</v>
      </c>
      <c r="E22" s="16">
        <v>350</v>
      </c>
      <c r="F22">
        <f t="shared" ref="F22:F29" si="29">E22*AA22*10^9</f>
        <v>2000</v>
      </c>
      <c r="G22">
        <v>20</v>
      </c>
      <c r="H22" s="16">
        <f t="shared" ref="H22:H30" si="30">E22/G22</f>
        <v>17.5</v>
      </c>
      <c r="I22" s="8">
        <f t="shared" ref="I22:I29" si="31">H22*AA22*10^9</f>
        <v>100</v>
      </c>
      <c r="J22" s="16">
        <v>1</v>
      </c>
      <c r="K22" s="8">
        <v>2</v>
      </c>
      <c r="L22" s="16" t="s">
        <v>20</v>
      </c>
      <c r="M22" s="16">
        <v>2</v>
      </c>
      <c r="N22" s="8">
        <f t="shared" si="18"/>
        <v>1.1428571428571429E-8</v>
      </c>
      <c r="O22" s="16" t="s">
        <v>547</v>
      </c>
      <c r="P22">
        <v>0.115</v>
      </c>
      <c r="Q22" s="8">
        <v>5.7142857142857144E-9</v>
      </c>
      <c r="R22" s="16">
        <v>9.7081299999999995E-2</v>
      </c>
      <c r="S22" s="54">
        <v>2.7553799999999999E-7</v>
      </c>
      <c r="V22">
        <v>5.4297499999999997E-3</v>
      </c>
      <c r="W22" s="157">
        <v>2.76089E-7</v>
      </c>
      <c r="X22">
        <f t="shared" ref="X22:X29" si="32">SQRT(S22^2+U22^2+W22^2)/S22</f>
        <v>1.4156282871039034</v>
      </c>
      <c r="Y22" s="8" t="e">
        <f t="shared" ref="Y22:Y29" si="33">SQRT(S22^2+U22^2+W22^2)/U22</f>
        <v>#DIV/0!</v>
      </c>
      <c r="Z22" s="12">
        <f t="shared" si="19"/>
        <v>0</v>
      </c>
      <c r="AA22">
        <v>5.7142857142857144E-9</v>
      </c>
      <c r="AB22">
        <v>1000</v>
      </c>
      <c r="AC22">
        <v>1.3605442176870747E-12</v>
      </c>
      <c r="AD22" s="8">
        <f t="shared" si="20"/>
        <v>0.115</v>
      </c>
      <c r="AE22">
        <f t="shared" si="26"/>
        <v>3.2120798790688638E-3</v>
      </c>
      <c r="AF22">
        <f t="shared" si="27"/>
        <v>3.1700016326530615E-18</v>
      </c>
      <c r="AG22">
        <f t="shared" si="28"/>
        <v>-17.498940514106529</v>
      </c>
      <c r="AH22">
        <f t="shared" si="21"/>
        <v>0</v>
      </c>
      <c r="AI22">
        <f t="shared" si="22"/>
        <v>0</v>
      </c>
      <c r="AJ22" s="8" t="e">
        <f t="shared" si="23"/>
        <v>#NUM!</v>
      </c>
      <c r="AK22" s="16">
        <v>5.0000000000000001E-4</v>
      </c>
      <c r="AL22" s="8">
        <v>8.8200000000000021</v>
      </c>
    </row>
    <row r="23" spans="1:38">
      <c r="B23" t="s">
        <v>544</v>
      </c>
      <c r="C23" t="s">
        <v>550</v>
      </c>
      <c r="D23" s="16">
        <v>350</v>
      </c>
      <c r="E23" s="16">
        <v>350</v>
      </c>
      <c r="F23">
        <f t="shared" si="29"/>
        <v>2000</v>
      </c>
      <c r="G23">
        <v>20</v>
      </c>
      <c r="H23" s="16">
        <f t="shared" si="30"/>
        <v>17.5</v>
      </c>
      <c r="I23" s="8">
        <f t="shared" si="31"/>
        <v>100</v>
      </c>
      <c r="J23" s="16">
        <v>1</v>
      </c>
      <c r="K23" s="8">
        <v>2</v>
      </c>
      <c r="L23" s="16" t="s">
        <v>20</v>
      </c>
      <c r="M23" s="16">
        <v>4</v>
      </c>
      <c r="N23" s="8">
        <f t="shared" si="18"/>
        <v>2.2857142857142858E-8</v>
      </c>
      <c r="O23" s="16" t="s">
        <v>555</v>
      </c>
      <c r="P23">
        <v>0.17799999999999999</v>
      </c>
      <c r="Q23" s="8">
        <v>5.7142857142857144E-9</v>
      </c>
      <c r="R23" s="16">
        <v>0.38575599999999999</v>
      </c>
      <c r="S23" s="54">
        <v>1.09073E-6</v>
      </c>
      <c r="T23" s="16"/>
      <c r="U23" s="54"/>
      <c r="V23">
        <v>2.17948E-2</v>
      </c>
      <c r="W23" s="157">
        <v>1.0378499999999999E-6</v>
      </c>
      <c r="X23">
        <f t="shared" si="32"/>
        <v>1.3803578706322872</v>
      </c>
      <c r="Y23" s="8" t="e">
        <f t="shared" si="33"/>
        <v>#DIV/0!</v>
      </c>
      <c r="Z23" s="12">
        <f t="shared" si="19"/>
        <v>0</v>
      </c>
      <c r="AA23">
        <v>5.7142857142857144E-9</v>
      </c>
      <c r="AB23">
        <v>1000</v>
      </c>
      <c r="AC23">
        <v>1.3605442176870747E-12</v>
      </c>
      <c r="AD23" s="8">
        <f t="shared" si="20"/>
        <v>0.17799999999999999</v>
      </c>
      <c r="AE23">
        <f t="shared" si="26"/>
        <v>1.2763313695120364E-2</v>
      </c>
      <c r="AF23">
        <f t="shared" si="27"/>
        <v>1.2596114285714286E-17</v>
      </c>
      <c r="AG23">
        <f t="shared" si="28"/>
        <v>-16.899763407623464</v>
      </c>
      <c r="AH23">
        <f t="shared" si="21"/>
        <v>0</v>
      </c>
      <c r="AI23">
        <f t="shared" si="22"/>
        <v>0</v>
      </c>
      <c r="AJ23" s="8" t="e">
        <f t="shared" si="23"/>
        <v>#NUM!</v>
      </c>
      <c r="AK23" s="16">
        <v>5.0000000000000001E-4</v>
      </c>
      <c r="AL23" s="8">
        <v>8.8200000000000021</v>
      </c>
    </row>
    <row r="24" spans="1:38">
      <c r="B24" t="s">
        <v>556</v>
      </c>
      <c r="C24" t="s">
        <v>557</v>
      </c>
      <c r="D24" s="16">
        <v>350</v>
      </c>
      <c r="E24" s="16">
        <v>350</v>
      </c>
      <c r="F24">
        <f t="shared" si="29"/>
        <v>2000</v>
      </c>
      <c r="G24">
        <v>20</v>
      </c>
      <c r="H24" s="16">
        <f t="shared" si="30"/>
        <v>17.5</v>
      </c>
      <c r="I24" s="8">
        <f t="shared" si="31"/>
        <v>100</v>
      </c>
      <c r="J24" s="16">
        <v>1</v>
      </c>
      <c r="K24" s="8">
        <v>2</v>
      </c>
      <c r="L24" s="16" t="s">
        <v>20</v>
      </c>
      <c r="M24" s="16">
        <v>6</v>
      </c>
      <c r="N24" s="8">
        <f t="shared" si="18"/>
        <v>3.4285714285714286E-8</v>
      </c>
      <c r="O24" s="16" t="s">
        <v>558</v>
      </c>
      <c r="P24">
        <v>0.23300000000000001</v>
      </c>
      <c r="Q24" s="8">
        <v>5.7142857142857144E-9</v>
      </c>
      <c r="R24">
        <v>0.97259099999999998</v>
      </c>
      <c r="S24" s="157">
        <v>2.7396899999999999E-6</v>
      </c>
      <c r="V24" s="16">
        <v>5.7352899999999998E-2</v>
      </c>
      <c r="W24" s="54">
        <v>2.5680400000000001E-6</v>
      </c>
      <c r="X24" t="e">
        <f>SQRT(#REF!^2+W24^2+S24^2)/#REF!</f>
        <v>#REF!</v>
      </c>
      <c r="Y24" s="8" t="e">
        <f>SQRT(#REF!^2+W24^2+S24^2)/W24</f>
        <v>#REF!</v>
      </c>
      <c r="Z24" s="12" t="e">
        <f>V24/#REF!</f>
        <v>#REF!</v>
      </c>
      <c r="AA24">
        <v>5.7142857142857144E-9</v>
      </c>
      <c r="AB24">
        <v>1000</v>
      </c>
      <c r="AC24">
        <v>1.3605442176870747E-12</v>
      </c>
      <c r="AD24" s="8">
        <f t="shared" si="20"/>
        <v>0.23300000000000001</v>
      </c>
      <c r="AE24" t="e">
        <f>((AA24^2)*#REF!*1000)/(0.9869*(10^-12))</f>
        <v>#REF!</v>
      </c>
      <c r="AF24" t="e">
        <f t="shared" si="27"/>
        <v>#REF!</v>
      </c>
      <c r="AG24" t="e">
        <f t="shared" si="28"/>
        <v>#REF!</v>
      </c>
      <c r="AH24">
        <f>((AA24^2)*V24*1000)/(0.9869*(10^-12))</f>
        <v>1.8976063989279979E-3</v>
      </c>
      <c r="AI24">
        <f t="shared" si="22"/>
        <v>1.872747755102041E-18</v>
      </c>
      <c r="AJ24" s="8">
        <f t="shared" si="23"/>
        <v>-17.727520714853604</v>
      </c>
      <c r="AK24" s="16">
        <v>5.0000000000000001E-4</v>
      </c>
      <c r="AL24" s="8">
        <v>8.8200000000000021</v>
      </c>
    </row>
    <row r="25" spans="1:38">
      <c r="B25" s="116" t="s">
        <v>559</v>
      </c>
      <c r="C25" s="116" t="s">
        <v>560</v>
      </c>
      <c r="D25" s="16">
        <v>350</v>
      </c>
      <c r="E25" s="16">
        <v>350</v>
      </c>
      <c r="F25">
        <f t="shared" si="29"/>
        <v>2000</v>
      </c>
      <c r="G25">
        <v>20</v>
      </c>
      <c r="H25" s="16">
        <f t="shared" si="30"/>
        <v>17.5</v>
      </c>
      <c r="I25" s="8">
        <f t="shared" si="31"/>
        <v>100</v>
      </c>
      <c r="J25" s="16">
        <v>1</v>
      </c>
      <c r="K25" s="8">
        <v>2</v>
      </c>
      <c r="L25" s="16" t="s">
        <v>20</v>
      </c>
      <c r="M25" s="16">
        <v>8</v>
      </c>
      <c r="N25" s="8">
        <f t="shared" si="18"/>
        <v>4.5714285714285715E-8</v>
      </c>
      <c r="O25" s="16" t="s">
        <v>561</v>
      </c>
      <c r="P25">
        <v>0.28199999999999997</v>
      </c>
      <c r="Q25" s="8">
        <v>5.7142857142857144E-9</v>
      </c>
      <c r="R25" s="16">
        <v>1.93784</v>
      </c>
      <c r="S25" s="54">
        <v>5.4382900000000002E-6</v>
      </c>
      <c r="V25" s="16">
        <v>0.12069000000000001</v>
      </c>
      <c r="W25" s="157">
        <v>5.09956E-6</v>
      </c>
      <c r="X25">
        <f t="shared" si="32"/>
        <v>1.3708783006038605</v>
      </c>
      <c r="Y25" s="8" t="e">
        <f t="shared" si="33"/>
        <v>#DIV/0!</v>
      </c>
      <c r="Z25" s="12">
        <f t="shared" si="19"/>
        <v>0</v>
      </c>
      <c r="AA25">
        <v>5.7142857142857144E-9</v>
      </c>
      <c r="AB25">
        <v>1000</v>
      </c>
      <c r="AC25">
        <v>1.3605442176870747E-12</v>
      </c>
      <c r="AD25" s="8">
        <f t="shared" si="20"/>
        <v>0.28199999999999997</v>
      </c>
      <c r="AE25">
        <f t="shared" si="26"/>
        <v>6.411633211395816E-2</v>
      </c>
      <c r="AF25">
        <f t="shared" si="27"/>
        <v>6.3276408163265309E-17</v>
      </c>
      <c r="AG25">
        <f t="shared" si="28"/>
        <v>-16.198758181203594</v>
      </c>
      <c r="AH25">
        <f t="shared" si="21"/>
        <v>0</v>
      </c>
      <c r="AI25">
        <f t="shared" si="22"/>
        <v>0</v>
      </c>
      <c r="AJ25" s="8" t="e">
        <f t="shared" si="23"/>
        <v>#NUM!</v>
      </c>
      <c r="AK25" s="16">
        <v>5.0000000000000001E-4</v>
      </c>
      <c r="AL25" s="8">
        <v>8.8200000000000021</v>
      </c>
    </row>
    <row r="26" spans="1:38">
      <c r="B26" s="116" t="s">
        <v>562</v>
      </c>
      <c r="C26" s="116" t="s">
        <v>563</v>
      </c>
      <c r="D26" s="16">
        <v>350</v>
      </c>
      <c r="E26" s="16">
        <v>350</v>
      </c>
      <c r="F26">
        <f t="shared" si="29"/>
        <v>2000</v>
      </c>
      <c r="G26">
        <v>20</v>
      </c>
      <c r="H26" s="16">
        <f t="shared" si="30"/>
        <v>17.5</v>
      </c>
      <c r="I26" s="8">
        <f t="shared" si="31"/>
        <v>100</v>
      </c>
      <c r="J26" s="16">
        <v>1</v>
      </c>
      <c r="K26" s="8">
        <v>2</v>
      </c>
      <c r="L26" s="16" t="s">
        <v>20</v>
      </c>
      <c r="M26" s="16">
        <v>12</v>
      </c>
      <c r="N26" s="8">
        <f t="shared" si="18"/>
        <v>6.8571428571428573E-8</v>
      </c>
      <c r="O26" s="16" t="s">
        <v>564</v>
      </c>
      <c r="P26">
        <v>0.36499999999999999</v>
      </c>
      <c r="Q26" s="8">
        <v>5.7142857142857144E-9</v>
      </c>
      <c r="R26">
        <v>5.25929</v>
      </c>
      <c r="S26" s="54">
        <v>1.46498E-5</v>
      </c>
      <c r="V26">
        <v>0.36850500000000003</v>
      </c>
      <c r="W26" s="157">
        <v>1.39939E-5</v>
      </c>
      <c r="X26">
        <f t="shared" si="32"/>
        <v>1.3829174386988148</v>
      </c>
      <c r="Y26" s="8" t="e">
        <f t="shared" si="33"/>
        <v>#DIV/0!</v>
      </c>
      <c r="Z26" s="12">
        <f t="shared" si="19"/>
        <v>0</v>
      </c>
      <c r="AA26">
        <v>5.7142857142857144E-9</v>
      </c>
      <c r="AB26">
        <v>1000</v>
      </c>
      <c r="AC26">
        <v>1.3605442176870747E-12</v>
      </c>
      <c r="AD26" s="8">
        <f t="shared" si="20"/>
        <v>0.36499999999999999</v>
      </c>
      <c r="AE26">
        <f t="shared" si="26"/>
        <v>0.17401146860608671</v>
      </c>
      <c r="AF26">
        <f t="shared" si="27"/>
        <v>1.7173191836734695E-16</v>
      </c>
      <c r="AG26">
        <f t="shared" si="28"/>
        <v>-15.765148978674107</v>
      </c>
      <c r="AH26">
        <f t="shared" si="21"/>
        <v>0</v>
      </c>
      <c r="AI26">
        <f t="shared" si="22"/>
        <v>0</v>
      </c>
      <c r="AJ26" s="8" t="e">
        <f t="shared" si="23"/>
        <v>#NUM!</v>
      </c>
      <c r="AK26" s="16">
        <v>5.0000000000000001E-4</v>
      </c>
      <c r="AL26" s="8">
        <v>8.8200000000000021</v>
      </c>
    </row>
    <row r="27" spans="1:38">
      <c r="B27" s="116" t="s">
        <v>567</v>
      </c>
      <c r="C27" s="76" t="s">
        <v>569</v>
      </c>
      <c r="D27" s="16">
        <v>350</v>
      </c>
      <c r="E27" s="16">
        <v>350</v>
      </c>
      <c r="F27">
        <f t="shared" si="29"/>
        <v>2000</v>
      </c>
      <c r="G27">
        <v>20</v>
      </c>
      <c r="H27" s="16">
        <f t="shared" si="30"/>
        <v>17.5</v>
      </c>
      <c r="I27" s="8">
        <f t="shared" si="31"/>
        <v>100</v>
      </c>
      <c r="J27" s="16">
        <v>1</v>
      </c>
      <c r="K27" s="8">
        <v>2</v>
      </c>
      <c r="L27" s="16" t="s">
        <v>20</v>
      </c>
      <c r="M27" s="16">
        <v>16</v>
      </c>
      <c r="N27" s="8">
        <f t="shared" si="18"/>
        <v>9.142857142857143E-8</v>
      </c>
      <c r="O27" s="16" t="s">
        <v>566</v>
      </c>
      <c r="P27">
        <v>0.432</v>
      </c>
      <c r="Q27" s="8">
        <v>5.7142857142857144E-9</v>
      </c>
      <c r="R27" s="16">
        <v>10.771100000000001</v>
      </c>
      <c r="S27" s="54">
        <v>2.97819E-5</v>
      </c>
      <c r="V27">
        <v>0.84739100000000001</v>
      </c>
      <c r="W27" s="157">
        <v>2.9220399999999999E-5</v>
      </c>
      <c r="X27">
        <f t="shared" si="32"/>
        <v>1.4009453938837206</v>
      </c>
      <c r="Y27" s="8" t="e">
        <f t="shared" si="33"/>
        <v>#DIV/0!</v>
      </c>
      <c r="Z27" s="12">
        <f t="shared" si="19"/>
        <v>0</v>
      </c>
      <c r="AA27">
        <v>5.7142857142857144E-9</v>
      </c>
      <c r="AB27">
        <v>1000</v>
      </c>
      <c r="AC27">
        <v>1.3605442176870747E-12</v>
      </c>
      <c r="AD27" s="8">
        <f t="shared" si="20"/>
        <v>0.432</v>
      </c>
      <c r="AE27">
        <f t="shared" si="26"/>
        <v>0.3563779387527633</v>
      </c>
      <c r="AF27">
        <f t="shared" si="27"/>
        <v>3.517093877551021E-16</v>
      </c>
      <c r="AG27">
        <f t="shared" si="28"/>
        <v>-15.453816039428791</v>
      </c>
      <c r="AH27">
        <f t="shared" si="21"/>
        <v>0</v>
      </c>
      <c r="AI27">
        <f t="shared" si="22"/>
        <v>0</v>
      </c>
      <c r="AJ27" s="8" t="e">
        <f t="shared" si="23"/>
        <v>#NUM!</v>
      </c>
      <c r="AK27" s="16">
        <v>5.0000000000000001E-4</v>
      </c>
      <c r="AL27" s="8">
        <v>8.8200000000000021</v>
      </c>
    </row>
    <row r="28" spans="1:38">
      <c r="B28" s="116" t="s">
        <v>568</v>
      </c>
      <c r="C28" s="76" t="s">
        <v>570</v>
      </c>
      <c r="D28" s="16">
        <v>350</v>
      </c>
      <c r="E28" s="16">
        <v>350</v>
      </c>
      <c r="F28">
        <f t="shared" si="29"/>
        <v>2000</v>
      </c>
      <c r="G28">
        <v>20</v>
      </c>
      <c r="H28" s="16">
        <f t="shared" si="30"/>
        <v>17.5</v>
      </c>
      <c r="I28" s="8">
        <f t="shared" si="31"/>
        <v>100</v>
      </c>
      <c r="J28" s="16">
        <v>1</v>
      </c>
      <c r="K28" s="8">
        <v>2</v>
      </c>
      <c r="L28" s="16" t="s">
        <v>20</v>
      </c>
      <c r="M28" s="16">
        <v>22</v>
      </c>
      <c r="N28" s="8">
        <f t="shared" si="18"/>
        <v>1.2571428571428572E-7</v>
      </c>
      <c r="O28" t="s">
        <v>565</v>
      </c>
      <c r="P28">
        <v>0.51300000000000001</v>
      </c>
      <c r="Q28" s="8">
        <v>5.7142857142857144E-9</v>
      </c>
      <c r="R28" s="16">
        <v>23.8203</v>
      </c>
      <c r="S28" s="54">
        <v>6.5142199999999994E-5</v>
      </c>
      <c r="V28">
        <v>2.1974499999999999</v>
      </c>
      <c r="W28" s="157">
        <v>6.6589500000000003E-5</v>
      </c>
      <c r="X28">
        <f t="shared" si="32"/>
        <v>1.4300100408183163</v>
      </c>
      <c r="Y28" s="8" t="e">
        <f t="shared" si="33"/>
        <v>#DIV/0!</v>
      </c>
      <c r="Z28" s="12">
        <f t="shared" si="19"/>
        <v>0</v>
      </c>
      <c r="AA28">
        <v>5.7142857142857144E-9</v>
      </c>
      <c r="AB28">
        <v>1000</v>
      </c>
      <c r="AC28">
        <v>1.3605442176870747E-12</v>
      </c>
      <c r="AD28" s="8">
        <f t="shared" si="20"/>
        <v>0.51300000000000001</v>
      </c>
      <c r="AE28">
        <f t="shared" si="26"/>
        <v>0.78813022016994061</v>
      </c>
      <c r="AF28">
        <f t="shared" si="27"/>
        <v>7.7780571428571435E-16</v>
      </c>
      <c r="AG28">
        <f t="shared" si="28"/>
        <v>-15.109128870556471</v>
      </c>
      <c r="AH28">
        <f t="shared" si="21"/>
        <v>0</v>
      </c>
      <c r="AI28">
        <f t="shared" si="22"/>
        <v>0</v>
      </c>
      <c r="AJ28" s="8" t="e">
        <f t="shared" si="23"/>
        <v>#NUM!</v>
      </c>
      <c r="AK28" s="16">
        <v>5.0000000000000001E-4</v>
      </c>
      <c r="AL28" s="8">
        <v>8.8200000000000021</v>
      </c>
    </row>
    <row r="29" spans="1:38" s="10" customFormat="1">
      <c r="B29" s="120" t="s">
        <v>571</v>
      </c>
      <c r="C29" s="120" t="s">
        <v>572</v>
      </c>
      <c r="D29" s="16">
        <v>350</v>
      </c>
      <c r="E29" s="16">
        <v>350</v>
      </c>
      <c r="F29" s="10">
        <f t="shared" si="29"/>
        <v>2000</v>
      </c>
      <c r="G29" s="10">
        <v>20</v>
      </c>
      <c r="H29" s="16">
        <f t="shared" si="30"/>
        <v>17.5</v>
      </c>
      <c r="I29" s="10">
        <f t="shared" si="31"/>
        <v>100</v>
      </c>
      <c r="J29" s="16">
        <v>1</v>
      </c>
      <c r="K29" s="10">
        <v>2</v>
      </c>
      <c r="L29" s="16" t="s">
        <v>20</v>
      </c>
      <c r="M29" s="10">
        <v>30</v>
      </c>
      <c r="N29" s="10">
        <f t="shared" si="18"/>
        <v>1.7142857142857143E-7</v>
      </c>
      <c r="O29" s="10" t="s">
        <v>573</v>
      </c>
      <c r="P29" s="10">
        <v>0.59</v>
      </c>
      <c r="Q29" s="10">
        <v>5.7142857142857144E-9</v>
      </c>
      <c r="X29" s="10" t="e">
        <f t="shared" si="32"/>
        <v>#DIV/0!</v>
      </c>
      <c r="Y29" s="10" t="e">
        <f t="shared" si="33"/>
        <v>#DIV/0!</v>
      </c>
      <c r="Z29" s="10" t="e">
        <f t="shared" si="19"/>
        <v>#DIV/0!</v>
      </c>
      <c r="AA29" s="10">
        <v>5.7142857142857144E-9</v>
      </c>
      <c r="AB29" s="10">
        <v>1000</v>
      </c>
      <c r="AC29" s="10">
        <v>1.3605442176870747E-12</v>
      </c>
      <c r="AD29" s="10">
        <f t="shared" si="20"/>
        <v>0.59</v>
      </c>
      <c r="AE29" s="10">
        <f t="shared" si="26"/>
        <v>0</v>
      </c>
      <c r="AF29" s="10">
        <f t="shared" si="27"/>
        <v>0</v>
      </c>
      <c r="AG29" s="10" t="e">
        <f t="shared" si="28"/>
        <v>#NUM!</v>
      </c>
      <c r="AH29" s="10">
        <f t="shared" si="21"/>
        <v>0</v>
      </c>
      <c r="AI29" s="10">
        <f t="shared" si="22"/>
        <v>0</v>
      </c>
      <c r="AJ29" s="10" t="e">
        <f t="shared" si="23"/>
        <v>#NUM!</v>
      </c>
      <c r="AK29" s="16">
        <v>5.0000000000000001E-4</v>
      </c>
      <c r="AL29" s="8">
        <v>8.8200000000000021</v>
      </c>
    </row>
    <row r="30" spans="1:38" s="7" customFormat="1">
      <c r="B30" s="353" t="s">
        <v>605</v>
      </c>
      <c r="C30" s="353" t="s">
        <v>606</v>
      </c>
      <c r="D30" s="25">
        <v>350</v>
      </c>
      <c r="E30" s="25">
        <v>350</v>
      </c>
      <c r="F30" s="7">
        <v>2000</v>
      </c>
      <c r="G30" s="7">
        <v>20</v>
      </c>
      <c r="H30" s="25">
        <f t="shared" si="30"/>
        <v>17.5</v>
      </c>
      <c r="I30" s="9">
        <v>100</v>
      </c>
      <c r="J30" s="25">
        <v>1</v>
      </c>
      <c r="K30" s="9">
        <v>2</v>
      </c>
      <c r="L30" s="25" t="s">
        <v>20</v>
      </c>
      <c r="M30" s="25">
        <v>36</v>
      </c>
      <c r="N30" s="10">
        <f t="shared" si="18"/>
        <v>2.0571428571428572E-7</v>
      </c>
      <c r="O30" s="7" t="s">
        <v>607</v>
      </c>
      <c r="P30" s="7">
        <v>0.64100000000000001</v>
      </c>
      <c r="Q30" s="10">
        <v>5.7142857142857144E-9</v>
      </c>
      <c r="R30" s="25"/>
      <c r="S30" s="365"/>
      <c r="W30" s="366"/>
      <c r="Y30" s="9"/>
      <c r="Z30" s="11"/>
      <c r="AA30" s="10">
        <v>5.7142857142857144E-9</v>
      </c>
      <c r="AB30" s="10">
        <v>1000</v>
      </c>
      <c r="AC30" s="10">
        <v>1.3605442176870747E-12</v>
      </c>
      <c r="AD30" s="9">
        <f t="shared" si="20"/>
        <v>0.64100000000000001</v>
      </c>
      <c r="AE30" s="10">
        <f t="shared" ref="AE30" si="34">((AA30^2)*R30*1000)/(0.9869*(10^-12))</f>
        <v>0</v>
      </c>
      <c r="AF30" s="10">
        <f t="shared" ref="AF30" si="35">9.869*10^-16*AE30</f>
        <v>0</v>
      </c>
      <c r="AG30" s="10" t="e">
        <f t="shared" ref="AG30" si="36">LOG10(9.869*10^-16*AE30)</f>
        <v>#NUM!</v>
      </c>
      <c r="AH30" s="10">
        <f t="shared" ref="AH30" si="37">((AA30^2)*T30*1000)/(0.9869*(10^-12))</f>
        <v>0</v>
      </c>
      <c r="AI30" s="10">
        <f t="shared" ref="AI30" si="38">9.869*10^-16*AH30</f>
        <v>0</v>
      </c>
      <c r="AJ30" s="10" t="e">
        <f t="shared" ref="AJ30" si="39">LOG10(9.869*10^-16*AH30)</f>
        <v>#NUM!</v>
      </c>
      <c r="AK30" s="16">
        <v>5.0000000000000001E-4</v>
      </c>
      <c r="AL30" s="8">
        <v>8.8200000000000021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1"/>
  <sheetViews>
    <sheetView workbookViewId="0">
      <selection activeCell="G34" sqref="G34"/>
    </sheetView>
  </sheetViews>
  <sheetFormatPr defaultColWidth="11" defaultRowHeight="15.75"/>
  <cols>
    <col min="1" max="1" width="19.875" customWidth="1"/>
    <col min="2" max="2" width="17.625" customWidth="1"/>
    <col min="3" max="3" width="22.625" customWidth="1"/>
  </cols>
  <sheetData>
    <row r="1" spans="1:4">
      <c r="A1" t="s">
        <v>69</v>
      </c>
      <c r="B1">
        <f>2*10^-6</f>
        <v>1.9999999999999999E-6</v>
      </c>
      <c r="C1" t="s">
        <v>75</v>
      </c>
    </row>
    <row r="2" spans="1:4">
      <c r="A2" t="s">
        <v>69</v>
      </c>
      <c r="B2">
        <v>40</v>
      </c>
      <c r="C2" t="s">
        <v>77</v>
      </c>
    </row>
    <row r="3" spans="1:4">
      <c r="A3" t="s">
        <v>60</v>
      </c>
      <c r="B3">
        <f>B1/B2</f>
        <v>4.9999999999999998E-8</v>
      </c>
    </row>
    <row r="4" spans="1:4">
      <c r="A4" t="s">
        <v>61</v>
      </c>
      <c r="B4">
        <v>1</v>
      </c>
      <c r="C4" t="s">
        <v>70</v>
      </c>
    </row>
    <row r="5" spans="1:4">
      <c r="A5" t="s">
        <v>62</v>
      </c>
      <c r="B5">
        <v>0.44500000000000001</v>
      </c>
      <c r="C5" t="s">
        <v>71</v>
      </c>
    </row>
    <row r="6" spans="1:4">
      <c r="A6" t="s">
        <v>63</v>
      </c>
      <c r="B6">
        <v>0.02</v>
      </c>
    </row>
    <row r="7" spans="1:4">
      <c r="A7" t="s">
        <v>64</v>
      </c>
      <c r="B7">
        <f>B6/B5</f>
        <v>4.49438202247191E-2</v>
      </c>
      <c r="C7" t="s">
        <v>72</v>
      </c>
    </row>
    <row r="8" spans="1:4">
      <c r="A8" t="s">
        <v>65</v>
      </c>
      <c r="B8">
        <f>B7*B3</f>
        <v>2.2471910112359548E-9</v>
      </c>
      <c r="D8" t="s">
        <v>76</v>
      </c>
    </row>
    <row r="9" spans="1:4">
      <c r="A9" t="s">
        <v>66</v>
      </c>
      <c r="B9">
        <v>1</v>
      </c>
    </row>
    <row r="10" spans="1:4">
      <c r="A10" t="s">
        <v>67</v>
      </c>
      <c r="B10">
        <v>1000</v>
      </c>
      <c r="C10" t="s">
        <v>73</v>
      </c>
    </row>
    <row r="11" spans="1:4">
      <c r="A11" t="s">
        <v>68</v>
      </c>
      <c r="B11">
        <f>B10/B9</f>
        <v>1000</v>
      </c>
      <c r="C11" t="s">
        <v>74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D6F4-95D1-44E9-8208-373AFC6A6C85}">
  <dimension ref="A1:AM21"/>
  <sheetViews>
    <sheetView tabSelected="1" workbookViewId="0">
      <selection activeCell="C14" sqref="C14"/>
    </sheetView>
  </sheetViews>
  <sheetFormatPr defaultRowHeight="15.75"/>
  <cols>
    <col min="1" max="1" width="29.875" style="8" bestFit="1" customWidth="1"/>
    <col min="2" max="2" width="21.375" bestFit="1" customWidth="1"/>
    <col min="3" max="3" width="12.75" style="8" customWidth="1"/>
    <col min="4" max="4" width="12.75" style="12" customWidth="1"/>
    <col min="5" max="9" width="12.75" customWidth="1"/>
    <col min="10" max="10" width="12.75" style="8" customWidth="1"/>
    <col min="11" max="11" width="12.75" customWidth="1"/>
    <col min="12" max="12" width="24.875" style="8" bestFit="1" customWidth="1"/>
    <col min="13" max="13" width="12.75" style="12" customWidth="1"/>
    <col min="14" max="14" width="18.875" bestFit="1" customWidth="1"/>
    <col min="15" max="15" width="22.125" bestFit="1" customWidth="1"/>
    <col min="16" max="16" width="13.5" style="8" bestFit="1" customWidth="1"/>
    <col min="17" max="17" width="12.75" style="12" customWidth="1"/>
    <col min="18" max="18" width="11.875" style="12" bestFit="1" customWidth="1"/>
    <col min="19" max="19" width="26.5" bestFit="1" customWidth="1"/>
    <col min="20" max="20" width="16.875" bestFit="1" customWidth="1"/>
    <col min="21" max="21" width="21.5" bestFit="1" customWidth="1"/>
    <col min="22" max="22" width="17.125" bestFit="1" customWidth="1"/>
    <col min="23" max="23" width="21.5" style="10" bestFit="1" customWidth="1"/>
    <col min="24" max="24" width="17.125" style="8" bestFit="1" customWidth="1"/>
    <col min="25" max="25" width="32.625" bestFit="1" customWidth="1"/>
    <col min="26" max="26" width="29" bestFit="1" customWidth="1"/>
    <col min="27" max="28" width="11.875" bestFit="1" customWidth="1"/>
    <col min="29" max="29" width="15" bestFit="1" customWidth="1"/>
    <col min="30" max="30" width="11.875" bestFit="1" customWidth="1"/>
    <col min="31" max="31" width="7.25" bestFit="1" customWidth="1"/>
    <col min="32" max="32" width="21.875" bestFit="1" customWidth="1"/>
    <col min="33" max="33" width="23.5" bestFit="1" customWidth="1"/>
    <col min="34" max="34" width="26.375" bestFit="1" customWidth="1"/>
    <col min="35" max="35" width="18" bestFit="1" customWidth="1"/>
    <col min="36" max="36" width="19.25" bestFit="1" customWidth="1"/>
    <col min="37" max="37" width="21.75" bestFit="1" customWidth="1"/>
    <col min="38" max="39" width="12.625" bestFit="1" customWidth="1"/>
  </cols>
  <sheetData>
    <row r="1" spans="1:39" ht="16.5" thickBot="1">
      <c r="A1" s="155" t="s">
        <v>402</v>
      </c>
      <c r="B1" s="154" t="s">
        <v>515</v>
      </c>
      <c r="C1" s="155" t="s">
        <v>524</v>
      </c>
      <c r="D1" s="167" t="s">
        <v>604</v>
      </c>
      <c r="E1" s="154" t="s">
        <v>0</v>
      </c>
      <c r="F1" s="154" t="s">
        <v>14</v>
      </c>
      <c r="G1" s="154" t="s">
        <v>512</v>
      </c>
      <c r="H1" s="154" t="s">
        <v>190</v>
      </c>
      <c r="I1" s="154" t="s">
        <v>1</v>
      </c>
      <c r="J1" s="155" t="s">
        <v>330</v>
      </c>
      <c r="K1" s="154" t="s">
        <v>2</v>
      </c>
      <c r="L1" s="155" t="s">
        <v>3</v>
      </c>
      <c r="M1" s="155" t="s">
        <v>4</v>
      </c>
      <c r="N1" s="155" t="s">
        <v>13</v>
      </c>
      <c r="O1" s="155" t="s">
        <v>253</v>
      </c>
      <c r="P1" s="155" t="s">
        <v>5</v>
      </c>
      <c r="Q1" s="167" t="s">
        <v>6</v>
      </c>
      <c r="R1" s="167" t="s">
        <v>7</v>
      </c>
      <c r="S1" s="154" t="s">
        <v>534</v>
      </c>
      <c r="T1" s="154" t="s">
        <v>160</v>
      </c>
      <c r="U1" s="154" t="s">
        <v>18</v>
      </c>
      <c r="V1" s="154" t="s">
        <v>127</v>
      </c>
      <c r="W1" s="367" t="s">
        <v>535</v>
      </c>
      <c r="X1" s="155" t="s">
        <v>126</v>
      </c>
      <c r="Y1" s="154" t="s">
        <v>162</v>
      </c>
      <c r="Z1" s="155" t="s">
        <v>163</v>
      </c>
      <c r="AA1" s="167" t="s">
        <v>179</v>
      </c>
      <c r="AB1" s="154" t="s">
        <v>7</v>
      </c>
      <c r="AC1" s="154" t="s">
        <v>8</v>
      </c>
      <c r="AD1" s="154" t="s">
        <v>9</v>
      </c>
      <c r="AE1" s="155" t="s">
        <v>6</v>
      </c>
      <c r="AF1" s="154" t="s">
        <v>10</v>
      </c>
      <c r="AG1" s="154" t="s">
        <v>183</v>
      </c>
      <c r="AH1" s="154" t="s">
        <v>141</v>
      </c>
      <c r="AI1" s="154" t="s">
        <v>78</v>
      </c>
      <c r="AJ1" s="154" t="s">
        <v>182</v>
      </c>
      <c r="AK1" s="155" t="s">
        <v>142</v>
      </c>
      <c r="AL1" s="155" t="s">
        <v>11</v>
      </c>
      <c r="AM1" s="155" t="s">
        <v>164</v>
      </c>
    </row>
    <row r="2" spans="1:39" s="7" customFormat="1">
      <c r="A2" s="9" t="s">
        <v>511</v>
      </c>
      <c r="C2" s="9"/>
      <c r="D2" s="11"/>
      <c r="E2" s="7">
        <v>350</v>
      </c>
      <c r="F2" s="7">
        <v>350</v>
      </c>
      <c r="G2" s="7">
        <f t="shared" ref="G2:G11" si="0">F2*AB2*10^9</f>
        <v>2000</v>
      </c>
      <c r="H2" s="7">
        <v>35</v>
      </c>
      <c r="I2" s="7">
        <f>F2/H2</f>
        <v>10</v>
      </c>
      <c r="J2" s="9">
        <f t="shared" ref="J2:J11" si="1">I2*AB2*10^9</f>
        <v>57.142857142857146</v>
      </c>
      <c r="K2" s="7">
        <v>1</v>
      </c>
      <c r="L2" s="9">
        <v>2</v>
      </c>
      <c r="M2" s="11" t="s">
        <v>15</v>
      </c>
      <c r="N2" s="7">
        <v>0</v>
      </c>
      <c r="O2" s="7">
        <f t="shared" ref="O2:O11" si="2">AB2*N2</f>
        <v>0</v>
      </c>
      <c r="P2" s="9" t="s">
        <v>83</v>
      </c>
      <c r="Q2" s="11">
        <v>7.0000000000000007E-2</v>
      </c>
      <c r="R2" s="11">
        <v>5.7142857142857144E-9</v>
      </c>
      <c r="S2" s="7">
        <v>3.1373399999999997E-4</v>
      </c>
      <c r="T2" s="7">
        <f>3.03613*10^-8</f>
        <v>3.0361299999999999E-8</v>
      </c>
      <c r="U2" s="7">
        <v>1.22747E-2</v>
      </c>
      <c r="V2" s="7">
        <f>3.49706*10^-8</f>
        <v>3.4970600000000001E-8</v>
      </c>
      <c r="W2" s="7">
        <v>1.22747E-2</v>
      </c>
      <c r="X2" s="9">
        <v>3.4970600000000001E-8</v>
      </c>
      <c r="Y2" s="7">
        <f>SQRT(T2^2+V2^2+X2^2)/T2</f>
        <v>1.9113752831920681</v>
      </c>
      <c r="Z2" s="7">
        <f t="shared" ref="Z2:Z11" si="3">SQRT(T2^2+V2^2+X2^2)/V2</f>
        <v>1.6594464603289432</v>
      </c>
      <c r="AA2" s="7">
        <f t="shared" ref="AA2:AA11" si="4">U2/S2</f>
        <v>39.124544996716963</v>
      </c>
      <c r="AB2" s="7">
        <v>5.7142857142857144E-9</v>
      </c>
      <c r="AC2" s="7">
        <v>1000</v>
      </c>
      <c r="AD2" s="7">
        <v>1.3605442176870701E-12</v>
      </c>
      <c r="AE2" s="7">
        <v>7.0000000000000007E-2</v>
      </c>
      <c r="AF2" s="7">
        <f t="shared" ref="AF2:AF11" si="5">((AB2^2)*S2*1000)/(0.9869*(10^-12))</f>
        <v>1.0380358202658914E-5</v>
      </c>
      <c r="AG2" s="7">
        <f>9.869*10^-16*AF2</f>
        <v>1.0244375510204081E-20</v>
      </c>
      <c r="AH2" s="7">
        <f>LOG10(9.869*10^-16*AF2)</f>
        <v>-19.989514510736544</v>
      </c>
      <c r="AI2" s="7">
        <f t="shared" ref="AI2:AI11" si="6">((AB2^2)*U2*1000)/(0.9869*(10^-12))</f>
        <v>4.0612679158196874E-4</v>
      </c>
      <c r="AJ2" s="7">
        <f>9.869*10^-16*AI2</f>
        <v>4.0080653061224492E-19</v>
      </c>
      <c r="AK2" s="7">
        <f>LOG10(9.869*10^-16*AI2)</f>
        <v>-18.397065210829048</v>
      </c>
      <c r="AL2" s="7">
        <v>5.0000000000000001E-4</v>
      </c>
      <c r="AM2" s="7">
        <f>(AL2*AB2^2*AC2/AD2^2)/10^6</f>
        <v>8.8200000000000625</v>
      </c>
    </row>
    <row r="3" spans="1:39">
      <c r="A3" s="8" t="s">
        <v>511</v>
      </c>
      <c r="E3">
        <v>350</v>
      </c>
      <c r="F3">
        <v>350</v>
      </c>
      <c r="G3">
        <f t="shared" si="0"/>
        <v>2000</v>
      </c>
      <c r="H3">
        <v>35</v>
      </c>
      <c r="I3">
        <f>F3/H3</f>
        <v>10</v>
      </c>
      <c r="J3" s="8">
        <f t="shared" si="1"/>
        <v>57.142857142857146</v>
      </c>
      <c r="K3">
        <v>1</v>
      </c>
      <c r="L3" s="8">
        <v>2</v>
      </c>
      <c r="M3" s="12" t="s">
        <v>15</v>
      </c>
      <c r="N3">
        <v>0</v>
      </c>
      <c r="O3">
        <f t="shared" si="2"/>
        <v>0</v>
      </c>
      <c r="P3" s="8" t="s">
        <v>83</v>
      </c>
      <c r="Q3" s="12">
        <v>7.0000000000000007E-2</v>
      </c>
      <c r="R3" s="12">
        <v>5.7142857142857144E-9</v>
      </c>
      <c r="S3">
        <v>3.1373399999999997E-4</v>
      </c>
      <c r="T3">
        <f>3.03613*10^-8</f>
        <v>3.0361299999999999E-8</v>
      </c>
      <c r="U3">
        <v>1.22747E-2</v>
      </c>
      <c r="V3">
        <f>3.49706*10^-8</f>
        <v>3.4970600000000001E-8</v>
      </c>
      <c r="W3" s="10">
        <v>1.22747E-2</v>
      </c>
      <c r="X3" s="8">
        <v>3.4970600000000001E-8</v>
      </c>
      <c r="Y3">
        <v>2.2000000000000002</v>
      </c>
      <c r="Z3">
        <f t="shared" si="3"/>
        <v>1.6594464603289432</v>
      </c>
      <c r="AA3">
        <f t="shared" si="4"/>
        <v>39.124544996716963</v>
      </c>
      <c r="AB3">
        <v>5.7142857142857144E-9</v>
      </c>
      <c r="AC3">
        <v>1000</v>
      </c>
      <c r="AD3">
        <v>1.3605442176870701E-12</v>
      </c>
      <c r="AE3">
        <v>7.0000000000000007E-2</v>
      </c>
      <c r="AF3">
        <f t="shared" si="5"/>
        <v>1.0380358202658914E-5</v>
      </c>
      <c r="AG3">
        <f t="shared" ref="AG3:AG11" si="7">9.869*10^-16*AF3</f>
        <v>1.0244375510204081E-20</v>
      </c>
      <c r="AH3">
        <f>LOG10(9.869*10^-16*AF3)</f>
        <v>-19.989514510736544</v>
      </c>
      <c r="AI3">
        <f t="shared" si="6"/>
        <v>4.0612679158196874E-4</v>
      </c>
      <c r="AJ3">
        <f t="shared" ref="AJ3:AJ11" si="8">9.869*10^-16*AI3</f>
        <v>4.0080653061224492E-19</v>
      </c>
      <c r="AK3">
        <f>LOG10(9.869*10^-16*AI3)</f>
        <v>-18.397065210829048</v>
      </c>
      <c r="AL3">
        <v>5.0000000000000001E-4</v>
      </c>
      <c r="AM3">
        <f t="shared" ref="AM3:AM11" si="9">(AL3*AB3^2*AC3/AD3^2)/10^6</f>
        <v>8.8200000000000625</v>
      </c>
    </row>
    <row r="4" spans="1:39">
      <c r="A4" s="8" t="s">
        <v>513</v>
      </c>
      <c r="E4">
        <v>350</v>
      </c>
      <c r="F4">
        <v>350</v>
      </c>
      <c r="G4">
        <f t="shared" si="0"/>
        <v>2000</v>
      </c>
      <c r="H4">
        <v>35</v>
      </c>
      <c r="I4">
        <f t="shared" ref="I4:I11" si="10">F4/H4</f>
        <v>10</v>
      </c>
      <c r="J4" s="8">
        <f t="shared" si="1"/>
        <v>57.142857142857146</v>
      </c>
      <c r="K4">
        <v>1</v>
      </c>
      <c r="L4" s="8">
        <v>2</v>
      </c>
      <c r="M4" s="12" t="s">
        <v>20</v>
      </c>
      <c r="N4">
        <v>2</v>
      </c>
      <c r="O4">
        <f t="shared" si="2"/>
        <v>1.1428571428571429E-8</v>
      </c>
      <c r="P4" s="8" t="s">
        <v>84</v>
      </c>
      <c r="Q4" s="12">
        <v>0.18099999999999999</v>
      </c>
      <c r="R4" s="12">
        <v>5.7142857142857144E-9</v>
      </c>
      <c r="S4">
        <v>3.9536399999999996E-3</v>
      </c>
      <c r="T4">
        <f>3.38883*10^-7</f>
        <v>3.38883E-7</v>
      </c>
      <c r="U4">
        <v>0.15341299999999999</v>
      </c>
      <c r="V4">
        <f>4.35421*10^-7</f>
        <v>4.3542099999999999E-7</v>
      </c>
      <c r="W4" s="10">
        <v>0.15341299999999999</v>
      </c>
      <c r="X4" s="8">
        <v>4.3542099999999999E-7</v>
      </c>
      <c r="Y4">
        <v>2.16</v>
      </c>
      <c r="Z4">
        <f t="shared" si="3"/>
        <v>1.6142281214639009</v>
      </c>
      <c r="AA4">
        <f t="shared" si="4"/>
        <v>38.802976497607268</v>
      </c>
      <c r="AB4">
        <v>5.7142857142857144E-9</v>
      </c>
      <c r="AC4">
        <v>1000</v>
      </c>
      <c r="AD4">
        <v>1.3605442176870747E-12</v>
      </c>
      <c r="AE4">
        <v>0.18099999999999999</v>
      </c>
      <c r="AF4">
        <f t="shared" si="5"/>
        <v>1.3081208732353009E-4</v>
      </c>
      <c r="AG4">
        <f t="shared" si="7"/>
        <v>1.2909844897959183E-19</v>
      </c>
      <c r="AH4">
        <f t="shared" ref="AH4:AH11" si="11">LOG10(9.869*10^-16*AF4)</f>
        <v>-18.889078975422589</v>
      </c>
      <c r="AI4">
        <f t="shared" si="6"/>
        <v>5.0758983500178876E-3</v>
      </c>
      <c r="AJ4">
        <f t="shared" si="8"/>
        <v>5.0094040816326531E-18</v>
      </c>
      <c r="AK4">
        <f t="shared" ref="AK4:AK11" si="12">LOG10(9.869*10^-16*AI4)</f>
        <v>-17.300213934701947</v>
      </c>
      <c r="AL4">
        <v>5.0000000000000001E-4</v>
      </c>
      <c r="AM4">
        <f t="shared" si="9"/>
        <v>8.8200000000000021</v>
      </c>
    </row>
    <row r="5" spans="1:39">
      <c r="A5" s="8" t="s">
        <v>574</v>
      </c>
      <c r="E5">
        <v>350</v>
      </c>
      <c r="F5">
        <v>350</v>
      </c>
      <c r="G5">
        <f t="shared" si="0"/>
        <v>2000</v>
      </c>
      <c r="H5">
        <v>35</v>
      </c>
      <c r="I5">
        <f t="shared" si="10"/>
        <v>10</v>
      </c>
      <c r="J5" s="8">
        <f t="shared" si="1"/>
        <v>57.142857142857146</v>
      </c>
      <c r="K5">
        <v>1</v>
      </c>
      <c r="L5" s="8">
        <v>2</v>
      </c>
      <c r="M5" s="12" t="s">
        <v>20</v>
      </c>
      <c r="N5">
        <v>4</v>
      </c>
      <c r="O5">
        <f t="shared" si="2"/>
        <v>2.2857142857142858E-8</v>
      </c>
      <c r="P5" s="8" t="s">
        <v>85</v>
      </c>
      <c r="Q5" s="12">
        <v>0.26900000000000002</v>
      </c>
      <c r="R5" s="12">
        <v>5.7142857142857144E-9</v>
      </c>
      <c r="S5">
        <v>1.6644699999999998E-2</v>
      </c>
      <c r="T5">
        <f>1.28036*10^-6</f>
        <v>1.2803599999999998E-6</v>
      </c>
      <c r="U5">
        <v>0.59258599999999995</v>
      </c>
      <c r="V5">
        <f>1.67555*10^-6</f>
        <v>1.67555E-6</v>
      </c>
      <c r="W5" s="10">
        <v>0.59258599999999995</v>
      </c>
      <c r="X5" s="8">
        <v>1.67555E-6</v>
      </c>
      <c r="Y5">
        <v>2.12</v>
      </c>
      <c r="Z5">
        <f t="shared" si="3"/>
        <v>1.6074559725049464</v>
      </c>
      <c r="AA5">
        <f t="shared" si="4"/>
        <v>35.602083546113775</v>
      </c>
      <c r="AB5">
        <v>5.7142857142857144E-9</v>
      </c>
      <c r="AC5">
        <v>1000</v>
      </c>
      <c r="AD5">
        <v>1.3605442176870747E-12</v>
      </c>
      <c r="AE5">
        <v>0.26900000000000002</v>
      </c>
      <c r="AF5">
        <f t="shared" si="5"/>
        <v>5.5071477167217072E-4</v>
      </c>
      <c r="AG5">
        <f t="shared" si="7"/>
        <v>5.435004081632652E-19</v>
      </c>
      <c r="AH5">
        <f t="shared" si="11"/>
        <v>-18.264800125426838</v>
      </c>
      <c r="AI5">
        <f t="shared" si="6"/>
        <v>1.9606593311151596E-2</v>
      </c>
      <c r="AJ5">
        <f t="shared" si="8"/>
        <v>1.9349746938775508E-17</v>
      </c>
      <c r="AK5">
        <f t="shared" si="12"/>
        <v>-16.713324710428637</v>
      </c>
      <c r="AL5">
        <v>5.0000000000000001E-4</v>
      </c>
      <c r="AM5">
        <f t="shared" si="9"/>
        <v>8.8200000000000021</v>
      </c>
    </row>
    <row r="6" spans="1:39">
      <c r="E6">
        <v>350</v>
      </c>
      <c r="F6">
        <v>350</v>
      </c>
      <c r="G6">
        <f t="shared" si="0"/>
        <v>2000</v>
      </c>
      <c r="H6">
        <v>35</v>
      </c>
      <c r="I6">
        <f t="shared" si="10"/>
        <v>10</v>
      </c>
      <c r="J6" s="8">
        <f t="shared" si="1"/>
        <v>57.142857142857146</v>
      </c>
      <c r="K6">
        <v>1</v>
      </c>
      <c r="L6" s="8">
        <v>2</v>
      </c>
      <c r="M6" s="12" t="s">
        <v>20</v>
      </c>
      <c r="N6">
        <v>6</v>
      </c>
      <c r="O6">
        <f t="shared" si="2"/>
        <v>3.4285714285714286E-8</v>
      </c>
      <c r="P6" s="8" t="s">
        <v>86</v>
      </c>
      <c r="Q6" s="12">
        <v>0.34100000000000003</v>
      </c>
      <c r="R6" s="12">
        <v>5.7142857142857144E-9</v>
      </c>
      <c r="S6">
        <v>4.5357300000000003E-2</v>
      </c>
      <c r="T6">
        <f>3.16446*10^-6</f>
        <v>3.1644600000000001E-6</v>
      </c>
      <c r="U6">
        <v>1.4505999999999999</v>
      </c>
      <c r="V6">
        <f>4.08618*10^-6</f>
        <v>4.0861799999999994E-6</v>
      </c>
      <c r="W6" s="10">
        <v>1.4505999999999999</v>
      </c>
      <c r="X6" s="8">
        <v>4.0861799999999994E-6</v>
      </c>
      <c r="Y6">
        <v>2.0699999999999998</v>
      </c>
      <c r="Z6">
        <f t="shared" si="3"/>
        <v>1.6123714466112151</v>
      </c>
      <c r="AA6">
        <f t="shared" si="4"/>
        <v>31.981621480996438</v>
      </c>
      <c r="AB6">
        <v>5.7142857142857144E-9</v>
      </c>
      <c r="AC6">
        <v>1000</v>
      </c>
      <c r="AD6">
        <v>1.3605442176870747E-12</v>
      </c>
      <c r="AE6">
        <v>0.34100000000000003</v>
      </c>
      <c r="AF6">
        <f t="shared" si="5"/>
        <v>1.500714047905108E-3</v>
      </c>
      <c r="AG6">
        <f t="shared" si="7"/>
        <v>1.481054693877551E-18</v>
      </c>
      <c r="AH6">
        <f t="shared" si="11"/>
        <v>-17.829428903119158</v>
      </c>
      <c r="AI6">
        <f t="shared" si="6"/>
        <v>4.7995268631315126E-2</v>
      </c>
      <c r="AJ6">
        <f t="shared" si="8"/>
        <v>4.7366530612244892E-17</v>
      </c>
      <c r="AK6">
        <f t="shared" si="12"/>
        <v>-16.324528424246861</v>
      </c>
      <c r="AL6">
        <v>5.0000000000000001E-4</v>
      </c>
      <c r="AM6">
        <f t="shared" si="9"/>
        <v>8.8200000000000021</v>
      </c>
    </row>
    <row r="7" spans="1:39">
      <c r="E7">
        <v>350</v>
      </c>
      <c r="F7">
        <v>350</v>
      </c>
      <c r="G7">
        <f t="shared" si="0"/>
        <v>2000</v>
      </c>
      <c r="H7">
        <v>35</v>
      </c>
      <c r="I7">
        <f t="shared" si="10"/>
        <v>10</v>
      </c>
      <c r="J7" s="8">
        <f t="shared" si="1"/>
        <v>57.142857142857146</v>
      </c>
      <c r="K7">
        <v>1</v>
      </c>
      <c r="L7" s="8">
        <v>2</v>
      </c>
      <c r="M7" s="12" t="s">
        <v>20</v>
      </c>
      <c r="N7">
        <v>8</v>
      </c>
      <c r="O7">
        <f t="shared" si="2"/>
        <v>4.5714285714285715E-8</v>
      </c>
      <c r="P7" s="8" t="s">
        <v>87</v>
      </c>
      <c r="Q7" s="12">
        <v>0.40100000000000002</v>
      </c>
      <c r="R7" s="12">
        <v>5.7142857142857144E-9</v>
      </c>
      <c r="S7">
        <v>9.8110600000000006E-2</v>
      </c>
      <c r="T7">
        <f>6.26238*10^-6</f>
        <v>6.2623799999999998E-6</v>
      </c>
      <c r="U7">
        <v>2.8128799999999998</v>
      </c>
      <c r="V7">
        <f>7.89396*10^-6</f>
        <v>7.8939599999999999E-6</v>
      </c>
      <c r="W7" s="10">
        <v>2.8128799999999998</v>
      </c>
      <c r="X7" s="8">
        <v>7.8939599999999999E-6</v>
      </c>
      <c r="Y7">
        <v>2.02</v>
      </c>
      <c r="Z7">
        <f t="shared" si="3"/>
        <v>1.6215256078742062</v>
      </c>
      <c r="AA7">
        <f t="shared" si="4"/>
        <v>28.670500435223101</v>
      </c>
      <c r="AB7">
        <v>5.7142857142857144E-9</v>
      </c>
      <c r="AC7">
        <v>1000</v>
      </c>
      <c r="AD7">
        <v>1.3605442176870747E-12</v>
      </c>
      <c r="AE7">
        <v>0.40100000000000002</v>
      </c>
      <c r="AF7">
        <f t="shared" si="5"/>
        <v>3.2461358076516659E-3</v>
      </c>
      <c r="AG7">
        <f t="shared" si="7"/>
        <v>3.2036114285714286E-18</v>
      </c>
      <c r="AH7">
        <f t="shared" si="11"/>
        <v>-17.494360165702997</v>
      </c>
      <c r="AI7">
        <f t="shared" si="6"/>
        <v>9.3068338086070387E-2</v>
      </c>
      <c r="AJ7">
        <f t="shared" si="8"/>
        <v>9.1849142857142857E-17</v>
      </c>
      <c r="AK7">
        <f t="shared" si="12"/>
        <v>-16.036924892206841</v>
      </c>
      <c r="AL7">
        <v>5.0000000000000001E-4</v>
      </c>
      <c r="AM7">
        <f t="shared" si="9"/>
        <v>8.8200000000000021</v>
      </c>
    </row>
    <row r="8" spans="1:39">
      <c r="E8">
        <v>350</v>
      </c>
      <c r="F8">
        <v>350</v>
      </c>
      <c r="G8">
        <f t="shared" si="0"/>
        <v>2000</v>
      </c>
      <c r="H8">
        <v>35</v>
      </c>
      <c r="I8">
        <f t="shared" si="10"/>
        <v>10</v>
      </c>
      <c r="J8" s="8">
        <f t="shared" si="1"/>
        <v>57.142857142857146</v>
      </c>
      <c r="K8">
        <v>1</v>
      </c>
      <c r="L8" s="8">
        <v>2</v>
      </c>
      <c r="M8" s="12" t="s">
        <v>20</v>
      </c>
      <c r="N8">
        <v>12</v>
      </c>
      <c r="O8">
        <f t="shared" si="2"/>
        <v>6.8571428571428573E-8</v>
      </c>
      <c r="P8" s="8" t="s">
        <v>88</v>
      </c>
      <c r="Q8" s="12">
        <v>0.496</v>
      </c>
      <c r="R8" s="12">
        <v>5.7142857142857144E-9</v>
      </c>
      <c r="S8">
        <v>0.31220999999999999</v>
      </c>
      <c r="T8">
        <f>1.70296*10^-5</f>
        <v>1.70296E-5</v>
      </c>
      <c r="U8">
        <v>7.2903200000000004</v>
      </c>
      <c r="V8">
        <f>2.03073*10^-5</f>
        <v>2.0307300000000005E-5</v>
      </c>
      <c r="W8" s="10">
        <v>7.2903200000000004</v>
      </c>
      <c r="X8" s="8">
        <v>2.0307300000000005E-5</v>
      </c>
      <c r="Y8">
        <f>SQRT(T8^2+V8^2+X8^2)/T8</f>
        <v>1.9606052666577154</v>
      </c>
      <c r="Z8">
        <f t="shared" si="3"/>
        <v>1.6441537500836756</v>
      </c>
      <c r="AA8">
        <f t="shared" si="4"/>
        <v>23.350693443515585</v>
      </c>
      <c r="AB8">
        <v>5.7142857142857144E-9</v>
      </c>
      <c r="AC8">
        <v>1000</v>
      </c>
      <c r="AD8">
        <v>1.3605442176870747E-12</v>
      </c>
      <c r="AE8">
        <v>0.496</v>
      </c>
      <c r="AF8">
        <f t="shared" si="5"/>
        <v>1.0329934385345992E-2</v>
      </c>
      <c r="AG8">
        <f t="shared" si="7"/>
        <v>1.0194612244897959E-17</v>
      </c>
      <c r="AH8">
        <f t="shared" si="11"/>
        <v>-16.991629288091204</v>
      </c>
      <c r="AI8">
        <f t="shared" si="6"/>
        <v>0.24121113112384485</v>
      </c>
      <c r="AJ8">
        <f t="shared" si="8"/>
        <v>2.3805126530612247E-16</v>
      </c>
      <c r="AK8">
        <f t="shared" si="12"/>
        <v>-15.623329505792048</v>
      </c>
      <c r="AL8">
        <v>5.0000000000000001E-4</v>
      </c>
      <c r="AM8">
        <f t="shared" si="9"/>
        <v>8.8200000000000021</v>
      </c>
    </row>
    <row r="9" spans="1:39">
      <c r="E9">
        <v>350</v>
      </c>
      <c r="F9">
        <v>350</v>
      </c>
      <c r="G9">
        <f t="shared" si="0"/>
        <v>2000</v>
      </c>
      <c r="H9">
        <v>35</v>
      </c>
      <c r="I9">
        <f t="shared" si="10"/>
        <v>10</v>
      </c>
      <c r="J9" s="8">
        <f t="shared" si="1"/>
        <v>57.142857142857146</v>
      </c>
      <c r="K9">
        <v>1</v>
      </c>
      <c r="L9" s="8">
        <v>2</v>
      </c>
      <c r="M9" s="12" t="s">
        <v>20</v>
      </c>
      <c r="N9">
        <v>16</v>
      </c>
      <c r="O9">
        <f t="shared" si="2"/>
        <v>9.142857142857143E-8</v>
      </c>
      <c r="P9" s="8" t="s">
        <v>89</v>
      </c>
      <c r="Q9" s="12">
        <v>0.56599999999999995</v>
      </c>
      <c r="R9" s="12">
        <v>5.7142857142857144E-9</v>
      </c>
      <c r="S9">
        <v>0.73976500000000001</v>
      </c>
      <c r="T9">
        <f>3.52269*10^-5</f>
        <v>3.52269E-5</v>
      </c>
      <c r="U9">
        <v>14.3904</v>
      </c>
      <c r="V9">
        <f>3.9789*10^-5</f>
        <v>3.9789000000000001E-5</v>
      </c>
      <c r="W9" s="10">
        <v>14.3904</v>
      </c>
      <c r="X9" s="8">
        <v>3.9789000000000001E-5</v>
      </c>
      <c r="Y9">
        <f t="shared" ref="Y9:Y11" si="13">SQRT(T9^2+V9^2+X9^2)/T9</f>
        <v>1.8845604953702433</v>
      </c>
      <c r="Z9">
        <f t="shared" si="3"/>
        <v>1.6684818445891585</v>
      </c>
      <c r="AA9">
        <f t="shared" si="4"/>
        <v>19.452664021682562</v>
      </c>
      <c r="AB9">
        <v>5.7142857142857144E-9</v>
      </c>
      <c r="AC9">
        <v>1000</v>
      </c>
      <c r="AD9">
        <v>1.3605442176870747E-12</v>
      </c>
      <c r="AE9">
        <v>0.56599999999999995</v>
      </c>
      <c r="AF9">
        <f t="shared" si="5"/>
        <v>2.4476230455704424E-2</v>
      </c>
      <c r="AG9">
        <f t="shared" si="7"/>
        <v>2.4155591836734693E-17</v>
      </c>
      <c r="AH9">
        <f t="shared" si="11"/>
        <v>-16.616982317387592</v>
      </c>
      <c r="AI9">
        <f t="shared" si="6"/>
        <v>0.4761278875720924</v>
      </c>
      <c r="AJ9">
        <f t="shared" si="8"/>
        <v>4.6989061224489798E-16</v>
      </c>
      <c r="AK9">
        <f t="shared" si="12"/>
        <v>-15.328003231484741</v>
      </c>
      <c r="AL9">
        <v>5.0000000000000001E-4</v>
      </c>
      <c r="AM9">
        <f t="shared" si="9"/>
        <v>8.8200000000000021</v>
      </c>
    </row>
    <row r="10" spans="1:39">
      <c r="E10">
        <v>350</v>
      </c>
      <c r="F10">
        <v>350</v>
      </c>
      <c r="G10">
        <f t="shared" si="0"/>
        <v>2000</v>
      </c>
      <c r="H10">
        <v>35</v>
      </c>
      <c r="I10">
        <f t="shared" si="10"/>
        <v>10</v>
      </c>
      <c r="J10" s="8">
        <f t="shared" si="1"/>
        <v>57.142857142857146</v>
      </c>
      <c r="K10">
        <v>1</v>
      </c>
      <c r="L10" s="8">
        <v>2</v>
      </c>
      <c r="M10" s="12" t="s">
        <v>20</v>
      </c>
      <c r="N10">
        <v>22</v>
      </c>
      <c r="O10">
        <f t="shared" si="2"/>
        <v>1.2571428571428572E-7</v>
      </c>
      <c r="P10" s="8" t="s">
        <v>91</v>
      </c>
      <c r="Q10" s="12">
        <v>0.64400000000000002</v>
      </c>
      <c r="R10" s="12">
        <v>5.7142857142857144E-9</v>
      </c>
      <c r="S10">
        <v>1.9807600000000001</v>
      </c>
      <c r="T10">
        <f>7.92302*10^-5</f>
        <v>7.9230200000000013E-5</v>
      </c>
      <c r="U10">
        <v>30.4938</v>
      </c>
      <c r="V10">
        <f>8.33924*10^-5</f>
        <v>8.3392400000000005E-5</v>
      </c>
      <c r="W10" s="10">
        <v>30.4938</v>
      </c>
      <c r="X10" s="8">
        <v>8.3392400000000005E-5</v>
      </c>
      <c r="Y10">
        <f t="shared" si="13"/>
        <v>1.7932237526435097</v>
      </c>
      <c r="Z10">
        <f t="shared" si="3"/>
        <v>1.703722120561296</v>
      </c>
      <c r="AA10">
        <f t="shared" si="4"/>
        <v>15.394999899028655</v>
      </c>
      <c r="AB10">
        <v>5.7142857142857144E-9</v>
      </c>
      <c r="AC10">
        <v>1000</v>
      </c>
      <c r="AD10">
        <v>1.3605442176870747E-12</v>
      </c>
      <c r="AE10">
        <v>0.64400000000000002</v>
      </c>
      <c r="AF10">
        <f t="shared" si="5"/>
        <v>6.5536404449306335E-2</v>
      </c>
      <c r="AG10">
        <f t="shared" si="7"/>
        <v>6.4677877551020415E-17</v>
      </c>
      <c r="AH10">
        <f t="shared" si="11"/>
        <v>-16.189244240203546</v>
      </c>
      <c r="AI10">
        <f t="shared" si="6"/>
        <v>1.0089329398797722</v>
      </c>
      <c r="AJ10">
        <f t="shared" si="8"/>
        <v>9.9571591836734712E-16</v>
      </c>
      <c r="AK10">
        <f t="shared" si="12"/>
        <v>-15.001864549812741</v>
      </c>
      <c r="AL10">
        <v>5.0000000000000001E-4</v>
      </c>
      <c r="AM10">
        <f t="shared" si="9"/>
        <v>8.8200000000000021</v>
      </c>
    </row>
    <row r="11" spans="1:39" s="7" customFormat="1">
      <c r="A11" s="9"/>
      <c r="C11" s="9"/>
      <c r="D11" s="11"/>
      <c r="E11" s="7">
        <v>350</v>
      </c>
      <c r="F11" s="7">
        <v>350</v>
      </c>
      <c r="G11" s="7">
        <f t="shared" si="0"/>
        <v>2000</v>
      </c>
      <c r="H11" s="7">
        <v>35</v>
      </c>
      <c r="I11" s="7">
        <f t="shared" si="10"/>
        <v>10</v>
      </c>
      <c r="J11" s="9">
        <f t="shared" si="1"/>
        <v>57.142857142857146</v>
      </c>
      <c r="K11" s="7">
        <v>1</v>
      </c>
      <c r="L11" s="9">
        <v>2</v>
      </c>
      <c r="M11" s="11" t="s">
        <v>20</v>
      </c>
      <c r="N11" s="7">
        <v>30</v>
      </c>
      <c r="O11" s="7">
        <f t="shared" si="2"/>
        <v>1.7142857142857143E-7</v>
      </c>
      <c r="P11" s="9" t="s">
        <v>90</v>
      </c>
      <c r="Q11" s="11">
        <v>0.71599999999999997</v>
      </c>
      <c r="R11" s="11">
        <v>5.7142857142857144E-9</v>
      </c>
      <c r="S11" s="7">
        <v>5.2793799999999997</v>
      </c>
      <c r="T11" s="7">
        <v>1.74045E-4</v>
      </c>
      <c r="U11" s="7">
        <v>63.089100000000002</v>
      </c>
      <c r="V11" s="7">
        <v>1.7005199999999999E-4</v>
      </c>
      <c r="W11" s="7">
        <v>63.089100000000002</v>
      </c>
      <c r="X11" s="9">
        <v>1.7005199999999999E-4</v>
      </c>
      <c r="Y11" s="7">
        <f t="shared" si="13"/>
        <v>1.7056621389267095</v>
      </c>
      <c r="Z11" s="7">
        <f t="shared" si="3"/>
        <v>1.7457128817626324</v>
      </c>
      <c r="AA11" s="7">
        <f t="shared" si="4"/>
        <v>11.950096412836357</v>
      </c>
      <c r="AB11" s="7">
        <v>5.7142857142857144E-9</v>
      </c>
      <c r="AC11" s="7">
        <v>1000</v>
      </c>
      <c r="AD11" s="7">
        <v>1.3605442176870747E-12</v>
      </c>
      <c r="AE11" s="7">
        <v>0.71599999999999997</v>
      </c>
      <c r="AF11" s="7">
        <f t="shared" si="5"/>
        <v>0.17467617627657003</v>
      </c>
      <c r="AG11" s="7">
        <f t="shared" si="7"/>
        <v>1.7238791836734695E-16</v>
      </c>
      <c r="AH11" s="7">
        <f t="shared" si="11"/>
        <v>-15.763493174533663</v>
      </c>
      <c r="AI11" s="7">
        <f t="shared" si="6"/>
        <v>2.0873971475306101</v>
      </c>
      <c r="AJ11" s="7">
        <f t="shared" si="8"/>
        <v>2.0600522448979589E-15</v>
      </c>
      <c r="AK11" s="7">
        <f t="shared" si="12"/>
        <v>-14.686121765367171</v>
      </c>
      <c r="AL11" s="7">
        <v>5.0000000000000001E-4</v>
      </c>
      <c r="AM11" s="7">
        <f t="shared" si="9"/>
        <v>8.8200000000000021</v>
      </c>
    </row>
    <row r="12" spans="1:39">
      <c r="A12" s="8" t="s">
        <v>608</v>
      </c>
      <c r="D12" s="12">
        <v>0</v>
      </c>
      <c r="E12">
        <v>350</v>
      </c>
      <c r="F12">
        <v>350</v>
      </c>
      <c r="G12">
        <f t="shared" ref="G12" si="14">F12*AB12*10^9</f>
        <v>2000</v>
      </c>
      <c r="H12">
        <v>35</v>
      </c>
      <c r="I12">
        <f>F12/H12</f>
        <v>10</v>
      </c>
      <c r="J12" s="8">
        <f t="shared" ref="J12" si="15">I12*AB12*10^9</f>
        <v>57.142857142857146</v>
      </c>
      <c r="K12">
        <v>1</v>
      </c>
      <c r="L12" s="8">
        <v>2</v>
      </c>
      <c r="M12" s="12" t="s">
        <v>15</v>
      </c>
      <c r="N12">
        <v>0</v>
      </c>
      <c r="O12">
        <f t="shared" ref="O12:O21" si="16">AB12*N12</f>
        <v>0</v>
      </c>
      <c r="P12" s="8" t="s">
        <v>83</v>
      </c>
      <c r="Q12" s="12">
        <v>7.0000000000000007E-2</v>
      </c>
      <c r="R12" s="12">
        <v>5.7142857142857144E-9</v>
      </c>
      <c r="S12">
        <v>3.1373399999999997E-4</v>
      </c>
      <c r="T12">
        <f>3.03613*10^-8</f>
        <v>3.0361299999999999E-8</v>
      </c>
      <c r="U12">
        <v>1.22747E-2</v>
      </c>
      <c r="V12">
        <f>3.49706*10^-8</f>
        <v>3.4970600000000001E-8</v>
      </c>
      <c r="W12" s="10">
        <v>1.22747E-2</v>
      </c>
      <c r="X12" s="8">
        <v>3.4970600000000001E-8</v>
      </c>
      <c r="Y12">
        <v>2.2000000000000002</v>
      </c>
      <c r="Z12">
        <f t="shared" ref="Z12:Z13" si="17">SQRT(T12^2+V12^2+X12^2)/V12</f>
        <v>1.6594464603289432</v>
      </c>
      <c r="AA12">
        <f t="shared" ref="AA12:AA13" si="18">U12/S12</f>
        <v>39.124544996716963</v>
      </c>
      <c r="AB12">
        <v>5.7142857142857144E-9</v>
      </c>
      <c r="AC12">
        <v>1000</v>
      </c>
      <c r="AD12">
        <v>1.3605442176870701E-12</v>
      </c>
      <c r="AE12">
        <v>7.0000000000000007E-2</v>
      </c>
      <c r="AF12">
        <f t="shared" ref="AF12:AF13" si="19">((AB12^2)*S12*1000)/(0.9869*(10^-12))</f>
        <v>1.0380358202658914E-5</v>
      </c>
      <c r="AG12">
        <f t="shared" ref="AG12:AG13" si="20">9.869*10^-16*AF12</f>
        <v>1.0244375510204081E-20</v>
      </c>
      <c r="AH12">
        <f>LOG10(9.869*10^-16*AF12)</f>
        <v>-19.989514510736544</v>
      </c>
      <c r="AI12">
        <f t="shared" ref="AI12:AI13" si="21">((AB12^2)*U12*1000)/(0.9869*(10^-12))</f>
        <v>4.0612679158196874E-4</v>
      </c>
      <c r="AJ12">
        <f t="shared" ref="AJ12:AJ13" si="22">9.869*10^-16*AI12</f>
        <v>4.0080653061224492E-19</v>
      </c>
      <c r="AK12">
        <f>LOG10(9.869*10^-16*AI12)</f>
        <v>-18.397065210829048</v>
      </c>
      <c r="AL12">
        <v>5.0000000000000001E-4</v>
      </c>
      <c r="AM12">
        <f t="shared" ref="AM12:AM13" si="23">(AL12*AB12^2*AC12/AD12^2)/10^6</f>
        <v>8.8200000000000625</v>
      </c>
    </row>
    <row r="13" spans="1:39">
      <c r="A13" s="8" t="s">
        <v>609</v>
      </c>
      <c r="B13" t="s">
        <v>610</v>
      </c>
      <c r="C13" s="8" t="s">
        <v>611</v>
      </c>
      <c r="D13" s="12">
        <v>5</v>
      </c>
      <c r="E13">
        <v>350</v>
      </c>
      <c r="F13">
        <v>350</v>
      </c>
      <c r="G13">
        <f t="shared" ref="G13:G21" si="24">F13*AB13*10^9</f>
        <v>2000</v>
      </c>
      <c r="H13">
        <v>35</v>
      </c>
      <c r="I13">
        <f t="shared" ref="I13:I21" si="25">F13/H13</f>
        <v>10</v>
      </c>
      <c r="J13" s="8">
        <f t="shared" ref="J13:J21" si="26">I13*AB13*10^9</f>
        <v>57.142857142857146</v>
      </c>
      <c r="K13">
        <v>1</v>
      </c>
      <c r="L13" s="8">
        <v>2</v>
      </c>
      <c r="M13" s="12" t="s">
        <v>20</v>
      </c>
      <c r="N13">
        <v>2</v>
      </c>
      <c r="O13">
        <f t="shared" si="16"/>
        <v>1.1428571428571429E-8</v>
      </c>
      <c r="R13" s="12">
        <v>5.7142857142857144E-9</v>
      </c>
      <c r="X13" s="8">
        <v>3.9789000000000001E-5</v>
      </c>
      <c r="Y13" t="e">
        <f t="shared" ref="Y13" si="27">SQRT(T13^2+V13^2+X13^2)/T13</f>
        <v>#DIV/0!</v>
      </c>
      <c r="Z13" t="e">
        <f t="shared" si="17"/>
        <v>#DIV/0!</v>
      </c>
      <c r="AA13" t="e">
        <f t="shared" si="18"/>
        <v>#DIV/0!</v>
      </c>
      <c r="AB13">
        <v>5.7142857142857144E-9</v>
      </c>
      <c r="AC13">
        <v>1000</v>
      </c>
      <c r="AD13">
        <v>1.3605442176870747E-12</v>
      </c>
      <c r="AE13">
        <v>0.56599999999999995</v>
      </c>
      <c r="AF13">
        <f t="shared" si="19"/>
        <v>0</v>
      </c>
      <c r="AG13">
        <f t="shared" si="20"/>
        <v>0</v>
      </c>
      <c r="AH13" t="e">
        <f t="shared" ref="AH13" si="28">LOG10(9.869*10^-16*AF13)</f>
        <v>#NUM!</v>
      </c>
      <c r="AI13">
        <f t="shared" si="21"/>
        <v>0</v>
      </c>
      <c r="AJ13">
        <f t="shared" si="22"/>
        <v>0</v>
      </c>
      <c r="AK13" t="e">
        <f t="shared" ref="AK13" si="29">LOG10(9.869*10^-16*AI13)</f>
        <v>#NUM!</v>
      </c>
      <c r="AL13">
        <v>5.0000000000000001E-4</v>
      </c>
      <c r="AM13">
        <f t="shared" si="23"/>
        <v>8.8200000000000021</v>
      </c>
    </row>
    <row r="14" spans="1:39">
      <c r="D14" s="12">
        <v>10</v>
      </c>
      <c r="E14">
        <v>350</v>
      </c>
      <c r="F14">
        <v>350</v>
      </c>
      <c r="G14">
        <f t="shared" si="24"/>
        <v>0</v>
      </c>
      <c r="H14">
        <v>35</v>
      </c>
      <c r="I14">
        <f t="shared" si="25"/>
        <v>10</v>
      </c>
      <c r="J14" s="8">
        <f t="shared" si="26"/>
        <v>0</v>
      </c>
      <c r="K14">
        <v>1</v>
      </c>
      <c r="L14" s="8">
        <v>2</v>
      </c>
      <c r="M14" s="12" t="s">
        <v>20</v>
      </c>
      <c r="N14">
        <v>4</v>
      </c>
      <c r="O14">
        <f t="shared" si="16"/>
        <v>0</v>
      </c>
      <c r="R14" s="12">
        <v>5.7142857142857144E-9</v>
      </c>
    </row>
    <row r="15" spans="1:39">
      <c r="D15" s="12">
        <v>15</v>
      </c>
      <c r="E15">
        <v>350</v>
      </c>
      <c r="F15">
        <v>350</v>
      </c>
      <c r="G15">
        <f t="shared" si="24"/>
        <v>0</v>
      </c>
      <c r="H15">
        <v>35</v>
      </c>
      <c r="I15">
        <f t="shared" si="25"/>
        <v>10</v>
      </c>
      <c r="J15" s="8">
        <f t="shared" si="26"/>
        <v>0</v>
      </c>
      <c r="K15">
        <v>1</v>
      </c>
      <c r="L15" s="8">
        <v>2</v>
      </c>
      <c r="M15" s="12" t="s">
        <v>20</v>
      </c>
      <c r="N15">
        <v>6</v>
      </c>
      <c r="O15">
        <f t="shared" si="16"/>
        <v>0</v>
      </c>
      <c r="R15" s="12">
        <v>5.7142857142857144E-9</v>
      </c>
    </row>
    <row r="16" spans="1:39">
      <c r="D16" s="12">
        <v>20</v>
      </c>
      <c r="E16">
        <v>350</v>
      </c>
      <c r="F16">
        <v>350</v>
      </c>
      <c r="G16">
        <f t="shared" si="24"/>
        <v>0</v>
      </c>
      <c r="H16">
        <v>35</v>
      </c>
      <c r="I16">
        <f t="shared" si="25"/>
        <v>10</v>
      </c>
      <c r="J16" s="8">
        <f t="shared" si="26"/>
        <v>0</v>
      </c>
      <c r="K16">
        <v>1</v>
      </c>
      <c r="L16" s="8">
        <v>2</v>
      </c>
      <c r="M16" s="12" t="s">
        <v>20</v>
      </c>
      <c r="N16">
        <v>8</v>
      </c>
      <c r="O16">
        <f t="shared" si="16"/>
        <v>0</v>
      </c>
      <c r="R16" s="12">
        <v>5.7142857142857144E-9</v>
      </c>
    </row>
    <row r="17" spans="1:24">
      <c r="D17" s="12">
        <v>25</v>
      </c>
      <c r="E17">
        <v>350</v>
      </c>
      <c r="F17">
        <v>350</v>
      </c>
      <c r="G17">
        <f t="shared" si="24"/>
        <v>0</v>
      </c>
      <c r="H17">
        <v>35</v>
      </c>
      <c r="I17">
        <f t="shared" si="25"/>
        <v>10</v>
      </c>
      <c r="J17" s="8">
        <f t="shared" si="26"/>
        <v>0</v>
      </c>
      <c r="K17">
        <v>1</v>
      </c>
      <c r="L17" s="8">
        <v>2</v>
      </c>
      <c r="M17" s="12" t="s">
        <v>20</v>
      </c>
      <c r="N17">
        <v>12</v>
      </c>
      <c r="O17">
        <f t="shared" si="16"/>
        <v>0</v>
      </c>
      <c r="R17" s="12">
        <v>5.7142857142857144E-9</v>
      </c>
    </row>
    <row r="18" spans="1:24">
      <c r="D18" s="12">
        <v>30</v>
      </c>
      <c r="E18">
        <v>350</v>
      </c>
      <c r="F18">
        <v>350</v>
      </c>
      <c r="G18">
        <f t="shared" si="24"/>
        <v>0</v>
      </c>
      <c r="H18">
        <v>35</v>
      </c>
      <c r="I18">
        <f t="shared" si="25"/>
        <v>10</v>
      </c>
      <c r="J18" s="8">
        <f t="shared" si="26"/>
        <v>0</v>
      </c>
      <c r="K18">
        <v>1</v>
      </c>
      <c r="L18" s="8">
        <v>2</v>
      </c>
      <c r="M18" s="12" t="s">
        <v>20</v>
      </c>
      <c r="N18">
        <v>16</v>
      </c>
      <c r="O18">
        <f t="shared" si="16"/>
        <v>0</v>
      </c>
      <c r="R18" s="12">
        <v>5.7142857142857144E-9</v>
      </c>
    </row>
    <row r="19" spans="1:24">
      <c r="D19" s="12">
        <v>35</v>
      </c>
      <c r="E19">
        <v>350</v>
      </c>
      <c r="F19">
        <v>350</v>
      </c>
      <c r="G19">
        <f t="shared" si="24"/>
        <v>0</v>
      </c>
      <c r="H19">
        <v>35</v>
      </c>
      <c r="I19">
        <f t="shared" si="25"/>
        <v>10</v>
      </c>
      <c r="J19" s="8">
        <f t="shared" si="26"/>
        <v>0</v>
      </c>
      <c r="K19">
        <v>1</v>
      </c>
      <c r="L19" s="8">
        <v>2</v>
      </c>
      <c r="M19" s="12" t="s">
        <v>20</v>
      </c>
      <c r="N19">
        <v>20</v>
      </c>
      <c r="O19">
        <f t="shared" si="16"/>
        <v>0</v>
      </c>
      <c r="R19" s="12">
        <v>5.7142857142857144E-9</v>
      </c>
    </row>
    <row r="20" spans="1:24">
      <c r="D20" s="12">
        <v>40</v>
      </c>
      <c r="E20">
        <v>350</v>
      </c>
      <c r="F20">
        <v>350</v>
      </c>
      <c r="G20">
        <f t="shared" si="24"/>
        <v>0</v>
      </c>
      <c r="H20">
        <v>35</v>
      </c>
      <c r="I20">
        <f t="shared" si="25"/>
        <v>10</v>
      </c>
      <c r="J20" s="8">
        <f t="shared" si="26"/>
        <v>0</v>
      </c>
      <c r="K20">
        <v>1</v>
      </c>
      <c r="L20" s="8">
        <v>2</v>
      </c>
      <c r="M20" s="12" t="s">
        <v>20</v>
      </c>
      <c r="N20" s="10">
        <v>24</v>
      </c>
      <c r="O20">
        <f t="shared" si="16"/>
        <v>0</v>
      </c>
      <c r="R20" s="12">
        <v>5.7142857142857144E-9</v>
      </c>
    </row>
    <row r="21" spans="1:24" s="7" customFormat="1">
      <c r="A21" s="9"/>
      <c r="C21" s="9"/>
      <c r="D21" s="11">
        <v>45</v>
      </c>
      <c r="E21" s="7">
        <v>350</v>
      </c>
      <c r="F21" s="7">
        <v>350</v>
      </c>
      <c r="G21">
        <f t="shared" si="24"/>
        <v>0</v>
      </c>
      <c r="H21" s="7">
        <v>35</v>
      </c>
      <c r="I21" s="7">
        <f t="shared" si="25"/>
        <v>10</v>
      </c>
      <c r="J21" s="9">
        <f t="shared" si="26"/>
        <v>0</v>
      </c>
      <c r="K21" s="7">
        <v>1</v>
      </c>
      <c r="L21" s="9">
        <v>2</v>
      </c>
      <c r="M21" s="11" t="s">
        <v>20</v>
      </c>
      <c r="N21" s="25">
        <v>30</v>
      </c>
      <c r="O21">
        <f t="shared" si="16"/>
        <v>0</v>
      </c>
      <c r="P21" s="9"/>
      <c r="Q21" s="11"/>
      <c r="R21" s="12">
        <v>5.7142857142857144E-9</v>
      </c>
      <c r="X2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CBFF-37BE-4C8F-BF35-6B9B26C7FB17}">
  <dimension ref="A1:AL22"/>
  <sheetViews>
    <sheetView topLeftCell="B1" workbookViewId="0">
      <selection activeCell="B2" sqref="A2:XFD11"/>
    </sheetView>
  </sheetViews>
  <sheetFormatPr defaultRowHeight="15.75"/>
  <cols>
    <col min="1" max="1" width="21" bestFit="1" customWidth="1"/>
    <col min="2" max="2" width="23.375" bestFit="1" customWidth="1"/>
    <col min="3" max="3" width="12.125" style="8" bestFit="1" customWidth="1"/>
    <col min="4" max="4" width="6.125" bestFit="1" customWidth="1"/>
    <col min="5" max="5" width="5.75" bestFit="1" customWidth="1"/>
    <col min="6" max="6" width="11.25" bestFit="1" customWidth="1"/>
    <col min="7" max="7" width="10.5" bestFit="1" customWidth="1"/>
    <col min="8" max="8" width="8.375" bestFit="1" customWidth="1"/>
    <col min="9" max="9" width="12.5" style="8" bestFit="1" customWidth="1"/>
    <col min="10" max="10" width="19.75" bestFit="1" customWidth="1"/>
    <col min="11" max="11" width="24.875" bestFit="1" customWidth="1"/>
    <col min="12" max="12" width="16.875" bestFit="1" customWidth="1"/>
    <col min="13" max="13" width="18.875" bestFit="1" customWidth="1"/>
    <col min="14" max="14" width="22.125" style="8" bestFit="1" customWidth="1"/>
    <col min="15" max="15" width="13.5" bestFit="1" customWidth="1"/>
    <col min="16" max="16" width="7.25" bestFit="1" customWidth="1"/>
    <col min="17" max="17" width="11.875" style="8" bestFit="1" customWidth="1"/>
    <col min="18" max="18" width="26.5" bestFit="1" customWidth="1"/>
    <col min="19" max="19" width="16.875" bestFit="1" customWidth="1"/>
    <col min="20" max="20" width="21.5" bestFit="1" customWidth="1"/>
    <col min="21" max="21" width="17.125" bestFit="1" customWidth="1"/>
    <col min="22" max="22" width="21.5" bestFit="1" customWidth="1"/>
    <col min="23" max="23" width="17.125" style="8" bestFit="1" customWidth="1"/>
    <col min="24" max="24" width="32.625" bestFit="1" customWidth="1"/>
    <col min="25" max="25" width="29" style="8" bestFit="1" customWidth="1"/>
    <col min="26" max="26" width="11.875" style="12" bestFit="1" customWidth="1"/>
    <col min="27" max="27" width="11.875" bestFit="1" customWidth="1"/>
    <col min="28" max="28" width="15" bestFit="1" customWidth="1"/>
    <col min="29" max="29" width="11.875" bestFit="1" customWidth="1"/>
    <col min="30" max="30" width="7.25" style="8" bestFit="1" customWidth="1"/>
    <col min="31" max="31" width="21.875" bestFit="1" customWidth="1"/>
    <col min="32" max="32" width="23.5" bestFit="1" customWidth="1"/>
    <col min="33" max="33" width="26.375" bestFit="1" customWidth="1"/>
    <col min="34" max="34" width="18" bestFit="1" customWidth="1"/>
    <col min="35" max="35" width="19.25" bestFit="1" customWidth="1"/>
    <col min="36" max="36" width="21.75" bestFit="1" customWidth="1"/>
    <col min="37" max="38" width="12.625" bestFit="1" customWidth="1"/>
  </cols>
  <sheetData>
    <row r="1" spans="1:38" ht="16.5" thickBot="1">
      <c r="A1" s="154" t="s">
        <v>402</v>
      </c>
      <c r="B1" s="154" t="s">
        <v>515</v>
      </c>
      <c r="C1" s="155" t="s">
        <v>524</v>
      </c>
      <c r="D1" s="154" t="s">
        <v>0</v>
      </c>
      <c r="E1" s="154" t="s">
        <v>14</v>
      </c>
      <c r="F1" s="154" t="s">
        <v>512</v>
      </c>
      <c r="G1" s="154" t="s">
        <v>190</v>
      </c>
      <c r="H1" s="154" t="s">
        <v>1</v>
      </c>
      <c r="I1" s="155" t="s">
        <v>330</v>
      </c>
      <c r="J1" s="154" t="s">
        <v>2</v>
      </c>
      <c r="K1" s="155" t="s">
        <v>3</v>
      </c>
      <c r="L1" s="156" t="s">
        <v>4</v>
      </c>
      <c r="M1" s="155" t="s">
        <v>13</v>
      </c>
      <c r="N1" s="155" t="s">
        <v>253</v>
      </c>
      <c r="O1" s="155" t="s">
        <v>5</v>
      </c>
      <c r="P1" s="154" t="s">
        <v>6</v>
      </c>
      <c r="Q1" s="155" t="s">
        <v>7</v>
      </c>
      <c r="R1" s="154" t="s">
        <v>534</v>
      </c>
      <c r="S1" s="154" t="s">
        <v>160</v>
      </c>
      <c r="T1" s="154" t="s">
        <v>18</v>
      </c>
      <c r="U1" s="154" t="s">
        <v>127</v>
      </c>
      <c r="V1" s="154" t="s">
        <v>535</v>
      </c>
      <c r="W1" s="155" t="s">
        <v>126</v>
      </c>
      <c r="X1" s="154" t="s">
        <v>162</v>
      </c>
      <c r="Y1" s="155" t="s">
        <v>163</v>
      </c>
      <c r="Z1" s="167" t="s">
        <v>179</v>
      </c>
      <c r="AA1" s="154" t="s">
        <v>7</v>
      </c>
      <c r="AB1" s="154" t="s">
        <v>8</v>
      </c>
      <c r="AC1" s="154" t="s">
        <v>9</v>
      </c>
      <c r="AD1" s="155" t="s">
        <v>6</v>
      </c>
      <c r="AE1" s="154" t="s">
        <v>10</v>
      </c>
      <c r="AF1" s="154" t="s">
        <v>183</v>
      </c>
      <c r="AG1" s="154" t="s">
        <v>141</v>
      </c>
      <c r="AH1" s="154" t="s">
        <v>78</v>
      </c>
      <c r="AI1" s="154" t="s">
        <v>182</v>
      </c>
      <c r="AJ1" s="155" t="s">
        <v>142</v>
      </c>
      <c r="AK1" s="155" t="s">
        <v>11</v>
      </c>
      <c r="AL1" s="155" t="s">
        <v>164</v>
      </c>
    </row>
    <row r="2" spans="1:38">
      <c r="A2" s="7" t="s">
        <v>511</v>
      </c>
      <c r="B2" s="7"/>
      <c r="C2" s="9"/>
      <c r="D2" s="7">
        <v>350</v>
      </c>
      <c r="E2" s="7">
        <v>350</v>
      </c>
      <c r="F2" s="7">
        <f t="shared" ref="F2:F11" si="0">E2*AA2*10^9</f>
        <v>2000</v>
      </c>
      <c r="G2" s="7">
        <v>35</v>
      </c>
      <c r="H2" s="7">
        <f>E2/G2</f>
        <v>10</v>
      </c>
      <c r="I2" s="9">
        <f t="shared" ref="I2:I11" si="1">H2*AA2*10^9</f>
        <v>57.142857142857146</v>
      </c>
      <c r="J2" s="7">
        <v>1</v>
      </c>
      <c r="K2" s="9">
        <v>2</v>
      </c>
      <c r="L2" s="7" t="s">
        <v>15</v>
      </c>
      <c r="M2" s="7">
        <v>0</v>
      </c>
      <c r="N2" s="9">
        <f t="shared" ref="N2:N19" si="2">AA2*M2</f>
        <v>0</v>
      </c>
      <c r="O2" s="7" t="s">
        <v>83</v>
      </c>
      <c r="P2" s="7">
        <v>7.0000000000000007E-2</v>
      </c>
      <c r="Q2" s="9">
        <v>5.7142857142857144E-9</v>
      </c>
      <c r="R2" s="7">
        <v>3.1373399999999997E-4</v>
      </c>
      <c r="S2" s="7">
        <f>3.03613*10^-8</f>
        <v>3.0361299999999999E-8</v>
      </c>
      <c r="T2" s="7">
        <v>1.22747E-2</v>
      </c>
      <c r="U2" s="7">
        <f>3.49706*10^-8</f>
        <v>3.4970600000000001E-8</v>
      </c>
      <c r="V2" s="7">
        <v>1.22747E-2</v>
      </c>
      <c r="W2" s="9">
        <v>3.4970600000000001E-8</v>
      </c>
      <c r="X2" s="7">
        <f>SQRT(S2^2+U2^2+W2^2)/S2</f>
        <v>1.9113752831920681</v>
      </c>
      <c r="Y2" s="9">
        <f t="shared" ref="Y2:Y11" si="3">SQRT(S2^2+U2^2+W2^2)/U2</f>
        <v>1.6594464603289432</v>
      </c>
      <c r="Z2" s="11">
        <f t="shared" ref="Z2:Z11" si="4">T2/R2</f>
        <v>39.124544996716963</v>
      </c>
      <c r="AA2" s="7">
        <v>5.7142857142857144E-9</v>
      </c>
      <c r="AB2" s="7">
        <v>1000</v>
      </c>
      <c r="AC2" s="7">
        <v>1.3605442176870701E-12</v>
      </c>
      <c r="AD2" s="9">
        <v>7.0000000000000007E-2</v>
      </c>
      <c r="AE2" s="7">
        <f t="shared" ref="AE2:AE11" si="5">((AA2^2)*R2*1000)/(0.9869*(10^-12))</f>
        <v>1.0380358202658914E-5</v>
      </c>
      <c r="AF2" s="7">
        <f>9.869*10^-16*AE2</f>
        <v>1.0244375510204081E-20</v>
      </c>
      <c r="AG2" s="7">
        <f>LOG10(9.869*10^-16*AE2)</f>
        <v>-19.989514510736544</v>
      </c>
      <c r="AH2" s="7">
        <f t="shared" ref="AH2:AH11" si="6">((AA2^2)*T2*1000)/(0.9869*(10^-12))</f>
        <v>4.0612679158196874E-4</v>
      </c>
      <c r="AI2" s="7">
        <f>9.869*10^-16*AH2</f>
        <v>4.0080653061224492E-19</v>
      </c>
      <c r="AJ2" s="9">
        <f>LOG10(9.869*10^-16*AH2)</f>
        <v>-18.397065210829048</v>
      </c>
      <c r="AK2" s="7">
        <v>5.0000000000000001E-4</v>
      </c>
      <c r="AL2" s="9">
        <f>(AK2*AA2^2*AB2/AC2^2)/10^6</f>
        <v>8.8200000000000625</v>
      </c>
    </row>
    <row r="3" spans="1:38">
      <c r="A3" t="s">
        <v>511</v>
      </c>
      <c r="D3">
        <v>350</v>
      </c>
      <c r="E3">
        <v>350</v>
      </c>
      <c r="F3">
        <f t="shared" si="0"/>
        <v>2000</v>
      </c>
      <c r="G3">
        <v>35</v>
      </c>
      <c r="H3">
        <f>E3/G3</f>
        <v>10</v>
      </c>
      <c r="I3" s="8">
        <f t="shared" si="1"/>
        <v>57.142857142857146</v>
      </c>
      <c r="J3">
        <v>1</v>
      </c>
      <c r="K3" s="8">
        <v>2</v>
      </c>
      <c r="L3" t="s">
        <v>15</v>
      </c>
      <c r="M3">
        <v>0</v>
      </c>
      <c r="N3" s="8">
        <f t="shared" si="2"/>
        <v>0</v>
      </c>
      <c r="O3" t="s">
        <v>83</v>
      </c>
      <c r="P3">
        <v>7.0000000000000007E-2</v>
      </c>
      <c r="Q3" s="8">
        <v>5.7142857142857144E-9</v>
      </c>
      <c r="R3">
        <v>3.1373399999999997E-4</v>
      </c>
      <c r="S3">
        <f>3.03613*10^-8</f>
        <v>3.0361299999999999E-8</v>
      </c>
      <c r="T3">
        <v>1.22747E-2</v>
      </c>
      <c r="U3">
        <f>3.49706*10^-8</f>
        <v>3.4970600000000001E-8</v>
      </c>
      <c r="V3">
        <v>1.22747E-2</v>
      </c>
      <c r="W3" s="8">
        <v>3.4970600000000001E-8</v>
      </c>
      <c r="X3">
        <v>2.2000000000000002</v>
      </c>
      <c r="Y3" s="8">
        <f t="shared" si="3"/>
        <v>1.6594464603289432</v>
      </c>
      <c r="Z3" s="12">
        <f t="shared" si="4"/>
        <v>39.124544996716963</v>
      </c>
      <c r="AA3">
        <v>5.7142857142857144E-9</v>
      </c>
      <c r="AB3">
        <v>1000</v>
      </c>
      <c r="AC3">
        <v>1.3605442176870701E-12</v>
      </c>
      <c r="AD3" s="8">
        <v>7.0000000000000007E-2</v>
      </c>
      <c r="AE3">
        <f t="shared" si="5"/>
        <v>1.0380358202658914E-5</v>
      </c>
      <c r="AF3">
        <f t="shared" ref="AF3:AF11" si="7">9.869*10^-16*AE3</f>
        <v>1.0244375510204081E-20</v>
      </c>
      <c r="AG3">
        <f>LOG10(9.869*10^-16*AE3)</f>
        <v>-19.989514510736544</v>
      </c>
      <c r="AH3">
        <f t="shared" si="6"/>
        <v>4.0612679158196874E-4</v>
      </c>
      <c r="AI3">
        <f t="shared" ref="AI3:AI11" si="8">9.869*10^-16*AH3</f>
        <v>4.0080653061224492E-19</v>
      </c>
      <c r="AJ3" s="8">
        <f>LOG10(9.869*10^-16*AH3)</f>
        <v>-18.397065210829048</v>
      </c>
      <c r="AK3">
        <v>5.0000000000000001E-4</v>
      </c>
      <c r="AL3" s="8">
        <f t="shared" ref="AL3:AL11" si="9">(AK3*AA3^2*AB3/AC3^2)/10^6</f>
        <v>8.8200000000000625</v>
      </c>
    </row>
    <row r="4" spans="1:38">
      <c r="A4" t="s">
        <v>513</v>
      </c>
      <c r="D4">
        <v>350</v>
      </c>
      <c r="E4">
        <v>350</v>
      </c>
      <c r="F4">
        <f t="shared" si="0"/>
        <v>2000</v>
      </c>
      <c r="G4">
        <v>35</v>
      </c>
      <c r="H4">
        <f t="shared" ref="H4:H11" si="10">E4/G4</f>
        <v>10</v>
      </c>
      <c r="I4" s="8">
        <f t="shared" si="1"/>
        <v>57.142857142857146</v>
      </c>
      <c r="J4">
        <v>1</v>
      </c>
      <c r="K4" s="8">
        <v>2</v>
      </c>
      <c r="L4" t="s">
        <v>20</v>
      </c>
      <c r="M4">
        <v>2</v>
      </c>
      <c r="N4" s="8">
        <f t="shared" si="2"/>
        <v>1.1428571428571429E-8</v>
      </c>
      <c r="O4" t="s">
        <v>84</v>
      </c>
      <c r="P4">
        <v>0.18099999999999999</v>
      </c>
      <c r="Q4" s="8">
        <v>5.7142857142857144E-9</v>
      </c>
      <c r="R4">
        <v>3.9536399999999996E-3</v>
      </c>
      <c r="S4">
        <f>3.38883*10^-7</f>
        <v>3.38883E-7</v>
      </c>
      <c r="T4">
        <v>0.15341299999999999</v>
      </c>
      <c r="U4">
        <f>4.35421*10^-7</f>
        <v>4.3542099999999999E-7</v>
      </c>
      <c r="V4">
        <v>0.15341299999999999</v>
      </c>
      <c r="W4" s="8">
        <v>4.3542099999999999E-7</v>
      </c>
      <c r="X4">
        <v>2.16</v>
      </c>
      <c r="Y4" s="8">
        <f t="shared" si="3"/>
        <v>1.6142281214639009</v>
      </c>
      <c r="Z4" s="12">
        <f t="shared" si="4"/>
        <v>38.802976497607268</v>
      </c>
      <c r="AA4">
        <v>5.7142857142857144E-9</v>
      </c>
      <c r="AB4">
        <v>1000</v>
      </c>
      <c r="AC4">
        <v>1.3605442176870747E-12</v>
      </c>
      <c r="AD4" s="8">
        <v>0.18099999999999999</v>
      </c>
      <c r="AE4">
        <f t="shared" si="5"/>
        <v>1.3081208732353009E-4</v>
      </c>
      <c r="AF4">
        <f t="shared" si="7"/>
        <v>1.2909844897959183E-19</v>
      </c>
      <c r="AG4">
        <f t="shared" ref="AG4:AG11" si="11">LOG10(9.869*10^-16*AE4)</f>
        <v>-18.889078975422589</v>
      </c>
      <c r="AH4">
        <f t="shared" si="6"/>
        <v>5.0758983500178876E-3</v>
      </c>
      <c r="AI4">
        <f t="shared" si="8"/>
        <v>5.0094040816326531E-18</v>
      </c>
      <c r="AJ4" s="8">
        <f t="shared" ref="AJ4:AJ11" si="12">LOG10(9.869*10^-16*AH4)</f>
        <v>-17.300213934701947</v>
      </c>
      <c r="AK4">
        <v>5.0000000000000001E-4</v>
      </c>
      <c r="AL4" s="8">
        <f t="shared" si="9"/>
        <v>8.8200000000000021</v>
      </c>
    </row>
    <row r="5" spans="1:38">
      <c r="A5" t="s">
        <v>574</v>
      </c>
      <c r="D5">
        <v>350</v>
      </c>
      <c r="E5">
        <v>350</v>
      </c>
      <c r="F5">
        <f t="shared" si="0"/>
        <v>2000</v>
      </c>
      <c r="G5">
        <v>35</v>
      </c>
      <c r="H5">
        <f t="shared" si="10"/>
        <v>10</v>
      </c>
      <c r="I5" s="8">
        <f t="shared" si="1"/>
        <v>57.142857142857146</v>
      </c>
      <c r="J5">
        <v>1</v>
      </c>
      <c r="K5" s="8">
        <v>2</v>
      </c>
      <c r="L5" t="s">
        <v>20</v>
      </c>
      <c r="M5">
        <v>4</v>
      </c>
      <c r="N5" s="8">
        <f t="shared" si="2"/>
        <v>2.2857142857142858E-8</v>
      </c>
      <c r="O5" t="s">
        <v>85</v>
      </c>
      <c r="P5">
        <v>0.26900000000000002</v>
      </c>
      <c r="Q5" s="8">
        <v>5.7142857142857144E-9</v>
      </c>
      <c r="R5">
        <v>1.6644699999999998E-2</v>
      </c>
      <c r="S5">
        <f>1.28036*10^-6</f>
        <v>1.2803599999999998E-6</v>
      </c>
      <c r="T5">
        <v>0.59258599999999995</v>
      </c>
      <c r="U5">
        <f>1.67555*10^-6</f>
        <v>1.67555E-6</v>
      </c>
      <c r="V5">
        <v>0.59258599999999995</v>
      </c>
      <c r="W5" s="8">
        <v>1.67555E-6</v>
      </c>
      <c r="X5">
        <v>2.12</v>
      </c>
      <c r="Y5" s="8">
        <f t="shared" si="3"/>
        <v>1.6074559725049464</v>
      </c>
      <c r="Z5" s="12">
        <f t="shared" si="4"/>
        <v>35.602083546113775</v>
      </c>
      <c r="AA5">
        <v>5.7142857142857144E-9</v>
      </c>
      <c r="AB5">
        <v>1000</v>
      </c>
      <c r="AC5">
        <v>1.3605442176870747E-12</v>
      </c>
      <c r="AD5" s="8">
        <v>0.26900000000000002</v>
      </c>
      <c r="AE5">
        <f t="shared" si="5"/>
        <v>5.5071477167217072E-4</v>
      </c>
      <c r="AF5">
        <f t="shared" si="7"/>
        <v>5.435004081632652E-19</v>
      </c>
      <c r="AG5">
        <f t="shared" si="11"/>
        <v>-18.264800125426838</v>
      </c>
      <c r="AH5">
        <f t="shared" si="6"/>
        <v>1.9606593311151596E-2</v>
      </c>
      <c r="AI5">
        <f t="shared" si="8"/>
        <v>1.9349746938775508E-17</v>
      </c>
      <c r="AJ5" s="8">
        <f t="shared" si="12"/>
        <v>-16.713324710428637</v>
      </c>
      <c r="AK5">
        <v>5.0000000000000001E-4</v>
      </c>
      <c r="AL5" s="8">
        <f t="shared" si="9"/>
        <v>8.8200000000000021</v>
      </c>
    </row>
    <row r="6" spans="1:38">
      <c r="D6">
        <v>350</v>
      </c>
      <c r="E6">
        <v>350</v>
      </c>
      <c r="F6">
        <f t="shared" si="0"/>
        <v>2000</v>
      </c>
      <c r="G6">
        <v>35</v>
      </c>
      <c r="H6">
        <f t="shared" si="10"/>
        <v>10</v>
      </c>
      <c r="I6" s="8">
        <f t="shared" si="1"/>
        <v>57.142857142857146</v>
      </c>
      <c r="J6">
        <v>1</v>
      </c>
      <c r="K6" s="8">
        <v>2</v>
      </c>
      <c r="L6" t="s">
        <v>20</v>
      </c>
      <c r="M6">
        <v>6</v>
      </c>
      <c r="N6" s="8">
        <f t="shared" si="2"/>
        <v>3.4285714285714286E-8</v>
      </c>
      <c r="O6" t="s">
        <v>86</v>
      </c>
      <c r="P6">
        <v>0.34100000000000003</v>
      </c>
      <c r="Q6" s="8">
        <v>5.7142857142857144E-9</v>
      </c>
      <c r="R6">
        <v>4.5357300000000003E-2</v>
      </c>
      <c r="S6">
        <f>3.16446*10^-6</f>
        <v>3.1644600000000001E-6</v>
      </c>
      <c r="T6">
        <v>1.4505999999999999</v>
      </c>
      <c r="U6">
        <f>4.08618*10^-6</f>
        <v>4.0861799999999994E-6</v>
      </c>
      <c r="V6">
        <v>1.4505999999999999</v>
      </c>
      <c r="W6" s="8">
        <v>4.0861799999999994E-6</v>
      </c>
      <c r="X6">
        <v>2.0699999999999998</v>
      </c>
      <c r="Y6" s="8">
        <f t="shared" si="3"/>
        <v>1.6123714466112151</v>
      </c>
      <c r="Z6" s="12">
        <f t="shared" si="4"/>
        <v>31.981621480996438</v>
      </c>
      <c r="AA6">
        <v>5.7142857142857144E-9</v>
      </c>
      <c r="AB6">
        <v>1000</v>
      </c>
      <c r="AC6">
        <v>1.3605442176870747E-12</v>
      </c>
      <c r="AD6" s="8">
        <v>0.34100000000000003</v>
      </c>
      <c r="AE6">
        <f t="shared" si="5"/>
        <v>1.500714047905108E-3</v>
      </c>
      <c r="AF6">
        <f t="shared" si="7"/>
        <v>1.481054693877551E-18</v>
      </c>
      <c r="AG6">
        <f t="shared" si="11"/>
        <v>-17.829428903119158</v>
      </c>
      <c r="AH6">
        <f t="shared" si="6"/>
        <v>4.7995268631315126E-2</v>
      </c>
      <c r="AI6">
        <f t="shared" si="8"/>
        <v>4.7366530612244892E-17</v>
      </c>
      <c r="AJ6" s="8">
        <f t="shared" si="12"/>
        <v>-16.324528424246861</v>
      </c>
      <c r="AK6">
        <v>5.0000000000000001E-4</v>
      </c>
      <c r="AL6" s="8">
        <f t="shared" si="9"/>
        <v>8.8200000000000021</v>
      </c>
    </row>
    <row r="7" spans="1:38">
      <c r="D7">
        <v>350</v>
      </c>
      <c r="E7">
        <v>350</v>
      </c>
      <c r="F7">
        <f t="shared" si="0"/>
        <v>2000</v>
      </c>
      <c r="G7">
        <v>35</v>
      </c>
      <c r="H7">
        <f t="shared" si="10"/>
        <v>10</v>
      </c>
      <c r="I7" s="8">
        <f t="shared" si="1"/>
        <v>57.142857142857146</v>
      </c>
      <c r="J7">
        <v>1</v>
      </c>
      <c r="K7" s="8">
        <v>2</v>
      </c>
      <c r="L7" t="s">
        <v>20</v>
      </c>
      <c r="M7">
        <v>8</v>
      </c>
      <c r="N7" s="8">
        <f t="shared" si="2"/>
        <v>4.5714285714285715E-8</v>
      </c>
      <c r="O7" t="s">
        <v>87</v>
      </c>
      <c r="P7">
        <v>0.40100000000000002</v>
      </c>
      <c r="Q7" s="8">
        <v>5.7142857142857144E-9</v>
      </c>
      <c r="R7">
        <v>9.8110600000000006E-2</v>
      </c>
      <c r="S7">
        <f>6.26238*10^-6</f>
        <v>6.2623799999999998E-6</v>
      </c>
      <c r="T7">
        <v>2.8128799999999998</v>
      </c>
      <c r="U7">
        <f>7.89396*10^-6</f>
        <v>7.8939599999999999E-6</v>
      </c>
      <c r="V7">
        <v>2.8128799999999998</v>
      </c>
      <c r="W7" s="8">
        <v>7.8939599999999999E-6</v>
      </c>
      <c r="X7">
        <v>2.02</v>
      </c>
      <c r="Y7" s="8">
        <f t="shared" si="3"/>
        <v>1.6215256078742062</v>
      </c>
      <c r="Z7" s="12">
        <f t="shared" si="4"/>
        <v>28.670500435223101</v>
      </c>
      <c r="AA7">
        <v>5.7142857142857144E-9</v>
      </c>
      <c r="AB7">
        <v>1000</v>
      </c>
      <c r="AC7">
        <v>1.3605442176870747E-12</v>
      </c>
      <c r="AD7" s="8">
        <v>0.40100000000000002</v>
      </c>
      <c r="AE7">
        <f t="shared" si="5"/>
        <v>3.2461358076516659E-3</v>
      </c>
      <c r="AF7">
        <f t="shared" si="7"/>
        <v>3.2036114285714286E-18</v>
      </c>
      <c r="AG7">
        <f t="shared" si="11"/>
        <v>-17.494360165702997</v>
      </c>
      <c r="AH7">
        <f t="shared" si="6"/>
        <v>9.3068338086070387E-2</v>
      </c>
      <c r="AI7">
        <f t="shared" si="8"/>
        <v>9.1849142857142857E-17</v>
      </c>
      <c r="AJ7" s="8">
        <f t="shared" si="12"/>
        <v>-16.036924892206841</v>
      </c>
      <c r="AK7">
        <v>5.0000000000000001E-4</v>
      </c>
      <c r="AL7" s="8">
        <f t="shared" si="9"/>
        <v>8.8200000000000021</v>
      </c>
    </row>
    <row r="8" spans="1:38">
      <c r="D8">
        <v>350</v>
      </c>
      <c r="E8">
        <v>350</v>
      </c>
      <c r="F8">
        <f t="shared" si="0"/>
        <v>2000</v>
      </c>
      <c r="G8">
        <v>35</v>
      </c>
      <c r="H8">
        <f t="shared" si="10"/>
        <v>10</v>
      </c>
      <c r="I8" s="8">
        <f t="shared" si="1"/>
        <v>57.142857142857146</v>
      </c>
      <c r="J8">
        <v>1</v>
      </c>
      <c r="K8" s="8">
        <v>2</v>
      </c>
      <c r="L8" t="s">
        <v>20</v>
      </c>
      <c r="M8">
        <v>12</v>
      </c>
      <c r="N8" s="8">
        <f t="shared" si="2"/>
        <v>6.8571428571428573E-8</v>
      </c>
      <c r="O8" t="s">
        <v>88</v>
      </c>
      <c r="P8">
        <v>0.496</v>
      </c>
      <c r="Q8" s="8">
        <v>5.7142857142857144E-9</v>
      </c>
      <c r="R8">
        <v>0.31220999999999999</v>
      </c>
      <c r="S8">
        <f>1.70296*10^-5</f>
        <v>1.70296E-5</v>
      </c>
      <c r="T8">
        <v>7.2903200000000004</v>
      </c>
      <c r="U8">
        <f>2.03073*10^-5</f>
        <v>2.0307300000000005E-5</v>
      </c>
      <c r="V8">
        <v>7.2903200000000004</v>
      </c>
      <c r="W8" s="8">
        <v>2.0307300000000005E-5</v>
      </c>
      <c r="X8">
        <f>SQRT(S8^2+U8^2+W8^2)/S8</f>
        <v>1.9606052666577154</v>
      </c>
      <c r="Y8" s="8">
        <f t="shared" si="3"/>
        <v>1.6441537500836756</v>
      </c>
      <c r="Z8" s="12">
        <f t="shared" si="4"/>
        <v>23.350693443515585</v>
      </c>
      <c r="AA8">
        <v>5.7142857142857144E-9</v>
      </c>
      <c r="AB8">
        <v>1000</v>
      </c>
      <c r="AC8">
        <v>1.3605442176870747E-12</v>
      </c>
      <c r="AD8" s="8">
        <v>0.496</v>
      </c>
      <c r="AE8">
        <f t="shared" si="5"/>
        <v>1.0329934385345992E-2</v>
      </c>
      <c r="AF8">
        <f t="shared" si="7"/>
        <v>1.0194612244897959E-17</v>
      </c>
      <c r="AG8">
        <f t="shared" si="11"/>
        <v>-16.991629288091204</v>
      </c>
      <c r="AH8">
        <f t="shared" si="6"/>
        <v>0.24121113112384485</v>
      </c>
      <c r="AI8">
        <f t="shared" si="8"/>
        <v>2.3805126530612247E-16</v>
      </c>
      <c r="AJ8" s="8">
        <f t="shared" si="12"/>
        <v>-15.623329505792048</v>
      </c>
      <c r="AK8">
        <v>5.0000000000000001E-4</v>
      </c>
      <c r="AL8" s="8">
        <f t="shared" si="9"/>
        <v>8.8200000000000021</v>
      </c>
    </row>
    <row r="9" spans="1:38">
      <c r="D9">
        <v>350</v>
      </c>
      <c r="E9">
        <v>350</v>
      </c>
      <c r="F9">
        <f t="shared" si="0"/>
        <v>2000</v>
      </c>
      <c r="G9">
        <v>35</v>
      </c>
      <c r="H9">
        <f t="shared" si="10"/>
        <v>10</v>
      </c>
      <c r="I9" s="8">
        <f t="shared" si="1"/>
        <v>57.142857142857146</v>
      </c>
      <c r="J9">
        <v>1</v>
      </c>
      <c r="K9" s="8">
        <v>2</v>
      </c>
      <c r="L9" t="s">
        <v>20</v>
      </c>
      <c r="M9">
        <v>16</v>
      </c>
      <c r="N9" s="8">
        <f t="shared" si="2"/>
        <v>9.142857142857143E-8</v>
      </c>
      <c r="O9" t="s">
        <v>89</v>
      </c>
      <c r="P9">
        <v>0.56599999999999995</v>
      </c>
      <c r="Q9" s="8">
        <v>5.7142857142857144E-9</v>
      </c>
      <c r="R9">
        <v>0.73976500000000001</v>
      </c>
      <c r="S9">
        <f>3.52269*10^-5</f>
        <v>3.52269E-5</v>
      </c>
      <c r="T9">
        <v>14.3904</v>
      </c>
      <c r="U9">
        <f>3.9789*10^-5</f>
        <v>3.9789000000000001E-5</v>
      </c>
      <c r="V9">
        <v>14.3904</v>
      </c>
      <c r="W9" s="8">
        <v>3.9789000000000001E-5</v>
      </c>
      <c r="X9">
        <f t="shared" ref="X9:X11" si="13">SQRT(S9^2+U9^2+W9^2)/S9</f>
        <v>1.8845604953702433</v>
      </c>
      <c r="Y9" s="8">
        <f t="shared" si="3"/>
        <v>1.6684818445891585</v>
      </c>
      <c r="Z9" s="12">
        <f t="shared" si="4"/>
        <v>19.452664021682562</v>
      </c>
      <c r="AA9">
        <v>5.7142857142857144E-9</v>
      </c>
      <c r="AB9">
        <v>1000</v>
      </c>
      <c r="AC9">
        <v>1.3605442176870747E-12</v>
      </c>
      <c r="AD9" s="8">
        <v>0.56599999999999995</v>
      </c>
      <c r="AE9">
        <f t="shared" si="5"/>
        <v>2.4476230455704424E-2</v>
      </c>
      <c r="AF9">
        <f t="shared" si="7"/>
        <v>2.4155591836734693E-17</v>
      </c>
      <c r="AG9">
        <f t="shared" si="11"/>
        <v>-16.616982317387592</v>
      </c>
      <c r="AH9">
        <f t="shared" si="6"/>
        <v>0.4761278875720924</v>
      </c>
      <c r="AI9">
        <f t="shared" si="8"/>
        <v>4.6989061224489798E-16</v>
      </c>
      <c r="AJ9" s="8">
        <f t="shared" si="12"/>
        <v>-15.328003231484741</v>
      </c>
      <c r="AK9">
        <v>5.0000000000000001E-4</v>
      </c>
      <c r="AL9" s="8">
        <f t="shared" si="9"/>
        <v>8.8200000000000021</v>
      </c>
    </row>
    <row r="10" spans="1:38">
      <c r="D10">
        <v>350</v>
      </c>
      <c r="E10">
        <v>350</v>
      </c>
      <c r="F10">
        <f t="shared" si="0"/>
        <v>2000</v>
      </c>
      <c r="G10">
        <v>35</v>
      </c>
      <c r="H10">
        <f t="shared" si="10"/>
        <v>10</v>
      </c>
      <c r="I10" s="8">
        <f t="shared" si="1"/>
        <v>57.142857142857146</v>
      </c>
      <c r="J10">
        <v>1</v>
      </c>
      <c r="K10" s="8">
        <v>2</v>
      </c>
      <c r="L10" t="s">
        <v>20</v>
      </c>
      <c r="M10">
        <v>22</v>
      </c>
      <c r="N10" s="8">
        <f t="shared" si="2"/>
        <v>1.2571428571428572E-7</v>
      </c>
      <c r="O10" t="s">
        <v>91</v>
      </c>
      <c r="P10">
        <v>0.64400000000000002</v>
      </c>
      <c r="Q10" s="8">
        <v>5.7142857142857144E-9</v>
      </c>
      <c r="R10">
        <v>1.9807600000000001</v>
      </c>
      <c r="S10">
        <f>7.92302*10^-5</f>
        <v>7.9230200000000013E-5</v>
      </c>
      <c r="T10">
        <v>30.4938</v>
      </c>
      <c r="U10">
        <f>8.33924*10^-5</f>
        <v>8.3392400000000005E-5</v>
      </c>
      <c r="V10">
        <v>30.4938</v>
      </c>
      <c r="W10" s="8">
        <v>8.3392400000000005E-5</v>
      </c>
      <c r="X10">
        <f t="shared" si="13"/>
        <v>1.7932237526435097</v>
      </c>
      <c r="Y10" s="8">
        <f t="shared" si="3"/>
        <v>1.703722120561296</v>
      </c>
      <c r="Z10" s="12">
        <f t="shared" si="4"/>
        <v>15.394999899028655</v>
      </c>
      <c r="AA10">
        <v>5.7142857142857144E-9</v>
      </c>
      <c r="AB10">
        <v>1000</v>
      </c>
      <c r="AC10">
        <v>1.3605442176870747E-12</v>
      </c>
      <c r="AD10" s="8">
        <v>0.64400000000000002</v>
      </c>
      <c r="AE10">
        <f t="shared" si="5"/>
        <v>6.5536404449306335E-2</v>
      </c>
      <c r="AF10">
        <f t="shared" si="7"/>
        <v>6.4677877551020415E-17</v>
      </c>
      <c r="AG10">
        <f t="shared" si="11"/>
        <v>-16.189244240203546</v>
      </c>
      <c r="AH10">
        <f t="shared" si="6"/>
        <v>1.0089329398797722</v>
      </c>
      <c r="AI10">
        <f t="shared" si="8"/>
        <v>9.9571591836734712E-16</v>
      </c>
      <c r="AJ10" s="8">
        <f t="shared" si="12"/>
        <v>-15.001864549812741</v>
      </c>
      <c r="AK10">
        <v>5.0000000000000001E-4</v>
      </c>
      <c r="AL10" s="8">
        <f t="shared" si="9"/>
        <v>8.8200000000000021</v>
      </c>
    </row>
    <row r="11" spans="1:38">
      <c r="A11" s="7"/>
      <c r="B11" s="7"/>
      <c r="C11" s="9"/>
      <c r="D11" s="7">
        <v>350</v>
      </c>
      <c r="E11" s="7">
        <v>350</v>
      </c>
      <c r="F11" s="7">
        <f t="shared" si="0"/>
        <v>2000</v>
      </c>
      <c r="G11">
        <v>35</v>
      </c>
      <c r="H11">
        <f t="shared" si="10"/>
        <v>10</v>
      </c>
      <c r="I11" s="9">
        <f t="shared" si="1"/>
        <v>57.142857142857146</v>
      </c>
      <c r="J11" s="7">
        <v>1</v>
      </c>
      <c r="K11" s="9">
        <v>2</v>
      </c>
      <c r="L11" s="7" t="s">
        <v>20</v>
      </c>
      <c r="M11" s="7">
        <v>30</v>
      </c>
      <c r="N11" s="9">
        <f t="shared" si="2"/>
        <v>1.7142857142857143E-7</v>
      </c>
      <c r="O11" s="7" t="s">
        <v>90</v>
      </c>
      <c r="P11" s="7">
        <v>0.71599999999999997</v>
      </c>
      <c r="Q11" s="9">
        <v>5.7142857142857144E-9</v>
      </c>
      <c r="R11" s="7">
        <v>5.2793799999999997</v>
      </c>
      <c r="S11" s="7">
        <v>1.74045E-4</v>
      </c>
      <c r="T11" s="7">
        <v>63.089100000000002</v>
      </c>
      <c r="U11" s="7">
        <v>1.7005199999999999E-4</v>
      </c>
      <c r="V11" s="7">
        <v>63.089100000000002</v>
      </c>
      <c r="W11" s="9">
        <v>1.7005199999999999E-4</v>
      </c>
      <c r="X11" s="7">
        <f t="shared" si="13"/>
        <v>1.7056621389267095</v>
      </c>
      <c r="Y11" s="9">
        <f t="shared" si="3"/>
        <v>1.7457128817626324</v>
      </c>
      <c r="Z11" s="11">
        <f t="shared" si="4"/>
        <v>11.950096412836357</v>
      </c>
      <c r="AA11" s="7">
        <v>5.7142857142857144E-9</v>
      </c>
      <c r="AB11" s="7">
        <v>1000</v>
      </c>
      <c r="AC11" s="7">
        <v>1.3605442176870747E-12</v>
      </c>
      <c r="AD11" s="9">
        <v>0.71599999999999997</v>
      </c>
      <c r="AE11" s="7">
        <f t="shared" si="5"/>
        <v>0.17467617627657003</v>
      </c>
      <c r="AF11" s="7">
        <f t="shared" si="7"/>
        <v>1.7238791836734695E-16</v>
      </c>
      <c r="AG11" s="7">
        <f t="shared" si="11"/>
        <v>-15.763493174533663</v>
      </c>
      <c r="AH11" s="7">
        <f t="shared" si="6"/>
        <v>2.0873971475306101</v>
      </c>
      <c r="AI11" s="7">
        <f t="shared" si="8"/>
        <v>2.0600522448979589E-15</v>
      </c>
      <c r="AJ11" s="9">
        <f t="shared" si="12"/>
        <v>-14.686121765367171</v>
      </c>
      <c r="AK11" s="7">
        <v>5.0000000000000001E-4</v>
      </c>
      <c r="AL11" s="9">
        <f t="shared" si="9"/>
        <v>8.8200000000000021</v>
      </c>
    </row>
    <row r="12" spans="1:38">
      <c r="A12" t="s">
        <v>511</v>
      </c>
      <c r="B12" s="76" t="s">
        <v>581</v>
      </c>
      <c r="C12" s="8" t="s">
        <v>578</v>
      </c>
      <c r="D12">
        <v>350</v>
      </c>
      <c r="E12">
        <v>350</v>
      </c>
      <c r="F12">
        <f t="shared" ref="F12" si="14">E12*AA12*10^9</f>
        <v>0</v>
      </c>
      <c r="G12">
        <v>35</v>
      </c>
      <c r="H12">
        <f>E12/G12</f>
        <v>10</v>
      </c>
      <c r="I12" s="8">
        <f t="shared" ref="I12" si="15">H12*AA12*10^9</f>
        <v>0</v>
      </c>
      <c r="J12">
        <v>1</v>
      </c>
      <c r="K12">
        <v>2</v>
      </c>
      <c r="L12" s="16" t="s">
        <v>576</v>
      </c>
      <c r="M12">
        <v>0</v>
      </c>
      <c r="N12" s="17">
        <f t="shared" si="2"/>
        <v>0</v>
      </c>
      <c r="O12" s="16" t="s">
        <v>577</v>
      </c>
      <c r="P12" s="16">
        <v>0.10199999999999999</v>
      </c>
      <c r="Q12" s="8">
        <v>5.7142857142857144E-9</v>
      </c>
      <c r="R12" s="16">
        <v>83.814599999999999</v>
      </c>
      <c r="S12" s="16">
        <v>2.38788E-4</v>
      </c>
      <c r="T12" s="16">
        <v>83.814599999999999</v>
      </c>
      <c r="U12" s="16">
        <v>2.38788E-4</v>
      </c>
    </row>
    <row r="13" spans="1:38">
      <c r="A13" t="s">
        <v>513</v>
      </c>
      <c r="B13" s="76" t="s">
        <v>580</v>
      </c>
      <c r="C13" s="8" t="s">
        <v>579</v>
      </c>
      <c r="D13">
        <v>350</v>
      </c>
      <c r="E13">
        <v>350</v>
      </c>
      <c r="F13">
        <f t="shared" ref="F13:F19" si="16">E13*AA13*10^9</f>
        <v>0</v>
      </c>
      <c r="G13">
        <v>35</v>
      </c>
      <c r="H13">
        <f t="shared" ref="H13:H19" si="17">E13/G13</f>
        <v>10</v>
      </c>
      <c r="I13" s="8">
        <f t="shared" ref="I13:I19" si="18">H13*AA13*10^9</f>
        <v>0</v>
      </c>
      <c r="J13">
        <v>1</v>
      </c>
      <c r="K13">
        <v>2</v>
      </c>
      <c r="L13" s="16" t="s">
        <v>20</v>
      </c>
      <c r="M13">
        <v>2</v>
      </c>
      <c r="N13" s="17">
        <f t="shared" si="2"/>
        <v>0</v>
      </c>
      <c r="O13" s="16" t="s">
        <v>582</v>
      </c>
      <c r="P13" s="16">
        <v>0.25</v>
      </c>
      <c r="Q13" s="8">
        <v>5.7142857142857144E-9</v>
      </c>
      <c r="R13">
        <v>105.803</v>
      </c>
      <c r="S13">
        <v>3.0029399999999999E-4</v>
      </c>
      <c r="T13">
        <v>105.803</v>
      </c>
      <c r="U13">
        <v>3.0029399999999999E-3</v>
      </c>
      <c r="V13">
        <v>3494.02</v>
      </c>
      <c r="W13" s="8">
        <v>0.29948799999999998</v>
      </c>
    </row>
    <row r="14" spans="1:38">
      <c r="A14" t="s">
        <v>575</v>
      </c>
      <c r="B14" s="77" t="s">
        <v>583</v>
      </c>
      <c r="C14" s="8" t="s">
        <v>587</v>
      </c>
      <c r="D14">
        <v>350</v>
      </c>
      <c r="E14">
        <v>350</v>
      </c>
      <c r="F14">
        <f t="shared" si="16"/>
        <v>0</v>
      </c>
      <c r="G14">
        <v>35</v>
      </c>
      <c r="H14">
        <f t="shared" si="17"/>
        <v>10</v>
      </c>
      <c r="I14" s="8">
        <f t="shared" si="18"/>
        <v>0</v>
      </c>
      <c r="J14">
        <v>1</v>
      </c>
      <c r="K14">
        <v>2</v>
      </c>
      <c r="L14" s="16" t="s">
        <v>20</v>
      </c>
      <c r="M14">
        <v>4</v>
      </c>
      <c r="N14" s="17">
        <f t="shared" si="2"/>
        <v>0</v>
      </c>
      <c r="O14" s="16" t="s">
        <v>85</v>
      </c>
      <c r="P14" s="16">
        <v>0.35499999999999998</v>
      </c>
      <c r="Q14" s="8">
        <v>5.7142857142857144E-9</v>
      </c>
      <c r="T14">
        <v>51.097799999999999</v>
      </c>
      <c r="U14">
        <v>1.4448E-4</v>
      </c>
    </row>
    <row r="15" spans="1:38">
      <c r="B15" s="77" t="s">
        <v>585</v>
      </c>
      <c r="C15" s="8" t="s">
        <v>586</v>
      </c>
      <c r="D15">
        <v>350</v>
      </c>
      <c r="E15">
        <v>350</v>
      </c>
      <c r="F15">
        <f t="shared" si="16"/>
        <v>0</v>
      </c>
      <c r="G15">
        <v>35</v>
      </c>
      <c r="H15">
        <f t="shared" si="17"/>
        <v>10</v>
      </c>
      <c r="I15" s="8">
        <f t="shared" si="18"/>
        <v>0</v>
      </c>
      <c r="J15">
        <v>1</v>
      </c>
      <c r="K15">
        <v>2</v>
      </c>
      <c r="L15" s="16" t="s">
        <v>20</v>
      </c>
      <c r="M15">
        <v>6</v>
      </c>
      <c r="N15" s="17">
        <f t="shared" si="2"/>
        <v>0</v>
      </c>
      <c r="O15" s="16" t="s">
        <v>584</v>
      </c>
      <c r="P15" s="16">
        <v>0.438</v>
      </c>
      <c r="Q15" s="8">
        <v>5.7142857142857144E-9</v>
      </c>
    </row>
    <row r="16" spans="1:38">
      <c r="B16" s="77" t="s">
        <v>592</v>
      </c>
      <c r="C16" s="8" t="s">
        <v>593</v>
      </c>
      <c r="D16">
        <v>350</v>
      </c>
      <c r="E16">
        <v>350</v>
      </c>
      <c r="F16">
        <f t="shared" si="16"/>
        <v>0</v>
      </c>
      <c r="G16">
        <v>35</v>
      </c>
      <c r="H16">
        <f t="shared" si="17"/>
        <v>10</v>
      </c>
      <c r="I16" s="8">
        <f t="shared" si="18"/>
        <v>0</v>
      </c>
      <c r="J16">
        <v>1</v>
      </c>
      <c r="K16">
        <v>2</v>
      </c>
      <c r="L16" s="16" t="s">
        <v>20</v>
      </c>
      <c r="M16">
        <v>8</v>
      </c>
      <c r="N16" s="17">
        <f t="shared" si="2"/>
        <v>0</v>
      </c>
      <c r="O16" s="16" t="s">
        <v>588</v>
      </c>
      <c r="P16" s="16">
        <v>0.502</v>
      </c>
      <c r="Q16" s="8">
        <v>5.7142857142857144E-9</v>
      </c>
      <c r="R16" s="16">
        <v>186.69200000000001</v>
      </c>
      <c r="S16" s="16">
        <v>5.2392400000000005E-4</v>
      </c>
      <c r="T16">
        <v>186.69200000000001</v>
      </c>
      <c r="U16">
        <v>5.2392400000000005E-4</v>
      </c>
    </row>
    <row r="17" spans="1:30">
      <c r="B17" s="77" t="s">
        <v>589</v>
      </c>
      <c r="C17" s="8" t="s">
        <v>590</v>
      </c>
      <c r="D17">
        <v>350</v>
      </c>
      <c r="E17">
        <v>350</v>
      </c>
      <c r="F17">
        <f t="shared" si="16"/>
        <v>0</v>
      </c>
      <c r="G17">
        <v>35</v>
      </c>
      <c r="H17">
        <f t="shared" si="17"/>
        <v>10</v>
      </c>
      <c r="I17" s="8">
        <f t="shared" si="18"/>
        <v>0</v>
      </c>
      <c r="J17">
        <v>1</v>
      </c>
      <c r="K17">
        <v>2</v>
      </c>
      <c r="L17" s="16" t="s">
        <v>20</v>
      </c>
      <c r="M17">
        <v>12</v>
      </c>
      <c r="N17" s="17">
        <f t="shared" si="2"/>
        <v>0</v>
      </c>
      <c r="O17" s="16" t="s">
        <v>591</v>
      </c>
      <c r="P17" s="16">
        <v>0.59699999999999998</v>
      </c>
      <c r="Q17" s="8">
        <v>5.7142857142857144E-9</v>
      </c>
    </row>
    <row r="18" spans="1:30">
      <c r="B18" s="77" t="s">
        <v>596</v>
      </c>
      <c r="C18" s="8" t="s">
        <v>597</v>
      </c>
      <c r="D18">
        <v>350</v>
      </c>
      <c r="E18">
        <v>350</v>
      </c>
      <c r="F18">
        <f t="shared" si="16"/>
        <v>0</v>
      </c>
      <c r="G18">
        <v>35</v>
      </c>
      <c r="H18">
        <f t="shared" si="17"/>
        <v>10</v>
      </c>
      <c r="I18" s="8">
        <f t="shared" si="18"/>
        <v>0</v>
      </c>
      <c r="J18">
        <v>1</v>
      </c>
      <c r="K18">
        <v>2</v>
      </c>
      <c r="L18" s="16" t="s">
        <v>20</v>
      </c>
      <c r="M18">
        <v>16</v>
      </c>
      <c r="N18" s="17">
        <f t="shared" si="2"/>
        <v>0</v>
      </c>
      <c r="O18" s="16" t="s">
        <v>598</v>
      </c>
      <c r="P18" s="16">
        <v>0.66300000000000003</v>
      </c>
      <c r="Q18" s="8">
        <v>5.7142857142857144E-9</v>
      </c>
    </row>
    <row r="19" spans="1:30" s="7" customFormat="1">
      <c r="B19" s="353" t="s">
        <v>594</v>
      </c>
      <c r="C19" s="9" t="s">
        <v>595</v>
      </c>
      <c r="D19" s="7">
        <v>350</v>
      </c>
      <c r="E19" s="7">
        <v>350</v>
      </c>
      <c r="F19" s="7">
        <f t="shared" si="16"/>
        <v>0</v>
      </c>
      <c r="G19" s="7">
        <v>35</v>
      </c>
      <c r="H19" s="7">
        <f t="shared" si="17"/>
        <v>10</v>
      </c>
      <c r="I19" s="9">
        <f t="shared" si="18"/>
        <v>0</v>
      </c>
      <c r="J19" s="7">
        <v>1</v>
      </c>
      <c r="K19" s="7">
        <v>2</v>
      </c>
      <c r="L19" s="25" t="s">
        <v>20</v>
      </c>
      <c r="M19" s="7">
        <v>22</v>
      </c>
      <c r="N19" s="351">
        <f t="shared" si="2"/>
        <v>0</v>
      </c>
      <c r="O19" s="7" t="s">
        <v>599</v>
      </c>
      <c r="P19" s="7">
        <v>0.73199999999999998</v>
      </c>
      <c r="Q19" s="9">
        <v>5.7142857142857144E-9</v>
      </c>
      <c r="W19" s="9"/>
      <c r="Y19" s="9"/>
      <c r="Z19" s="11"/>
      <c r="AD19" s="9"/>
    </row>
    <row r="20" spans="1:30">
      <c r="A20" t="s">
        <v>511</v>
      </c>
      <c r="B20" s="120" t="s">
        <v>601</v>
      </c>
      <c r="C20" s="8" t="s">
        <v>600</v>
      </c>
    </row>
    <row r="21" spans="1:30">
      <c r="A21" t="s">
        <v>513</v>
      </c>
      <c r="B21" s="120" t="s">
        <v>602</v>
      </c>
      <c r="C21" s="8" t="s">
        <v>603</v>
      </c>
    </row>
    <row r="22" spans="1:30">
      <c r="A22" t="s">
        <v>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39"/>
  <sheetViews>
    <sheetView zoomScale="85" zoomScaleNormal="85" workbookViewId="0">
      <selection activeCell="E21" sqref="E21"/>
    </sheetView>
  </sheetViews>
  <sheetFormatPr defaultRowHeight="15.75"/>
  <cols>
    <col min="1" max="1" width="6.375" bestFit="1" customWidth="1"/>
    <col min="2" max="2" width="5.75" bestFit="1" customWidth="1"/>
    <col min="3" max="3" width="8.875" bestFit="1" customWidth="1"/>
    <col min="4" max="4" width="12.5" bestFit="1" customWidth="1"/>
    <col min="5" max="5" width="20.75" bestFit="1" customWidth="1"/>
    <col min="6" max="6" width="26" bestFit="1" customWidth="1"/>
    <col min="7" max="7" width="9.875" bestFit="1" customWidth="1"/>
    <col min="8" max="8" width="19.5" bestFit="1" customWidth="1"/>
    <col min="9" max="9" width="13.75" bestFit="1" customWidth="1"/>
    <col min="10" max="10" width="8.25" bestFit="1" customWidth="1"/>
    <col min="11" max="11" width="27.875" style="55" bestFit="1" customWidth="1"/>
    <col min="12" max="12" width="18" bestFit="1" customWidth="1"/>
    <col min="13" max="13" width="22.5" bestFit="1" customWidth="1"/>
    <col min="14" max="14" width="18" bestFit="1" customWidth="1"/>
    <col min="15" max="15" width="22.5" bestFit="1" customWidth="1"/>
    <col min="16" max="16" width="18" bestFit="1" customWidth="1"/>
    <col min="17" max="17" width="35.75" style="55" bestFit="1" customWidth="1"/>
    <col min="18" max="18" width="11.875" bestFit="1" customWidth="1"/>
    <col min="19" max="19" width="30.375" bestFit="1" customWidth="1"/>
    <col min="20" max="21" width="11.875" bestFit="1" customWidth="1"/>
    <col min="22" max="22" width="15.75" bestFit="1" customWidth="1"/>
    <col min="23" max="23" width="11.875" bestFit="1" customWidth="1"/>
    <col min="24" max="24" width="8.25" bestFit="1" customWidth="1"/>
    <col min="25" max="25" width="22.625" bestFit="1" customWidth="1"/>
    <col min="26" max="26" width="22.625" customWidth="1"/>
    <col min="27" max="27" width="26.125" bestFit="1" customWidth="1"/>
    <col min="28" max="28" width="29.375" bestFit="1" customWidth="1"/>
    <col min="29" max="29" width="18.75" bestFit="1" customWidth="1"/>
    <col min="30" max="30" width="21.25" bestFit="1" customWidth="1"/>
    <col min="31" max="31" width="22.875" bestFit="1" customWidth="1"/>
    <col min="32" max="32" width="13.375" bestFit="1" customWidth="1"/>
    <col min="33" max="33" width="13.25" bestFit="1" customWidth="1"/>
    <col min="34" max="34" width="11.875" bestFit="1" customWidth="1"/>
  </cols>
  <sheetData>
    <row r="1" spans="1:34" s="51" customFormat="1" ht="16.5" thickBot="1">
      <c r="A1" s="51" t="s">
        <v>0</v>
      </c>
      <c r="B1" s="51" t="s">
        <v>14</v>
      </c>
      <c r="C1" s="51" t="s">
        <v>1</v>
      </c>
      <c r="D1" s="51" t="s">
        <v>190</v>
      </c>
      <c r="E1" s="51" t="s">
        <v>2</v>
      </c>
      <c r="F1" s="51" t="s">
        <v>3</v>
      </c>
      <c r="G1" s="51" t="s">
        <v>4</v>
      </c>
      <c r="H1" s="51" t="s">
        <v>13</v>
      </c>
      <c r="I1" s="51" t="s">
        <v>5</v>
      </c>
      <c r="J1" s="51" t="s">
        <v>6</v>
      </c>
      <c r="K1" s="56" t="s">
        <v>19</v>
      </c>
      <c r="L1" s="51" t="s">
        <v>126</v>
      </c>
      <c r="M1" s="51" t="s">
        <v>18</v>
      </c>
      <c r="N1" s="51" t="s">
        <v>127</v>
      </c>
      <c r="O1" s="51" t="s">
        <v>161</v>
      </c>
      <c r="P1" s="51" t="s">
        <v>160</v>
      </c>
      <c r="Q1" s="56" t="s">
        <v>162</v>
      </c>
      <c r="R1" s="51" t="s">
        <v>165</v>
      </c>
      <c r="S1" s="51" t="s">
        <v>163</v>
      </c>
      <c r="T1" s="51" t="s">
        <v>179</v>
      </c>
      <c r="U1" s="51" t="s">
        <v>7</v>
      </c>
      <c r="V1" s="51" t="s">
        <v>8</v>
      </c>
      <c r="W1" s="51" t="s">
        <v>9</v>
      </c>
      <c r="X1" s="51" t="s">
        <v>6</v>
      </c>
      <c r="Y1" s="51" t="s">
        <v>10</v>
      </c>
      <c r="AA1" s="51" t="s">
        <v>183</v>
      </c>
      <c r="AB1" s="51" t="s">
        <v>141</v>
      </c>
      <c r="AC1" s="51" t="s">
        <v>78</v>
      </c>
      <c r="AD1" s="51" t="s">
        <v>182</v>
      </c>
      <c r="AE1" s="51" t="s">
        <v>142</v>
      </c>
      <c r="AF1" s="51" t="s">
        <v>11</v>
      </c>
      <c r="AG1" s="51" t="s">
        <v>164</v>
      </c>
      <c r="AH1" s="51" t="s">
        <v>59</v>
      </c>
    </row>
    <row r="3" spans="1:34" s="51" customFormat="1" ht="16.5" thickBot="1">
      <c r="A3" s="51">
        <v>350</v>
      </c>
      <c r="B3" s="51">
        <v>350</v>
      </c>
      <c r="C3" s="51">
        <v>10</v>
      </c>
      <c r="D3" s="51">
        <f>A3/C3</f>
        <v>35</v>
      </c>
      <c r="E3" s="51">
        <v>1</v>
      </c>
      <c r="F3" s="51">
        <v>2</v>
      </c>
      <c r="G3" s="51" t="s">
        <v>15</v>
      </c>
      <c r="H3" s="51">
        <v>0</v>
      </c>
      <c r="I3" s="51" t="s">
        <v>83</v>
      </c>
      <c r="J3" s="51">
        <v>7.0000000000000007E-2</v>
      </c>
      <c r="K3" s="56">
        <v>3.1373399999999997E-4</v>
      </c>
      <c r="L3" s="51">
        <f>3.03613*10^-8</f>
        <v>3.0361299999999999E-8</v>
      </c>
      <c r="M3" s="51">
        <v>1.22747E-2</v>
      </c>
      <c r="N3" s="51">
        <f>3.49706*10^-8</f>
        <v>3.4970600000000001E-8</v>
      </c>
      <c r="O3" s="51">
        <v>1.22747E-2</v>
      </c>
      <c r="P3" s="51">
        <v>3.4970600000000001E-8</v>
      </c>
      <c r="Q3" s="56">
        <f>SQRT(L3^2+N3^2+P3^2)/L3</f>
        <v>1.9113752831920681</v>
      </c>
      <c r="R3" s="51">
        <f>LOG10(Q3)</f>
        <v>0.28134596566211695</v>
      </c>
      <c r="S3" s="51">
        <f>SQRT(L3^2+N3^2+P3^2)/N3</f>
        <v>1.6594464603289432</v>
      </c>
      <c r="T3" s="51">
        <f>M3/K3</f>
        <v>39.124544996716963</v>
      </c>
      <c r="U3" s="51">
        <v>5.7142857142857144E-9</v>
      </c>
      <c r="V3" s="51">
        <v>1000</v>
      </c>
      <c r="W3" s="51">
        <v>1.3605442176870701E-12</v>
      </c>
      <c r="X3" s="51">
        <v>7.0000000000000007E-2</v>
      </c>
      <c r="Y3" s="51">
        <f>((U3^2)*K3*1000)/(0.9869*(10^-12))</f>
        <v>1.0380358202658914E-5</v>
      </c>
      <c r="AA3" s="51">
        <f>9.869*10^-16*Y3</f>
        <v>1.0244375510204081E-20</v>
      </c>
      <c r="AB3" s="51">
        <f>LOG10(9.869*10^-16*Y3)</f>
        <v>-19.989514510736544</v>
      </c>
      <c r="AC3" s="51">
        <f t="shared" ref="AC3:AC12" si="0">((U3^2)*M3*1000)/(0.9869*(10^-12))</f>
        <v>4.0612679158196874E-4</v>
      </c>
      <c r="AD3" s="51">
        <f>9.869*10^-16*AC3</f>
        <v>4.0080653061224492E-19</v>
      </c>
      <c r="AE3" s="51">
        <f>LOG10(9.869*10^-16*AC3)</f>
        <v>-18.397065210829048</v>
      </c>
      <c r="AF3" s="51">
        <v>5.0000000000000001E-4</v>
      </c>
      <c r="AG3" s="51">
        <f>(AF3*U3^2*V3/W3^2)/10^6</f>
        <v>8.8200000000000625</v>
      </c>
      <c r="AH3" s="51">
        <f>AC3/Y3</f>
        <v>39.124544996716963</v>
      </c>
    </row>
    <row r="4" spans="1:34">
      <c r="A4">
        <v>350</v>
      </c>
      <c r="B4">
        <v>350</v>
      </c>
      <c r="C4">
        <v>10</v>
      </c>
      <c r="D4">
        <f t="shared" ref="D4:D15" si="1">A4/C4</f>
        <v>35</v>
      </c>
      <c r="E4">
        <v>1</v>
      </c>
      <c r="F4">
        <v>2</v>
      </c>
      <c r="G4" t="s">
        <v>15</v>
      </c>
      <c r="H4">
        <v>0</v>
      </c>
      <c r="I4" t="s">
        <v>83</v>
      </c>
      <c r="J4">
        <v>7.0000000000000007E-2</v>
      </c>
      <c r="K4">
        <v>3.1373399999999997E-4</v>
      </c>
      <c r="L4">
        <f>3.03613*10^-8</f>
        <v>3.0361299999999999E-8</v>
      </c>
      <c r="M4">
        <v>1.22747E-2</v>
      </c>
      <c r="N4">
        <f>3.49706*10^-8</f>
        <v>3.4970600000000001E-8</v>
      </c>
      <c r="O4">
        <v>1.22747E-2</v>
      </c>
      <c r="P4">
        <v>3.4970600000000001E-8</v>
      </c>
      <c r="Q4" s="55">
        <f t="shared" ref="Q4:Q12" si="2">SQRT(L4^2+N4^2+P4^2)/L4</f>
        <v>1.9113752831920681</v>
      </c>
      <c r="R4">
        <f t="shared" ref="R4:R12" si="3">LOG10(Q4)</f>
        <v>0.28134596566211695</v>
      </c>
      <c r="S4">
        <f t="shared" ref="S4:S12" si="4">SQRT(L4^2+N4^2+P4^2)/N4</f>
        <v>1.6594464603289432</v>
      </c>
      <c r="T4">
        <f t="shared" ref="T4:T12" si="5">M4/K4</f>
        <v>39.124544996716963</v>
      </c>
      <c r="U4">
        <v>5.7142857142857144E-9</v>
      </c>
      <c r="V4">
        <v>1000</v>
      </c>
      <c r="W4">
        <v>1.3605442176870701E-12</v>
      </c>
      <c r="X4">
        <v>7.0000000000000007E-2</v>
      </c>
      <c r="Y4">
        <f t="shared" ref="Y4:Y12" si="6">((U4^2)*K4*1000)/(0.9869*(10^-12))</f>
        <v>1.0380358202658914E-5</v>
      </c>
      <c r="AA4">
        <f t="shared" ref="AA4:AA12" si="7">9.869*10^-16*Y4</f>
        <v>1.0244375510204081E-20</v>
      </c>
      <c r="AB4">
        <f>LOG10(9.869*10^-16*Y4)</f>
        <v>-19.989514510736544</v>
      </c>
      <c r="AC4">
        <f t="shared" si="0"/>
        <v>4.0612679158196874E-4</v>
      </c>
      <c r="AD4">
        <f t="shared" ref="AD4:AD12" si="8">9.869*10^-16*AC4</f>
        <v>4.0080653061224492E-19</v>
      </c>
      <c r="AE4">
        <f>LOG10(9.869*10^-16*AC4)</f>
        <v>-18.397065210829048</v>
      </c>
      <c r="AF4">
        <v>5.0000000000000001E-4</v>
      </c>
      <c r="AG4">
        <f t="shared" ref="AG4:AG12" si="9">(AF4*U4^2*V4/W4^2)/10^6</f>
        <v>8.8200000000000625</v>
      </c>
      <c r="AH4">
        <f t="shared" ref="AH4:AH12" si="10">AC4/Y4</f>
        <v>39.124544996716963</v>
      </c>
    </row>
    <row r="5" spans="1:34">
      <c r="A5">
        <v>350</v>
      </c>
      <c r="B5">
        <v>350</v>
      </c>
      <c r="C5">
        <v>10</v>
      </c>
      <c r="D5">
        <f t="shared" si="1"/>
        <v>35</v>
      </c>
      <c r="E5">
        <v>1</v>
      </c>
      <c r="F5">
        <v>2</v>
      </c>
      <c r="G5" t="s">
        <v>20</v>
      </c>
      <c r="H5">
        <v>2</v>
      </c>
      <c r="I5" t="s">
        <v>84</v>
      </c>
      <c r="J5">
        <v>0.18099999999999999</v>
      </c>
      <c r="K5">
        <v>3.9536399999999996E-3</v>
      </c>
      <c r="L5">
        <f>3.38883*10^-7</f>
        <v>3.38883E-7</v>
      </c>
      <c r="M5">
        <v>0.15341299999999999</v>
      </c>
      <c r="N5">
        <f>4.35421*10^-7</f>
        <v>4.3542099999999999E-7</v>
      </c>
      <c r="O5">
        <v>0.15341299999999999</v>
      </c>
      <c r="P5">
        <v>4.3542099999999999E-7</v>
      </c>
      <c r="Q5" s="55">
        <f t="shared" si="2"/>
        <v>2.0740751907765609</v>
      </c>
      <c r="R5">
        <f t="shared" si="3"/>
        <v>0.31682449667569756</v>
      </c>
      <c r="S5">
        <f t="shared" si="4"/>
        <v>1.6142281214639009</v>
      </c>
      <c r="T5">
        <f t="shared" si="5"/>
        <v>38.802976497607268</v>
      </c>
      <c r="U5">
        <v>5.7142857142857144E-9</v>
      </c>
      <c r="V5">
        <v>1000</v>
      </c>
      <c r="W5">
        <v>1.3605442176870747E-12</v>
      </c>
      <c r="X5">
        <v>0.18099999999999999</v>
      </c>
      <c r="Y5">
        <f t="shared" si="6"/>
        <v>1.3081208732353009E-4</v>
      </c>
      <c r="AA5">
        <f t="shared" si="7"/>
        <v>1.2909844897959183E-19</v>
      </c>
      <c r="AB5">
        <f t="shared" ref="AB5:AB12" si="11">LOG10(9.869*10^-16*Y5)</f>
        <v>-18.889078975422589</v>
      </c>
      <c r="AC5">
        <f t="shared" si="0"/>
        <v>5.0758983500178876E-3</v>
      </c>
      <c r="AD5">
        <f t="shared" si="8"/>
        <v>5.0094040816326531E-18</v>
      </c>
      <c r="AE5">
        <f t="shared" ref="AE5:AE12" si="12">LOG10(9.869*10^-16*AC5)</f>
        <v>-17.300213934701947</v>
      </c>
      <c r="AF5">
        <v>5.0000000000000001E-4</v>
      </c>
      <c r="AG5">
        <f t="shared" si="9"/>
        <v>8.8200000000000021</v>
      </c>
      <c r="AH5">
        <f t="shared" si="10"/>
        <v>38.802976497607268</v>
      </c>
    </row>
    <row r="6" spans="1:34">
      <c r="A6">
        <v>350</v>
      </c>
      <c r="B6">
        <v>350</v>
      </c>
      <c r="C6">
        <v>10</v>
      </c>
      <c r="D6">
        <f t="shared" si="1"/>
        <v>35</v>
      </c>
      <c r="E6">
        <v>1</v>
      </c>
      <c r="F6">
        <v>2</v>
      </c>
      <c r="G6" t="s">
        <v>20</v>
      </c>
      <c r="H6">
        <v>4</v>
      </c>
      <c r="I6" t="s">
        <v>85</v>
      </c>
      <c r="J6">
        <v>0.26900000000000002</v>
      </c>
      <c r="K6">
        <v>1.6644699999999998E-2</v>
      </c>
      <c r="L6">
        <f>1.28036*10^-6</f>
        <v>1.2803599999999998E-6</v>
      </c>
      <c r="M6">
        <v>0.59258599999999995</v>
      </c>
      <c r="N6">
        <f>1.67555*10^-6</f>
        <v>1.67555E-6</v>
      </c>
      <c r="O6">
        <v>0.59258599999999995</v>
      </c>
      <c r="P6">
        <v>1.67555E-6</v>
      </c>
      <c r="Q6" s="55">
        <f t="shared" si="2"/>
        <v>2.1036059035979435</v>
      </c>
      <c r="R6">
        <f t="shared" si="3"/>
        <v>0.32296438095507851</v>
      </c>
      <c r="S6">
        <f t="shared" si="4"/>
        <v>1.6074559725049464</v>
      </c>
      <c r="T6">
        <f t="shared" si="5"/>
        <v>35.602083546113775</v>
      </c>
      <c r="U6">
        <v>5.7142857142857144E-9</v>
      </c>
      <c r="V6">
        <v>1000</v>
      </c>
      <c r="W6">
        <v>1.3605442176870747E-12</v>
      </c>
      <c r="X6">
        <v>0.26900000000000002</v>
      </c>
      <c r="Y6">
        <f t="shared" si="6"/>
        <v>5.5071477167217072E-4</v>
      </c>
      <c r="AA6">
        <f t="shared" si="7"/>
        <v>5.435004081632652E-19</v>
      </c>
      <c r="AB6">
        <f t="shared" si="11"/>
        <v>-18.264800125426838</v>
      </c>
      <c r="AC6">
        <f t="shared" si="0"/>
        <v>1.9606593311151596E-2</v>
      </c>
      <c r="AD6">
        <f t="shared" si="8"/>
        <v>1.9349746938775508E-17</v>
      </c>
      <c r="AE6">
        <f t="shared" si="12"/>
        <v>-16.713324710428637</v>
      </c>
      <c r="AF6">
        <v>5.0000000000000001E-4</v>
      </c>
      <c r="AG6">
        <f t="shared" si="9"/>
        <v>8.8200000000000021</v>
      </c>
      <c r="AH6">
        <f t="shared" si="10"/>
        <v>35.602083546113782</v>
      </c>
    </row>
    <row r="7" spans="1:34">
      <c r="A7">
        <v>350</v>
      </c>
      <c r="B7">
        <v>350</v>
      </c>
      <c r="C7">
        <v>10</v>
      </c>
      <c r="D7">
        <f t="shared" si="1"/>
        <v>35</v>
      </c>
      <c r="E7">
        <v>1</v>
      </c>
      <c r="F7">
        <v>2</v>
      </c>
      <c r="G7" t="s">
        <v>20</v>
      </c>
      <c r="H7">
        <v>6</v>
      </c>
      <c r="I7" t="s">
        <v>86</v>
      </c>
      <c r="J7">
        <v>0.34100000000000003</v>
      </c>
      <c r="K7">
        <v>4.5357300000000003E-2</v>
      </c>
      <c r="L7">
        <f>3.16446*10^-6</f>
        <v>3.1644600000000001E-6</v>
      </c>
      <c r="M7">
        <v>1.4505999999999999</v>
      </c>
      <c r="N7">
        <f>4.08618*10^-6</f>
        <v>4.0861799999999994E-6</v>
      </c>
      <c r="O7">
        <v>1.4505999999999999</v>
      </c>
      <c r="P7">
        <v>4.0861799999999994E-6</v>
      </c>
      <c r="Q7" s="55">
        <f t="shared" si="2"/>
        <v>2.082010819449073</v>
      </c>
      <c r="R7">
        <f t="shared" si="3"/>
        <v>0.31848298205003156</v>
      </c>
      <c r="S7">
        <f t="shared" si="4"/>
        <v>1.6123714466112151</v>
      </c>
      <c r="T7">
        <f t="shared" si="5"/>
        <v>31.981621480996438</v>
      </c>
      <c r="U7">
        <v>5.7142857142857144E-9</v>
      </c>
      <c r="V7">
        <v>1000</v>
      </c>
      <c r="W7">
        <v>1.3605442176870747E-12</v>
      </c>
      <c r="X7">
        <v>0.34100000000000003</v>
      </c>
      <c r="Y7">
        <f t="shared" si="6"/>
        <v>1.500714047905108E-3</v>
      </c>
      <c r="AA7">
        <f t="shared" si="7"/>
        <v>1.481054693877551E-18</v>
      </c>
      <c r="AB7">
        <f t="shared" si="11"/>
        <v>-17.829428903119158</v>
      </c>
      <c r="AC7">
        <f t="shared" si="0"/>
        <v>4.7995268631315126E-2</v>
      </c>
      <c r="AD7">
        <f t="shared" si="8"/>
        <v>4.7366530612244892E-17</v>
      </c>
      <c r="AE7">
        <f t="shared" si="12"/>
        <v>-16.324528424246861</v>
      </c>
      <c r="AF7">
        <v>5.0000000000000001E-4</v>
      </c>
      <c r="AG7">
        <f t="shared" si="9"/>
        <v>8.8200000000000021</v>
      </c>
      <c r="AH7">
        <f t="shared" si="10"/>
        <v>31.981621480996441</v>
      </c>
    </row>
    <row r="8" spans="1:34">
      <c r="A8">
        <v>350</v>
      </c>
      <c r="B8">
        <v>350</v>
      </c>
      <c r="C8">
        <v>10</v>
      </c>
      <c r="D8">
        <f t="shared" si="1"/>
        <v>35</v>
      </c>
      <c r="E8">
        <v>1</v>
      </c>
      <c r="F8">
        <v>2</v>
      </c>
      <c r="G8" t="s">
        <v>20</v>
      </c>
      <c r="H8">
        <v>8</v>
      </c>
      <c r="I8" t="s">
        <v>87</v>
      </c>
      <c r="J8">
        <v>0.40100000000000002</v>
      </c>
      <c r="K8">
        <v>9.8110600000000006E-2</v>
      </c>
      <c r="L8">
        <f>6.26238*10^-6</f>
        <v>6.2623799999999998E-6</v>
      </c>
      <c r="M8">
        <v>2.8128799999999998</v>
      </c>
      <c r="N8">
        <f>7.89396*10^-6</f>
        <v>7.8939599999999999E-6</v>
      </c>
      <c r="O8">
        <v>2.8128799999999998</v>
      </c>
      <c r="P8">
        <v>7.8939599999999999E-6</v>
      </c>
      <c r="Q8" s="55">
        <f t="shared" si="2"/>
        <v>2.0439925854922039</v>
      </c>
      <c r="R8">
        <f t="shared" si="3"/>
        <v>0.31047931607830026</v>
      </c>
      <c r="S8">
        <f t="shared" si="4"/>
        <v>1.6215256078742062</v>
      </c>
      <c r="T8">
        <f t="shared" si="5"/>
        <v>28.670500435223101</v>
      </c>
      <c r="U8">
        <v>5.7142857142857144E-9</v>
      </c>
      <c r="V8">
        <v>1000</v>
      </c>
      <c r="W8">
        <v>1.3605442176870747E-12</v>
      </c>
      <c r="X8">
        <v>0.40100000000000002</v>
      </c>
      <c r="Y8">
        <f t="shared" si="6"/>
        <v>3.2461358076516659E-3</v>
      </c>
      <c r="AA8">
        <f t="shared" si="7"/>
        <v>3.2036114285714286E-18</v>
      </c>
      <c r="AB8">
        <f t="shared" si="11"/>
        <v>-17.494360165702997</v>
      </c>
      <c r="AC8">
        <f t="shared" si="0"/>
        <v>9.3068338086070387E-2</v>
      </c>
      <c r="AD8">
        <f t="shared" si="8"/>
        <v>9.1849142857142857E-17</v>
      </c>
      <c r="AE8">
        <f t="shared" si="12"/>
        <v>-16.036924892206841</v>
      </c>
      <c r="AF8">
        <v>5.0000000000000001E-4</v>
      </c>
      <c r="AG8">
        <f t="shared" si="9"/>
        <v>8.8200000000000021</v>
      </c>
      <c r="AH8">
        <f t="shared" si="10"/>
        <v>28.670500435223104</v>
      </c>
    </row>
    <row r="9" spans="1:34">
      <c r="A9">
        <v>350</v>
      </c>
      <c r="B9">
        <v>350</v>
      </c>
      <c r="C9">
        <v>10</v>
      </c>
      <c r="D9">
        <f t="shared" si="1"/>
        <v>35</v>
      </c>
      <c r="E9">
        <v>1</v>
      </c>
      <c r="F9">
        <v>2</v>
      </c>
      <c r="G9" t="s">
        <v>20</v>
      </c>
      <c r="H9">
        <v>12</v>
      </c>
      <c r="I9" t="s">
        <v>88</v>
      </c>
      <c r="J9">
        <v>0.496</v>
      </c>
      <c r="K9">
        <v>0.31220999999999999</v>
      </c>
      <c r="L9">
        <f>1.70296*10^-5</f>
        <v>1.70296E-5</v>
      </c>
      <c r="M9">
        <v>7.2903200000000004</v>
      </c>
      <c r="N9">
        <f>2.03073*10^-5</f>
        <v>2.0307300000000005E-5</v>
      </c>
      <c r="O9">
        <v>7.2903200000000004</v>
      </c>
      <c r="P9">
        <v>2.0307300000000005E-5</v>
      </c>
      <c r="Q9" s="55">
        <f t="shared" si="2"/>
        <v>1.9606052666577154</v>
      </c>
      <c r="R9">
        <f t="shared" si="3"/>
        <v>0.29239016492302283</v>
      </c>
      <c r="S9">
        <f t="shared" si="4"/>
        <v>1.6441537500836756</v>
      </c>
      <c r="T9">
        <f t="shared" si="5"/>
        <v>23.350693443515585</v>
      </c>
      <c r="U9">
        <v>5.7142857142857144E-9</v>
      </c>
      <c r="V9">
        <v>1000</v>
      </c>
      <c r="W9">
        <v>1.3605442176870747E-12</v>
      </c>
      <c r="X9">
        <v>0.496</v>
      </c>
      <c r="Y9">
        <f t="shared" si="6"/>
        <v>1.0329934385345992E-2</v>
      </c>
      <c r="AA9">
        <f t="shared" si="7"/>
        <v>1.0194612244897959E-17</v>
      </c>
      <c r="AB9">
        <f t="shared" si="11"/>
        <v>-16.991629288091204</v>
      </c>
      <c r="AC9">
        <f t="shared" si="0"/>
        <v>0.24121113112384485</v>
      </c>
      <c r="AD9">
        <f t="shared" si="8"/>
        <v>2.3805126530612247E-16</v>
      </c>
      <c r="AE9">
        <f t="shared" si="12"/>
        <v>-15.623329505792048</v>
      </c>
      <c r="AF9">
        <v>5.0000000000000001E-4</v>
      </c>
      <c r="AG9">
        <f t="shared" si="9"/>
        <v>8.8200000000000021</v>
      </c>
      <c r="AH9">
        <f t="shared" si="10"/>
        <v>23.350693443515585</v>
      </c>
    </row>
    <row r="10" spans="1:34">
      <c r="A10">
        <v>350</v>
      </c>
      <c r="B10">
        <v>350</v>
      </c>
      <c r="C10">
        <v>10</v>
      </c>
      <c r="D10">
        <f t="shared" si="1"/>
        <v>35</v>
      </c>
      <c r="E10">
        <v>1</v>
      </c>
      <c r="F10">
        <v>2</v>
      </c>
      <c r="G10" t="s">
        <v>20</v>
      </c>
      <c r="H10">
        <v>16</v>
      </c>
      <c r="I10" t="s">
        <v>89</v>
      </c>
      <c r="J10">
        <v>0.56599999999999995</v>
      </c>
      <c r="K10" s="55">
        <v>0.73976500000000001</v>
      </c>
      <c r="L10">
        <f>3.52269*10^-5</f>
        <v>3.52269E-5</v>
      </c>
      <c r="M10">
        <v>14.3904</v>
      </c>
      <c r="N10">
        <f>3.9789*10^-5</f>
        <v>3.9789000000000001E-5</v>
      </c>
      <c r="O10">
        <v>14.3904</v>
      </c>
      <c r="P10">
        <v>3.9789000000000001E-5</v>
      </c>
      <c r="Q10" s="55">
        <f t="shared" si="2"/>
        <v>1.8845604953702433</v>
      </c>
      <c r="R10">
        <f t="shared" si="3"/>
        <v>0.27521008308771316</v>
      </c>
      <c r="S10">
        <f t="shared" si="4"/>
        <v>1.6684818445891585</v>
      </c>
      <c r="T10">
        <f t="shared" si="5"/>
        <v>19.452664021682562</v>
      </c>
      <c r="U10">
        <v>5.7142857142857144E-9</v>
      </c>
      <c r="V10">
        <v>1000</v>
      </c>
      <c r="W10">
        <v>1.3605442176870747E-12</v>
      </c>
      <c r="X10">
        <v>0.56599999999999995</v>
      </c>
      <c r="Y10">
        <f t="shared" si="6"/>
        <v>2.4476230455704424E-2</v>
      </c>
      <c r="AA10">
        <f t="shared" si="7"/>
        <v>2.4155591836734693E-17</v>
      </c>
      <c r="AB10">
        <f t="shared" si="11"/>
        <v>-16.616982317387592</v>
      </c>
      <c r="AC10">
        <f t="shared" si="0"/>
        <v>0.4761278875720924</v>
      </c>
      <c r="AD10">
        <f t="shared" si="8"/>
        <v>4.6989061224489798E-16</v>
      </c>
      <c r="AE10">
        <f t="shared" si="12"/>
        <v>-15.328003231484741</v>
      </c>
      <c r="AF10">
        <v>5.0000000000000001E-4</v>
      </c>
      <c r="AG10">
        <f t="shared" si="9"/>
        <v>8.8200000000000021</v>
      </c>
      <c r="AH10">
        <f t="shared" si="10"/>
        <v>19.452664021682562</v>
      </c>
    </row>
    <row r="11" spans="1:34">
      <c r="A11">
        <v>350</v>
      </c>
      <c r="B11">
        <v>350</v>
      </c>
      <c r="C11">
        <v>10</v>
      </c>
      <c r="D11">
        <f t="shared" si="1"/>
        <v>35</v>
      </c>
      <c r="E11">
        <v>1</v>
      </c>
      <c r="F11">
        <v>2</v>
      </c>
      <c r="G11" t="s">
        <v>20</v>
      </c>
      <c r="H11">
        <v>22</v>
      </c>
      <c r="I11" t="s">
        <v>91</v>
      </c>
      <c r="J11">
        <v>0.64400000000000002</v>
      </c>
      <c r="K11" s="55">
        <v>1.9807600000000001</v>
      </c>
      <c r="L11">
        <f>7.92302*10^-5</f>
        <v>7.9230200000000013E-5</v>
      </c>
      <c r="M11">
        <v>30.4938</v>
      </c>
      <c r="N11">
        <f>8.33924*10^-5</f>
        <v>8.3392400000000005E-5</v>
      </c>
      <c r="O11">
        <v>30.4938</v>
      </c>
      <c r="P11">
        <v>8.3392400000000005E-5</v>
      </c>
      <c r="Q11" s="55">
        <f t="shared" si="2"/>
        <v>1.7932237526435097</v>
      </c>
      <c r="R11">
        <f t="shared" si="3"/>
        <v>0.25363448280009332</v>
      </c>
      <c r="S11">
        <f t="shared" si="4"/>
        <v>1.703722120561296</v>
      </c>
      <c r="T11">
        <f t="shared" si="5"/>
        <v>15.394999899028655</v>
      </c>
      <c r="U11">
        <v>5.7142857142857144E-9</v>
      </c>
      <c r="V11">
        <v>1000</v>
      </c>
      <c r="W11">
        <v>1.3605442176870747E-12</v>
      </c>
      <c r="X11">
        <v>0.64400000000000002</v>
      </c>
      <c r="Y11">
        <f t="shared" si="6"/>
        <v>6.5536404449306335E-2</v>
      </c>
      <c r="AA11">
        <f t="shared" si="7"/>
        <v>6.4677877551020415E-17</v>
      </c>
      <c r="AB11">
        <f t="shared" si="11"/>
        <v>-16.189244240203546</v>
      </c>
      <c r="AC11">
        <f t="shared" si="0"/>
        <v>1.0089329398797722</v>
      </c>
      <c r="AD11">
        <f t="shared" si="8"/>
        <v>9.9571591836734712E-16</v>
      </c>
      <c r="AE11">
        <f t="shared" si="12"/>
        <v>-15.001864549812741</v>
      </c>
      <c r="AF11">
        <v>5.0000000000000001E-4</v>
      </c>
      <c r="AG11">
        <f t="shared" si="9"/>
        <v>8.8200000000000021</v>
      </c>
      <c r="AH11">
        <f t="shared" si="10"/>
        <v>15.394999899028656</v>
      </c>
    </row>
    <row r="12" spans="1:34" s="51" customFormat="1" ht="16.5" thickBot="1">
      <c r="A12" s="51">
        <v>350</v>
      </c>
      <c r="B12" s="51">
        <v>350</v>
      </c>
      <c r="C12" s="51">
        <v>10</v>
      </c>
      <c r="D12" s="51">
        <f t="shared" si="1"/>
        <v>35</v>
      </c>
      <c r="E12" s="51">
        <v>1</v>
      </c>
      <c r="F12" s="51">
        <v>2</v>
      </c>
      <c r="G12" s="51" t="s">
        <v>20</v>
      </c>
      <c r="H12" s="51">
        <v>30</v>
      </c>
      <c r="I12" s="51" t="s">
        <v>90</v>
      </c>
      <c r="J12" s="51">
        <v>0.71599999999999997</v>
      </c>
      <c r="K12" s="56">
        <v>5.2793799999999997</v>
      </c>
      <c r="L12" s="51">
        <v>1.74045E-4</v>
      </c>
      <c r="M12" s="51">
        <v>63.089100000000002</v>
      </c>
      <c r="N12" s="51">
        <v>1.7005199999999999E-4</v>
      </c>
      <c r="O12" s="51">
        <v>63.089100000000002</v>
      </c>
      <c r="P12" s="51">
        <v>1.7005199999999999E-4</v>
      </c>
      <c r="Q12" s="56">
        <f t="shared" si="2"/>
        <v>1.7056621389267095</v>
      </c>
      <c r="R12" s="51">
        <f t="shared" si="3"/>
        <v>0.23189300940405413</v>
      </c>
      <c r="S12" s="51">
        <f t="shared" si="4"/>
        <v>1.7457128817626324</v>
      </c>
      <c r="T12" s="51">
        <f t="shared" si="5"/>
        <v>11.950096412836357</v>
      </c>
      <c r="U12" s="51">
        <v>5.7142857142857144E-9</v>
      </c>
      <c r="V12" s="51">
        <v>1000</v>
      </c>
      <c r="W12" s="51">
        <v>1.3605442176870747E-12</v>
      </c>
      <c r="X12" s="51">
        <v>0.71599999999999997</v>
      </c>
      <c r="Y12" s="51">
        <f t="shared" si="6"/>
        <v>0.17467617627657003</v>
      </c>
      <c r="AA12" s="51">
        <f t="shared" si="7"/>
        <v>1.7238791836734695E-16</v>
      </c>
      <c r="AB12" s="51">
        <f t="shared" si="11"/>
        <v>-15.763493174533663</v>
      </c>
      <c r="AC12" s="51">
        <f t="shared" si="0"/>
        <v>2.0873971475306101</v>
      </c>
      <c r="AD12" s="51">
        <f t="shared" si="8"/>
        <v>2.0600522448979589E-15</v>
      </c>
      <c r="AE12" s="51">
        <f t="shared" si="12"/>
        <v>-14.686121765367171</v>
      </c>
      <c r="AF12" s="51">
        <v>5.0000000000000001E-4</v>
      </c>
      <c r="AG12" s="51">
        <f t="shared" si="9"/>
        <v>8.8200000000000021</v>
      </c>
      <c r="AH12" s="51">
        <f t="shared" si="10"/>
        <v>11.950096412836354</v>
      </c>
    </row>
    <row r="14" spans="1:34">
      <c r="A14">
        <v>250</v>
      </c>
      <c r="B14">
        <v>250</v>
      </c>
      <c r="C14">
        <v>10</v>
      </c>
      <c r="D14">
        <f t="shared" si="1"/>
        <v>25</v>
      </c>
      <c r="E14">
        <v>1</v>
      </c>
      <c r="F14">
        <v>2</v>
      </c>
      <c r="G14" t="s">
        <v>191</v>
      </c>
      <c r="H14">
        <v>0</v>
      </c>
      <c r="I14" t="s">
        <v>192</v>
      </c>
      <c r="J14">
        <v>7.3999999999999996E-2</v>
      </c>
      <c r="K14" s="55">
        <v>5.6464700000000004E-4</v>
      </c>
      <c r="L14" s="57">
        <v>5.4643199999999999E-8</v>
      </c>
      <c r="M14">
        <v>1.30156E-2</v>
      </c>
      <c r="N14" s="54">
        <v>5.1858399999999998E-6</v>
      </c>
      <c r="O14">
        <f t="shared" ref="O14:P18" si="13">M14</f>
        <v>1.30156E-2</v>
      </c>
      <c r="P14" s="54">
        <f t="shared" si="13"/>
        <v>5.1858399999999998E-6</v>
      </c>
      <c r="Q14" s="55">
        <f>SQRT(L14^2+N14^2+P14^2)/L14</f>
        <v>134.21777686575234</v>
      </c>
      <c r="R14">
        <f>LOG10(Q14)</f>
        <v>2.1278100410446283</v>
      </c>
      <c r="S14">
        <f>SQRT(L14^2+N14^2+P14^2)/N14</f>
        <v>1.4142528162902595</v>
      </c>
      <c r="T14">
        <f>M14/K14</f>
        <v>23.050861865909141</v>
      </c>
      <c r="U14">
        <v>5.7142857142857144E-9</v>
      </c>
      <c r="V14">
        <v>1000</v>
      </c>
      <c r="W14">
        <v>1.3605442176870701E-12</v>
      </c>
      <c r="X14">
        <f>J14</f>
        <v>7.3999999999999996E-2</v>
      </c>
      <c r="Y14">
        <f>((U14^2)*K14*1000)/(0.9869*(10^-12))</f>
        <v>1.8682189746909003E-5</v>
      </c>
      <c r="AA14">
        <f>9.869*10^-16*Y14</f>
        <v>1.8437453061224494E-20</v>
      </c>
      <c r="AB14">
        <f>LOG10(9.869*10^-16*Y14)</f>
        <v>-19.73429907231991</v>
      </c>
      <c r="AC14">
        <f>((U14^2)*M14*1000)/(0.9869*(10^-12))</f>
        <v>4.3064057520870341E-4</v>
      </c>
      <c r="AD14">
        <f>9.869*10^-16*AC14</f>
        <v>4.2499918367346938E-19</v>
      </c>
      <c r="AE14">
        <f>LOG10(9.869*10^-16*AC14)</f>
        <v>-18.371611904129566</v>
      </c>
      <c r="AF14">
        <v>5.0000000000000001E-4</v>
      </c>
      <c r="AG14">
        <f>(AF14*U14^2*V14/W14^2)/10^6</f>
        <v>8.8200000000000625</v>
      </c>
    </row>
    <row r="15" spans="1:34">
      <c r="A15">
        <v>250</v>
      </c>
      <c r="B15">
        <v>250</v>
      </c>
      <c r="C15">
        <v>10</v>
      </c>
      <c r="D15">
        <f t="shared" si="1"/>
        <v>25</v>
      </c>
      <c r="E15">
        <v>1</v>
      </c>
      <c r="F15">
        <v>2</v>
      </c>
      <c r="G15" t="s">
        <v>20</v>
      </c>
      <c r="H15">
        <v>4</v>
      </c>
      <c r="I15" t="s">
        <v>193</v>
      </c>
      <c r="J15">
        <v>0.27700000000000002</v>
      </c>
      <c r="K15" s="55">
        <v>2.8843500000000001E-2</v>
      </c>
      <c r="L15" s="54">
        <v>2.21873E-6</v>
      </c>
      <c r="M15">
        <v>0.61273500000000003</v>
      </c>
      <c r="N15" s="54">
        <v>2.4155099999999998E-6</v>
      </c>
      <c r="O15">
        <f t="shared" si="13"/>
        <v>0.61273500000000003</v>
      </c>
      <c r="P15" s="54">
        <f t="shared" si="13"/>
        <v>2.4155099999999998E-6</v>
      </c>
      <c r="Q15" s="55">
        <f t="shared" ref="Q15:Q30" si="14">SQRT(L15^2+N15^2+P15^2)/L15</f>
        <v>1.8358903762557264</v>
      </c>
      <c r="R15">
        <f t="shared" ref="R15:R30" si="15">LOG10(Q15)</f>
        <v>0.26384674527012719</v>
      </c>
      <c r="S15">
        <f t="shared" ref="S15:S30" si="16">SQRT(L15^2+N15^2+P15^2)/N15</f>
        <v>1.686329203567722</v>
      </c>
      <c r="T15">
        <f t="shared" ref="T15:T30" si="17">M15/K15</f>
        <v>21.243434395964428</v>
      </c>
      <c r="U15">
        <v>5.7142857142857144E-9</v>
      </c>
      <c r="V15">
        <v>1000</v>
      </c>
      <c r="W15">
        <v>1.3605442176870701E-12</v>
      </c>
      <c r="X15">
        <f t="shared" ref="X15:X30" si="18">J15</f>
        <v>0.27700000000000002</v>
      </c>
      <c r="Y15">
        <f t="shared" ref="Y15:Y30" si="19">((U15^2)*K15*1000)/(0.9869*(10^-12))</f>
        <v>9.5433029833678364E-4</v>
      </c>
      <c r="AA15">
        <f t="shared" ref="AA15:AA30" si="20">9.869*10^-16*Y15</f>
        <v>9.4182857142857163E-19</v>
      </c>
      <c r="AB15">
        <f t="shared" ref="AB15:AB30" si="21">LOG10(9.869*10^-16*Y15)</f>
        <v>-18.02602813888209</v>
      </c>
      <c r="AC15">
        <f t="shared" ref="AC15:AC30" si="22">((U15^2)*M15*1000)/(0.9869*(10^-12))</f>
        <v>2.0273253084798621E-2</v>
      </c>
      <c r="AD15">
        <f t="shared" ref="AD15:AD30" si="23">9.869*10^-16*AC15</f>
        <v>2.0007673469387758E-17</v>
      </c>
      <c r="AE15">
        <f t="shared" ref="AE15:AE30" si="24">LOG10(9.869*10^-16*AC15)</f>
        <v>-16.698803409022467</v>
      </c>
      <c r="AF15">
        <v>1.0004999999999999</v>
      </c>
      <c r="AG15">
        <f t="shared" ref="AG15:AG30" si="25">(AF15*U15^2*V15/W15^2)/10^6</f>
        <v>17648.820000000127</v>
      </c>
    </row>
    <row r="16" spans="1:34" s="4" customFormat="1">
      <c r="A16" s="4">
        <v>250</v>
      </c>
      <c r="B16" s="4">
        <v>250</v>
      </c>
      <c r="C16" s="4">
        <v>10</v>
      </c>
      <c r="D16" s="4">
        <f>A16/C16</f>
        <v>25</v>
      </c>
      <c r="E16" s="4">
        <v>1</v>
      </c>
      <c r="F16" s="4">
        <v>2</v>
      </c>
      <c r="G16" s="4" t="s">
        <v>20</v>
      </c>
      <c r="H16" s="4">
        <v>8</v>
      </c>
      <c r="I16" s="4" t="s">
        <v>194</v>
      </c>
      <c r="J16" s="4">
        <v>0.41199999999999998</v>
      </c>
      <c r="K16" s="55">
        <v>0.16710900000000001</v>
      </c>
      <c r="L16" s="53">
        <v>1.06665E-5</v>
      </c>
      <c r="M16" s="4">
        <v>2.9114499999999999</v>
      </c>
      <c r="N16" s="53">
        <v>1.1358100000000001E-5</v>
      </c>
      <c r="O16">
        <f t="shared" si="13"/>
        <v>2.9114499999999999</v>
      </c>
      <c r="P16" s="54">
        <f t="shared" si="13"/>
        <v>1.1358100000000001E-5</v>
      </c>
      <c r="Q16" s="55">
        <f t="shared" si="14"/>
        <v>1.8076952503034256</v>
      </c>
      <c r="R16">
        <f t="shared" si="15"/>
        <v>0.2571252169207931</v>
      </c>
      <c r="S16">
        <f t="shared" si="16"/>
        <v>1.6976238444248148</v>
      </c>
      <c r="T16">
        <f t="shared" si="17"/>
        <v>17.422460789065816</v>
      </c>
      <c r="U16">
        <v>5.7142857142857144E-9</v>
      </c>
      <c r="V16">
        <v>1000</v>
      </c>
      <c r="W16">
        <v>1.3605442176870701E-12</v>
      </c>
      <c r="X16">
        <f t="shared" si="18"/>
        <v>0.41199999999999998</v>
      </c>
      <c r="Y16">
        <f t="shared" si="19"/>
        <v>5.5290509759481883E-3</v>
      </c>
      <c r="Z16"/>
      <c r="AA16">
        <f t="shared" si="20"/>
        <v>5.456620408163267E-18</v>
      </c>
      <c r="AB16">
        <f t="shared" si="21"/>
        <v>-17.263076257023894</v>
      </c>
      <c r="AC16">
        <f t="shared" si="22"/>
        <v>9.6329673829203377E-2</v>
      </c>
      <c r="AD16">
        <f t="shared" si="23"/>
        <v>9.5067755102040804E-17</v>
      </c>
      <c r="AE16">
        <f t="shared" si="24"/>
        <v>-16.021966761252624</v>
      </c>
      <c r="AF16">
        <v>2.0005000000000002</v>
      </c>
      <c r="AG16">
        <f t="shared" si="25"/>
        <v>35288.820000000262</v>
      </c>
    </row>
    <row r="17" spans="1:33" s="4" customFormat="1" ht="16.5" customHeight="1">
      <c r="A17" s="4">
        <v>250</v>
      </c>
      <c r="B17" s="4">
        <v>250</v>
      </c>
      <c r="C17" s="4">
        <v>10</v>
      </c>
      <c r="D17" s="4">
        <f>A17/C17</f>
        <v>25</v>
      </c>
      <c r="E17" s="4">
        <v>1</v>
      </c>
      <c r="F17" s="4">
        <v>2</v>
      </c>
      <c r="G17" s="4" t="s">
        <v>20</v>
      </c>
      <c r="H17" s="4">
        <v>16</v>
      </c>
      <c r="I17" s="4" t="s">
        <v>195</v>
      </c>
      <c r="J17" s="4">
        <v>0.57899999999999996</v>
      </c>
      <c r="K17" s="55">
        <v>1.2321800000000001</v>
      </c>
      <c r="L17" s="53">
        <v>5.8675299999999997E-5</v>
      </c>
      <c r="M17" s="60">
        <v>14.9954</v>
      </c>
      <c r="N17" s="62">
        <v>5.7306999999999999E-5</v>
      </c>
      <c r="O17" s="4">
        <f t="shared" si="13"/>
        <v>14.9954</v>
      </c>
      <c r="P17" s="53">
        <f t="shared" si="13"/>
        <v>5.7306999999999999E-5</v>
      </c>
      <c r="Q17" s="55">
        <f t="shared" si="14"/>
        <v>1.7052296552634396</v>
      </c>
      <c r="R17">
        <f t="shared" si="15"/>
        <v>0.23178287675792453</v>
      </c>
      <c r="S17">
        <f t="shared" si="16"/>
        <v>1.7459448512656202</v>
      </c>
      <c r="T17">
        <f t="shared" si="17"/>
        <v>12.169812852018373</v>
      </c>
      <c r="U17">
        <v>5.7142857142857144E-9</v>
      </c>
      <c r="V17">
        <v>1000</v>
      </c>
      <c r="W17">
        <v>1.3605442176870701E-12</v>
      </c>
      <c r="X17">
        <f t="shared" si="18"/>
        <v>0.57899999999999996</v>
      </c>
      <c r="Y17">
        <f t="shared" si="19"/>
        <v>4.0768516546349019E-2</v>
      </c>
      <c r="Z17"/>
      <c r="AA17">
        <f t="shared" si="20"/>
        <v>4.0234448979591843E-17</v>
      </c>
      <c r="AB17">
        <f t="shared" si="21"/>
        <v>-16.39540194206317</v>
      </c>
      <c r="AC17">
        <f t="shared" si="22"/>
        <v>0.49614521662348193</v>
      </c>
      <c r="AD17">
        <f t="shared" si="23"/>
        <v>4.8964571428571432E-16</v>
      </c>
      <c r="AE17">
        <f t="shared" si="24"/>
        <v>-15.310118042383692</v>
      </c>
      <c r="AF17">
        <v>3.0005000000000002</v>
      </c>
      <c r="AG17">
        <f t="shared" si="25"/>
        <v>52928.820000000371</v>
      </c>
    </row>
    <row r="18" spans="1:33" s="52" customFormat="1" ht="16.5" thickBot="1">
      <c r="A18" s="58">
        <v>250</v>
      </c>
      <c r="B18" s="58">
        <v>250</v>
      </c>
      <c r="C18" s="58">
        <v>10</v>
      </c>
      <c r="D18" s="58">
        <f>A18/C18</f>
        <v>25</v>
      </c>
      <c r="E18" s="58">
        <v>1</v>
      </c>
      <c r="F18" s="58">
        <v>2</v>
      </c>
      <c r="G18" s="58" t="s">
        <v>20</v>
      </c>
      <c r="H18" s="58">
        <v>24</v>
      </c>
      <c r="I18" s="58" t="s">
        <v>196</v>
      </c>
      <c r="J18" s="58">
        <v>0.67900000000000005</v>
      </c>
      <c r="K18" s="56">
        <v>4.2592600000000003</v>
      </c>
      <c r="L18" s="58">
        <v>1.6174399999999999E-4</v>
      </c>
      <c r="M18" s="61">
        <v>39.268500000000003</v>
      </c>
      <c r="N18" s="61">
        <v>1.4707300000000001E-4</v>
      </c>
      <c r="O18" s="51">
        <f t="shared" si="13"/>
        <v>39.268500000000003</v>
      </c>
      <c r="P18" s="59">
        <f t="shared" si="13"/>
        <v>1.4707300000000001E-4</v>
      </c>
      <c r="Q18" s="56">
        <f t="shared" si="14"/>
        <v>1.6289980228298264</v>
      </c>
      <c r="R18" s="51">
        <f t="shared" si="15"/>
        <v>0.21192055719088063</v>
      </c>
      <c r="S18" s="51">
        <f t="shared" si="16"/>
        <v>1.7914957619997376</v>
      </c>
      <c r="T18" s="51">
        <f t="shared" si="17"/>
        <v>9.2195592661636052</v>
      </c>
      <c r="U18" s="51">
        <v>5.7142857142857144E-9</v>
      </c>
      <c r="V18" s="51">
        <v>1000</v>
      </c>
      <c r="W18" s="51">
        <v>1.3605442176870701E-12</v>
      </c>
      <c r="X18" s="51">
        <f t="shared" si="18"/>
        <v>0.67900000000000005</v>
      </c>
      <c r="Y18" s="51">
        <f t="shared" si="19"/>
        <v>0.14092398171144033</v>
      </c>
      <c r="Z18" s="51"/>
      <c r="AA18" s="51">
        <f t="shared" si="20"/>
        <v>1.3907787755102044E-16</v>
      </c>
      <c r="AB18" s="51">
        <f t="shared" si="21"/>
        <v>-15.856741945648496</v>
      </c>
      <c r="AC18" s="51">
        <f t="shared" si="22"/>
        <v>1.2992570014123799</v>
      </c>
      <c r="AD18" s="51">
        <f t="shared" si="23"/>
        <v>1.2822367346938777E-15</v>
      </c>
      <c r="AE18" s="51">
        <f t="shared" si="24"/>
        <v>-14.892031785207461</v>
      </c>
      <c r="AF18" s="51">
        <v>4.0004999999999997</v>
      </c>
      <c r="AG18" s="51">
        <f t="shared" si="25"/>
        <v>70568.820000000502</v>
      </c>
    </row>
    <row r="20" spans="1:33">
      <c r="A20">
        <v>450</v>
      </c>
      <c r="B20">
        <v>450</v>
      </c>
      <c r="C20">
        <v>10</v>
      </c>
      <c r="D20">
        <f>A20/C20</f>
        <v>45</v>
      </c>
      <c r="E20">
        <v>1</v>
      </c>
      <c r="F20">
        <v>2</v>
      </c>
      <c r="G20" t="s">
        <v>191</v>
      </c>
      <c r="H20">
        <v>0</v>
      </c>
      <c r="I20" t="s">
        <v>106</v>
      </c>
      <c r="J20">
        <v>6.8900000000000003E-2</v>
      </c>
      <c r="K20">
        <v>2.0194500000000001E-4</v>
      </c>
      <c r="L20">
        <v>1.95431E-8</v>
      </c>
      <c r="M20">
        <v>1.18628E-2</v>
      </c>
      <c r="N20">
        <v>2.63033E-8</v>
      </c>
      <c r="O20">
        <v>1.18628E-2</v>
      </c>
      <c r="P20">
        <v>2.63033E-8</v>
      </c>
      <c r="Q20" s="55">
        <f t="shared" si="14"/>
        <v>2.1501070217385601</v>
      </c>
      <c r="R20">
        <f t="shared" si="15"/>
        <v>0.33246007749408651</v>
      </c>
      <c r="S20">
        <f t="shared" si="16"/>
        <v>1.5975089261248154</v>
      </c>
      <c r="T20">
        <f t="shared" si="17"/>
        <v>58.742726980118348</v>
      </c>
      <c r="U20">
        <v>1.0000000000000001E-9</v>
      </c>
      <c r="V20">
        <v>1000</v>
      </c>
      <c r="W20">
        <v>4.1666666666666662E-14</v>
      </c>
      <c r="X20">
        <f t="shared" si="18"/>
        <v>6.8900000000000003E-2</v>
      </c>
      <c r="Y20">
        <f t="shared" si="19"/>
        <v>2.0462559529840919E-7</v>
      </c>
      <c r="AA20">
        <f t="shared" si="20"/>
        <v>2.0194500000000001E-22</v>
      </c>
      <c r="AB20">
        <f t="shared" si="21"/>
        <v>-21.694766895152032</v>
      </c>
      <c r="AC20">
        <f t="shared" si="22"/>
        <v>1.2020265477758639E-5</v>
      </c>
      <c r="AD20">
        <f t="shared" si="23"/>
        <v>1.18628E-20</v>
      </c>
      <c r="AE20">
        <f t="shared" si="24"/>
        <v>-19.925812791492184</v>
      </c>
      <c r="AF20">
        <v>6.0004999999999997</v>
      </c>
      <c r="AG20">
        <f t="shared" si="25"/>
        <v>3456288.0000000005</v>
      </c>
    </row>
    <row r="21" spans="1:33">
      <c r="A21">
        <v>450</v>
      </c>
      <c r="B21">
        <v>450</v>
      </c>
      <c r="C21">
        <v>10</v>
      </c>
      <c r="D21">
        <f>A21/C21</f>
        <v>45</v>
      </c>
      <c r="E21">
        <v>1</v>
      </c>
      <c r="F21">
        <v>2</v>
      </c>
      <c r="G21" t="s">
        <v>20</v>
      </c>
      <c r="H21">
        <v>4</v>
      </c>
      <c r="I21" t="s">
        <v>197</v>
      </c>
      <c r="J21">
        <v>0.26500000000000001</v>
      </c>
      <c r="K21">
        <v>1.09558E-2</v>
      </c>
      <c r="L21">
        <v>8.4275100000000003E-7</v>
      </c>
      <c r="M21">
        <v>0.58137399999999995</v>
      </c>
      <c r="N21">
        <v>1.2814999999999999E-6</v>
      </c>
      <c r="O21">
        <v>0.58137399999999995</v>
      </c>
      <c r="P21">
        <v>1.2814999999999999E-6</v>
      </c>
      <c r="Q21" s="55">
        <f t="shared" si="14"/>
        <v>2.3716115437173046</v>
      </c>
      <c r="R21">
        <f t="shared" si="15"/>
        <v>0.37504355558780422</v>
      </c>
      <c r="S21">
        <f t="shared" si="16"/>
        <v>1.5596394850404234</v>
      </c>
      <c r="T21">
        <f t="shared" si="17"/>
        <v>53.065408276894424</v>
      </c>
      <c r="U21">
        <v>1.0000000000000001E-9</v>
      </c>
      <c r="V21">
        <v>1000</v>
      </c>
      <c r="W21">
        <v>4.1666666666666662E-14</v>
      </c>
      <c r="X21">
        <f t="shared" si="18"/>
        <v>0.26500000000000001</v>
      </c>
      <c r="Y21">
        <f t="shared" si="19"/>
        <v>1.1101226061404397E-5</v>
      </c>
      <c r="AA21">
        <f t="shared" si="20"/>
        <v>1.0955799999999999E-20</v>
      </c>
      <c r="AB21">
        <f t="shared" si="21"/>
        <v>-19.960355904465647</v>
      </c>
      <c r="AC21">
        <f t="shared" si="22"/>
        <v>5.8909109332252508E-4</v>
      </c>
      <c r="AD21">
        <f t="shared" si="23"/>
        <v>5.8137399999999993E-19</v>
      </c>
      <c r="AE21">
        <f t="shared" si="24"/>
        <v>-18.235544394493726</v>
      </c>
      <c r="AF21">
        <v>7.0004999999999997</v>
      </c>
      <c r="AG21">
        <f t="shared" si="25"/>
        <v>4032288.0000000014</v>
      </c>
    </row>
    <row r="22" spans="1:33">
      <c r="A22">
        <v>450</v>
      </c>
      <c r="B22">
        <v>450</v>
      </c>
      <c r="C22">
        <v>10</v>
      </c>
      <c r="D22">
        <f>A22/C22</f>
        <v>45</v>
      </c>
      <c r="E22">
        <v>1</v>
      </c>
      <c r="F22">
        <v>2</v>
      </c>
      <c r="G22" t="s">
        <v>20</v>
      </c>
      <c r="H22">
        <v>8</v>
      </c>
      <c r="I22" t="s">
        <v>198</v>
      </c>
      <c r="J22">
        <v>0.39600000000000002</v>
      </c>
      <c r="K22">
        <v>6.5301399999999996E-2</v>
      </c>
      <c r="L22">
        <v>4.1681699999999998E-6</v>
      </c>
      <c r="M22">
        <v>2.7578999999999998</v>
      </c>
      <c r="N22">
        <v>6.0436E-6</v>
      </c>
      <c r="O22">
        <v>2.7578999999999998</v>
      </c>
      <c r="P22">
        <v>6.0436E-6</v>
      </c>
      <c r="Q22" s="55">
        <f t="shared" si="14"/>
        <v>2.2813717370807183</v>
      </c>
      <c r="R22">
        <f t="shared" si="15"/>
        <v>0.35819605695968348</v>
      </c>
      <c r="S22">
        <f t="shared" si="16"/>
        <v>1.5734239912217449</v>
      </c>
      <c r="T22">
        <f t="shared" si="17"/>
        <v>42.23339775257498</v>
      </c>
      <c r="U22">
        <v>1.0000000000000001E-9</v>
      </c>
      <c r="V22">
        <v>1000</v>
      </c>
      <c r="W22">
        <v>4.1666666666666662E-14</v>
      </c>
      <c r="X22">
        <f t="shared" si="18"/>
        <v>0.39600000000000002</v>
      </c>
      <c r="Y22">
        <f t="shared" si="19"/>
        <v>6.6168203465396706E-5</v>
      </c>
      <c r="AA22">
        <f t="shared" si="20"/>
        <v>6.5301399999999999E-20</v>
      </c>
      <c r="AB22">
        <f t="shared" si="21"/>
        <v>-19.185077507763868</v>
      </c>
      <c r="AC22">
        <f t="shared" si="22"/>
        <v>2.7945080555274093E-3</v>
      </c>
      <c r="AD22">
        <f t="shared" si="23"/>
        <v>2.7579000000000002E-18</v>
      </c>
      <c r="AE22">
        <f t="shared" si="24"/>
        <v>-17.559421485163629</v>
      </c>
      <c r="AF22">
        <v>8.0005000000000006</v>
      </c>
      <c r="AG22">
        <f t="shared" si="25"/>
        <v>4608288.0000000019</v>
      </c>
    </row>
    <row r="23" spans="1:33">
      <c r="A23">
        <v>450</v>
      </c>
      <c r="B23">
        <v>450</v>
      </c>
      <c r="C23">
        <v>10</v>
      </c>
      <c r="D23">
        <f>A23/C23</f>
        <v>45</v>
      </c>
      <c r="E23">
        <v>1</v>
      </c>
      <c r="F23">
        <v>2</v>
      </c>
      <c r="G23" t="s">
        <v>20</v>
      </c>
      <c r="H23">
        <v>16</v>
      </c>
      <c r="I23" t="s">
        <v>199</v>
      </c>
      <c r="J23">
        <v>0.55900000000000005</v>
      </c>
      <c r="K23">
        <v>0.49948199999999998</v>
      </c>
      <c r="L23">
        <v>2.37848E-5</v>
      </c>
      <c r="M23">
        <v>14.0512</v>
      </c>
      <c r="N23">
        <v>3.0434999999999999E-5</v>
      </c>
      <c r="O23">
        <v>14.0512</v>
      </c>
      <c r="P23">
        <v>3.0434999999999999E-5</v>
      </c>
      <c r="Q23" s="55">
        <f t="shared" si="14"/>
        <v>2.0675458512206455</v>
      </c>
      <c r="R23">
        <f t="shared" si="15"/>
        <v>0.31545514952388887</v>
      </c>
      <c r="S23">
        <f t="shared" si="16"/>
        <v>1.6157767229214</v>
      </c>
      <c r="T23">
        <f t="shared" si="17"/>
        <v>28.13154427987395</v>
      </c>
      <c r="U23">
        <v>1.0000000000000001E-9</v>
      </c>
      <c r="V23">
        <v>1000</v>
      </c>
      <c r="W23">
        <v>4.1666666666666662E-14</v>
      </c>
      <c r="X23">
        <f t="shared" si="18"/>
        <v>0.55900000000000005</v>
      </c>
      <c r="Y23">
        <f t="shared" si="19"/>
        <v>5.0611206809200531E-4</v>
      </c>
      <c r="AA23">
        <f t="shared" si="20"/>
        <v>4.9948200000000004E-19</v>
      </c>
      <c r="AB23">
        <f t="shared" si="21"/>
        <v>-18.301480157971593</v>
      </c>
      <c r="AC23">
        <f t="shared" si="22"/>
        <v>1.4237714054108827E-2</v>
      </c>
      <c r="AD23">
        <f t="shared" si="23"/>
        <v>1.4051200000000001E-17</v>
      </c>
      <c r="AE23">
        <f t="shared" si="24"/>
        <v>-16.852286584575705</v>
      </c>
      <c r="AF23">
        <v>9.0005000000000006</v>
      </c>
      <c r="AG23">
        <f t="shared" si="25"/>
        <v>5184288.0000000019</v>
      </c>
    </row>
    <row r="24" spans="1:33" s="51" customFormat="1" ht="16.5" thickBot="1">
      <c r="A24" s="51">
        <v>450</v>
      </c>
      <c r="B24" s="51">
        <v>450</v>
      </c>
      <c r="C24" s="51">
        <v>10</v>
      </c>
      <c r="D24" s="51">
        <f>A24/C24</f>
        <v>45</v>
      </c>
      <c r="E24" s="51">
        <v>1</v>
      </c>
      <c r="F24" s="51">
        <v>2</v>
      </c>
      <c r="G24" s="51" t="s">
        <v>20</v>
      </c>
      <c r="H24" s="51">
        <v>24</v>
      </c>
      <c r="I24" s="51" t="s">
        <v>200</v>
      </c>
      <c r="J24" s="51">
        <v>0.65600000000000003</v>
      </c>
      <c r="K24" s="51">
        <v>1.7775700000000001</v>
      </c>
      <c r="L24" s="51">
        <v>6.75027E-5</v>
      </c>
      <c r="M24" s="51">
        <v>36.365900000000003</v>
      </c>
      <c r="N24" s="51">
        <v>7.7871299999999994E-5</v>
      </c>
      <c r="O24" s="51">
        <v>36.365900000000003</v>
      </c>
      <c r="P24" s="51">
        <v>7.7871299999999994E-5</v>
      </c>
      <c r="Q24" s="56">
        <f t="shared" si="14"/>
        <v>1.9135303983798473</v>
      </c>
      <c r="R24" s="51">
        <f t="shared" si="15"/>
        <v>0.2818353658256153</v>
      </c>
      <c r="S24" s="51">
        <f t="shared" si="16"/>
        <v>1.6587429312559996</v>
      </c>
      <c r="T24" s="51">
        <f t="shared" si="17"/>
        <v>20.458209803270758</v>
      </c>
      <c r="U24">
        <v>1.0000000000000001E-9</v>
      </c>
      <c r="V24" s="51">
        <v>1000</v>
      </c>
      <c r="W24">
        <v>4.1666666666666662E-14</v>
      </c>
      <c r="X24" s="51">
        <f t="shared" si="18"/>
        <v>0.65600000000000003</v>
      </c>
      <c r="Y24" s="51">
        <f t="shared" si="19"/>
        <v>1.8011652649711221E-3</v>
      </c>
      <c r="AA24" s="51">
        <f t="shared" si="20"/>
        <v>1.7775700000000001E-18</v>
      </c>
      <c r="AB24" s="51">
        <f t="shared" si="21"/>
        <v>-17.750173287917384</v>
      </c>
      <c r="AC24" s="51">
        <f t="shared" si="22"/>
        <v>3.6848616881142979E-2</v>
      </c>
      <c r="AD24" s="51">
        <f t="shared" si="23"/>
        <v>3.6365900000000005E-17</v>
      </c>
      <c r="AE24" s="51">
        <f t="shared" si="24"/>
        <v>-16.439305659840187</v>
      </c>
      <c r="AF24" s="51">
        <v>10.000500000000001</v>
      </c>
      <c r="AG24" s="51">
        <f t="shared" si="25"/>
        <v>5760288.0000000019</v>
      </c>
    </row>
    <row r="25" spans="1:33" s="64" customFormat="1">
      <c r="K25" s="165"/>
      <c r="Q25" s="165"/>
    </row>
    <row r="26" spans="1:33" s="10" customFormat="1">
      <c r="A26" s="10">
        <v>600</v>
      </c>
      <c r="B26" s="10">
        <v>600</v>
      </c>
      <c r="C26" s="10">
        <v>10</v>
      </c>
      <c r="D26" s="10">
        <f>A26/C26</f>
        <v>60</v>
      </c>
      <c r="E26" s="10">
        <v>1</v>
      </c>
      <c r="F26" s="10">
        <v>2</v>
      </c>
      <c r="G26" s="10" t="s">
        <v>191</v>
      </c>
      <c r="H26" s="10">
        <v>0</v>
      </c>
      <c r="I26" s="10" t="s">
        <v>201</v>
      </c>
      <c r="J26" s="10">
        <v>6.7000000000000004E-2</v>
      </c>
      <c r="K26" s="166">
        <v>1.22791E-4</v>
      </c>
      <c r="L26" s="68">
        <v>1.1883E-8</v>
      </c>
      <c r="M26" s="10">
        <v>1.1502999999999999E-2</v>
      </c>
      <c r="N26" s="10">
        <v>1.91398E-8</v>
      </c>
      <c r="O26" s="10">
        <v>1.1502999999999999E-2</v>
      </c>
      <c r="P26" s="10">
        <v>1.91398E-8</v>
      </c>
      <c r="Q26" s="166">
        <f t="shared" si="14"/>
        <v>2.4876954561435323</v>
      </c>
      <c r="R26" s="10">
        <f t="shared" si="15"/>
        <v>0.39579721291115427</v>
      </c>
      <c r="S26" s="10">
        <f t="shared" si="16"/>
        <v>1.5444928946673211</v>
      </c>
      <c r="T26" s="10">
        <f t="shared" si="17"/>
        <v>93.679504198190415</v>
      </c>
      <c r="U26" s="68">
        <v>1.0000000000000002E-10</v>
      </c>
      <c r="V26" s="10">
        <v>1000</v>
      </c>
      <c r="W26" s="10">
        <v>4.1666666666666675E-16</v>
      </c>
      <c r="X26" s="10">
        <f t="shared" si="18"/>
        <v>6.7000000000000004E-2</v>
      </c>
      <c r="Y26" s="10">
        <f t="shared" si="19"/>
        <v>1.2442091397304695E-9</v>
      </c>
      <c r="Z26" s="10">
        <f>K26*U26^2</f>
        <v>1.2279100000000004E-24</v>
      </c>
      <c r="AA26" s="10">
        <f t="shared" si="20"/>
        <v>1.2279100000000002E-24</v>
      </c>
      <c r="AB26" s="10">
        <f t="shared" si="21"/>
        <v>-23.910833463761435</v>
      </c>
      <c r="AC26" s="10">
        <f t="shared" si="22"/>
        <v>1.1655689532880744E-7</v>
      </c>
      <c r="AD26" s="10">
        <f t="shared" si="23"/>
        <v>1.1503000000000005E-22</v>
      </c>
      <c r="AE26" s="10">
        <f t="shared" si="24"/>
        <v>-21.939188880208654</v>
      </c>
      <c r="AF26" s="10">
        <v>12.000500000000001</v>
      </c>
      <c r="AG26" s="10">
        <f t="shared" si="25"/>
        <v>691228800</v>
      </c>
    </row>
    <row r="27" spans="1:33" s="10" customFormat="1">
      <c r="A27" s="10">
        <v>600</v>
      </c>
      <c r="B27" s="10">
        <v>600</v>
      </c>
      <c r="C27" s="10">
        <v>10</v>
      </c>
      <c r="D27" s="10">
        <f>A27/C27</f>
        <v>60</v>
      </c>
      <c r="E27" s="10">
        <v>1</v>
      </c>
      <c r="F27" s="10">
        <v>2</v>
      </c>
      <c r="G27" s="10" t="s">
        <v>20</v>
      </c>
      <c r="H27" s="10">
        <v>4</v>
      </c>
      <c r="I27" s="10" t="s">
        <v>202</v>
      </c>
      <c r="J27" s="10">
        <v>0.26100000000000001</v>
      </c>
      <c r="K27" s="10">
        <v>6.7417900000000001E-3</v>
      </c>
      <c r="L27" s="10">
        <v>5.186E-7</v>
      </c>
      <c r="M27" s="10">
        <v>0.57153299999999996</v>
      </c>
      <c r="N27" s="10">
        <v>9.4680299999999996E-7</v>
      </c>
      <c r="O27" s="10">
        <v>0.57153299999999996</v>
      </c>
      <c r="P27" s="10">
        <v>9.4680299999999996E-7</v>
      </c>
      <c r="Q27" s="166">
        <f t="shared" si="14"/>
        <v>2.7688066544559091</v>
      </c>
      <c r="R27" s="10">
        <f t="shared" si="15"/>
        <v>0.44229263005593855</v>
      </c>
      <c r="S27" s="10">
        <f t="shared" si="16"/>
        <v>1.5165806730659224</v>
      </c>
      <c r="T27" s="10">
        <f t="shared" si="17"/>
        <v>84.774666668644372</v>
      </c>
      <c r="U27" s="68">
        <v>1.0000000000000002E-10</v>
      </c>
      <c r="V27" s="10">
        <v>1000</v>
      </c>
      <c r="W27" s="10">
        <v>4.1666666666666675E-16</v>
      </c>
      <c r="X27" s="10">
        <f t="shared" si="18"/>
        <v>0.26100000000000001</v>
      </c>
      <c r="Y27" s="10">
        <f t="shared" si="19"/>
        <v>6.8312797649204606E-8</v>
      </c>
      <c r="Z27" s="10">
        <f t="shared" ref="Z27:Z30" si="26">K27*U27^2</f>
        <v>6.7417900000000032E-23</v>
      </c>
      <c r="AA27" s="10">
        <f t="shared" si="20"/>
        <v>6.741790000000002E-23</v>
      </c>
      <c r="AB27" s="10">
        <f t="shared" si="21"/>
        <v>-22.171224779442102</v>
      </c>
      <c r="AC27" s="10">
        <f t="shared" si="22"/>
        <v>5.7911946499138741E-6</v>
      </c>
      <c r="AD27" s="10">
        <f t="shared" si="23"/>
        <v>5.7153300000000021E-21</v>
      </c>
      <c r="AE27" s="10">
        <f t="shared" si="24"/>
        <v>-20.24295868862103</v>
      </c>
      <c r="AF27" s="10">
        <v>13.000500000000001</v>
      </c>
      <c r="AG27" s="10">
        <f t="shared" si="25"/>
        <v>748828800.00000012</v>
      </c>
    </row>
    <row r="28" spans="1:33" s="10" customFormat="1">
      <c r="A28" s="10">
        <v>600</v>
      </c>
      <c r="B28" s="10">
        <v>600</v>
      </c>
      <c r="C28" s="10">
        <v>10</v>
      </c>
      <c r="D28" s="10">
        <f>A28/C28</f>
        <v>60</v>
      </c>
      <c r="E28" s="10">
        <v>1</v>
      </c>
      <c r="F28" s="10">
        <v>2</v>
      </c>
      <c r="G28" s="10" t="s">
        <v>20</v>
      </c>
      <c r="H28" s="10">
        <v>8</v>
      </c>
      <c r="I28" s="10" t="s">
        <v>203</v>
      </c>
      <c r="J28" s="10">
        <v>0.39</v>
      </c>
      <c r="K28" s="10">
        <v>4.0624800000000003E-2</v>
      </c>
      <c r="L28" s="10">
        <v>2.5930699999999998E-6</v>
      </c>
      <c r="M28" s="10">
        <v>2.70966</v>
      </c>
      <c r="N28" s="10">
        <v>4.4689399999999999E-6</v>
      </c>
      <c r="O28" s="10">
        <v>2.70966</v>
      </c>
      <c r="P28" s="10">
        <v>4.4689399999999999E-6</v>
      </c>
      <c r="Q28" s="166">
        <f t="shared" si="14"/>
        <v>2.6344505813273833</v>
      </c>
      <c r="R28" s="10">
        <f t="shared" si="15"/>
        <v>0.42069005621754862</v>
      </c>
      <c r="S28" s="10">
        <f t="shared" si="16"/>
        <v>1.5286208293068597</v>
      </c>
      <c r="T28" s="10">
        <f t="shared" si="17"/>
        <v>66.699651444437876</v>
      </c>
      <c r="U28" s="68">
        <v>1.0000000000000002E-10</v>
      </c>
      <c r="V28" s="10">
        <v>1000</v>
      </c>
      <c r="W28" s="10">
        <v>4.1666666666666675E-16</v>
      </c>
      <c r="X28" s="10">
        <f t="shared" si="18"/>
        <v>0.39</v>
      </c>
      <c r="Y28" s="10">
        <f t="shared" si="19"/>
        <v>4.1164049042456195E-7</v>
      </c>
      <c r="Z28" s="10">
        <f t="shared" si="26"/>
        <v>4.0624800000000019E-22</v>
      </c>
      <c r="AA28" s="10">
        <f t="shared" si="20"/>
        <v>4.0624800000000014E-22</v>
      </c>
      <c r="AB28" s="10">
        <f t="shared" si="21"/>
        <v>-21.391208764083473</v>
      </c>
      <c r="AC28" s="10">
        <f t="shared" si="22"/>
        <v>2.745627723173575E-5</v>
      </c>
      <c r="AD28" s="10">
        <f t="shared" si="23"/>
        <v>2.7096600000000009E-20</v>
      </c>
      <c r="AE28" s="10">
        <f t="shared" si="24"/>
        <v>-19.567085199674462</v>
      </c>
      <c r="AF28" s="10">
        <v>14.000500000000001</v>
      </c>
      <c r="AG28" s="10">
        <f t="shared" si="25"/>
        <v>806428800.00000012</v>
      </c>
    </row>
    <row r="29" spans="1:33" s="10" customFormat="1">
      <c r="A29" s="10">
        <v>600</v>
      </c>
      <c r="B29" s="10">
        <v>600</v>
      </c>
      <c r="C29" s="10">
        <v>10</v>
      </c>
      <c r="D29" s="10">
        <f>A29/C29</f>
        <v>60</v>
      </c>
      <c r="E29" s="10">
        <v>1</v>
      </c>
      <c r="F29" s="10">
        <v>2</v>
      </c>
      <c r="G29" s="10" t="s">
        <v>20</v>
      </c>
      <c r="H29" s="10">
        <v>16</v>
      </c>
      <c r="I29" s="10" t="s">
        <v>204</v>
      </c>
      <c r="J29" s="10">
        <v>0.55200000000000005</v>
      </c>
      <c r="K29" s="10">
        <v>0.315056</v>
      </c>
      <c r="L29" s="10">
        <v>1.5002599999999999E-5</v>
      </c>
      <c r="M29" s="10">
        <v>13.752599999999999</v>
      </c>
      <c r="N29" s="10">
        <v>2.24838E-5</v>
      </c>
      <c r="O29" s="10">
        <v>13.752599999999999</v>
      </c>
      <c r="P29" s="10">
        <v>2.24838E-5</v>
      </c>
      <c r="Q29" s="166">
        <f t="shared" si="14"/>
        <v>2.3434941824792013</v>
      </c>
      <c r="R29" s="10">
        <f t="shared" si="15"/>
        <v>0.36986387975922996</v>
      </c>
      <c r="S29" s="10">
        <f t="shared" si="16"/>
        <v>1.5637261415802695</v>
      </c>
      <c r="T29" s="10">
        <f t="shared" si="17"/>
        <v>43.651287390178254</v>
      </c>
      <c r="U29" s="68">
        <v>1.0000000000000002E-10</v>
      </c>
      <c r="V29" s="10">
        <v>1000</v>
      </c>
      <c r="W29" s="10">
        <v>4.1666666666666675E-16</v>
      </c>
      <c r="X29" s="10">
        <f t="shared" si="18"/>
        <v>0.55200000000000005</v>
      </c>
      <c r="Y29" s="10">
        <f t="shared" si="19"/>
        <v>3.1923801803627531E-6</v>
      </c>
      <c r="Z29" s="10">
        <f t="shared" si="26"/>
        <v>3.1505600000000011E-21</v>
      </c>
      <c r="AA29" s="10">
        <f t="shared" si="20"/>
        <v>3.1505600000000007E-21</v>
      </c>
      <c r="AB29" s="10">
        <f t="shared" si="21"/>
        <v>-20.501612245164619</v>
      </c>
      <c r="AC29" s="10">
        <f t="shared" si="22"/>
        <v>1.3935150471172366E-4</v>
      </c>
      <c r="AD29" s="10">
        <f t="shared" si="23"/>
        <v>1.3752600000000006E-19</v>
      </c>
      <c r="AE29" s="10">
        <f t="shared" si="24"/>
        <v>-18.861615188458522</v>
      </c>
      <c r="AF29" s="10">
        <v>15.000500000000001</v>
      </c>
      <c r="AG29" s="10">
        <f t="shared" si="25"/>
        <v>864028800</v>
      </c>
    </row>
    <row r="30" spans="1:33" s="51" customFormat="1" ht="16.5" thickBot="1">
      <c r="A30" s="51">
        <v>600</v>
      </c>
      <c r="B30" s="51">
        <v>600</v>
      </c>
      <c r="C30" s="51">
        <v>10</v>
      </c>
      <c r="D30" s="51">
        <f>A30/C30</f>
        <v>60</v>
      </c>
      <c r="E30" s="51">
        <v>1</v>
      </c>
      <c r="F30" s="51">
        <v>2</v>
      </c>
      <c r="G30" s="51" t="s">
        <v>20</v>
      </c>
      <c r="H30" s="51">
        <v>24</v>
      </c>
      <c r="I30" s="51" t="s">
        <v>205</v>
      </c>
      <c r="J30" s="51">
        <v>0.64900000000000002</v>
      </c>
      <c r="K30" s="51">
        <v>1.1343000000000001</v>
      </c>
      <c r="L30" s="51">
        <v>4.3074700000000003E-5</v>
      </c>
      <c r="M30" s="51">
        <v>35.442700000000002</v>
      </c>
      <c r="N30" s="51">
        <v>5.74436E-5</v>
      </c>
      <c r="O30" s="51">
        <v>35.442700000000002</v>
      </c>
      <c r="P30" s="51">
        <v>5.74436E-5</v>
      </c>
      <c r="Q30" s="56">
        <f t="shared" si="14"/>
        <v>2.134684140868842</v>
      </c>
      <c r="R30" s="51">
        <f t="shared" si="15"/>
        <v>0.32933362361122837</v>
      </c>
      <c r="S30" s="51">
        <f t="shared" si="16"/>
        <v>1.6007158145151612</v>
      </c>
      <c r="T30" s="51">
        <f t="shared" si="17"/>
        <v>31.246319315877635</v>
      </c>
      <c r="U30" s="68">
        <v>1.0000000000000002E-10</v>
      </c>
      <c r="V30" s="51">
        <v>1000</v>
      </c>
      <c r="W30" s="10">
        <v>4.1666666666666675E-16</v>
      </c>
      <c r="X30" s="51">
        <f t="shared" si="18"/>
        <v>0.64900000000000002</v>
      </c>
      <c r="Y30" s="51">
        <f t="shared" si="19"/>
        <v>1.1493565710811639E-5</v>
      </c>
      <c r="Z30" s="10">
        <f t="shared" si="26"/>
        <v>1.1343000000000005E-20</v>
      </c>
      <c r="AA30" s="51">
        <f t="shared" si="20"/>
        <v>1.1343000000000005E-20</v>
      </c>
      <c r="AB30" s="51">
        <f t="shared" si="21"/>
        <v>-19.945272067917802</v>
      </c>
      <c r="AC30" s="51">
        <f t="shared" si="22"/>
        <v>3.5913162427804256E-4</v>
      </c>
      <c r="AD30" s="51">
        <f t="shared" si="23"/>
        <v>3.5442700000000017E-19</v>
      </c>
      <c r="AE30" s="51">
        <f t="shared" si="24"/>
        <v>-18.450473201276061</v>
      </c>
      <c r="AF30" s="51">
        <v>16.000499999999999</v>
      </c>
      <c r="AG30" s="51">
        <f t="shared" si="25"/>
        <v>921628799.99999988</v>
      </c>
    </row>
    <row r="32" spans="1:33">
      <c r="A32">
        <v>1000</v>
      </c>
      <c r="B32">
        <v>1000</v>
      </c>
      <c r="C32">
        <v>10</v>
      </c>
      <c r="D32">
        <f>A32/C32</f>
        <v>100</v>
      </c>
      <c r="E32">
        <v>1</v>
      </c>
      <c r="F32">
        <v>2</v>
      </c>
      <c r="G32" t="s">
        <v>191</v>
      </c>
      <c r="H32">
        <v>0</v>
      </c>
      <c r="I32" t="s">
        <v>222</v>
      </c>
      <c r="J32">
        <v>6.5000000000000002E-2</v>
      </c>
      <c r="K32" s="76"/>
      <c r="L32" s="76"/>
      <c r="M32" s="76"/>
      <c r="N32" s="76"/>
    </row>
    <row r="33" spans="1:17">
      <c r="A33">
        <v>1000</v>
      </c>
      <c r="B33">
        <v>1000</v>
      </c>
      <c r="C33">
        <v>10</v>
      </c>
      <c r="D33">
        <f>A33/C33</f>
        <v>100</v>
      </c>
      <c r="E33">
        <v>1</v>
      </c>
      <c r="F33">
        <v>2</v>
      </c>
      <c r="G33" t="s">
        <v>20</v>
      </c>
      <c r="H33">
        <v>4</v>
      </c>
      <c r="I33" t="s">
        <v>223</v>
      </c>
      <c r="J33">
        <v>0.25600000000000001</v>
      </c>
      <c r="K33" s="77"/>
      <c r="L33" s="77"/>
      <c r="M33" s="77"/>
      <c r="N33" s="77"/>
    </row>
    <row r="34" spans="1:17">
      <c r="A34">
        <v>1000</v>
      </c>
      <c r="B34">
        <v>1000</v>
      </c>
      <c r="C34">
        <v>10</v>
      </c>
      <c r="D34">
        <f>A34/C34</f>
        <v>100</v>
      </c>
      <c r="E34">
        <v>1</v>
      </c>
      <c r="F34">
        <v>2</v>
      </c>
      <c r="G34" t="s">
        <v>20</v>
      </c>
      <c r="H34">
        <v>8</v>
      </c>
      <c r="I34" t="s">
        <v>224</v>
      </c>
      <c r="J34">
        <v>0.38400000000000001</v>
      </c>
      <c r="K34" s="77"/>
      <c r="L34" s="77"/>
      <c r="M34" s="77"/>
      <c r="N34" s="77"/>
    </row>
    <row r="35" spans="1:17">
      <c r="A35">
        <v>1000</v>
      </c>
      <c r="B35">
        <v>1000</v>
      </c>
      <c r="C35">
        <v>10</v>
      </c>
      <c r="D35">
        <f>A35/C35</f>
        <v>100</v>
      </c>
      <c r="E35">
        <v>1</v>
      </c>
      <c r="F35">
        <v>2</v>
      </c>
      <c r="G35" t="s">
        <v>20</v>
      </c>
      <c r="H35">
        <v>16</v>
      </c>
    </row>
    <row r="36" spans="1:17" s="51" customFormat="1" ht="16.5" thickBot="1">
      <c r="A36" s="51">
        <v>1000</v>
      </c>
      <c r="B36" s="51">
        <v>1000</v>
      </c>
      <c r="C36" s="51">
        <v>10</v>
      </c>
      <c r="D36" s="51">
        <f>A36/C36</f>
        <v>100</v>
      </c>
      <c r="E36" s="51">
        <v>1</v>
      </c>
      <c r="F36" s="51">
        <v>2</v>
      </c>
      <c r="G36" s="51" t="s">
        <v>20</v>
      </c>
      <c r="H36" s="51">
        <v>24</v>
      </c>
      <c r="K36" s="56"/>
      <c r="Q36" s="56"/>
    </row>
    <row r="39" spans="1:17">
      <c r="A39">
        <v>100</v>
      </c>
      <c r="B39">
        <v>100</v>
      </c>
      <c r="C39">
        <v>10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81"/>
  <sheetViews>
    <sheetView topLeftCell="A58" zoomScaleNormal="100" workbookViewId="0">
      <selection activeCell="G78" sqref="G78"/>
    </sheetView>
  </sheetViews>
  <sheetFormatPr defaultRowHeight="15.75"/>
  <cols>
    <col min="1" max="1" width="15.375" bestFit="1" customWidth="1"/>
    <col min="2" max="2" width="15.75" customWidth="1"/>
    <col min="3" max="3" width="18.5" bestFit="1" customWidth="1"/>
    <col min="4" max="4" width="18.5" customWidth="1"/>
    <col min="5" max="5" width="13" style="274" customWidth="1"/>
    <col min="6" max="7" width="13" style="54" customWidth="1"/>
    <col min="9" max="9" width="11.625" bestFit="1" customWidth="1"/>
    <col min="10" max="10" width="11.875" bestFit="1" customWidth="1"/>
    <col min="11" max="11" width="11.875" customWidth="1"/>
    <col min="12" max="12" width="14.125" bestFit="1" customWidth="1"/>
    <col min="13" max="13" width="14.125" customWidth="1"/>
    <col min="14" max="14" width="16.5" bestFit="1" customWidth="1"/>
    <col min="15" max="15" width="12.75" customWidth="1"/>
    <col min="16" max="16" width="11.875" bestFit="1" customWidth="1"/>
    <col min="17" max="17" width="12.375" bestFit="1" customWidth="1"/>
    <col min="18" max="21" width="14.125" bestFit="1" customWidth="1"/>
    <col min="26" max="26" width="12.375" bestFit="1" customWidth="1"/>
    <col min="27" max="28" width="11.875" bestFit="1" customWidth="1"/>
    <col min="29" max="29" width="7.375" bestFit="1" customWidth="1"/>
    <col min="30" max="30" width="11.875" bestFit="1" customWidth="1"/>
    <col min="31" max="31" width="9.125" bestFit="1" customWidth="1"/>
    <col min="32" max="32" width="11.625" bestFit="1" customWidth="1"/>
    <col min="33" max="33" width="11.875" bestFit="1" customWidth="1"/>
    <col min="34" max="34" width="14.125" bestFit="1" customWidth="1"/>
    <col min="35" max="35" width="13.75" bestFit="1" customWidth="1"/>
    <col min="36" max="36" width="12.75" bestFit="1" customWidth="1"/>
    <col min="37" max="39" width="11.875" bestFit="1" customWidth="1"/>
  </cols>
  <sheetData>
    <row r="1" spans="1:43">
      <c r="A1" s="148" t="s">
        <v>305</v>
      </c>
      <c r="B1" s="148" t="s">
        <v>316</v>
      </c>
      <c r="Q1" t="s">
        <v>305</v>
      </c>
      <c r="R1" t="s">
        <v>320</v>
      </c>
      <c r="S1" t="s">
        <v>322</v>
      </c>
      <c r="Z1" t="s">
        <v>305</v>
      </c>
      <c r="AA1" t="s">
        <v>320</v>
      </c>
      <c r="AJ1" t="s">
        <v>324</v>
      </c>
      <c r="AK1" t="s">
        <v>320</v>
      </c>
      <c r="AL1" t="s">
        <v>322</v>
      </c>
    </row>
    <row r="2" spans="1:43" ht="16.5" thickBot="1">
      <c r="A2" s="77"/>
      <c r="B2" s="77"/>
      <c r="C2" s="77"/>
      <c r="D2" s="77"/>
      <c r="E2" s="275"/>
      <c r="F2" s="279"/>
      <c r="G2" s="279"/>
      <c r="H2" s="91"/>
      <c r="I2" s="91"/>
      <c r="J2" s="76"/>
      <c r="K2" s="76"/>
      <c r="L2" s="91"/>
      <c r="M2" s="91"/>
      <c r="N2" s="76"/>
      <c r="P2" s="77"/>
      <c r="Q2" s="76"/>
      <c r="V2" s="76"/>
      <c r="W2" s="76"/>
      <c r="X2" s="76"/>
      <c r="Z2" s="77"/>
      <c r="AA2" s="77"/>
      <c r="AB2" s="76"/>
      <c r="AC2" s="77"/>
      <c r="AD2" s="91"/>
      <c r="AE2" s="91"/>
      <c r="AF2" s="76"/>
      <c r="AG2" s="91"/>
      <c r="AH2" s="91"/>
      <c r="AI2" s="76"/>
      <c r="AJ2" s="77"/>
      <c r="AP2">
        <f>RSQ(W4:W12,AM4:AM12)</f>
        <v>0.79318189372952541</v>
      </c>
    </row>
    <row r="3" spans="1:43">
      <c r="A3" s="63" t="s">
        <v>312</v>
      </c>
      <c r="B3" s="64" t="s">
        <v>311</v>
      </c>
      <c r="C3" s="64" t="s">
        <v>374</v>
      </c>
      <c r="D3" s="64" t="s">
        <v>376</v>
      </c>
      <c r="E3" s="276" t="s">
        <v>306</v>
      </c>
      <c r="F3" s="237" t="s">
        <v>307</v>
      </c>
      <c r="G3" s="237"/>
      <c r="H3" s="64" t="s">
        <v>310</v>
      </c>
      <c r="I3" s="64" t="s">
        <v>12</v>
      </c>
      <c r="J3" s="63" t="s">
        <v>317</v>
      </c>
      <c r="K3" s="64" t="s">
        <v>407</v>
      </c>
      <c r="L3" s="64" t="s">
        <v>313</v>
      </c>
      <c r="M3" s="64" t="s">
        <v>314</v>
      </c>
      <c r="N3" s="65" t="s">
        <v>315</v>
      </c>
      <c r="O3" s="65"/>
      <c r="P3" s="65" t="s">
        <v>309</v>
      </c>
      <c r="Q3" s="63" t="s">
        <v>318</v>
      </c>
      <c r="R3" s="64" t="s">
        <v>408</v>
      </c>
      <c r="S3" s="64" t="s">
        <v>312</v>
      </c>
      <c r="T3" s="64" t="s">
        <v>311</v>
      </c>
      <c r="U3" s="64" t="s">
        <v>313</v>
      </c>
      <c r="V3" s="64" t="s">
        <v>319</v>
      </c>
      <c r="W3" s="276" t="s">
        <v>326</v>
      </c>
      <c r="X3" s="64" t="s">
        <v>308</v>
      </c>
      <c r="Y3" s="65" t="s">
        <v>59</v>
      </c>
      <c r="AA3" t="s">
        <v>312</v>
      </c>
      <c r="AB3" t="s">
        <v>311</v>
      </c>
      <c r="AC3" t="s">
        <v>306</v>
      </c>
      <c r="AD3" t="s">
        <v>308</v>
      </c>
      <c r="AE3" t="s">
        <v>310</v>
      </c>
      <c r="AF3" t="s">
        <v>12</v>
      </c>
      <c r="AG3" t="s">
        <v>318</v>
      </c>
      <c r="AH3" t="s">
        <v>313</v>
      </c>
      <c r="AI3" t="s">
        <v>314</v>
      </c>
      <c r="AJ3" t="s">
        <v>321</v>
      </c>
      <c r="AK3" s="141" t="s">
        <v>317</v>
      </c>
      <c r="AL3" s="142" t="s">
        <v>325</v>
      </c>
      <c r="AM3" s="143" t="s">
        <v>323</v>
      </c>
      <c r="AQ3">
        <f>RSQ(AL4:AL12,AM4:AM12)</f>
        <v>0.99798027027918923</v>
      </c>
    </row>
    <row r="4" spans="1:43">
      <c r="A4" s="66">
        <v>1.8285714285714286E-7</v>
      </c>
      <c r="B4" s="10">
        <v>3.6274808163265308E-11</v>
      </c>
      <c r="C4" s="68">
        <v>1.9999999999999999E-6</v>
      </c>
      <c r="D4" s="68">
        <f>57.1428571428571*10^-9</f>
        <v>5.7142857142857104E-8</v>
      </c>
      <c r="E4" s="253">
        <v>7.0000000000000007E-2</v>
      </c>
      <c r="F4" s="68">
        <v>1.0244375510204081E-20</v>
      </c>
      <c r="G4" s="68"/>
      <c r="H4" s="68">
        <v>8.8999999999999995E-4</v>
      </c>
      <c r="I4" s="68">
        <v>88000</v>
      </c>
      <c r="J4" s="138">
        <f t="shared" ref="J4:J12" si="0">(F4*I4)/(A4*H4)</f>
        <v>5.5394446227929373E-6</v>
      </c>
      <c r="K4" s="68">
        <f>(J4*A4*H4)/I4</f>
        <v>1.0244375510204081E-20</v>
      </c>
      <c r="L4" s="68">
        <f t="shared" ref="L4:L12" si="1">J4*B4</f>
        <v>2.0094229102284536E-16</v>
      </c>
      <c r="M4" s="68">
        <v>1000</v>
      </c>
      <c r="N4" s="139">
        <f t="shared" ref="N4:N12" si="2">(M4*J4*C4)/H4</f>
        <v>1.2448190163579634E-5</v>
      </c>
      <c r="O4" s="139"/>
      <c r="P4" s="240">
        <v>2.200685709</v>
      </c>
      <c r="Q4" s="138">
        <f>SQRT((J4^2*(P4^2-1))/2)</f>
        <v>7.6786949259063786E-6</v>
      </c>
      <c r="R4" s="68">
        <f>(Q4*H4*S4)/I4</f>
        <v>4.6773224429842458E-19</v>
      </c>
      <c r="S4" s="10">
        <v>6.0228571428571433E-6</v>
      </c>
      <c r="T4" s="10">
        <v>1.1013224489795919E-12</v>
      </c>
      <c r="U4" s="10">
        <f t="shared" ref="U4:U12" si="3">Q4*T4</f>
        <v>8.4567191007663794E-18</v>
      </c>
      <c r="V4" s="68">
        <f t="shared" ref="V4:V12" si="4">(M4*Q4*D4)/H4</f>
        <v>4.9301412044342689E-7</v>
      </c>
      <c r="W4" s="253">
        <f t="shared" ref="W4:W12" si="5">SQRT((2*Q4^2+J4^2))/Q4</f>
        <v>1.5875844443368563</v>
      </c>
      <c r="X4" s="68">
        <f t="shared" ref="X4:X12" si="6">Q4*S4*H4/I4</f>
        <v>4.6773224429842449E-19</v>
      </c>
      <c r="Y4" s="67">
        <f t="shared" ref="Y4:Y12" si="7">X4/F4</f>
        <v>45.657467732662859</v>
      </c>
      <c r="AA4">
        <v>6.0228571428571433E-6</v>
      </c>
      <c r="AB4">
        <v>1.1013224489795919E-12</v>
      </c>
      <c r="AC4">
        <v>7.0000000000000007E-2</v>
      </c>
      <c r="AD4">
        <v>4.0080653061224492E-19</v>
      </c>
      <c r="AE4">
        <v>8.8999999999999995E-4</v>
      </c>
      <c r="AF4">
        <v>88000</v>
      </c>
      <c r="AG4">
        <f t="shared" ref="AG4:AG12" si="8">(AD4*AF4)/(AA4*AE4)</f>
        <v>6.5799848319175436E-6</v>
      </c>
      <c r="AH4">
        <f>AG4*AB4</f>
        <v>7.2466850093359975E-18</v>
      </c>
      <c r="AI4">
        <v>1000</v>
      </c>
      <c r="AJ4">
        <f t="shared" ref="AJ4:AJ12" si="9">(AI4*AG4*AA4)/AE4</f>
        <v>4.452843667955757E-5</v>
      </c>
      <c r="AK4" s="83">
        <v>5.5394446227929373E-6</v>
      </c>
      <c r="AL4" s="66">
        <f>SQRT((2*AG4^2+AK4^2))/AG4</f>
        <v>1.6458228996685522</v>
      </c>
      <c r="AM4" s="144">
        <v>1.6594464603289432</v>
      </c>
    </row>
    <row r="5" spans="1:43">
      <c r="A5" s="66">
        <v>2.0571428571428572E-7</v>
      </c>
      <c r="B5" s="10">
        <v>3.65506612244898E-11</v>
      </c>
      <c r="C5" s="68">
        <v>1.9999999999999999E-6</v>
      </c>
      <c r="D5" s="68">
        <f t="shared" ref="D5:D12" si="10">57.1428571428571*10^-9</f>
        <v>5.7142857142857104E-8</v>
      </c>
      <c r="E5" s="253">
        <v>0.18099999999999999</v>
      </c>
      <c r="F5" s="68">
        <v>1.2909844897959183E-19</v>
      </c>
      <c r="G5" s="68"/>
      <c r="H5" s="68">
        <v>8.8999999999999995E-4</v>
      </c>
      <c r="I5" s="68">
        <v>88000</v>
      </c>
      <c r="J5" s="138">
        <f t="shared" si="0"/>
        <v>6.2051064740502936E-5</v>
      </c>
      <c r="K5" s="68">
        <f t="shared" ref="K5:K12" si="11">(J5*A5*H5)/I5</f>
        <v>1.2909844897959183E-19</v>
      </c>
      <c r="L5" s="68">
        <f t="shared" si="1"/>
        <v>2.2680074459490068E-15</v>
      </c>
      <c r="M5" s="68">
        <v>1000</v>
      </c>
      <c r="N5" s="139">
        <f t="shared" si="2"/>
        <v>1.394405949224785E-4</v>
      </c>
      <c r="O5" s="139"/>
      <c r="P5" s="240">
        <v>2.162360971</v>
      </c>
      <c r="Q5" s="138">
        <f t="shared" ref="Q5:Q12" si="12">SQRT((J5^2*(P5^2-1))/2)</f>
        <v>8.4122170635502884E-5</v>
      </c>
      <c r="R5" s="68">
        <f t="shared" ref="R5:R12" si="13">(Q5*H5*S5)/I5</f>
        <v>5.1435791112858586E-18</v>
      </c>
      <c r="S5" s="10">
        <v>6.0457142857142855E-6</v>
      </c>
      <c r="T5" s="10">
        <v>1.2436897959183675E-12</v>
      </c>
      <c r="U5" s="10">
        <f t="shared" si="3"/>
        <v>1.0462188522987867E-16</v>
      </c>
      <c r="V5" s="68">
        <f t="shared" si="4"/>
        <v>5.4011024485074052E-6</v>
      </c>
      <c r="W5" s="253">
        <f t="shared" si="5"/>
        <v>1.5950230431551642</v>
      </c>
      <c r="X5" s="68">
        <f t="shared" si="6"/>
        <v>5.1435791112858586E-18</v>
      </c>
      <c r="Y5" s="67">
        <f t="shared" si="7"/>
        <v>39.84229982576295</v>
      </c>
      <c r="AA5">
        <v>6.0457142857142855E-6</v>
      </c>
      <c r="AB5">
        <v>1.2436897959183675E-12</v>
      </c>
      <c r="AC5">
        <v>0.18099999999999999</v>
      </c>
      <c r="AD5">
        <v>5.0094040816326531E-18</v>
      </c>
      <c r="AE5">
        <v>8.8999999999999995E-4</v>
      </c>
      <c r="AF5">
        <v>88000</v>
      </c>
      <c r="AG5">
        <f t="shared" si="8"/>
        <v>8.1927765826068756E-5</v>
      </c>
      <c r="AH5">
        <f t="shared" ref="AH5:AH12" si="14">AG5*AB5</f>
        <v>1.0189272636027126E-16</v>
      </c>
      <c r="AI5">
        <v>1000</v>
      </c>
      <c r="AJ5">
        <f t="shared" si="9"/>
        <v>5.5653018455204331E-4</v>
      </c>
      <c r="AK5" s="83">
        <v>6.2051064740502936E-5</v>
      </c>
      <c r="AL5" s="66">
        <f t="shared" ref="AL5:AL12" si="15">SQRT((2*AG5^2+AK5^2))/AG5</f>
        <v>1.6042555303579122</v>
      </c>
      <c r="AM5" s="144">
        <v>1.6142281214639009</v>
      </c>
    </row>
    <row r="6" spans="1:43">
      <c r="A6" s="66">
        <v>2.2857142857142858E-7</v>
      </c>
      <c r="B6" s="10">
        <v>3.6827559183673474E-11</v>
      </c>
      <c r="C6" s="68">
        <v>1.9999999999999999E-6</v>
      </c>
      <c r="D6" s="68">
        <f t="shared" si="10"/>
        <v>5.7142857142857104E-8</v>
      </c>
      <c r="E6" s="253">
        <v>0.26900000000000002</v>
      </c>
      <c r="F6" s="68">
        <v>5.435004081632652E-19</v>
      </c>
      <c r="G6" s="68"/>
      <c r="H6" s="68">
        <v>8.8999999999999995E-4</v>
      </c>
      <c r="I6" s="68">
        <v>88000</v>
      </c>
      <c r="J6" s="138">
        <f t="shared" si="0"/>
        <v>2.3510972712680574E-4</v>
      </c>
      <c r="K6" s="68">
        <f t="shared" si="11"/>
        <v>5.435004081632652E-19</v>
      </c>
      <c r="L6" s="68">
        <f t="shared" si="1"/>
        <v>8.658517390419759E-15</v>
      </c>
      <c r="M6" s="68">
        <v>1000</v>
      </c>
      <c r="N6" s="139">
        <f t="shared" si="2"/>
        <v>5.2833646545349597E-4</v>
      </c>
      <c r="O6" s="139"/>
      <c r="P6" s="240">
        <v>2.122201</v>
      </c>
      <c r="Q6" s="138">
        <f t="shared" si="12"/>
        <v>3.111869345929907E-4</v>
      </c>
      <c r="R6" s="68">
        <f t="shared" si="13"/>
        <v>1.9099199145363827E-17</v>
      </c>
      <c r="S6" s="10">
        <v>6.0685714285714287E-6</v>
      </c>
      <c r="T6" s="10">
        <v>1.3871020408163266E-12</v>
      </c>
      <c r="U6" s="10">
        <f t="shared" si="3"/>
        <v>4.3164803204931413E-16</v>
      </c>
      <c r="V6" s="68">
        <f t="shared" si="4"/>
        <v>1.9979899492326837E-5</v>
      </c>
      <c r="W6" s="253">
        <f t="shared" si="5"/>
        <v>1.6033773997318483</v>
      </c>
      <c r="X6" s="68">
        <f t="shared" si="6"/>
        <v>1.9099199145363824E-17</v>
      </c>
      <c r="Y6" s="67">
        <f t="shared" si="7"/>
        <v>35.141094392014708</v>
      </c>
      <c r="AA6">
        <v>6.0685714285714287E-6</v>
      </c>
      <c r="AB6">
        <v>1.3871020408163266E-12</v>
      </c>
      <c r="AC6">
        <v>0.26900000000000002</v>
      </c>
      <c r="AD6">
        <v>1.9349746938775508E-17</v>
      </c>
      <c r="AE6">
        <v>8.8999999999999995E-4</v>
      </c>
      <c r="AF6">
        <v>88000</v>
      </c>
      <c r="AG6">
        <f t="shared" si="8"/>
        <v>3.1526915810442757E-4</v>
      </c>
      <c r="AH6">
        <f t="shared" si="14"/>
        <v>4.3731049261309663E-16</v>
      </c>
      <c r="AI6">
        <v>1000</v>
      </c>
      <c r="AJ6">
        <f t="shared" si="9"/>
        <v>2.1497004552610086E-3</v>
      </c>
      <c r="AK6" s="83">
        <v>2.3510972712680574E-4</v>
      </c>
      <c r="AL6" s="66">
        <f t="shared" si="15"/>
        <v>1.5987909274705303</v>
      </c>
      <c r="AM6" s="144">
        <v>1.6074559725049464</v>
      </c>
    </row>
    <row r="7" spans="1:43">
      <c r="A7" s="66">
        <v>2.5142857142857143E-7</v>
      </c>
      <c r="B7" s="10">
        <v>3.7105502040816332E-11</v>
      </c>
      <c r="C7" s="68">
        <v>1.9999999999999999E-6</v>
      </c>
      <c r="D7" s="68">
        <f t="shared" si="10"/>
        <v>5.7142857142857104E-8</v>
      </c>
      <c r="E7" s="253">
        <v>0.34100000000000003</v>
      </c>
      <c r="F7" s="68">
        <v>1.481054693877551E-18</v>
      </c>
      <c r="G7" s="68"/>
      <c r="H7" s="68">
        <v>8.8999999999999995E-4</v>
      </c>
      <c r="I7" s="68">
        <v>88000</v>
      </c>
      <c r="J7" s="138">
        <f t="shared" si="0"/>
        <v>5.8243723916532914E-4</v>
      </c>
      <c r="K7" s="68">
        <f t="shared" si="11"/>
        <v>1.4810546938775514E-18</v>
      </c>
      <c r="L7" s="68">
        <f t="shared" si="1"/>
        <v>2.161162616649655E-14</v>
      </c>
      <c r="M7" s="68">
        <v>1000</v>
      </c>
      <c r="N7" s="139">
        <f t="shared" si="2"/>
        <v>1.3088477284614139E-3</v>
      </c>
      <c r="O7" s="139"/>
      <c r="P7" s="240">
        <v>2.0700908199999999</v>
      </c>
      <c r="Q7" s="138">
        <f t="shared" si="12"/>
        <v>7.4648325041024759E-4</v>
      </c>
      <c r="R7" s="68">
        <f t="shared" si="13"/>
        <v>4.598821551910509E-17</v>
      </c>
      <c r="S7" s="10">
        <v>6.0914285714285718E-6</v>
      </c>
      <c r="T7" s="10">
        <v>1.5315591836734695E-12</v>
      </c>
      <c r="U7" s="10">
        <f t="shared" si="3"/>
        <v>1.1432832776242368E-15</v>
      </c>
      <c r="V7" s="68">
        <f t="shared" si="4"/>
        <v>4.7928298581717313E-5</v>
      </c>
      <c r="W7" s="253">
        <f t="shared" si="5"/>
        <v>1.6151708445697506</v>
      </c>
      <c r="X7" s="68">
        <f t="shared" si="6"/>
        <v>4.5988215519105078E-17</v>
      </c>
      <c r="Y7" s="67">
        <f t="shared" si="7"/>
        <v>31.050990695490981</v>
      </c>
      <c r="AA7">
        <v>6.0914285714285718E-6</v>
      </c>
      <c r="AB7">
        <v>1.5315591836734695E-12</v>
      </c>
      <c r="AC7">
        <v>0.34100000000000003</v>
      </c>
      <c r="AD7">
        <v>4.7366530612244892E-17</v>
      </c>
      <c r="AE7">
        <v>8.8999999999999995E-4</v>
      </c>
      <c r="AF7">
        <v>88000</v>
      </c>
      <c r="AG7">
        <f t="shared" si="8"/>
        <v>7.6885613701179606E-4</v>
      </c>
      <c r="AH7">
        <f t="shared" si="14"/>
        <v>1.1775486775641236E-15</v>
      </c>
      <c r="AI7">
        <v>1000</v>
      </c>
      <c r="AJ7">
        <f t="shared" si="9"/>
        <v>5.2622834160807371E-3</v>
      </c>
      <c r="AK7" s="83">
        <v>5.8243723916532914E-4</v>
      </c>
      <c r="AL7" s="66">
        <f t="shared" si="15"/>
        <v>1.6043262866046082</v>
      </c>
      <c r="AM7" s="144">
        <v>1.6123714466112151</v>
      </c>
    </row>
    <row r="8" spans="1:43">
      <c r="A8" s="66">
        <v>2.7428571428571429E-7</v>
      </c>
      <c r="B8" s="10">
        <v>3.7384489795918372E-11</v>
      </c>
      <c r="C8" s="68">
        <v>1.9999999999999999E-6</v>
      </c>
      <c r="D8" s="68">
        <f t="shared" si="10"/>
        <v>5.7142857142857104E-8</v>
      </c>
      <c r="E8" s="253">
        <v>0.40100000000000002</v>
      </c>
      <c r="F8" s="68">
        <v>3.2036114285714286E-18</v>
      </c>
      <c r="G8" s="68"/>
      <c r="H8" s="68">
        <v>8.8999999999999995E-4</v>
      </c>
      <c r="I8" s="68">
        <v>88000</v>
      </c>
      <c r="J8" s="138">
        <f t="shared" si="0"/>
        <v>1.154859925093633E-3</v>
      </c>
      <c r="K8" s="68">
        <f t="shared" si="11"/>
        <v>3.2036114285714286E-18</v>
      </c>
      <c r="L8" s="68">
        <f t="shared" si="1"/>
        <v>4.3173849085377982E-14</v>
      </c>
      <c r="M8" s="68">
        <v>1000</v>
      </c>
      <c r="N8" s="139">
        <f t="shared" si="2"/>
        <v>2.5951908429070409E-3</v>
      </c>
      <c r="O8" s="139"/>
      <c r="P8" s="240">
        <v>2.0245000000000002</v>
      </c>
      <c r="Q8" s="138">
        <f t="shared" si="12"/>
        <v>1.437464371005536E-3</v>
      </c>
      <c r="R8" s="68">
        <f t="shared" si="13"/>
        <v>8.8889436396660512E-17</v>
      </c>
      <c r="S8" s="10">
        <v>6.1142857142857141E-6</v>
      </c>
      <c r="T8" s="10">
        <v>1.677061224489796E-12</v>
      </c>
      <c r="U8" s="10">
        <f t="shared" si="3"/>
        <v>2.4107157581989988E-15</v>
      </c>
      <c r="V8" s="68">
        <f t="shared" si="4"/>
        <v>9.229305752844527E-5</v>
      </c>
      <c r="W8" s="253">
        <f t="shared" si="5"/>
        <v>1.6264847779959728</v>
      </c>
      <c r="X8" s="68">
        <f t="shared" si="6"/>
        <v>8.8889436396660512E-17</v>
      </c>
      <c r="Y8" s="67">
        <f t="shared" si="7"/>
        <v>27.746634814665573</v>
      </c>
      <c r="AA8">
        <v>6.1142857142857141E-6</v>
      </c>
      <c r="AB8">
        <v>1.677061224489796E-12</v>
      </c>
      <c r="AC8">
        <v>0.40100000000000002</v>
      </c>
      <c r="AD8">
        <v>9.1849142857142857E-17</v>
      </c>
      <c r="AE8">
        <v>8.8999999999999995E-4</v>
      </c>
      <c r="AF8">
        <v>88000</v>
      </c>
      <c r="AG8">
        <f t="shared" si="8"/>
        <v>1.4853268927858868E-3</v>
      </c>
      <c r="AH8">
        <f t="shared" si="14"/>
        <v>2.4909841375831232E-15</v>
      </c>
      <c r="AI8">
        <v>1000</v>
      </c>
      <c r="AJ8">
        <f t="shared" si="9"/>
        <v>1.0204171911915885E-2</v>
      </c>
      <c r="AK8" s="83">
        <v>1.154859925093633E-3</v>
      </c>
      <c r="AL8" s="66">
        <f t="shared" si="15"/>
        <v>1.6138541981590782</v>
      </c>
      <c r="AM8" s="144">
        <v>1.6215256078742062</v>
      </c>
    </row>
    <row r="9" spans="1:43">
      <c r="A9" s="66">
        <v>3.2000000000000001E-7</v>
      </c>
      <c r="B9" s="10">
        <v>3.7945600000000002E-11</v>
      </c>
      <c r="C9" s="68">
        <v>1.9999999999999999E-6</v>
      </c>
      <c r="D9" s="68">
        <f t="shared" si="10"/>
        <v>5.7142857142857104E-8</v>
      </c>
      <c r="E9" s="253">
        <v>0.496</v>
      </c>
      <c r="F9" s="68">
        <v>1.0194612244897959E-17</v>
      </c>
      <c r="G9" s="68"/>
      <c r="H9" s="68">
        <v>8.8999999999999995E-4</v>
      </c>
      <c r="I9" s="68">
        <v>88000</v>
      </c>
      <c r="J9" s="138">
        <f t="shared" si="0"/>
        <v>3.1500206374684707E-3</v>
      </c>
      <c r="K9" s="68">
        <f t="shared" si="11"/>
        <v>1.0194612244897959E-17</v>
      </c>
      <c r="L9" s="68">
        <f t="shared" si="1"/>
        <v>1.1952942310112362E-13</v>
      </c>
      <c r="M9" s="68">
        <v>1000</v>
      </c>
      <c r="N9" s="139">
        <f t="shared" si="2"/>
        <v>7.0786980617269001E-3</v>
      </c>
      <c r="O9" s="139"/>
      <c r="P9" s="240">
        <v>1.9606052666577154</v>
      </c>
      <c r="Q9" s="138">
        <f t="shared" si="12"/>
        <v>3.7563074934974091E-3</v>
      </c>
      <c r="R9" s="68">
        <f t="shared" si="13"/>
        <v>2.3401795684488861E-16</v>
      </c>
      <c r="S9" s="10">
        <v>6.1600000000000003E-6</v>
      </c>
      <c r="T9" s="10">
        <v>1.9712000000000003E-12</v>
      </c>
      <c r="U9" s="10">
        <f t="shared" si="3"/>
        <v>7.4044333311820944E-15</v>
      </c>
      <c r="V9" s="68">
        <f t="shared" si="4"/>
        <v>2.4117544099501811E-4</v>
      </c>
      <c r="W9" s="253">
        <f t="shared" si="5"/>
        <v>1.6441537500836758</v>
      </c>
      <c r="X9" s="68">
        <f t="shared" si="6"/>
        <v>2.3401795684488861E-16</v>
      </c>
      <c r="Y9" s="67">
        <f t="shared" si="7"/>
        <v>22.955062068398558</v>
      </c>
      <c r="AA9">
        <v>6.1600000000000003E-6</v>
      </c>
      <c r="AB9">
        <v>1.9712000000000003E-12</v>
      </c>
      <c r="AC9">
        <v>0.496</v>
      </c>
      <c r="AD9">
        <v>2.3805126530612247E-16</v>
      </c>
      <c r="AE9">
        <v>8.8999999999999995E-4</v>
      </c>
      <c r="AF9">
        <v>88000</v>
      </c>
      <c r="AG9">
        <f t="shared" si="8"/>
        <v>3.8210475972090285E-3</v>
      </c>
      <c r="AH9">
        <f t="shared" si="14"/>
        <v>7.5320490236184379E-15</v>
      </c>
      <c r="AI9">
        <v>1000</v>
      </c>
      <c r="AJ9">
        <f t="shared" si="9"/>
        <v>2.6446801346974851E-2</v>
      </c>
      <c r="AK9" s="83">
        <v>3.1500206374684707E-3</v>
      </c>
      <c r="AL9" s="66">
        <f t="shared" si="15"/>
        <v>1.6369524589057329</v>
      </c>
      <c r="AM9" s="144">
        <v>1.6441537500836756</v>
      </c>
    </row>
    <row r="10" spans="1:43">
      <c r="A10" s="66">
        <v>3.6571428571428572E-7</v>
      </c>
      <c r="B10" s="10">
        <v>3.8510889795918369E-11</v>
      </c>
      <c r="C10" s="68">
        <v>1.9999999999999999E-6</v>
      </c>
      <c r="D10" s="68">
        <f t="shared" si="10"/>
        <v>5.7142857142857104E-8</v>
      </c>
      <c r="E10" s="253">
        <v>0.56599999999999995</v>
      </c>
      <c r="F10" s="68">
        <v>2.4155591836734693E-17</v>
      </c>
      <c r="G10" s="68"/>
      <c r="H10" s="68">
        <v>8.8999999999999995E-4</v>
      </c>
      <c r="I10" s="68">
        <v>88000</v>
      </c>
      <c r="J10" s="138">
        <f t="shared" si="0"/>
        <v>6.5308306581059392E-3</v>
      </c>
      <c r="K10" s="68">
        <f t="shared" si="11"/>
        <v>2.4155591836734696E-17</v>
      </c>
      <c r="L10" s="68">
        <f t="shared" si="1"/>
        <v>2.5150809975012286E-13</v>
      </c>
      <c r="M10" s="68">
        <v>1000</v>
      </c>
      <c r="N10" s="139">
        <f t="shared" si="2"/>
        <v>1.4676023950799866E-2</v>
      </c>
      <c r="O10" s="139"/>
      <c r="P10" s="240">
        <v>1.8845604953702433</v>
      </c>
      <c r="Q10" s="138">
        <f t="shared" si="12"/>
        <v>7.3766133567068687E-3</v>
      </c>
      <c r="R10" s="68">
        <f t="shared" si="13"/>
        <v>4.6297349829814656E-16</v>
      </c>
      <c r="S10" s="10">
        <v>6.2057142857142857E-6</v>
      </c>
      <c r="T10" s="10">
        <v>2.2695183673469392E-12</v>
      </c>
      <c r="U10" s="10">
        <f t="shared" si="3"/>
        <v>1.6741359501862997E-14</v>
      </c>
      <c r="V10" s="68">
        <f t="shared" si="4"/>
        <v>4.7361883510156427E-4</v>
      </c>
      <c r="W10" s="253">
        <f t="shared" si="5"/>
        <v>1.6684818445891585</v>
      </c>
      <c r="X10" s="68">
        <f t="shared" si="6"/>
        <v>4.6297349829814656E-16</v>
      </c>
      <c r="Y10" s="67">
        <f t="shared" si="7"/>
        <v>19.166307388671726</v>
      </c>
      <c r="AA10">
        <v>6.2057142857142857E-6</v>
      </c>
      <c r="AB10">
        <v>2.2695183673469392E-12</v>
      </c>
      <c r="AC10">
        <v>0.56599999999999995</v>
      </c>
      <c r="AD10">
        <v>4.6989061224489798E-16</v>
      </c>
      <c r="AE10">
        <v>8.8999999999999995E-4</v>
      </c>
      <c r="AF10">
        <v>88000</v>
      </c>
      <c r="AG10">
        <f t="shared" si="8"/>
        <v>7.4868245789842421E-3</v>
      </c>
      <c r="AH10">
        <f t="shared" si="14"/>
        <v>1.6991485895109251E-14</v>
      </c>
      <c r="AI10">
        <v>1000</v>
      </c>
      <c r="AJ10">
        <f t="shared" si="9"/>
        <v>5.2203476679145343E-2</v>
      </c>
      <c r="AK10" s="83">
        <v>6.5308306581059392E-3</v>
      </c>
      <c r="AL10" s="66">
        <f t="shared" si="15"/>
        <v>1.6616029716532605</v>
      </c>
      <c r="AM10" s="144">
        <v>1.6684818445891585</v>
      </c>
    </row>
    <row r="11" spans="1:43">
      <c r="A11" s="66">
        <v>4.3428571428571429E-7</v>
      </c>
      <c r="B11" s="10">
        <v>3.9366661224489801E-11</v>
      </c>
      <c r="C11" s="68">
        <v>1.9999999999999999E-6</v>
      </c>
      <c r="D11" s="68">
        <f t="shared" si="10"/>
        <v>5.7142857142857104E-8</v>
      </c>
      <c r="E11" s="253">
        <v>0.64400000000000002</v>
      </c>
      <c r="F11" s="68">
        <v>6.4677877551020415E-17</v>
      </c>
      <c r="G11" s="68"/>
      <c r="H11" s="68">
        <v>8.8999999999999995E-4</v>
      </c>
      <c r="I11" s="68">
        <v>88000</v>
      </c>
      <c r="J11" s="138">
        <f t="shared" si="0"/>
        <v>1.4725596012503169E-2</v>
      </c>
      <c r="K11" s="68">
        <f t="shared" si="11"/>
        <v>6.4677877551020415E-17</v>
      </c>
      <c r="L11" s="68">
        <f t="shared" si="1"/>
        <v>5.7969754955291013E-13</v>
      </c>
      <c r="M11" s="68">
        <v>1000</v>
      </c>
      <c r="N11" s="139">
        <f t="shared" si="2"/>
        <v>3.3091226994389149E-2</v>
      </c>
      <c r="O11" s="139"/>
      <c r="P11" s="240">
        <v>1.7932237526435097</v>
      </c>
      <c r="Q11" s="138">
        <f t="shared" si="12"/>
        <v>1.5499175729874077E-2</v>
      </c>
      <c r="R11" s="68">
        <f t="shared" si="13"/>
        <v>9.8351327965893153E-16</v>
      </c>
      <c r="S11" s="10">
        <v>6.2742857142857142E-6</v>
      </c>
      <c r="T11" s="10">
        <v>2.7248326530612247E-12</v>
      </c>
      <c r="U11" s="10">
        <f t="shared" si="3"/>
        <v>4.2232660124294926E-14</v>
      </c>
      <c r="V11" s="68">
        <f t="shared" si="4"/>
        <v>9.9513166804969934E-4</v>
      </c>
      <c r="W11" s="253">
        <f t="shared" si="5"/>
        <v>1.7037221205612962</v>
      </c>
      <c r="X11" s="68">
        <f t="shared" si="6"/>
        <v>9.8351327965893153E-16</v>
      </c>
      <c r="Y11" s="67">
        <f t="shared" si="7"/>
        <v>15.206332008701091</v>
      </c>
      <c r="AA11">
        <v>6.2742857142857142E-6</v>
      </c>
      <c r="AB11">
        <v>2.7248326530612247E-12</v>
      </c>
      <c r="AC11">
        <v>0.64400000000000002</v>
      </c>
      <c r="AD11">
        <v>9.9571591836734712E-16</v>
      </c>
      <c r="AE11">
        <v>8.8999999999999995E-4</v>
      </c>
      <c r="AF11">
        <v>88000</v>
      </c>
      <c r="AG11">
        <f t="shared" si="8"/>
        <v>1.5691476988658793E-2</v>
      </c>
      <c r="AH11">
        <f t="shared" si="14"/>
        <v>4.2756648873456294E-14</v>
      </c>
      <c r="AI11">
        <v>1000</v>
      </c>
      <c r="AJ11">
        <f t="shared" si="9"/>
        <v>0.11062113472582573</v>
      </c>
      <c r="AK11" s="83">
        <v>1.4725596012503169E-2</v>
      </c>
      <c r="AL11" s="66">
        <f t="shared" si="15"/>
        <v>1.6972565986763055</v>
      </c>
      <c r="AM11" s="144">
        <v>1.703722120561296</v>
      </c>
    </row>
    <row r="12" spans="1:43" ht="16.5" thickBot="1">
      <c r="A12" s="69">
        <v>5.2571428571428567E-7</v>
      </c>
      <c r="B12" s="51">
        <v>4.0522318367346942E-11</v>
      </c>
      <c r="C12" s="68">
        <v>1.9999999999999999E-6</v>
      </c>
      <c r="D12" s="68">
        <f t="shared" si="10"/>
        <v>5.7142857142857104E-8</v>
      </c>
      <c r="E12" s="254">
        <v>0.71599999999999997</v>
      </c>
      <c r="F12" s="59">
        <v>1.7238791836734695E-16</v>
      </c>
      <c r="G12" s="59"/>
      <c r="H12" s="59">
        <v>8.8999999999999995E-4</v>
      </c>
      <c r="I12" s="59">
        <v>88000</v>
      </c>
      <c r="J12" s="140">
        <f t="shared" si="0"/>
        <v>3.2422739898108739E-2</v>
      </c>
      <c r="K12" s="68">
        <f t="shared" si="11"/>
        <v>1.7238791836734695E-16</v>
      </c>
      <c r="L12" s="59">
        <f t="shared" si="1"/>
        <v>1.3138445884928443E-12</v>
      </c>
      <c r="M12" s="59">
        <v>1000</v>
      </c>
      <c r="N12" s="139">
        <f t="shared" si="2"/>
        <v>7.2860089658671315E-2</v>
      </c>
      <c r="O12" s="139"/>
      <c r="P12" s="267">
        <v>1.7056621389267095</v>
      </c>
      <c r="Q12" s="140">
        <f t="shared" si="12"/>
        <v>3.1678886294654762E-2</v>
      </c>
      <c r="R12" s="68">
        <f t="shared" si="13"/>
        <v>2.0395031562141827E-15</v>
      </c>
      <c r="S12" s="51">
        <v>6.3657142857142859E-6</v>
      </c>
      <c r="T12" s="51">
        <v>3.3465469387755104E-12</v>
      </c>
      <c r="U12" s="51">
        <f t="shared" si="3"/>
        <v>1.0601487995319437E-13</v>
      </c>
      <c r="V12" s="68">
        <f t="shared" si="4"/>
        <v>2.0339573864946868E-3</v>
      </c>
      <c r="W12" s="254">
        <f t="shared" si="5"/>
        <v>1.7457128817626322</v>
      </c>
      <c r="X12" s="59">
        <f t="shared" si="6"/>
        <v>2.0395031562141823E-15</v>
      </c>
      <c r="Y12" s="70">
        <f t="shared" si="7"/>
        <v>11.830893809322179</v>
      </c>
      <c r="AA12">
        <v>6.3657142857142859E-6</v>
      </c>
      <c r="AB12">
        <v>3.3465469387755104E-12</v>
      </c>
      <c r="AC12">
        <v>0.71599999999999997</v>
      </c>
      <c r="AD12">
        <v>2.0600522448979589E-15</v>
      </c>
      <c r="AE12">
        <v>8.8999999999999995E-4</v>
      </c>
      <c r="AF12">
        <v>88000</v>
      </c>
      <c r="AG12">
        <f t="shared" si="8"/>
        <v>3.1998068072770024E-2</v>
      </c>
      <c r="AH12">
        <f t="shared" si="14"/>
        <v>1.0708303675565892E-13</v>
      </c>
      <c r="AI12">
        <v>1000</v>
      </c>
      <c r="AJ12">
        <f t="shared" si="9"/>
        <v>0.22886579668100041</v>
      </c>
      <c r="AK12" s="84">
        <v>3.2422739898108739E-2</v>
      </c>
      <c r="AL12" s="69">
        <f t="shared" si="15"/>
        <v>1.7397470310813323</v>
      </c>
      <c r="AM12" s="145">
        <v>1.7457128817626324</v>
      </c>
    </row>
    <row r="13" spans="1:43">
      <c r="A13" s="10"/>
      <c r="B13" s="10"/>
      <c r="C13" s="10"/>
      <c r="D13" s="10"/>
      <c r="E13" s="253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10"/>
    </row>
    <row r="14" spans="1:43">
      <c r="A14" s="148" t="s">
        <v>209</v>
      </c>
      <c r="B14" s="148" t="s">
        <v>316</v>
      </c>
      <c r="Q14" s="148" t="s">
        <v>209</v>
      </c>
      <c r="R14" s="148" t="s">
        <v>320</v>
      </c>
      <c r="S14" s="148" t="s">
        <v>322</v>
      </c>
    </row>
    <row r="15" spans="1:43" ht="16.5" thickBot="1">
      <c r="A15" s="77"/>
      <c r="B15" s="77"/>
      <c r="C15" s="77"/>
      <c r="D15" s="77"/>
      <c r="E15" s="275"/>
      <c r="F15" s="279"/>
      <c r="G15" s="279"/>
      <c r="H15" s="91"/>
      <c r="I15" s="91"/>
      <c r="J15" s="76"/>
      <c r="K15" s="76"/>
      <c r="L15" s="91"/>
      <c r="M15" s="91"/>
      <c r="N15" s="76"/>
      <c r="P15" s="77"/>
      <c r="Q15" s="76"/>
      <c r="V15" s="76"/>
      <c r="W15" s="76"/>
      <c r="X15" s="76"/>
      <c r="Z15" s="77"/>
      <c r="AA15" s="77"/>
      <c r="AB15" s="76"/>
      <c r="AC15" s="77"/>
      <c r="AD15" s="91"/>
      <c r="AE15" s="91"/>
      <c r="AF15" s="76"/>
      <c r="AG15" s="91"/>
      <c r="AH15" s="91"/>
      <c r="AI15" s="76"/>
      <c r="AJ15" s="77"/>
    </row>
    <row r="16" spans="1:43">
      <c r="A16" s="63" t="s">
        <v>312</v>
      </c>
      <c r="B16" s="64" t="s">
        <v>311</v>
      </c>
      <c r="C16" s="64" t="s">
        <v>374</v>
      </c>
      <c r="D16" s="64" t="s">
        <v>376</v>
      </c>
      <c r="E16" s="276" t="s">
        <v>306</v>
      </c>
      <c r="F16" s="237" t="s">
        <v>307</v>
      </c>
      <c r="G16" s="237"/>
      <c r="H16" s="64" t="s">
        <v>310</v>
      </c>
      <c r="I16" s="64" t="s">
        <v>12</v>
      </c>
      <c r="J16" s="63" t="s">
        <v>317</v>
      </c>
      <c r="K16" s="64" t="s">
        <v>407</v>
      </c>
      <c r="L16" s="64" t="s">
        <v>313</v>
      </c>
      <c r="M16" s="64" t="s">
        <v>314</v>
      </c>
      <c r="N16" s="65" t="s">
        <v>315</v>
      </c>
      <c r="O16" s="65" t="s">
        <v>488</v>
      </c>
      <c r="P16" s="65" t="s">
        <v>309</v>
      </c>
      <c r="Q16" s="63" t="s">
        <v>318</v>
      </c>
      <c r="R16" s="64" t="s">
        <v>408</v>
      </c>
      <c r="S16" s="64" t="s">
        <v>312</v>
      </c>
      <c r="T16" s="64" t="s">
        <v>311</v>
      </c>
      <c r="U16" s="64" t="s">
        <v>313</v>
      </c>
      <c r="V16" s="64" t="s">
        <v>319</v>
      </c>
      <c r="W16" s="64" t="s">
        <v>326</v>
      </c>
      <c r="X16" s="64" t="s">
        <v>308</v>
      </c>
      <c r="Y16" s="65" t="s">
        <v>59</v>
      </c>
      <c r="Z16" s="65" t="s">
        <v>323</v>
      </c>
      <c r="AA16" s="82" t="s">
        <v>489</v>
      </c>
      <c r="AB16" s="141" t="s">
        <v>59</v>
      </c>
      <c r="AL16" s="141"/>
      <c r="AM16" s="142"/>
      <c r="AN16" s="143"/>
    </row>
    <row r="17" spans="1:40">
      <c r="A17" s="66">
        <v>5.0999999999999999E-7</v>
      </c>
      <c r="B17" s="10">
        <v>8.2446400000000013E-11</v>
      </c>
      <c r="C17" s="68">
        <v>3.0000000000000001E-6</v>
      </c>
      <c r="D17" s="68">
        <v>1.4999999999999999E-7</v>
      </c>
      <c r="E17" s="253">
        <v>0.13500000000000001</v>
      </c>
      <c r="F17" s="68">
        <v>6.3342600000000015E-19</v>
      </c>
      <c r="G17" s="68"/>
      <c r="H17" s="68">
        <v>8.8999999999999995E-4</v>
      </c>
      <c r="I17" s="68">
        <v>88000</v>
      </c>
      <c r="J17" s="138">
        <f t="shared" ref="J17:J24" si="16">(F17*I17)/(A17*H17)</f>
        <v>1.228056576338401E-4</v>
      </c>
      <c r="K17" s="68">
        <f t="shared" ref="K17:K24" si="17">(J17*A17*H17)/I17</f>
        <v>6.3342600000000015E-19</v>
      </c>
      <c r="L17" s="68">
        <f t="shared" ref="L17:L24" si="18">J17*B17</f>
        <v>1.0124884371542636E-14</v>
      </c>
      <c r="M17" s="68">
        <v>1000</v>
      </c>
      <c r="N17" s="139">
        <f t="shared" ref="N17:N24" si="19">(M17*J17*C17)/H17</f>
        <v>4.139516549455285E-4</v>
      </c>
      <c r="O17" s="240">
        <v>1.7252165692762662</v>
      </c>
      <c r="P17" s="240">
        <v>2.0578002999999998</v>
      </c>
      <c r="Q17" s="68">
        <f t="shared" ref="Q17:Q24" si="20">SQRT((J17^2*(P17^2-1))/2)</f>
        <v>1.5617437611095445E-4</v>
      </c>
      <c r="R17" s="68">
        <f t="shared" ref="R17:R24" si="21">(Q17*H17*S17)/I17</f>
        <v>1.4341776911680054E-17</v>
      </c>
      <c r="S17" s="68">
        <v>9.0799999999999995E-6</v>
      </c>
      <c r="T17" s="10">
        <v>4.6308000000000008E-12</v>
      </c>
      <c r="U17" s="10">
        <f t="shared" ref="U17:U23" si="22">Q17*T17</f>
        <v>7.2321230089460796E-16</v>
      </c>
      <c r="V17" s="68">
        <f t="shared" ref="V17:V23" si="23">(M17*Q17*D17)/H17</f>
        <v>2.6321524063644007E-5</v>
      </c>
      <c r="W17" s="253">
        <f t="shared" ref="W17:W23" si="24">SQRT((2*Q17^2+J17^2))/Q17</f>
        <v>1.6181240829230228</v>
      </c>
      <c r="X17" s="68">
        <f t="shared" ref="X17:X23" si="25">Q17*S17*H17/I17</f>
        <v>1.4341776911680057E-17</v>
      </c>
      <c r="Y17" s="67">
        <f t="shared" ref="Y17:Y23" si="26">X17/F17</f>
        <v>22.641598089879565</v>
      </c>
      <c r="Z17" s="67"/>
      <c r="AA17" s="83"/>
      <c r="AB17" s="83">
        <v>18.032414204658476</v>
      </c>
      <c r="AL17" s="83"/>
      <c r="AM17" s="66"/>
      <c r="AN17" s="144"/>
    </row>
    <row r="18" spans="1:40">
      <c r="A18" s="66">
        <v>5.5000000000000003E-7</v>
      </c>
      <c r="B18" s="10">
        <v>8.3174400000000002E-11</v>
      </c>
      <c r="C18" s="68">
        <v>3.0000000000000001E-6</v>
      </c>
      <c r="D18" s="68">
        <v>1.4999999999999999E-7</v>
      </c>
      <c r="E18" s="253">
        <v>0.20599999999999999</v>
      </c>
      <c r="F18" s="68">
        <v>2.5614800000000003E-18</v>
      </c>
      <c r="G18" s="68"/>
      <c r="H18" s="68">
        <v>8.8999999999999995E-4</v>
      </c>
      <c r="I18" s="68">
        <v>88000</v>
      </c>
      <c r="J18" s="138">
        <f t="shared" si="16"/>
        <v>4.6049078651685396E-4</v>
      </c>
      <c r="K18" s="68">
        <f t="shared" si="17"/>
        <v>2.5614800000000003E-18</v>
      </c>
      <c r="L18" s="68">
        <f t="shared" si="18"/>
        <v>3.8301044874067418E-14</v>
      </c>
      <c r="M18" s="68">
        <v>1000</v>
      </c>
      <c r="N18" s="139">
        <f t="shared" si="19"/>
        <v>1.5522161343264741E-3</v>
      </c>
      <c r="O18" s="240">
        <v>1.7796016994954729</v>
      </c>
      <c r="P18" s="240">
        <v>2.0307539999999999</v>
      </c>
      <c r="Q18" s="68">
        <f t="shared" si="20"/>
        <v>5.7551785968076581E-4</v>
      </c>
      <c r="R18" s="68">
        <f t="shared" si="21"/>
        <v>5.3083674584736824E-17</v>
      </c>
      <c r="S18" s="68">
        <v>9.1200000000000008E-6</v>
      </c>
      <c r="T18" s="10">
        <v>5.0160000000000004E-12</v>
      </c>
      <c r="U18" s="10">
        <f t="shared" si="22"/>
        <v>2.8867975841587216E-15</v>
      </c>
      <c r="V18" s="68">
        <f t="shared" si="23"/>
        <v>9.6997392081027957E-5</v>
      </c>
      <c r="W18" s="253">
        <f t="shared" si="24"/>
        <v>1.6248731311326503</v>
      </c>
      <c r="X18" s="68">
        <f t="shared" si="25"/>
        <v>5.3083674584736811E-17</v>
      </c>
      <c r="Y18" s="67">
        <f t="shared" si="26"/>
        <v>20.723829420778927</v>
      </c>
      <c r="Z18" s="67"/>
      <c r="AA18" s="83"/>
      <c r="AB18" s="83">
        <v>17.560550931492731</v>
      </c>
      <c r="AL18" s="83"/>
      <c r="AM18" s="66"/>
      <c r="AN18" s="144"/>
    </row>
    <row r="19" spans="1:40">
      <c r="A19" s="66">
        <v>5.8999999999999996E-7</v>
      </c>
      <c r="B19" s="10">
        <v>8.3905600000000004E-11</v>
      </c>
      <c r="C19" s="68">
        <v>3.0000000000000001E-6</v>
      </c>
      <c r="D19" s="68">
        <v>1.4999999999999999E-7</v>
      </c>
      <c r="E19" s="253">
        <v>0.26800000000000002</v>
      </c>
      <c r="F19" s="68">
        <v>6.7801500000000009E-18</v>
      </c>
      <c r="G19" s="68"/>
      <c r="H19" s="68">
        <v>8.8999999999999995E-4</v>
      </c>
      <c r="I19" s="68">
        <v>88000</v>
      </c>
      <c r="J19" s="138">
        <f t="shared" si="16"/>
        <v>1.1362658541230245E-3</v>
      </c>
      <c r="K19" s="68">
        <f t="shared" si="17"/>
        <v>6.7801500000000016E-18</v>
      </c>
      <c r="L19" s="68">
        <f t="shared" si="18"/>
        <v>9.5339068249704849E-14</v>
      </c>
      <c r="M19" s="68">
        <v>1000</v>
      </c>
      <c r="N19" s="139">
        <f t="shared" si="19"/>
        <v>3.8301096206394083E-3</v>
      </c>
      <c r="O19" s="240">
        <v>1.7921905037663735</v>
      </c>
      <c r="P19" s="240">
        <v>2.0010340000000002</v>
      </c>
      <c r="Q19" s="68">
        <f t="shared" si="20"/>
        <v>1.3925949957009365E-3</v>
      </c>
      <c r="R19" s="68">
        <f t="shared" si="21"/>
        <v>1.2901126639718539E-16</v>
      </c>
      <c r="S19" s="68">
        <v>9.1600000000000004E-6</v>
      </c>
      <c r="T19" s="10">
        <v>5.4044000000000007E-12</v>
      </c>
      <c r="U19" s="10">
        <f t="shared" si="22"/>
        <v>7.5261403947661426E-15</v>
      </c>
      <c r="V19" s="68">
        <f t="shared" si="23"/>
        <v>2.3470702174734886E-4</v>
      </c>
      <c r="W19" s="253">
        <f t="shared" si="24"/>
        <v>1.6327120334040732</v>
      </c>
      <c r="X19" s="68">
        <f t="shared" si="25"/>
        <v>1.2901126639718539E-16</v>
      </c>
      <c r="Y19" s="67">
        <f t="shared" si="26"/>
        <v>19.027789414273339</v>
      </c>
      <c r="Z19" s="67"/>
      <c r="AA19" s="83"/>
      <c r="AB19" s="83">
        <v>16.590783389748015</v>
      </c>
      <c r="AL19" s="83"/>
      <c r="AM19" s="66"/>
      <c r="AN19" s="144"/>
    </row>
    <row r="20" spans="1:40">
      <c r="A20" s="66">
        <v>6.7000000000000004E-7</v>
      </c>
      <c r="B20" s="10">
        <v>8.5377600000000004E-11</v>
      </c>
      <c r="C20" s="68">
        <v>3.0000000000000001E-6</v>
      </c>
      <c r="D20" s="68">
        <v>1.4999999999999999E-7</v>
      </c>
      <c r="E20" s="253">
        <v>0.36799999999999999</v>
      </c>
      <c r="F20" s="68">
        <v>2.6364100000000003E-17</v>
      </c>
      <c r="G20" s="68"/>
      <c r="H20" s="68">
        <v>8.8999999999999995E-4</v>
      </c>
      <c r="I20" s="68">
        <v>88000</v>
      </c>
      <c r="J20" s="138">
        <f t="shared" si="16"/>
        <v>3.8907274861646828E-3</v>
      </c>
      <c r="K20" s="68">
        <f t="shared" si="17"/>
        <v>2.6364100000000003E-17</v>
      </c>
      <c r="L20" s="68">
        <f t="shared" si="18"/>
        <v>3.3218097502277383E-13</v>
      </c>
      <c r="M20" s="68">
        <v>1000</v>
      </c>
      <c r="N20" s="139">
        <f t="shared" si="19"/>
        <v>1.3114811751116911E-2</v>
      </c>
      <c r="O20" s="240">
        <v>1.7739304171030603</v>
      </c>
      <c r="P20" s="240">
        <v>1.8998740000000001</v>
      </c>
      <c r="Q20" s="68">
        <f t="shared" si="20"/>
        <v>4.4442269772442004E-3</v>
      </c>
      <c r="R20" s="68">
        <f t="shared" si="21"/>
        <v>4.1531301102347049E-16</v>
      </c>
      <c r="S20" s="68">
        <v>9.2399999999999996E-6</v>
      </c>
      <c r="T20" s="10">
        <v>6.1908000000000006E-12</v>
      </c>
      <c r="U20" s="10">
        <f t="shared" si="22"/>
        <v>2.7513320370723399E-14</v>
      </c>
      <c r="V20" s="68">
        <f t="shared" si="23"/>
        <v>7.4902701863666305E-4</v>
      </c>
      <c r="W20" s="253">
        <f t="shared" si="24"/>
        <v>1.6632570815798529</v>
      </c>
      <c r="X20" s="68">
        <f t="shared" si="25"/>
        <v>4.1531301102347049E-16</v>
      </c>
      <c r="Y20" s="67">
        <f t="shared" si="26"/>
        <v>15.752975107190098</v>
      </c>
      <c r="Z20" s="67"/>
      <c r="AA20" s="83"/>
      <c r="AB20" s="83">
        <v>14.489058985514392</v>
      </c>
      <c r="AL20" s="83"/>
      <c r="AM20" s="66"/>
      <c r="AN20" s="144"/>
    </row>
    <row r="21" spans="1:40">
      <c r="A21" s="66">
        <v>7.9000000000000006E-7</v>
      </c>
      <c r="B21" s="10">
        <v>8.760960000000001E-11</v>
      </c>
      <c r="C21" s="68">
        <v>3.0000000000000001E-6</v>
      </c>
      <c r="D21" s="68">
        <v>1.4999999999999999E-7</v>
      </c>
      <c r="E21" s="253">
        <v>0.48</v>
      </c>
      <c r="F21" s="68">
        <v>1.01917E-16</v>
      </c>
      <c r="G21" s="68"/>
      <c r="H21" s="68">
        <v>8.8999999999999995E-4</v>
      </c>
      <c r="I21" s="68">
        <v>88000</v>
      </c>
      <c r="J21" s="138">
        <f t="shared" si="16"/>
        <v>1.2755932299815104E-2</v>
      </c>
      <c r="K21" s="68">
        <f t="shared" si="17"/>
        <v>1.0191700000000001E-16</v>
      </c>
      <c r="L21" s="68">
        <f t="shared" si="18"/>
        <v>1.1175421264138814E-12</v>
      </c>
      <c r="M21" s="68">
        <v>1000</v>
      </c>
      <c r="N21" s="139">
        <f t="shared" si="19"/>
        <v>4.2997524606118331E-2</v>
      </c>
      <c r="O21" s="240">
        <v>11.216815037624633</v>
      </c>
      <c r="P21" s="240">
        <v>1.7739304171030603</v>
      </c>
      <c r="Q21" s="68">
        <f t="shared" si="20"/>
        <v>1.3215875752422812E-2</v>
      </c>
      <c r="R21" s="68">
        <f t="shared" si="21"/>
        <v>1.2510628564543522E-15</v>
      </c>
      <c r="S21" s="68">
        <v>9.3600000000000002E-6</v>
      </c>
      <c r="T21" s="10">
        <v>7.3944000000000001E-12</v>
      </c>
      <c r="U21" s="10">
        <f t="shared" si="22"/>
        <v>9.772347166371524E-14</v>
      </c>
      <c r="V21" s="68">
        <f t="shared" si="23"/>
        <v>2.2273947897341823E-3</v>
      </c>
      <c r="W21" s="253">
        <f t="shared" si="24"/>
        <v>1.712193480708313</v>
      </c>
      <c r="X21" s="68">
        <f t="shared" si="25"/>
        <v>1.2510628564543522E-15</v>
      </c>
      <c r="Y21" s="67">
        <f t="shared" si="26"/>
        <v>12.275310855444648</v>
      </c>
      <c r="Z21" s="67"/>
      <c r="AA21" s="83"/>
      <c r="AB21" s="83">
        <v>11.951097461659979</v>
      </c>
      <c r="AL21" s="83"/>
      <c r="AM21" s="66"/>
      <c r="AN21" s="144"/>
    </row>
    <row r="22" spans="1:40">
      <c r="A22" s="66">
        <v>9.5000000000000001E-7</v>
      </c>
      <c r="B22" s="10">
        <v>9.0630400000000013E-11</v>
      </c>
      <c r="C22" s="68">
        <v>3.0000000000000001E-6</v>
      </c>
      <c r="D22" s="68">
        <v>1.4999999999999999E-7</v>
      </c>
      <c r="E22" s="253">
        <v>0.58399999999999996</v>
      </c>
      <c r="F22" s="68">
        <v>3.4640400000000004E-16</v>
      </c>
      <c r="G22" s="68"/>
      <c r="H22" s="68">
        <v>8.8999999999999995E-4</v>
      </c>
      <c r="I22" s="68">
        <v>88000</v>
      </c>
      <c r="J22" s="138">
        <f t="shared" si="16"/>
        <v>3.6053875813128335E-2</v>
      </c>
      <c r="K22" s="68">
        <f t="shared" si="17"/>
        <v>3.4640400000000004E-16</v>
      </c>
      <c r="L22" s="68">
        <f t="shared" si="18"/>
        <v>3.2675771864941468E-12</v>
      </c>
      <c r="M22" s="68">
        <v>1000</v>
      </c>
      <c r="N22" s="139">
        <f t="shared" si="19"/>
        <v>0.12152991847121911</v>
      </c>
      <c r="O22" s="240">
        <v>1.6578262543928644</v>
      </c>
      <c r="P22" s="240">
        <v>1.6578262543928644</v>
      </c>
      <c r="Q22" s="68">
        <f t="shared" si="20"/>
        <v>3.3709775132608338E-2</v>
      </c>
      <c r="R22" s="68">
        <f t="shared" si="21"/>
        <v>3.2456384402677716E-15</v>
      </c>
      <c r="S22" s="68">
        <v>9.5200000000000003E-6</v>
      </c>
      <c r="T22" s="10">
        <v>9.0440000000000006E-12</v>
      </c>
      <c r="U22" s="10">
        <f t="shared" si="22"/>
        <v>3.0487120629930982E-13</v>
      </c>
      <c r="V22" s="68">
        <f t="shared" si="23"/>
        <v>5.6814227751587083E-3</v>
      </c>
      <c r="W22" s="253">
        <f t="shared" si="24"/>
        <v>1.7731077012675156</v>
      </c>
      <c r="X22" s="68">
        <f t="shared" si="25"/>
        <v>3.245638440267772E-15</v>
      </c>
      <c r="Y22" s="67">
        <f t="shared" si="26"/>
        <v>9.3695177892511978</v>
      </c>
      <c r="Z22" s="67"/>
      <c r="AA22" s="83"/>
      <c r="AB22" s="83">
        <v>9.459244119582916</v>
      </c>
      <c r="AL22" s="83"/>
      <c r="AM22" s="66"/>
      <c r="AN22" s="144"/>
    </row>
    <row r="23" spans="1:40">
      <c r="A23" s="66">
        <v>1.0699999999999999E-6</v>
      </c>
      <c r="B23" s="10">
        <v>9.2929600000000011E-11</v>
      </c>
      <c r="C23" s="68">
        <v>3.0000000000000001E-6</v>
      </c>
      <c r="D23" s="68">
        <v>1.4999999999999999E-7</v>
      </c>
      <c r="E23" s="253">
        <v>0.64100000000000001</v>
      </c>
      <c r="F23" s="68">
        <v>6.8992600000000008E-16</v>
      </c>
      <c r="G23" s="68"/>
      <c r="H23" s="68">
        <v>8.8999999999999995E-4</v>
      </c>
      <c r="I23" s="68">
        <v>88000</v>
      </c>
      <c r="J23" s="138">
        <f t="shared" si="16"/>
        <v>6.3754581539430866E-2</v>
      </c>
      <c r="K23" s="68">
        <f t="shared" si="17"/>
        <v>6.8992600000000018E-16</v>
      </c>
      <c r="L23" s="68">
        <f t="shared" si="18"/>
        <v>5.9246877606266954E-12</v>
      </c>
      <c r="M23" s="68">
        <v>1000</v>
      </c>
      <c r="N23" s="139">
        <f t="shared" si="19"/>
        <v>0.21490308384077819</v>
      </c>
      <c r="O23" s="240">
        <v>1.6203259427081687</v>
      </c>
      <c r="P23" s="240">
        <v>1.6203259427081687</v>
      </c>
      <c r="Q23" s="68">
        <f t="shared" si="20"/>
        <v>5.7475668617364688E-2</v>
      </c>
      <c r="R23" s="68">
        <f t="shared" si="21"/>
        <v>5.6036164371538869E-15</v>
      </c>
      <c r="S23" s="68">
        <v>9.6400000000000009E-6</v>
      </c>
      <c r="T23" s="10">
        <v>1.0314800000000001E-11</v>
      </c>
      <c r="U23" s="10">
        <f t="shared" si="22"/>
        <v>5.9285002665439339E-13</v>
      </c>
      <c r="V23" s="68">
        <f t="shared" si="23"/>
        <v>9.6869104411288799E-3</v>
      </c>
      <c r="W23" s="253">
        <f t="shared" si="24"/>
        <v>1.7973379852710911</v>
      </c>
      <c r="X23" s="68">
        <f t="shared" si="25"/>
        <v>5.6036164371538869E-15</v>
      </c>
      <c r="Y23" s="67">
        <f t="shared" si="26"/>
        <v>8.122054303148289</v>
      </c>
      <c r="Z23" s="67"/>
      <c r="AA23" s="83"/>
      <c r="AB23" s="83">
        <v>8.1901827152477225</v>
      </c>
      <c r="AL23" s="83"/>
      <c r="AM23" s="66"/>
      <c r="AN23" s="144"/>
    </row>
    <row r="24" spans="1:40" ht="16.5" thickBot="1">
      <c r="A24" s="69">
        <v>1.19E-6</v>
      </c>
      <c r="B24" s="51">
        <v>9.5257600000000013E-11</v>
      </c>
      <c r="C24" s="59">
        <v>3.0000000000000001E-6</v>
      </c>
      <c r="D24" s="59">
        <v>1.4999999999999999E-7</v>
      </c>
      <c r="E24" s="254">
        <v>0.68700000000000006</v>
      </c>
      <c r="F24" s="59">
        <v>1.21802E-15</v>
      </c>
      <c r="G24" s="59"/>
      <c r="H24" s="59">
        <v>8.8999999999999995E-4</v>
      </c>
      <c r="I24" s="59">
        <v>88000</v>
      </c>
      <c r="J24" s="140">
        <f t="shared" si="16"/>
        <v>0.10120456991785479</v>
      </c>
      <c r="K24" s="59">
        <f t="shared" si="17"/>
        <v>1.21802E-15</v>
      </c>
      <c r="L24" s="59">
        <f t="shared" si="18"/>
        <v>9.6405044394070448E-12</v>
      </c>
      <c r="M24" s="59">
        <v>1000</v>
      </c>
      <c r="N24" s="236">
        <f t="shared" si="19"/>
        <v>0.34113899972310602</v>
      </c>
      <c r="O24" s="236"/>
      <c r="P24" s="267">
        <v>1.5444</v>
      </c>
      <c r="Q24" s="59">
        <f t="shared" si="20"/>
        <v>8.4224196696195686E-2</v>
      </c>
      <c r="R24" s="59">
        <f t="shared" si="21"/>
        <v>8.3136938884299322E-15</v>
      </c>
      <c r="S24" s="59">
        <v>9.7599999999999997E-6</v>
      </c>
      <c r="T24" s="51">
        <v>1.1614400000000001E-11</v>
      </c>
      <c r="U24" s="51">
        <f t="shared" ref="U24" si="27">Q24*T24</f>
        <v>9.7821351010829524E-13</v>
      </c>
      <c r="V24" s="59">
        <f t="shared" ref="V24" si="28">(M24*Q24*D24)/H24</f>
        <v>1.41950893308195E-2</v>
      </c>
      <c r="W24" s="254">
        <f t="shared" ref="W24" si="29">SQRT((2*Q24^2+J24^2))/Q24</f>
        <v>1.8557652540744844</v>
      </c>
      <c r="X24" s="59">
        <f t="shared" ref="X24" si="30">Q24*S24*H24/I24</f>
        <v>8.3136938884299322E-15</v>
      </c>
      <c r="Y24" s="70">
        <f t="shared" ref="Y24" si="31">X24/F24</f>
        <v>6.8255807691416663</v>
      </c>
      <c r="Z24" s="70"/>
      <c r="AA24" s="84"/>
      <c r="AB24" s="84"/>
      <c r="AL24" s="84"/>
      <c r="AM24" s="69"/>
      <c r="AN24" s="145"/>
    </row>
    <row r="25" spans="1:40">
      <c r="P25" s="274"/>
      <c r="W25" s="274"/>
    </row>
    <row r="26" spans="1:40">
      <c r="A26" s="10"/>
      <c r="B26" s="10"/>
      <c r="C26" s="10"/>
      <c r="D26" s="68"/>
      <c r="E26" s="253"/>
      <c r="F26" s="68"/>
      <c r="G26" s="68"/>
      <c r="H26" s="10"/>
      <c r="I26" s="10"/>
      <c r="J26" s="10"/>
      <c r="K26" s="10"/>
      <c r="L26" s="10"/>
      <c r="M26" s="10"/>
      <c r="N26" s="10"/>
      <c r="O26" s="10"/>
      <c r="P26" s="253"/>
      <c r="Q26" s="10"/>
      <c r="R26" s="10"/>
      <c r="S26" s="10"/>
      <c r="T26" s="10"/>
      <c r="U26" s="10"/>
      <c r="V26" s="10"/>
      <c r="W26" s="253"/>
      <c r="X26" s="10"/>
      <c r="Y26" s="10"/>
    </row>
    <row r="27" spans="1:40">
      <c r="A27" s="148" t="s">
        <v>208</v>
      </c>
      <c r="B27" s="148" t="s">
        <v>316</v>
      </c>
      <c r="P27" s="274"/>
      <c r="Q27" s="148" t="s">
        <v>208</v>
      </c>
      <c r="R27" s="148" t="s">
        <v>320</v>
      </c>
      <c r="S27" s="148" t="s">
        <v>322</v>
      </c>
      <c r="W27" s="274"/>
    </row>
    <row r="28" spans="1:40" ht="16.5" thickBot="1">
      <c r="A28" s="77"/>
      <c r="B28" s="77"/>
      <c r="C28" s="77"/>
      <c r="D28" s="77"/>
      <c r="E28" s="275"/>
      <c r="F28" s="279"/>
      <c r="G28" s="279"/>
      <c r="H28" s="91"/>
      <c r="I28" s="91"/>
      <c r="J28" s="76"/>
      <c r="K28" s="76"/>
      <c r="L28" s="91"/>
      <c r="M28" s="91"/>
      <c r="N28" s="76"/>
      <c r="P28" s="278"/>
      <c r="Q28" s="76"/>
      <c r="V28" s="76"/>
      <c r="W28" s="275"/>
      <c r="X28" s="76"/>
      <c r="Z28" s="77"/>
      <c r="AA28" s="77"/>
      <c r="AB28" s="76"/>
    </row>
    <row r="29" spans="1:40">
      <c r="A29" s="63" t="s">
        <v>312</v>
      </c>
      <c r="B29" s="64" t="s">
        <v>311</v>
      </c>
      <c r="C29" s="64" t="s">
        <v>374</v>
      </c>
      <c r="D29" s="64" t="s">
        <v>376</v>
      </c>
      <c r="E29" s="276" t="s">
        <v>306</v>
      </c>
      <c r="F29" s="237" t="s">
        <v>307</v>
      </c>
      <c r="G29" s="237"/>
      <c r="H29" s="64" t="s">
        <v>310</v>
      </c>
      <c r="I29" s="65" t="s">
        <v>12</v>
      </c>
      <c r="J29" s="64" t="s">
        <v>317</v>
      </c>
      <c r="K29" s="64" t="s">
        <v>407</v>
      </c>
      <c r="L29" s="64" t="s">
        <v>313</v>
      </c>
      <c r="M29" s="64" t="s">
        <v>314</v>
      </c>
      <c r="N29" s="65" t="s">
        <v>315</v>
      </c>
      <c r="O29" s="141" t="s">
        <v>488</v>
      </c>
      <c r="P29" s="280" t="s">
        <v>309</v>
      </c>
      <c r="Q29" s="63" t="s">
        <v>318</v>
      </c>
      <c r="R29" s="64" t="s">
        <v>408</v>
      </c>
      <c r="S29" s="64" t="s">
        <v>312</v>
      </c>
      <c r="T29" s="64" t="s">
        <v>311</v>
      </c>
      <c r="U29" s="64" t="s">
        <v>313</v>
      </c>
      <c r="V29" s="64" t="s">
        <v>319</v>
      </c>
      <c r="W29" s="276" t="s">
        <v>326</v>
      </c>
      <c r="X29" s="232" t="s">
        <v>308</v>
      </c>
      <c r="Y29" s="65" t="s">
        <v>59</v>
      </c>
      <c r="Z29" s="141" t="s">
        <v>323</v>
      </c>
      <c r="AA29" s="82" t="s">
        <v>489</v>
      </c>
      <c r="AB29" s="65" t="s">
        <v>59</v>
      </c>
    </row>
    <row r="30" spans="1:40">
      <c r="A30" s="66">
        <v>6.999999999999999E-9</v>
      </c>
      <c r="B30" s="10">
        <v>9.1203999999999967E-14</v>
      </c>
      <c r="C30" s="68">
        <v>9.9999999999999995E-8</v>
      </c>
      <c r="D30" s="68">
        <v>2.0000000000000001E-9</v>
      </c>
      <c r="E30" s="253">
        <v>0.156</v>
      </c>
      <c r="F30" s="68">
        <v>1.2997249999999996E-23</v>
      </c>
      <c r="G30" s="68"/>
      <c r="H30" s="68">
        <v>8.8999999999999995E-4</v>
      </c>
      <c r="I30" s="139">
        <v>88000</v>
      </c>
      <c r="J30" s="68">
        <f t="shared" ref="J30:J35" si="32">(F30*I30)/(A30*H30)</f>
        <v>1.8358876404494376E-7</v>
      </c>
      <c r="K30" s="68">
        <f t="shared" ref="K30:K35" si="33">(J30*A30*H30)/I30</f>
        <v>1.2997249999999993E-23</v>
      </c>
      <c r="L30" s="68">
        <f t="shared" ref="L30:L35" si="34">J30*B30</f>
        <v>1.6744029635955046E-20</v>
      </c>
      <c r="M30" s="68">
        <v>1000</v>
      </c>
      <c r="N30" s="139">
        <f t="shared" ref="N30:N35" si="35">(M30*J30*C30)/H30</f>
        <v>2.0627951016285815E-8</v>
      </c>
      <c r="O30" s="268"/>
      <c r="P30" s="268">
        <v>2.5607099999999998</v>
      </c>
      <c r="Q30" s="138">
        <f t="shared" ref="Q30:Q36" si="36">SQRT((J30^2*(P30^2-1))/2)</f>
        <v>3.0602753836976663E-7</v>
      </c>
      <c r="R30" s="68">
        <f t="shared" ref="R30:R36" si="37">(Q30*H30*S30)/I30</f>
        <v>9.3470547457983936E-22</v>
      </c>
      <c r="S30" s="68">
        <v>3.0199999999999998E-7</v>
      </c>
      <c r="T30" s="10">
        <v>2.1139999999999992E-15</v>
      </c>
      <c r="U30" s="10">
        <f t="shared" ref="U30:U36" si="38">Q30*T30</f>
        <v>6.4694221611368647E-22</v>
      </c>
      <c r="V30" s="68">
        <f t="shared" ref="V30:V36" si="39">(M30*Q30*D30)/H30</f>
        <v>6.8770233341520598E-10</v>
      </c>
      <c r="W30" s="253">
        <f t="shared" ref="W30:W36" si="40">SQRT((2*Q30^2+J30^2))/Q30</f>
        <v>1.5361937245317274</v>
      </c>
      <c r="X30" s="234">
        <f t="shared" ref="X30:X36" si="41">Q30*S30*H30/I30</f>
        <v>9.3470547457983955E-22</v>
      </c>
      <c r="Y30" s="67">
        <f t="shared" ref="Y30:Y36" si="42">X30/F30</f>
        <v>71.915634044112394</v>
      </c>
      <c r="Z30" s="83">
        <v>1.4209366942304922</v>
      </c>
      <c r="AA30" s="83">
        <v>6.761099999999998E-21</v>
      </c>
      <c r="AB30" s="67">
        <v>52.019465656196509</v>
      </c>
    </row>
    <row r="31" spans="1:40">
      <c r="A31" s="66">
        <v>8.9999999999999979E-9</v>
      </c>
      <c r="B31" s="10">
        <v>9.2415999999999974E-14</v>
      </c>
      <c r="C31" s="68">
        <v>9.9999999999999995E-8</v>
      </c>
      <c r="D31" s="68">
        <v>2.0000000000000001E-9</v>
      </c>
      <c r="E31" s="253">
        <v>0.35299999999999998</v>
      </c>
      <c r="F31" s="68">
        <v>1.6695549999999996E-21</v>
      </c>
      <c r="G31" s="68"/>
      <c r="H31" s="68">
        <v>8.8999999999999995E-4</v>
      </c>
      <c r="I31" s="139">
        <v>88000</v>
      </c>
      <c r="J31" s="68">
        <f t="shared" si="32"/>
        <v>1.8342177278401999E-5</v>
      </c>
      <c r="K31" s="68">
        <f t="shared" si="33"/>
        <v>1.6695549999999996E-21</v>
      </c>
      <c r="L31" s="68">
        <f t="shared" si="34"/>
        <v>1.6951106553607987E-18</v>
      </c>
      <c r="M31" s="68">
        <v>1000</v>
      </c>
      <c r="N31" s="139">
        <f t="shared" si="35"/>
        <v>2.0609187953260672E-6</v>
      </c>
      <c r="O31" s="268"/>
      <c r="P31" s="268">
        <v>2.3541690000000002</v>
      </c>
      <c r="Q31" s="138">
        <f t="shared" si="36"/>
        <v>2.7641702786137447E-5</v>
      </c>
      <c r="R31" s="68">
        <f t="shared" si="37"/>
        <v>8.4985671657015311E-20</v>
      </c>
      <c r="S31" s="68">
        <v>3.0399999999999997E-7</v>
      </c>
      <c r="T31" s="10">
        <v>2.7359999999999991E-15</v>
      </c>
      <c r="U31" s="10">
        <f t="shared" si="38"/>
        <v>7.5627698822872026E-20</v>
      </c>
      <c r="V31" s="68">
        <f t="shared" si="39"/>
        <v>6.211618603626394E-8</v>
      </c>
      <c r="W31" s="253">
        <f t="shared" si="40"/>
        <v>1.5621535863909872</v>
      </c>
      <c r="X31" s="234">
        <f t="shared" si="41"/>
        <v>8.4985671657015311E-20</v>
      </c>
      <c r="Y31" s="67">
        <f t="shared" si="42"/>
        <v>50.903187769804127</v>
      </c>
      <c r="Z31" s="83">
        <v>1.6145457374709107</v>
      </c>
      <c r="AA31" s="83">
        <v>7.6530249999999965E-20</v>
      </c>
      <c r="AB31" s="67">
        <v>45.838711512948052</v>
      </c>
    </row>
    <row r="32" spans="1:40">
      <c r="A32" s="66">
        <v>1.0999999999999999E-8</v>
      </c>
      <c r="B32" s="10">
        <v>9.3635999999999968E-14</v>
      </c>
      <c r="C32" s="68">
        <v>9.9999999999999995E-8</v>
      </c>
      <c r="D32" s="68">
        <v>2.0000000000000001E-9</v>
      </c>
      <c r="E32" s="253">
        <v>0.47899999999999998</v>
      </c>
      <c r="F32" s="68">
        <v>3.4974999999999987E-20</v>
      </c>
      <c r="G32" s="68"/>
      <c r="H32" s="68">
        <v>8.8999999999999995E-4</v>
      </c>
      <c r="I32" s="139">
        <v>88000</v>
      </c>
      <c r="J32" s="68">
        <f t="shared" si="32"/>
        <v>3.1438202247191001E-4</v>
      </c>
      <c r="K32" s="68">
        <f t="shared" si="33"/>
        <v>3.4974999999999981E-20</v>
      </c>
      <c r="L32" s="68">
        <f t="shared" si="34"/>
        <v>2.9437475056179755E-17</v>
      </c>
      <c r="M32" s="68">
        <v>1000</v>
      </c>
      <c r="N32" s="139">
        <f t="shared" si="35"/>
        <v>3.5323822749652811E-5</v>
      </c>
      <c r="O32" s="268"/>
      <c r="P32" s="268">
        <v>2.2177605800000002</v>
      </c>
      <c r="Q32" s="138">
        <f t="shared" si="36"/>
        <v>4.4004847966287741E-4</v>
      </c>
      <c r="R32" s="68">
        <f t="shared" si="37"/>
        <v>1.3618500335385002E-18</v>
      </c>
      <c r="S32" s="68">
        <v>3.0599999999999996E-7</v>
      </c>
      <c r="T32" s="10">
        <v>3.3659999999999991E-15</v>
      </c>
      <c r="U32" s="10">
        <f t="shared" si="38"/>
        <v>1.4812031825452449E-18</v>
      </c>
      <c r="V32" s="68">
        <f t="shared" si="39"/>
        <v>9.8887298800646606E-7</v>
      </c>
      <c r="W32" s="253">
        <f t="shared" si="40"/>
        <v>1.5844255547321102</v>
      </c>
      <c r="X32" s="234">
        <f t="shared" si="41"/>
        <v>1.3618500335385002E-18</v>
      </c>
      <c r="Y32" s="67">
        <f t="shared" si="42"/>
        <v>38.937813682301659</v>
      </c>
      <c r="Z32" s="83">
        <v>1.6279816545898611</v>
      </c>
      <c r="AA32" s="83">
        <v>2.7141249999999992E-19</v>
      </c>
      <c r="AB32" s="67">
        <v>36.074098687489617</v>
      </c>
    </row>
    <row r="33" spans="1:43">
      <c r="A33" s="66">
        <v>1.2999999999999997E-8</v>
      </c>
      <c r="B33" s="10">
        <v>9.4863999999999973E-14</v>
      </c>
      <c r="C33" s="68">
        <v>9.9999999999999995E-8</v>
      </c>
      <c r="D33" s="68">
        <v>2.0000000000000001E-9</v>
      </c>
      <c r="E33" s="253">
        <v>0.56499999999999995</v>
      </c>
      <c r="F33" s="68">
        <v>3.092449999999999E-19</v>
      </c>
      <c r="G33" s="68"/>
      <c r="H33" s="68">
        <v>8.8999999999999995E-4</v>
      </c>
      <c r="I33" s="139">
        <v>88000</v>
      </c>
      <c r="J33" s="68">
        <f t="shared" si="32"/>
        <v>2.3520795159896282E-3</v>
      </c>
      <c r="K33" s="68">
        <f t="shared" si="33"/>
        <v>3.0924499999999985E-19</v>
      </c>
      <c r="L33" s="68">
        <f t="shared" si="34"/>
        <v>2.2312767120484004E-16</v>
      </c>
      <c r="M33" s="68">
        <v>1000</v>
      </c>
      <c r="N33" s="139">
        <f t="shared" si="35"/>
        <v>2.6427859730220542E-4</v>
      </c>
      <c r="O33" s="268"/>
      <c r="P33" s="268">
        <v>2.1458599999999999</v>
      </c>
      <c r="Q33" s="138">
        <f t="shared" si="36"/>
        <v>3.1577117064138707E-3</v>
      </c>
      <c r="R33" s="68">
        <f t="shared" si="37"/>
        <v>9.8362719654792053E-18</v>
      </c>
      <c r="S33" s="68">
        <v>3.0799999999999995E-7</v>
      </c>
      <c r="T33" s="10">
        <v>4.0039999999999988E-15</v>
      </c>
      <c r="U33" s="10">
        <f t="shared" si="38"/>
        <v>1.2643477672481134E-17</v>
      </c>
      <c r="V33" s="68">
        <f t="shared" si="39"/>
        <v>7.0959813627277998E-6</v>
      </c>
      <c r="W33" s="253">
        <f t="shared" si="40"/>
        <v>1.5983832025987934</v>
      </c>
      <c r="X33" s="234">
        <f t="shared" si="41"/>
        <v>9.8362719654792053E-18</v>
      </c>
      <c r="Y33" s="67">
        <f t="shared" si="42"/>
        <v>31.807375917085832</v>
      </c>
      <c r="Z33" s="83">
        <v>1.6048563416754749</v>
      </c>
      <c r="AA33" s="83">
        <v>6.2236749999999974E-19</v>
      </c>
      <c r="AB33" s="67">
        <v>29.013550697697184</v>
      </c>
    </row>
    <row r="34" spans="1:43">
      <c r="A34" s="66">
        <v>1.4999999999999999E-8</v>
      </c>
      <c r="B34" s="10">
        <v>9.6099999999999964E-14</v>
      </c>
      <c r="C34" s="68">
        <v>9.9999999999999995E-8</v>
      </c>
      <c r="D34" s="68">
        <v>2.0000000000000001E-9</v>
      </c>
      <c r="E34" s="253">
        <v>0.629</v>
      </c>
      <c r="F34" s="68">
        <v>1.2448499999999996E-18</v>
      </c>
      <c r="G34" s="68"/>
      <c r="H34" s="68">
        <v>8.8999999999999995E-4</v>
      </c>
      <c r="I34" s="139">
        <v>88000</v>
      </c>
      <c r="J34" s="68">
        <f t="shared" si="32"/>
        <v>8.2057528089887633E-3</v>
      </c>
      <c r="K34" s="68">
        <f t="shared" si="33"/>
        <v>1.2448499999999996E-18</v>
      </c>
      <c r="L34" s="68">
        <f t="shared" si="34"/>
        <v>7.8857284494381988E-16</v>
      </c>
      <c r="M34" s="68">
        <v>1000</v>
      </c>
      <c r="N34" s="139">
        <f t="shared" si="35"/>
        <v>9.2199469763918685E-4</v>
      </c>
      <c r="O34" s="268"/>
      <c r="P34" s="268">
        <v>1.998</v>
      </c>
      <c r="Q34" s="138">
        <f t="shared" si="36"/>
        <v>1.0036551494186132E-2</v>
      </c>
      <c r="R34" s="68">
        <f t="shared" si="37"/>
        <v>3.146686996870402E-17</v>
      </c>
      <c r="S34" s="68">
        <v>3.0999999999999994E-7</v>
      </c>
      <c r="T34" s="10">
        <v>4.6499999999999986E-15</v>
      </c>
      <c r="U34" s="10">
        <f t="shared" si="38"/>
        <v>4.6669964447965501E-17</v>
      </c>
      <c r="V34" s="68">
        <f t="shared" si="39"/>
        <v>2.2554048301541872E-5</v>
      </c>
      <c r="W34" s="253">
        <f t="shared" si="40"/>
        <v>1.6335385836317111</v>
      </c>
      <c r="X34" s="234">
        <f t="shared" si="41"/>
        <v>3.1466869968704014E-17</v>
      </c>
      <c r="Y34" s="67">
        <f t="shared" si="42"/>
        <v>25.277639851149956</v>
      </c>
      <c r="Z34" s="83">
        <v>1.4142142477357238</v>
      </c>
      <c r="AA34" s="83">
        <v>1.1471574999999997E-18</v>
      </c>
      <c r="AB34" s="67">
        <v>23.95851172698983</v>
      </c>
    </row>
    <row r="35" spans="1:43">
      <c r="A35" s="66">
        <v>1.8999999999999998E-8</v>
      </c>
      <c r="B35" s="10">
        <v>9.8595999999999967E-14</v>
      </c>
      <c r="C35" s="68">
        <v>9.9999999999999995E-8</v>
      </c>
      <c r="D35" s="68">
        <v>2.0000000000000001E-9</v>
      </c>
      <c r="E35" s="253">
        <v>0.71599999999999997</v>
      </c>
      <c r="F35" s="68">
        <v>9.9149499999999967E-18</v>
      </c>
      <c r="G35" s="68"/>
      <c r="H35" s="68">
        <v>8.8999999999999995E-4</v>
      </c>
      <c r="I35" s="139">
        <v>88000</v>
      </c>
      <c r="J35" s="68">
        <f t="shared" si="32"/>
        <v>5.1597610881135417E-2</v>
      </c>
      <c r="K35" s="68">
        <f t="shared" si="33"/>
        <v>9.9149499999999982E-18</v>
      </c>
      <c r="L35" s="68">
        <f t="shared" si="34"/>
        <v>5.0873180424364257E-15</v>
      </c>
      <c r="M35" s="68">
        <v>1000</v>
      </c>
      <c r="N35" s="139">
        <f t="shared" si="35"/>
        <v>5.7974843686669011E-3</v>
      </c>
      <c r="O35" s="268"/>
      <c r="P35" s="268">
        <v>1.8964000000000001</v>
      </c>
      <c r="Q35" s="138">
        <f t="shared" si="36"/>
        <v>5.8788826134555799E-2</v>
      </c>
      <c r="R35" s="68">
        <f t="shared" si="37"/>
        <v>1.8669460626776092E-16</v>
      </c>
      <c r="S35" s="68">
        <v>3.1399999999999998E-7</v>
      </c>
      <c r="T35" s="10">
        <v>5.9659999999999979E-15</v>
      </c>
      <c r="U35" s="10">
        <f t="shared" si="38"/>
        <v>3.5073413671875976E-16</v>
      </c>
      <c r="V35" s="68">
        <f t="shared" si="39"/>
        <v>1.321097216506872E-4</v>
      </c>
      <c r="W35" s="253">
        <f t="shared" si="40"/>
        <v>1.664426995889098</v>
      </c>
      <c r="X35" s="234">
        <f t="shared" si="41"/>
        <v>1.8669460626776092E-16</v>
      </c>
      <c r="Y35" s="67">
        <f t="shared" si="42"/>
        <v>18.829606429458643</v>
      </c>
      <c r="Z35" s="83">
        <v>1.4629469617290252</v>
      </c>
      <c r="AA35" s="83">
        <v>2.764649999999999E-18</v>
      </c>
      <c r="AB35" s="67">
        <v>17.45326793053162</v>
      </c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</row>
    <row r="36" spans="1:43" ht="16.5" thickBot="1">
      <c r="A36" s="69">
        <v>2.2999999999999998E-8</v>
      </c>
      <c r="B36" s="51">
        <v>1.0112399999999996E-13</v>
      </c>
      <c r="C36" s="59">
        <v>9.9999999999999995E-8</v>
      </c>
      <c r="D36" s="59">
        <v>2.0000000000000001E-9</v>
      </c>
      <c r="E36" s="254">
        <v>0.77200000000000002</v>
      </c>
      <c r="F36" s="59">
        <v>3.0300917499999989E-17</v>
      </c>
      <c r="G36" s="59"/>
      <c r="H36" s="59">
        <v>8.8999999999999995E-4</v>
      </c>
      <c r="I36" s="236">
        <v>88000</v>
      </c>
      <c r="J36" s="59">
        <f t="shared" ref="J36" si="43">(F36*I36)/(A36*H36)</f>
        <v>0.13026285979482166</v>
      </c>
      <c r="K36" s="59">
        <f t="shared" ref="K36" si="44">(J36*A36*H36)/I36</f>
        <v>3.0300917499999989E-17</v>
      </c>
      <c r="L36" s="59">
        <f t="shared" ref="L36" si="45">J36*B36</f>
        <v>1.3172701433891541E-14</v>
      </c>
      <c r="M36" s="59">
        <v>1001</v>
      </c>
      <c r="N36" s="236">
        <f t="shared" ref="N36" si="46">(M36*J36*C36)/H36</f>
        <v>1.4650912657822078E-2</v>
      </c>
      <c r="O36" s="269"/>
      <c r="P36" s="269">
        <v>1.7728999999999999</v>
      </c>
      <c r="Q36" s="140">
        <f t="shared" si="36"/>
        <v>0.13484485112990954</v>
      </c>
      <c r="R36" s="59">
        <f t="shared" si="37"/>
        <v>4.3367942916803399E-16</v>
      </c>
      <c r="S36" s="59">
        <v>3.1799999999999996E-7</v>
      </c>
      <c r="T36" s="51">
        <v>7.313999999999997E-15</v>
      </c>
      <c r="U36" s="51">
        <f t="shared" si="38"/>
        <v>9.8625524116415798E-16</v>
      </c>
      <c r="V36" s="59">
        <f t="shared" si="39"/>
        <v>3.0332515950795384E-4</v>
      </c>
      <c r="W36" s="254">
        <f t="shared" si="40"/>
        <v>1.7126573406036008</v>
      </c>
      <c r="X36" s="282">
        <f t="shared" si="41"/>
        <v>4.3367942916803404E-16</v>
      </c>
      <c r="Y36" s="70">
        <f t="shared" si="42"/>
        <v>14.312419060183052</v>
      </c>
      <c r="Z36" s="84"/>
      <c r="AA36" s="84">
        <v>2.3187999999999992E-18</v>
      </c>
      <c r="AB36" s="70"/>
    </row>
    <row r="37" spans="1:43" s="272" customFormat="1" ht="16.5" thickBot="1">
      <c r="C37" s="273"/>
      <c r="D37" s="273"/>
      <c r="E37" s="277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Q37" s="273"/>
      <c r="R37" s="273"/>
      <c r="S37" s="273"/>
      <c r="V37" s="273"/>
      <c r="X37" s="273"/>
    </row>
    <row r="38" spans="1:43" ht="16.5" thickTop="1">
      <c r="A38" s="148" t="s">
        <v>327</v>
      </c>
    </row>
    <row r="39" spans="1:43" ht="16.5" thickBot="1">
      <c r="A39" s="77"/>
      <c r="B39" s="77"/>
      <c r="C39" s="77"/>
      <c r="D39" s="77"/>
      <c r="E39" s="275"/>
      <c r="F39" s="279"/>
      <c r="G39" s="279"/>
      <c r="H39" s="91"/>
      <c r="I39" s="91"/>
      <c r="J39" s="76"/>
      <c r="K39" s="76"/>
      <c r="L39" s="91"/>
      <c r="M39" s="91"/>
      <c r="N39" s="76"/>
      <c r="P39" s="77"/>
    </row>
    <row r="40" spans="1:43">
      <c r="A40" s="63" t="s">
        <v>312</v>
      </c>
      <c r="B40" s="64" t="s">
        <v>311</v>
      </c>
      <c r="C40" s="64" t="s">
        <v>374</v>
      </c>
      <c r="D40" s="64" t="s">
        <v>376</v>
      </c>
      <c r="E40" s="276" t="s">
        <v>306</v>
      </c>
      <c r="F40" s="237" t="s">
        <v>307</v>
      </c>
      <c r="G40" s="237" t="s">
        <v>509</v>
      </c>
      <c r="H40" s="64" t="s">
        <v>310</v>
      </c>
      <c r="I40" s="64" t="s">
        <v>12</v>
      </c>
      <c r="J40" s="64" t="s">
        <v>317</v>
      </c>
      <c r="K40" s="64" t="s">
        <v>313</v>
      </c>
      <c r="L40" s="64" t="s">
        <v>314</v>
      </c>
      <c r="M40" s="65" t="s">
        <v>315</v>
      </c>
      <c r="N40" s="141" t="s">
        <v>309</v>
      </c>
      <c r="O40" s="63" t="s">
        <v>318</v>
      </c>
      <c r="P40" s="64" t="s">
        <v>312</v>
      </c>
      <c r="Q40" s="64" t="s">
        <v>311</v>
      </c>
      <c r="R40" s="64" t="s">
        <v>313</v>
      </c>
      <c r="S40" s="64" t="s">
        <v>319</v>
      </c>
      <c r="T40" s="64" t="s">
        <v>326</v>
      </c>
      <c r="U40" s="64" t="s">
        <v>308</v>
      </c>
      <c r="V40" s="65" t="s">
        <v>59</v>
      </c>
      <c r="W40" s="276" t="s">
        <v>306</v>
      </c>
    </row>
    <row r="41" spans="1:43">
      <c r="A41" s="66">
        <v>1.8285714285714286E-7</v>
      </c>
      <c r="B41" s="10">
        <v>3.6274808163265308E-11</v>
      </c>
      <c r="C41" s="68">
        <v>1.9999999999999999E-6</v>
      </c>
      <c r="D41" s="68">
        <v>5.7142857142857104E-8</v>
      </c>
      <c r="E41" s="253">
        <v>7.0000000000000007E-2</v>
      </c>
      <c r="F41" s="68">
        <v>1.0244375510204081E-20</v>
      </c>
      <c r="G41" s="253">
        <f>LOG10(F41)</f>
        <v>-19.989514510736544</v>
      </c>
      <c r="H41" s="10">
        <v>8.8999999999999995E-4</v>
      </c>
      <c r="I41" s="10">
        <v>88000</v>
      </c>
      <c r="J41" s="68">
        <f t="shared" ref="J41:J50" si="47">(F41*I41)/(A41*H41)</f>
        <v>5.5394446227929373E-6</v>
      </c>
      <c r="K41" s="10">
        <f t="shared" ref="K41:K50" si="48">J41*B41</f>
        <v>2.0094229102284536E-16</v>
      </c>
      <c r="L41" s="10">
        <v>1000</v>
      </c>
      <c r="M41" s="139">
        <f t="shared" ref="M41:M50" si="49">(L41*J41*C41)/H41</f>
        <v>1.2448190163579634E-5</v>
      </c>
      <c r="N41" s="268">
        <v>2.200685709</v>
      </c>
      <c r="O41" s="138">
        <f t="shared" ref="O41:O50" si="50">SQRT((J41^2*(N41^2-1))/2)</f>
        <v>7.6786949259063786E-6</v>
      </c>
      <c r="P41" s="10">
        <v>6.0228571428571433E-6</v>
      </c>
      <c r="Q41" s="10">
        <v>1.1013224489795919E-12</v>
      </c>
      <c r="R41" s="10">
        <f t="shared" ref="R41:R50" si="51">O41*Q41</f>
        <v>8.4567191007663794E-18</v>
      </c>
      <c r="S41" s="68">
        <f t="shared" ref="S41:S50" si="52">(L41*O41*D41)/H41</f>
        <v>4.9301412044342689E-7</v>
      </c>
      <c r="T41" s="253">
        <f t="shared" ref="T41:T50" si="53">SQRT((2*O41^2+J41^2))/O41</f>
        <v>1.5875844443368563</v>
      </c>
      <c r="U41" s="68">
        <f t="shared" ref="U41:U50" si="54">O41*P41*H41/I41</f>
        <v>4.6773224429842449E-19</v>
      </c>
      <c r="V41" s="67">
        <f t="shared" ref="V41:V50" si="55">U41/F41</f>
        <v>45.657467732662859</v>
      </c>
      <c r="W41" s="253">
        <v>7.0000000000000007E-2</v>
      </c>
    </row>
    <row r="42" spans="1:43">
      <c r="A42" s="66">
        <v>1.8285714285714286E-7</v>
      </c>
      <c r="B42" s="10">
        <v>3.7384489795918372E-11</v>
      </c>
      <c r="C42" s="68">
        <v>1.9999999999999999E-6</v>
      </c>
      <c r="D42" s="68">
        <v>5.7142857142857104E-8</v>
      </c>
      <c r="E42" s="253">
        <v>0.10199999999999999</v>
      </c>
      <c r="F42" s="68">
        <v>2.8931787755102047E-19</v>
      </c>
      <c r="G42" s="253">
        <f t="shared" ref="G42:G49" si="56">LOG10(F42)</f>
        <v>-18.538624729567115</v>
      </c>
      <c r="H42" s="10">
        <v>8.8999999999999995E-4</v>
      </c>
      <c r="I42" s="10">
        <v>88000</v>
      </c>
      <c r="J42" s="68">
        <f t="shared" si="47"/>
        <v>1.5644295345104337E-4</v>
      </c>
      <c r="K42" s="10">
        <f t="shared" si="48"/>
        <v>5.8485399969338635E-15</v>
      </c>
      <c r="L42" s="10">
        <v>1000</v>
      </c>
      <c r="M42" s="139">
        <f t="shared" si="49"/>
        <v>3.5155719876638959E-4</v>
      </c>
      <c r="N42" s="268">
        <v>1.1149992972818488</v>
      </c>
      <c r="O42" s="138">
        <f t="shared" si="50"/>
        <v>5.4556150083813823E-5</v>
      </c>
      <c r="P42" s="10">
        <v>6.1142857142857141E-6</v>
      </c>
      <c r="Q42" s="10">
        <v>1.1180408163265307E-12</v>
      </c>
      <c r="R42" s="10">
        <f t="shared" si="51"/>
        <v>6.0996002575339937E-17</v>
      </c>
      <c r="S42" s="68">
        <f t="shared" si="52"/>
        <v>3.5028025735996011E-6</v>
      </c>
      <c r="T42" s="253">
        <f t="shared" si="53"/>
        <v>3.1973257441118967</v>
      </c>
      <c r="U42" s="68">
        <f t="shared" si="54"/>
        <v>3.3736247873257077E-18</v>
      </c>
      <c r="V42" s="67">
        <f t="shared" si="55"/>
        <v>11.66061639841381</v>
      </c>
      <c r="W42" s="253">
        <v>0.10199999999999999</v>
      </c>
    </row>
    <row r="43" spans="1:43" s="330" customFormat="1">
      <c r="A43" s="323">
        <v>1.8285714285714286E-7</v>
      </c>
      <c r="B43" s="324">
        <v>3.8510889795918369E-11</v>
      </c>
      <c r="C43" s="325">
        <v>1.9999999999999999E-6</v>
      </c>
      <c r="D43" s="325">
        <v>5.7142857142857104E-8</v>
      </c>
      <c r="E43" s="326">
        <v>0.13300000000000001</v>
      </c>
      <c r="F43" s="325">
        <v>1.9478367346938778E-18</v>
      </c>
      <c r="G43" s="326">
        <f t="shared" si="56"/>
        <v>-17.71044744796718</v>
      </c>
      <c r="H43" s="324">
        <v>8.8999999999999995E-4</v>
      </c>
      <c r="I43" s="324">
        <v>88000</v>
      </c>
      <c r="J43" s="325">
        <f t="shared" si="47"/>
        <v>1.0532544141252009E-3</v>
      </c>
      <c r="K43" s="324">
        <f t="shared" si="48"/>
        <v>4.0561764669440179E-14</v>
      </c>
      <c r="L43" s="324">
        <v>1000</v>
      </c>
      <c r="M43" s="327">
        <f t="shared" si="49"/>
        <v>2.366863851966744E-3</v>
      </c>
      <c r="N43" s="331">
        <v>1.019882625143806</v>
      </c>
      <c r="O43" s="328">
        <f t="shared" si="50"/>
        <v>1.4925133317299712E-4</v>
      </c>
      <c r="P43" s="324">
        <v>6.2057142857142857E-6</v>
      </c>
      <c r="Q43" s="324">
        <v>1.1347591836734696E-12</v>
      </c>
      <c r="R43" s="324">
        <f t="shared" si="51"/>
        <v>1.6936432099356724E-16</v>
      </c>
      <c r="S43" s="325">
        <f t="shared" si="52"/>
        <v>9.5827501234669045E-6</v>
      </c>
      <c r="T43" s="326">
        <f t="shared" si="53"/>
        <v>7.1972280179046146</v>
      </c>
      <c r="U43" s="325">
        <f t="shared" si="54"/>
        <v>9.3673625691577043E-18</v>
      </c>
      <c r="V43" s="329">
        <f t="shared" si="55"/>
        <v>4.8091107444022407</v>
      </c>
      <c r="W43" s="326">
        <v>0.13300000000000001</v>
      </c>
    </row>
    <row r="44" spans="1:43">
      <c r="A44" s="66">
        <v>1.8285714285714286E-7</v>
      </c>
      <c r="B44" s="10">
        <v>4.0522318367346942E-11</v>
      </c>
      <c r="C44" s="68">
        <v>1.9999999999999999E-6</v>
      </c>
      <c r="D44" s="68">
        <v>5.7142857142857104E-8</v>
      </c>
      <c r="E44" s="253">
        <v>0.183</v>
      </c>
      <c r="F44" s="68">
        <v>1.4768653061224491E-17</v>
      </c>
      <c r="G44" s="253">
        <f t="shared" si="56"/>
        <v>-16.830659111644863</v>
      </c>
      <c r="H44" s="10">
        <v>8.8999999999999995E-4</v>
      </c>
      <c r="I44" s="10">
        <v>88000</v>
      </c>
      <c r="J44" s="68">
        <f t="shared" si="47"/>
        <v>7.9858587479935805E-3</v>
      </c>
      <c r="K44" s="10">
        <f t="shared" si="48"/>
        <v>3.236055106228585E-13</v>
      </c>
      <c r="L44" s="10">
        <v>1000</v>
      </c>
      <c r="M44" s="139">
        <f t="shared" si="49"/>
        <v>1.7945749995491193E-2</v>
      </c>
      <c r="N44" s="268">
        <v>1.0016860106873879</v>
      </c>
      <c r="O44" s="138">
        <f t="shared" si="50"/>
        <v>3.2804601391117443E-4</v>
      </c>
      <c r="P44" s="10">
        <v>6.3657142857142859E-6</v>
      </c>
      <c r="Q44" s="10">
        <v>1.1640163265306123E-12</v>
      </c>
      <c r="R44" s="10">
        <f t="shared" si="51"/>
        <v>3.8185091604589542E-16</v>
      </c>
      <c r="S44" s="68">
        <f t="shared" si="52"/>
        <v>2.1062344392370737E-5</v>
      </c>
      <c r="T44" s="253">
        <f t="shared" si="53"/>
        <v>24.384759003219163</v>
      </c>
      <c r="U44" s="68">
        <f t="shared" si="54"/>
        <v>2.111977278911513E-17</v>
      </c>
      <c r="V44" s="67">
        <f t="shared" si="55"/>
        <v>1.4300405528900724</v>
      </c>
      <c r="W44" s="253">
        <v>0.183</v>
      </c>
    </row>
    <row r="45" spans="1:43">
      <c r="A45" s="66">
        <v>1.8285714285714286E-7</v>
      </c>
      <c r="B45" s="10">
        <v>4.3484604081632655E-11</v>
      </c>
      <c r="C45" s="68">
        <v>1.9999999999999999E-6</v>
      </c>
      <c r="D45" s="68">
        <v>5.7142857142857104E-8</v>
      </c>
      <c r="E45" s="253">
        <v>0.248</v>
      </c>
      <c r="F45" s="68">
        <v>8.6566857142857172E-17</v>
      </c>
      <c r="G45" s="253">
        <f t="shared" si="56"/>
        <v>-16.062648349495433</v>
      </c>
      <c r="H45" s="10">
        <v>8.8999999999999995E-4</v>
      </c>
      <c r="I45" s="10">
        <v>88000</v>
      </c>
      <c r="J45" s="68">
        <f t="shared" si="47"/>
        <v>4.6809325842696647E-2</v>
      </c>
      <c r="K45" s="10">
        <f t="shared" si="48"/>
        <v>2.0354850015977997E-12</v>
      </c>
      <c r="L45" s="10">
        <v>1000</v>
      </c>
      <c r="M45" s="139">
        <f t="shared" si="49"/>
        <v>0.1051894962757228</v>
      </c>
      <c r="N45" s="268">
        <v>1.0001539031959656</v>
      </c>
      <c r="O45" s="138">
        <f t="shared" si="50"/>
        <v>5.8072819873591745E-4</v>
      </c>
      <c r="P45" s="10">
        <v>6.5942857142857146E-6</v>
      </c>
      <c r="Q45" s="10">
        <v>1.2058122448979592E-12</v>
      </c>
      <c r="R45" s="10">
        <f t="shared" si="51"/>
        <v>7.0024917299330484E-16</v>
      </c>
      <c r="S45" s="68">
        <f t="shared" si="52"/>
        <v>3.7285919662017147E-5</v>
      </c>
      <c r="T45" s="253">
        <f t="shared" si="53"/>
        <v>80.616939300435732</v>
      </c>
      <c r="U45" s="68">
        <f t="shared" si="54"/>
        <v>3.8730045700890349E-17</v>
      </c>
      <c r="V45" s="67">
        <f t="shared" si="55"/>
        <v>0.44740039062497089</v>
      </c>
      <c r="W45" s="253">
        <v>0.248</v>
      </c>
    </row>
    <row r="46" spans="1:43" s="330" customFormat="1">
      <c r="A46" s="323">
        <v>1.8285714285714286E-7</v>
      </c>
      <c r="B46" s="324">
        <v>4.5620375510204087E-11</v>
      </c>
      <c r="C46" s="325">
        <v>1.9999999999999999E-6</v>
      </c>
      <c r="D46" s="325">
        <v>5.7142857142857104E-8</v>
      </c>
      <c r="E46" s="326">
        <v>0.28999999999999998</v>
      </c>
      <c r="F46" s="325">
        <v>2.0725877551020406E-16</v>
      </c>
      <c r="G46" s="326">
        <f t="shared" si="56"/>
        <v>-15.683487071996156</v>
      </c>
      <c r="H46" s="324">
        <v>8.8999999999999995E-4</v>
      </c>
      <c r="I46" s="324">
        <v>88000</v>
      </c>
      <c r="J46" s="325">
        <f t="shared" si="47"/>
        <v>0.11207110754414125</v>
      </c>
      <c r="K46" s="324">
        <f t="shared" si="48"/>
        <v>5.1127260100081898E-12</v>
      </c>
      <c r="L46" s="324">
        <v>1000</v>
      </c>
      <c r="M46" s="327">
        <f t="shared" si="49"/>
        <v>0.25184518549245227</v>
      </c>
      <c r="N46" s="331">
        <v>1.0000450324580563</v>
      </c>
      <c r="O46" s="328">
        <f t="shared" si="50"/>
        <v>7.5207539374662813E-4</v>
      </c>
      <c r="P46" s="324">
        <v>6.7542857142857147E-6</v>
      </c>
      <c r="Q46" s="324">
        <v>1.2350693877551022E-12</v>
      </c>
      <c r="R46" s="324">
        <f t="shared" si="51"/>
        <v>9.2886529610032538E-16</v>
      </c>
      <c r="S46" s="325">
        <f t="shared" si="52"/>
        <v>4.8287344702833233E-5</v>
      </c>
      <c r="T46" s="326">
        <f t="shared" si="53"/>
        <v>149.02249869292913</v>
      </c>
      <c r="U46" s="325">
        <f t="shared" si="54"/>
        <v>5.1374563163219338E-17</v>
      </c>
      <c r="V46" s="329">
        <f t="shared" si="55"/>
        <v>0.2478764194025164</v>
      </c>
      <c r="W46" s="326">
        <v>0.28999999999999998</v>
      </c>
    </row>
    <row r="47" spans="1:43">
      <c r="A47" s="66">
        <v>1.8285714285714286E-7</v>
      </c>
      <c r="B47" s="10">
        <v>4.8123951020408165E-11</v>
      </c>
      <c r="C47" s="68">
        <v>1.9999999999999999E-6</v>
      </c>
      <c r="D47" s="68">
        <v>5.7142857142857104E-8</v>
      </c>
      <c r="E47" s="253">
        <v>0.33300000000000002</v>
      </c>
      <c r="F47" s="68">
        <v>4.574008163265306E-16</v>
      </c>
      <c r="G47" s="253">
        <f t="shared" si="56"/>
        <v>-15.339703064640089</v>
      </c>
      <c r="H47" s="10">
        <v>8.8999999999999995E-4</v>
      </c>
      <c r="I47" s="10">
        <v>88000</v>
      </c>
      <c r="J47" s="68">
        <f t="shared" si="47"/>
        <v>0.24733049759229536</v>
      </c>
      <c r="K47" s="10">
        <f t="shared" si="48"/>
        <v>1.1902520751984802E-11</v>
      </c>
      <c r="L47" s="10">
        <v>1000</v>
      </c>
      <c r="M47" s="139">
        <f t="shared" si="49"/>
        <v>0.55579887099392222</v>
      </c>
      <c r="N47" s="268">
        <v>1.00001475687109</v>
      </c>
      <c r="O47" s="138">
        <f t="shared" si="50"/>
        <v>9.5011552630598595E-4</v>
      </c>
      <c r="P47" s="10">
        <v>6.9371428571428572E-6</v>
      </c>
      <c r="Q47" s="10">
        <v>1.2685061224489796E-12</v>
      </c>
      <c r="R47" s="10">
        <f t="shared" si="51"/>
        <v>1.2052273621529777E-15</v>
      </c>
      <c r="S47" s="68">
        <f t="shared" si="52"/>
        <v>6.1002602010015117E-5</v>
      </c>
      <c r="T47" s="253">
        <f t="shared" si="53"/>
        <v>260.32007747330579</v>
      </c>
      <c r="U47" s="68">
        <f t="shared" si="54"/>
        <v>6.6659858542374382E-17</v>
      </c>
      <c r="V47" s="67">
        <f t="shared" si="55"/>
        <v>0.14573620370363977</v>
      </c>
      <c r="W47" s="253">
        <v>0.33300000000000002</v>
      </c>
    </row>
    <row r="48" spans="1:43">
      <c r="A48" s="336">
        <v>1.8285714285714286E-7</v>
      </c>
      <c r="B48" s="337">
        <v>5.2998400000000005E-11</v>
      </c>
      <c r="C48" s="338">
        <v>1.9999999999999999E-6</v>
      </c>
      <c r="D48" s="338">
        <v>5.7142857142857104E-8</v>
      </c>
      <c r="E48" s="339">
        <v>0.40600000000000003</v>
      </c>
      <c r="F48" s="338">
        <v>1.4035363265306124E-15</v>
      </c>
      <c r="G48" s="339">
        <f t="shared" si="56"/>
        <v>-14.852776342411355</v>
      </c>
      <c r="H48" s="337">
        <v>8.8999999999999995E-4</v>
      </c>
      <c r="I48" s="337">
        <v>88000</v>
      </c>
      <c r="J48" s="338">
        <f t="shared" si="47"/>
        <v>0.75893467094703071</v>
      </c>
      <c r="K48" s="337">
        <f t="shared" si="48"/>
        <v>4.0222323264719116E-11</v>
      </c>
      <c r="L48" s="337">
        <v>1000</v>
      </c>
      <c r="M48" s="340">
        <f t="shared" si="49"/>
        <v>1.7054711706674848</v>
      </c>
      <c r="N48" s="350">
        <v>1.0000029512610547</v>
      </c>
      <c r="O48" s="342">
        <f t="shared" si="50"/>
        <v>1.3037926466690187E-3</v>
      </c>
      <c r="P48" s="337">
        <v>7.2799999999999998E-6</v>
      </c>
      <c r="Q48" s="337">
        <v>1.3312000000000002E-12</v>
      </c>
      <c r="R48" s="337">
        <f t="shared" si="51"/>
        <v>1.735608771245798E-15</v>
      </c>
      <c r="S48" s="338">
        <f t="shared" si="52"/>
        <v>8.3710603317432928E-5</v>
      </c>
      <c r="T48" s="339">
        <f t="shared" si="53"/>
        <v>582.09939494622108</v>
      </c>
      <c r="U48" s="338">
        <f t="shared" si="54"/>
        <v>9.5994696776112563E-17</v>
      </c>
      <c r="V48" s="343">
        <f t="shared" si="55"/>
        <v>6.8394878680055907E-2</v>
      </c>
      <c r="W48" s="339">
        <v>0.40600000000000003</v>
      </c>
    </row>
    <row r="49" spans="1:23">
      <c r="A49" s="66">
        <v>1.8285714285714286E-7</v>
      </c>
      <c r="B49" s="10">
        <v>5.9863379591836735E-11</v>
      </c>
      <c r="C49" s="68">
        <v>1.9999999999999999E-6</v>
      </c>
      <c r="D49" s="68">
        <v>5.7142857142857104E-8</v>
      </c>
      <c r="E49" s="253">
        <v>0.48599999999999999</v>
      </c>
      <c r="F49" s="68">
        <v>4.0119836734693885E-15</v>
      </c>
      <c r="G49" s="253">
        <f t="shared" si="56"/>
        <v>-14.396640842983768</v>
      </c>
      <c r="H49" s="10">
        <v>8.8999999999999995E-4</v>
      </c>
      <c r="I49" s="10">
        <v>88000</v>
      </c>
      <c r="J49" s="68">
        <f t="shared" si="47"/>
        <v>2.1694012841091501</v>
      </c>
      <c r="K49" s="10">
        <f t="shared" si="48"/>
        <v>1.2986769255764409E-10</v>
      </c>
      <c r="L49" s="10">
        <v>1000</v>
      </c>
      <c r="M49" s="139">
        <f t="shared" si="49"/>
        <v>4.8750590654138213</v>
      </c>
      <c r="N49" s="268">
        <v>1.0000006678832489</v>
      </c>
      <c r="O49" s="138">
        <f t="shared" si="50"/>
        <v>1.7729244975900741E-3</v>
      </c>
      <c r="P49" s="10">
        <v>7.7371428571428571E-6</v>
      </c>
      <c r="Q49" s="10">
        <v>1.4147918367346941E-12</v>
      </c>
      <c r="R49" s="10">
        <f t="shared" si="51"/>
        <v>2.5083191063373956E-15</v>
      </c>
      <c r="S49" s="68">
        <f t="shared" si="52"/>
        <v>1.1383142841669811E-4</v>
      </c>
      <c r="T49" s="253">
        <f t="shared" si="53"/>
        <v>1223.629509302164</v>
      </c>
      <c r="U49" s="68">
        <f t="shared" si="54"/>
        <v>1.3873249318609704E-16</v>
      </c>
      <c r="V49" s="67">
        <f t="shared" si="55"/>
        <v>3.4579525859866532E-2</v>
      </c>
      <c r="W49" s="253">
        <v>0.48599999999999999</v>
      </c>
    </row>
    <row r="50" spans="1:23" ht="16.5" thickBot="1">
      <c r="A50" s="296">
        <v>1.8285714285714286E-7</v>
      </c>
      <c r="B50" s="297">
        <v>6.9032359183673482E-11</v>
      </c>
      <c r="C50" s="298">
        <v>1.9999999999999999E-6</v>
      </c>
      <c r="D50" s="298">
        <v>5.7142857142857104E-8</v>
      </c>
      <c r="E50" s="299">
        <v>0.56699999999999995</v>
      </c>
      <c r="F50" s="300">
        <v>9.5945469387755114E-15</v>
      </c>
      <c r="G50" s="253">
        <f>LOG10(F50)</f>
        <v>-14.017975528133856</v>
      </c>
      <c r="H50" s="297">
        <v>8.8999999999999995E-4</v>
      </c>
      <c r="I50" s="297">
        <v>88000</v>
      </c>
      <c r="J50" s="300">
        <f t="shared" si="47"/>
        <v>5.188062600321028</v>
      </c>
      <c r="K50" s="297">
        <f t="shared" si="48"/>
        <v>3.5814420089274425E-10</v>
      </c>
      <c r="L50" s="297">
        <v>1000</v>
      </c>
      <c r="M50" s="301">
        <f t="shared" si="49"/>
        <v>11.658567641170851</v>
      </c>
      <c r="N50" s="332">
        <v>1.0000002078051176</v>
      </c>
      <c r="O50" s="302">
        <f t="shared" si="50"/>
        <v>2.3650120047272473E-3</v>
      </c>
      <c r="P50" s="297">
        <v>8.3085714285714284E-6</v>
      </c>
      <c r="Q50" s="297">
        <v>1.5192816326530614E-12</v>
      </c>
      <c r="R50" s="297">
        <f t="shared" si="51"/>
        <v>3.5931192997861024E-15</v>
      </c>
      <c r="S50" s="298">
        <f t="shared" si="52"/>
        <v>1.5184667767109119E-4</v>
      </c>
      <c r="T50" s="299">
        <f t="shared" si="53"/>
        <v>2193.6732955506991</v>
      </c>
      <c r="U50" s="300">
        <f t="shared" si="54"/>
        <v>1.9873165161281436E-16</v>
      </c>
      <c r="V50" s="303">
        <f t="shared" si="55"/>
        <v>2.0712979245498087E-2</v>
      </c>
      <c r="W50" s="299">
        <v>0.56699999999999995</v>
      </c>
    </row>
    <row r="51" spans="1:23" ht="16.5" thickBot="1">
      <c r="A51" t="s">
        <v>328</v>
      </c>
      <c r="D51" s="68"/>
    </row>
    <row r="52" spans="1:23">
      <c r="A52" s="63"/>
      <c r="B52" s="64"/>
      <c r="C52" s="64"/>
      <c r="D52" s="68"/>
      <c r="E52" s="276"/>
      <c r="F52" s="237"/>
      <c r="G52" s="237"/>
      <c r="H52" s="64"/>
      <c r="I52" s="64"/>
      <c r="J52" s="64">
        <v>1.2751746000000001E-4</v>
      </c>
      <c r="K52" s="64">
        <v>4.6256713989668579E-15</v>
      </c>
      <c r="L52" s="64"/>
      <c r="M52" s="64"/>
      <c r="N52" s="64"/>
      <c r="O52" s="64"/>
      <c r="P52" s="64"/>
      <c r="Q52" s="64"/>
      <c r="R52" s="64"/>
      <c r="S52" s="64"/>
      <c r="T52" s="64"/>
      <c r="U52" s="64">
        <v>4.0080653061224492E-19</v>
      </c>
      <c r="V52" s="65">
        <v>39.124544996716963</v>
      </c>
    </row>
    <row r="53" spans="1:23">
      <c r="A53" s="66"/>
      <c r="B53" s="10"/>
      <c r="C53" s="10"/>
      <c r="D53" s="68"/>
      <c r="E53" s="253"/>
      <c r="F53" s="68"/>
      <c r="G53" s="68"/>
      <c r="H53" s="10"/>
      <c r="I53" s="10"/>
      <c r="J53" s="10">
        <v>3.6010799999999996E-3</v>
      </c>
      <c r="K53" s="10">
        <v>1.3462453851428573E-13</v>
      </c>
      <c r="L53" s="10"/>
      <c r="M53" s="10"/>
      <c r="N53" s="10"/>
      <c r="O53" s="10"/>
      <c r="P53" s="10"/>
      <c r="Q53" s="10"/>
      <c r="R53" s="10"/>
      <c r="S53" s="10"/>
      <c r="T53" s="10"/>
      <c r="U53" s="10">
        <v>3.4799020408163266E-18</v>
      </c>
      <c r="V53" s="67">
        <v>12.027953717456173</v>
      </c>
    </row>
    <row r="54" spans="1:23">
      <c r="A54" s="66"/>
      <c r="B54" s="10"/>
      <c r="C54" s="10"/>
      <c r="D54" s="68"/>
      <c r="E54" s="253"/>
      <c r="F54" s="68"/>
      <c r="G54" s="68"/>
      <c r="H54" s="10"/>
      <c r="I54" s="10"/>
      <c r="J54" s="10">
        <v>0.18383400000000003</v>
      </c>
      <c r="K54" s="10">
        <v>7.4493798747428589E-12</v>
      </c>
      <c r="L54" s="10"/>
      <c r="M54" s="10"/>
      <c r="N54" s="10"/>
      <c r="O54" s="10"/>
      <c r="P54" s="10"/>
      <c r="Q54" s="10"/>
      <c r="R54" s="10"/>
      <c r="S54" s="10"/>
      <c r="T54" s="10"/>
      <c r="U54" s="10">
        <v>2.1782269387755102E-17</v>
      </c>
      <c r="V54" s="67">
        <v>1.4748988480841936</v>
      </c>
    </row>
    <row r="55" spans="1:23">
      <c r="A55" s="66"/>
      <c r="B55" s="10"/>
      <c r="C55" s="10"/>
      <c r="D55" s="68"/>
      <c r="E55" s="253"/>
      <c r="F55" s="68"/>
      <c r="G55" s="68"/>
      <c r="H55" s="10"/>
      <c r="I55" s="10"/>
      <c r="J55" s="10">
        <v>1.0751999999999999</v>
      </c>
      <c r="K55" s="10">
        <v>4.675464630857143E-11</v>
      </c>
      <c r="L55" s="10"/>
      <c r="M55" s="10"/>
      <c r="N55" s="10"/>
      <c r="O55" s="10"/>
      <c r="P55" s="10"/>
      <c r="Q55" s="10"/>
      <c r="R55" s="10"/>
      <c r="S55" s="10"/>
      <c r="T55" s="10"/>
      <c r="U55" s="10">
        <v>3.9859591836734695E-17</v>
      </c>
      <c r="V55" s="67">
        <v>0.46044864226682397</v>
      </c>
    </row>
    <row r="56" spans="1:23">
      <c r="A56" s="66"/>
      <c r="B56" s="10"/>
      <c r="C56" s="10"/>
      <c r="D56" s="68"/>
      <c r="E56" s="253"/>
      <c r="F56" s="68"/>
      <c r="G56" s="68"/>
      <c r="H56" s="10"/>
      <c r="I56" s="10"/>
      <c r="J56" s="10">
        <v>5.67</v>
      </c>
      <c r="K56" s="10">
        <v>2.7286280228571431E-10</v>
      </c>
      <c r="L56" s="10"/>
      <c r="M56" s="10"/>
      <c r="N56" s="10">
        <f>N48-N71</f>
        <v>2.9488210546713134E-6</v>
      </c>
      <c r="O56" s="10"/>
      <c r="P56" s="10"/>
      <c r="Q56" s="10"/>
      <c r="R56" s="10"/>
      <c r="S56" s="10"/>
      <c r="T56" s="10"/>
      <c r="U56" s="10">
        <v>6.848065306122449E-17</v>
      </c>
      <c r="V56" s="67">
        <v>0.14971694543793146</v>
      </c>
    </row>
    <row r="57" spans="1:23">
      <c r="A57" s="66"/>
      <c r="B57" s="10"/>
      <c r="C57" s="10"/>
      <c r="D57" s="68"/>
      <c r="E57" s="253"/>
      <c r="F57" s="68"/>
      <c r="G57" s="68"/>
      <c r="H57" s="10"/>
      <c r="I57" s="10"/>
      <c r="J57" s="10">
        <v>17.470613999999998</v>
      </c>
      <c r="K57" s="10">
        <v>9.2591458901759991E-10</v>
      </c>
      <c r="L57" s="10"/>
      <c r="M57" s="10"/>
      <c r="N57" s="10"/>
      <c r="O57" s="10"/>
      <c r="P57" s="10"/>
      <c r="Q57" s="10"/>
      <c r="R57" s="10"/>
      <c r="S57" s="10"/>
      <c r="T57" s="10"/>
      <c r="U57" s="10">
        <v>9.9026285714285712E-17</v>
      </c>
      <c r="V57" s="67">
        <v>7.0554843392666447E-2</v>
      </c>
    </row>
    <row r="58" spans="1:23">
      <c r="A58" s="66"/>
      <c r="B58" s="10"/>
      <c r="C58" s="10"/>
      <c r="D58" s="68"/>
      <c r="E58" s="253"/>
      <c r="F58" s="68"/>
      <c r="G58" s="68"/>
      <c r="H58" s="10"/>
      <c r="I58" s="10"/>
      <c r="J58" s="10">
        <v>49.937999999999995</v>
      </c>
      <c r="K58" s="10">
        <v>2.9894574500571426E-9</v>
      </c>
      <c r="L58" s="10"/>
      <c r="M58" s="10"/>
      <c r="N58" s="10"/>
      <c r="O58" s="10"/>
      <c r="P58" s="10"/>
      <c r="Q58" s="10"/>
      <c r="R58" s="10"/>
      <c r="S58" s="10"/>
      <c r="T58" s="10"/>
      <c r="U58" s="10">
        <v>1.4310530612244899E-16</v>
      </c>
      <c r="V58" s="67">
        <v>3.5669463729072898E-2</v>
      </c>
    </row>
    <row r="59" spans="1:23" ht="16.5" thickBot="1">
      <c r="A59" s="69"/>
      <c r="B59" s="51"/>
      <c r="C59" s="51"/>
      <c r="D59" s="68"/>
      <c r="E59" s="254"/>
      <c r="F59" s="59"/>
      <c r="G59" s="59"/>
      <c r="H59" s="51"/>
      <c r="I59" s="51"/>
      <c r="J59" s="51">
        <v>119.40600000000001</v>
      </c>
      <c r="K59" s="51">
        <v>8.2428778806857154E-9</v>
      </c>
      <c r="L59" s="51"/>
      <c r="M59" s="51"/>
      <c r="N59" s="51"/>
      <c r="O59" s="51"/>
      <c r="P59" s="51"/>
      <c r="Q59" s="51"/>
      <c r="R59" s="51"/>
      <c r="S59" s="51"/>
      <c r="T59" s="51"/>
      <c r="U59" s="51">
        <v>2.0496000000000003E-16</v>
      </c>
      <c r="V59" s="70">
        <v>2.1362134273549941E-2</v>
      </c>
    </row>
    <row r="61" spans="1:23">
      <c r="A61" s="148" t="s">
        <v>329</v>
      </c>
    </row>
    <row r="62" spans="1:23" ht="16.5" thickBot="1">
      <c r="A62" s="77"/>
      <c r="B62" s="77"/>
      <c r="C62" s="77"/>
      <c r="D62" s="77"/>
      <c r="E62" s="275"/>
      <c r="F62" s="279"/>
      <c r="G62" s="279"/>
      <c r="H62" s="91"/>
      <c r="I62" s="91"/>
      <c r="J62" s="76"/>
      <c r="K62" s="91"/>
      <c r="L62" s="91"/>
      <c r="M62" s="76"/>
      <c r="N62" s="77"/>
    </row>
    <row r="63" spans="1:23">
      <c r="A63" s="63" t="s">
        <v>312</v>
      </c>
      <c r="B63" s="64" t="s">
        <v>311</v>
      </c>
      <c r="C63" s="64" t="s">
        <v>374</v>
      </c>
      <c r="D63" s="64" t="s">
        <v>376</v>
      </c>
      <c r="E63" s="276" t="s">
        <v>306</v>
      </c>
      <c r="F63" s="237" t="s">
        <v>307</v>
      </c>
      <c r="G63" s="237" t="s">
        <v>509</v>
      </c>
      <c r="H63" s="64" t="s">
        <v>310</v>
      </c>
      <c r="I63" s="64" t="s">
        <v>12</v>
      </c>
      <c r="J63" s="65" t="s">
        <v>317</v>
      </c>
      <c r="K63" s="64" t="s">
        <v>313</v>
      </c>
      <c r="L63" s="64" t="s">
        <v>314</v>
      </c>
      <c r="M63" s="65" t="s">
        <v>315</v>
      </c>
      <c r="N63" s="141" t="s">
        <v>309</v>
      </c>
      <c r="O63" s="63" t="s">
        <v>318</v>
      </c>
      <c r="P63" s="64" t="s">
        <v>312</v>
      </c>
      <c r="Q63" s="64" t="s">
        <v>311</v>
      </c>
      <c r="R63" s="64" t="s">
        <v>313</v>
      </c>
      <c r="S63" s="64" t="s">
        <v>319</v>
      </c>
      <c r="T63" s="64" t="s">
        <v>326</v>
      </c>
      <c r="U63" s="64" t="s">
        <v>308</v>
      </c>
      <c r="V63" s="65" t="s">
        <v>59</v>
      </c>
      <c r="W63" s="276" t="s">
        <v>306</v>
      </c>
    </row>
    <row r="64" spans="1:23">
      <c r="A64" s="66">
        <v>1.8285714285714286E-7</v>
      </c>
      <c r="B64" s="10">
        <v>3.6274808163265308E-11</v>
      </c>
      <c r="C64" s="68">
        <v>1.9999999999999999E-6</v>
      </c>
      <c r="D64" s="68">
        <v>5.7142857142857104E-8</v>
      </c>
      <c r="E64" s="253">
        <v>7.0000000000000007E-2</v>
      </c>
      <c r="F64" s="68">
        <v>1.0244375510204081E-20</v>
      </c>
      <c r="G64" s="253">
        <f>LOG10(F64)</f>
        <v>-19.989514510736544</v>
      </c>
      <c r="H64" s="10">
        <v>8.8999999999999995E-4</v>
      </c>
      <c r="I64" s="10">
        <v>88000</v>
      </c>
      <c r="J64" s="139">
        <f t="shared" ref="J64:J73" si="57">(F64*I64)/(A64*H64)</f>
        <v>5.5394446227929373E-6</v>
      </c>
      <c r="K64" s="10">
        <f t="shared" ref="K64:K73" si="58">J64*B64</f>
        <v>2.0094229102284536E-16</v>
      </c>
      <c r="L64" s="10">
        <v>1000</v>
      </c>
      <c r="M64" s="139">
        <f t="shared" ref="M64:M73" si="59">(L64*J64*C64)/H64</f>
        <v>1.2448190163579634E-5</v>
      </c>
      <c r="N64" s="268">
        <v>2.200685709</v>
      </c>
      <c r="O64" s="138">
        <f t="shared" ref="O64:O73" si="60">SQRT((J64^2*(N64^2-1))/2)</f>
        <v>7.6786949259063786E-6</v>
      </c>
      <c r="P64" s="68">
        <v>6.0228571428571433E-6</v>
      </c>
      <c r="Q64" s="10">
        <v>1.1013224489795919E-12</v>
      </c>
      <c r="R64" s="10">
        <f t="shared" ref="R64:R73" si="61">O64*Q64</f>
        <v>8.4567191007663794E-18</v>
      </c>
      <c r="S64" s="68">
        <f t="shared" ref="S64:S73" si="62">(L64*O64*D64)/H64</f>
        <v>4.9301412044342689E-7</v>
      </c>
      <c r="T64" s="253">
        <f t="shared" ref="T64:T73" si="63">SQRT((2*O64^2+J64^2))/O64</f>
        <v>1.5875844443368563</v>
      </c>
      <c r="U64" s="68">
        <f t="shared" ref="U64:U73" si="64">O64*P64*H64/I64</f>
        <v>4.6773224429842449E-19</v>
      </c>
      <c r="V64" s="67">
        <f t="shared" ref="V64:V73" si="65">U64/F64</f>
        <v>45.657467732662859</v>
      </c>
      <c r="W64" s="253">
        <v>7.0000000000000007E-2</v>
      </c>
    </row>
    <row r="65" spans="1:23">
      <c r="A65" s="66">
        <v>1.8285714285714286E-7</v>
      </c>
      <c r="B65" s="10">
        <v>3.8477453061224493E-11</v>
      </c>
      <c r="C65" s="68">
        <v>1.9999999999999999E-6</v>
      </c>
      <c r="D65" s="68">
        <v>5.7142857142857104E-8</v>
      </c>
      <c r="E65" s="253">
        <v>0.123</v>
      </c>
      <c r="F65" s="68">
        <v>1.7400881632653065E-20</v>
      </c>
      <c r="G65" s="253">
        <f t="shared" ref="G65:G73" si="66">LOG10(F65)</f>
        <v>-19.759428747206112</v>
      </c>
      <c r="H65" s="10">
        <v>8.8999999999999995E-4</v>
      </c>
      <c r="I65" s="10">
        <v>88000</v>
      </c>
      <c r="J65" s="139">
        <f t="shared" si="57"/>
        <v>9.4091845906902123E-6</v>
      </c>
      <c r="K65" s="10">
        <f t="shared" si="58"/>
        <v>3.6204145843267941E-16</v>
      </c>
      <c r="L65" s="10">
        <v>1000</v>
      </c>
      <c r="M65" s="139">
        <f t="shared" si="59"/>
        <v>2.1144235035258904E-5</v>
      </c>
      <c r="N65" s="268">
        <v>1.77</v>
      </c>
      <c r="O65" s="138">
        <f t="shared" si="60"/>
        <v>9.7167770484328241E-6</v>
      </c>
      <c r="P65" s="68">
        <v>6.388571428571429E-6</v>
      </c>
      <c r="Q65" s="10">
        <v>1.1681959183673471E-12</v>
      </c>
      <c r="R65" s="10">
        <f t="shared" si="61"/>
        <v>1.1351099287664744E-17</v>
      </c>
      <c r="S65" s="68">
        <f t="shared" si="62"/>
        <v>6.2387011546920181E-7</v>
      </c>
      <c r="T65" s="253">
        <f t="shared" si="63"/>
        <v>1.713969214535777</v>
      </c>
      <c r="U65" s="68">
        <f t="shared" si="64"/>
        <v>6.2781737004750835E-19</v>
      </c>
      <c r="V65" s="67">
        <f t="shared" si="65"/>
        <v>36.079629946415928</v>
      </c>
      <c r="W65" s="253">
        <v>0.123</v>
      </c>
    </row>
    <row r="66" spans="1:23" s="330" customFormat="1">
      <c r="A66" s="323">
        <v>1.8285714285714286E-7</v>
      </c>
      <c r="B66" s="324">
        <v>4.0473600000000007E-11</v>
      </c>
      <c r="C66" s="325">
        <v>1.9999999999999999E-6</v>
      </c>
      <c r="D66" s="325">
        <v>5.7142857142857104E-8</v>
      </c>
      <c r="E66" s="326">
        <v>0.16700000000000001</v>
      </c>
      <c r="F66" s="325">
        <v>2.170008163265306E-20</v>
      </c>
      <c r="G66" s="326">
        <f t="shared" si="66"/>
        <v>-19.663538632393678</v>
      </c>
      <c r="H66" s="324">
        <v>8.8999999999999995E-4</v>
      </c>
      <c r="I66" s="324">
        <v>88000</v>
      </c>
      <c r="J66" s="327">
        <f t="shared" si="57"/>
        <v>1.1733892455858749E-5</v>
      </c>
      <c r="K66" s="324">
        <f t="shared" si="58"/>
        <v>4.7491286970144478E-16</v>
      </c>
      <c r="L66" s="324">
        <v>1000</v>
      </c>
      <c r="M66" s="327">
        <f t="shared" si="59"/>
        <v>2.6368297653615167E-5</v>
      </c>
      <c r="N66" s="331">
        <v>1.5055510000000001</v>
      </c>
      <c r="O66" s="328">
        <f t="shared" si="60"/>
        <v>9.3381579626905618E-6</v>
      </c>
      <c r="P66" s="325">
        <v>6.72E-6</v>
      </c>
      <c r="Q66" s="324">
        <v>1.2288000000000002E-12</v>
      </c>
      <c r="R66" s="324">
        <f t="shared" si="61"/>
        <v>1.1474728504554164E-17</v>
      </c>
      <c r="S66" s="325">
        <f t="shared" si="62"/>
        <v>5.995607038645622E-7</v>
      </c>
      <c r="T66" s="326">
        <f t="shared" si="63"/>
        <v>1.8918049567583644</v>
      </c>
      <c r="U66" s="325">
        <f t="shared" si="64"/>
        <v>6.3465517208249669E-19</v>
      </c>
      <c r="V66" s="329">
        <f t="shared" si="65"/>
        <v>29.246672101339165</v>
      </c>
      <c r="W66" s="326">
        <v>0.16700000000000001</v>
      </c>
    </row>
    <row r="67" spans="1:23">
      <c r="A67" s="66">
        <v>1.8285714285714286E-7</v>
      </c>
      <c r="B67" s="10">
        <v>4.2882742857142863E-11</v>
      </c>
      <c r="C67" s="68">
        <v>1.9999999999999999E-6</v>
      </c>
      <c r="D67" s="68">
        <v>5.7142857142857104E-8</v>
      </c>
      <c r="E67" s="253">
        <v>0.21299999999999999</v>
      </c>
      <c r="F67" s="68">
        <v>7.0791510204081632E-19</v>
      </c>
      <c r="G67" s="253">
        <f t="shared" si="66"/>
        <v>-18.150018822714188</v>
      </c>
      <c r="H67" s="10">
        <v>8.8999999999999995E-4</v>
      </c>
      <c r="I67" s="10">
        <v>88000</v>
      </c>
      <c r="J67" s="139">
        <f t="shared" si="57"/>
        <v>3.8279117174959876E-4</v>
      </c>
      <c r="K67" s="10">
        <f t="shared" si="58"/>
        <v>1.6415135386122453E-14</v>
      </c>
      <c r="L67" s="10">
        <v>1000</v>
      </c>
      <c r="M67" s="139">
        <f t="shared" si="59"/>
        <v>8.6020488033617705E-4</v>
      </c>
      <c r="N67" s="268">
        <v>1.1115006659250199</v>
      </c>
      <c r="O67" s="138">
        <f t="shared" si="60"/>
        <v>1.3133523553246354E-4</v>
      </c>
      <c r="P67" s="68">
        <v>7.1200000000000004E-6</v>
      </c>
      <c r="Q67" s="10">
        <v>1.3019428571428573E-12</v>
      </c>
      <c r="R67" s="10">
        <f t="shared" si="61"/>
        <v>1.7099097179266569E-16</v>
      </c>
      <c r="S67" s="68">
        <f t="shared" si="62"/>
        <v>8.432438878488825E-6</v>
      </c>
      <c r="T67" s="253">
        <f t="shared" si="63"/>
        <v>3.2395924870042139</v>
      </c>
      <c r="U67" s="68">
        <f t="shared" si="64"/>
        <v>9.4573309150240343E-18</v>
      </c>
      <c r="V67" s="67">
        <f t="shared" si="65"/>
        <v>13.359413985886054</v>
      </c>
      <c r="W67" s="253">
        <v>0.21299999999999999</v>
      </c>
    </row>
    <row r="68" spans="1:23" s="330" customFormat="1">
      <c r="A68" s="323">
        <v>1.8285714285714286E-7</v>
      </c>
      <c r="B68" s="324">
        <v>4.5085387755102048E-11</v>
      </c>
      <c r="C68" s="325">
        <v>1.9999999999999999E-6</v>
      </c>
      <c r="D68" s="325">
        <v>5.7142857142857104E-8</v>
      </c>
      <c r="E68" s="326">
        <v>0.252</v>
      </c>
      <c r="F68" s="325">
        <v>1.074377142857143E-17</v>
      </c>
      <c r="G68" s="326">
        <f t="shared" si="66"/>
        <v>-16.96884323976284</v>
      </c>
      <c r="H68" s="324">
        <v>8.8999999999999995E-4</v>
      </c>
      <c r="I68" s="324">
        <v>88000</v>
      </c>
      <c r="J68" s="327">
        <f t="shared" si="57"/>
        <v>5.8094831460674167E-3</v>
      </c>
      <c r="K68" s="324">
        <f t="shared" si="58"/>
        <v>2.6192280029717964E-13</v>
      </c>
      <c r="L68" s="324">
        <v>1000</v>
      </c>
      <c r="M68" s="327">
        <f t="shared" si="59"/>
        <v>1.3055018305769477E-2</v>
      </c>
      <c r="N68" s="331">
        <v>1.00500005030475</v>
      </c>
      <c r="O68" s="328">
        <f t="shared" si="60"/>
        <v>4.1130773707963287E-4</v>
      </c>
      <c r="P68" s="325">
        <v>7.4857142857142862E-6</v>
      </c>
      <c r="Q68" s="324">
        <v>1.3688163265306124E-12</v>
      </c>
      <c r="R68" s="324">
        <f t="shared" si="61"/>
        <v>5.6300474574296203E-16</v>
      </c>
      <c r="S68" s="325">
        <f t="shared" si="62"/>
        <v>2.6408201417632913E-5</v>
      </c>
      <c r="T68" s="326">
        <f t="shared" si="63"/>
        <v>14.19504261090999</v>
      </c>
      <c r="U68" s="325">
        <f t="shared" si="64"/>
        <v>3.1139200692282077E-17</v>
      </c>
      <c r="V68" s="329">
        <f t="shared" si="65"/>
        <v>2.8983491411099922</v>
      </c>
      <c r="W68" s="326">
        <v>0.252</v>
      </c>
    </row>
    <row r="69" spans="1:23">
      <c r="A69" s="66">
        <v>1.8285714285714286E-7</v>
      </c>
      <c r="B69" s="10">
        <v>4.9490677551020412E-11</v>
      </c>
      <c r="C69" s="68">
        <v>1.9999999999999999E-6</v>
      </c>
      <c r="D69" s="68">
        <v>5.7142857142857104E-8</v>
      </c>
      <c r="E69" s="253">
        <v>0.318</v>
      </c>
      <c r="F69" s="68">
        <v>1.2273828571428573E-16</v>
      </c>
      <c r="G69" s="253">
        <f t="shared" si="66"/>
        <v>-15.91101994680103</v>
      </c>
      <c r="H69" s="10">
        <v>8.8999999999999995E-4</v>
      </c>
      <c r="I69" s="10">
        <v>88000</v>
      </c>
      <c r="J69" s="139">
        <f t="shared" si="57"/>
        <v>6.6368314606741585E-2</v>
      </c>
      <c r="K69" s="10">
        <f t="shared" si="58"/>
        <v>3.2846128578069259E-12</v>
      </c>
      <c r="L69" s="10">
        <v>1000</v>
      </c>
      <c r="M69" s="139">
        <f t="shared" si="59"/>
        <v>0.14914228001514965</v>
      </c>
      <c r="N69" s="268">
        <v>1.0000256812099999</v>
      </c>
      <c r="O69" s="138">
        <f t="shared" si="60"/>
        <v>3.3633442290528819E-4</v>
      </c>
      <c r="P69" s="68">
        <v>8.2171428571428576E-6</v>
      </c>
      <c r="Q69" s="10">
        <v>1.5025632653061227E-12</v>
      </c>
      <c r="R69" s="10">
        <f t="shared" si="61"/>
        <v>5.0536374871542019E-16</v>
      </c>
      <c r="S69" s="68">
        <f t="shared" si="62"/>
        <v>2.1594505483485588E-5</v>
      </c>
      <c r="T69" s="253">
        <f t="shared" si="63"/>
        <v>197.33341134712262</v>
      </c>
      <c r="U69" s="68">
        <f t="shared" si="64"/>
        <v>2.7951137735236752E-17</v>
      </c>
      <c r="V69" s="67">
        <f t="shared" si="65"/>
        <v>0.22772957576010425</v>
      </c>
      <c r="W69" s="253">
        <v>0.318</v>
      </c>
    </row>
    <row r="70" spans="1:23" s="4" customFormat="1">
      <c r="A70" s="333">
        <v>1.8285714285714286E-7</v>
      </c>
      <c r="B70" s="16">
        <v>5.6924604081632656E-11</v>
      </c>
      <c r="C70" s="234">
        <v>1.9999999999999999E-6</v>
      </c>
      <c r="D70" s="234">
        <v>5.7142857142857104E-8</v>
      </c>
      <c r="E70" s="334">
        <v>0.36399999999999999</v>
      </c>
      <c r="F70" s="234">
        <v>5.5521306122448982E-15</v>
      </c>
      <c r="G70" s="334">
        <f t="shared" si="66"/>
        <v>-14.255540325782666</v>
      </c>
      <c r="H70" s="16">
        <v>8.8999999999999995E-4</v>
      </c>
      <c r="I70" s="16">
        <v>88000</v>
      </c>
      <c r="J70" s="335">
        <f t="shared" si="57"/>
        <v>3.0022054574638846</v>
      </c>
      <c r="K70" s="16">
        <f t="shared" si="58"/>
        <v>1.7089935703784849E-10</v>
      </c>
      <c r="L70" s="16">
        <v>1001</v>
      </c>
      <c r="M70" s="335">
        <f t="shared" si="59"/>
        <v>6.7532756470142656</v>
      </c>
      <c r="N70" s="268">
        <v>1.00000001355</v>
      </c>
      <c r="O70" s="138">
        <f t="shared" si="60"/>
        <v>3.4947012847822518E-4</v>
      </c>
      <c r="P70" s="234">
        <v>9.451428571428571E-6</v>
      </c>
      <c r="Q70" s="16">
        <v>1.6091428571428572E-12</v>
      </c>
      <c r="R70" s="16">
        <f t="shared" si="61"/>
        <v>5.6234736102553263E-16</v>
      </c>
      <c r="S70" s="234">
        <f t="shared" si="62"/>
        <v>2.2460327358375811E-5</v>
      </c>
      <c r="T70" s="334">
        <f t="shared" si="63"/>
        <v>8590.7356695032377</v>
      </c>
      <c r="U70" s="234">
        <f t="shared" si="64"/>
        <v>3.3405259566730911E-17</v>
      </c>
      <c r="V70" s="89">
        <f t="shared" si="65"/>
        <v>6.0166559289973427E-3</v>
      </c>
      <c r="W70" s="334">
        <v>0.36399999999999999</v>
      </c>
    </row>
    <row r="71" spans="1:23">
      <c r="A71" s="336">
        <v>1.8285714285714286E-7</v>
      </c>
      <c r="B71" s="337">
        <v>5.3001142857142863E-11</v>
      </c>
      <c r="C71" s="338">
        <v>1.9999999999999999E-6</v>
      </c>
      <c r="D71" s="338">
        <v>5.7142857142857104E-8</v>
      </c>
      <c r="E71" s="339">
        <v>0.40699999999999997</v>
      </c>
      <c r="F71" s="338">
        <v>1.3609959183673469E-14</v>
      </c>
      <c r="G71" s="339">
        <f t="shared" si="66"/>
        <v>-13.866143177245744</v>
      </c>
      <c r="H71" s="337">
        <v>8.8999999999999995E-4</v>
      </c>
      <c r="I71" s="337">
        <v>88000</v>
      </c>
      <c r="J71" s="338">
        <f t="shared" si="57"/>
        <v>7.3593178170144462</v>
      </c>
      <c r="K71" s="336">
        <f t="shared" si="58"/>
        <v>3.9005225495069944E-10</v>
      </c>
      <c r="L71" s="337">
        <v>1000</v>
      </c>
      <c r="M71" s="340">
        <f t="shared" si="59"/>
        <v>16.537792847223475</v>
      </c>
      <c r="N71" s="341">
        <v>1.00000000244</v>
      </c>
      <c r="O71" s="342">
        <f t="shared" si="60"/>
        <v>3.6352348234179084E-4</v>
      </c>
      <c r="P71" s="338">
        <v>8.8000000000000004E-6</v>
      </c>
      <c r="Q71" s="337">
        <v>1.728261224489796E-12</v>
      </c>
      <c r="R71" s="337">
        <f t="shared" si="61"/>
        <v>6.2826353872281815E-16</v>
      </c>
      <c r="S71" s="338">
        <f t="shared" si="62"/>
        <v>2.3340191482618976E-5</v>
      </c>
      <c r="T71" s="339">
        <f t="shared" si="63"/>
        <v>20244.408387494008</v>
      </c>
      <c r="U71" s="338">
        <f t="shared" si="64"/>
        <v>3.2353589928419389E-17</v>
      </c>
      <c r="V71" s="343">
        <f t="shared" si="65"/>
        <v>2.3771996294618437E-3</v>
      </c>
      <c r="W71" s="339">
        <v>0.40699999999999997</v>
      </c>
    </row>
    <row r="72" spans="1:23">
      <c r="A72" s="66">
        <v>1.8285714285714286E-7</v>
      </c>
      <c r="B72" s="10">
        <v>6.3807869387755105E-11</v>
      </c>
      <c r="C72" s="68">
        <v>1.9999999999999999E-6</v>
      </c>
      <c r="D72" s="68">
        <v>5.7142857142857104E-8</v>
      </c>
      <c r="E72" s="253">
        <v>0.47099999999999997</v>
      </c>
      <c r="F72" s="68">
        <v>2.520989387755102E-14</v>
      </c>
      <c r="G72" s="253">
        <f t="shared" si="66"/>
        <v>-13.598428982506459</v>
      </c>
      <c r="H72" s="81">
        <v>8.8999999999999995E-4</v>
      </c>
      <c r="I72" s="81">
        <v>88000</v>
      </c>
      <c r="J72" s="344">
        <f t="shared" si="57"/>
        <v>13.631754414125201</v>
      </c>
      <c r="K72" s="81">
        <f t="shared" si="58"/>
        <v>8.6981320518245487E-10</v>
      </c>
      <c r="L72" s="81">
        <v>1000</v>
      </c>
      <c r="M72" s="344">
        <f t="shared" si="59"/>
        <v>30.633155986798201</v>
      </c>
      <c r="N72" s="345">
        <v>1.0000000008100001</v>
      </c>
      <c r="O72" s="346">
        <f t="shared" si="60"/>
        <v>3.8796654812445539E-4</v>
      </c>
      <c r="P72" s="347">
        <v>1.0594285714285715E-5</v>
      </c>
      <c r="Q72" s="81">
        <v>1.9372408163265306E-12</v>
      </c>
      <c r="R72" s="81">
        <f t="shared" si="61"/>
        <v>7.5158463239600617E-16</v>
      </c>
      <c r="S72" s="347">
        <f t="shared" si="62"/>
        <v>2.4909569703014779E-5</v>
      </c>
      <c r="T72" s="348">
        <f t="shared" si="63"/>
        <v>35136.417021175774</v>
      </c>
      <c r="U72" s="347">
        <f t="shared" si="64"/>
        <v>4.1569355999885649E-17</v>
      </c>
      <c r="V72" s="349">
        <f t="shared" si="65"/>
        <v>1.6489302256405946E-3</v>
      </c>
      <c r="W72" s="253">
        <v>0.47099999999999997</v>
      </c>
    </row>
    <row r="73" spans="1:23" ht="16.5" thickBot="1">
      <c r="A73" s="296">
        <v>1.8285714285714286E-7</v>
      </c>
      <c r="B73" s="297">
        <v>7.4132767346938789E-11</v>
      </c>
      <c r="C73" s="300">
        <v>1.9999999999999999E-6</v>
      </c>
      <c r="D73" s="300">
        <v>5.7142857142857104E-8</v>
      </c>
      <c r="E73" s="299">
        <v>0.54500000000000004</v>
      </c>
      <c r="F73" s="300">
        <v>3.8566857142857135E-14</v>
      </c>
      <c r="G73" s="253">
        <f t="shared" si="66"/>
        <v>-13.413785750844296</v>
      </c>
      <c r="H73" s="297">
        <v>8.8999999999999995E-4</v>
      </c>
      <c r="I73" s="297">
        <v>88000</v>
      </c>
      <c r="J73" s="304">
        <f t="shared" si="57"/>
        <v>20.854269662921347</v>
      </c>
      <c r="K73" s="297">
        <f t="shared" si="58"/>
        <v>1.5459847211116718E-9</v>
      </c>
      <c r="L73" s="297">
        <v>1000</v>
      </c>
      <c r="M73" s="304">
        <f t="shared" si="59"/>
        <v>46.863527332407521</v>
      </c>
      <c r="N73" s="332">
        <v>1.00000000041</v>
      </c>
      <c r="O73" s="302">
        <f t="shared" si="60"/>
        <v>4.2226679440212554E-4</v>
      </c>
      <c r="P73" s="300">
        <v>1.2308571428571429E-5</v>
      </c>
      <c r="Q73" s="297">
        <v>2.250710204081633E-12</v>
      </c>
      <c r="R73" s="297">
        <f t="shared" si="61"/>
        <v>9.5040018300570499E-16</v>
      </c>
      <c r="S73" s="300">
        <f t="shared" si="62"/>
        <v>2.711183270639649E-5</v>
      </c>
      <c r="T73" s="299">
        <f t="shared" si="63"/>
        <v>49386.477809600234</v>
      </c>
      <c r="U73" s="300">
        <f t="shared" si="64"/>
        <v>5.2565635121853169E-17</v>
      </c>
      <c r="V73" s="303">
        <f t="shared" si="65"/>
        <v>1.362974300113244E-3</v>
      </c>
      <c r="W73" s="299">
        <v>0.54500000000000004</v>
      </c>
    </row>
    <row r="74" spans="1:23" ht="16.5" thickBot="1">
      <c r="A74" t="s">
        <v>328</v>
      </c>
      <c r="D74" s="68"/>
    </row>
    <row r="75" spans="1:23">
      <c r="A75" s="63"/>
      <c r="B75" s="64"/>
      <c r="C75" s="64"/>
      <c r="D75" s="68"/>
      <c r="E75" s="276"/>
      <c r="F75" s="237"/>
      <c r="G75" s="237"/>
      <c r="H75" s="64"/>
      <c r="I75" s="64"/>
      <c r="J75" s="64">
        <v>1.2751746000000001E-4</v>
      </c>
      <c r="K75" s="64">
        <v>4.6256713989668579E-15</v>
      </c>
      <c r="L75" s="64"/>
      <c r="M75" s="64"/>
      <c r="N75" s="64"/>
      <c r="O75" s="64"/>
      <c r="P75" s="64"/>
      <c r="Q75" s="64"/>
      <c r="R75" s="64"/>
      <c r="S75" s="64"/>
      <c r="T75" s="64">
        <v>4.0080653061224492E-19</v>
      </c>
      <c r="U75" s="65">
        <v>39.124544996716963</v>
      </c>
    </row>
    <row r="76" spans="1:23">
      <c r="A76" s="66"/>
      <c r="B76" s="10"/>
      <c r="C76" s="10"/>
      <c r="D76" s="68"/>
      <c r="E76" s="253"/>
      <c r="F76" s="68"/>
      <c r="G76" s="68"/>
      <c r="H76" s="10"/>
      <c r="I76" s="10"/>
      <c r="J76" s="10">
        <v>2.1659904000000002E-4</v>
      </c>
      <c r="K76" s="10">
        <v>8.3341793947062868E-15</v>
      </c>
      <c r="L76" s="10"/>
      <c r="M76" s="10"/>
      <c r="N76" s="10"/>
      <c r="O76" s="10"/>
      <c r="P76" s="10"/>
      <c r="Q76" s="10"/>
      <c r="R76" s="10"/>
      <c r="S76" s="10"/>
      <c r="T76" s="10">
        <v>4.5772734693877556E-19</v>
      </c>
      <c r="U76" s="67">
        <v>26.304836536548933</v>
      </c>
    </row>
    <row r="77" spans="1:23">
      <c r="A77" s="66"/>
      <c r="B77" s="10"/>
      <c r="C77" s="10"/>
      <c r="D77" s="68"/>
      <c r="E77" s="253"/>
      <c r="F77" s="68"/>
      <c r="G77" s="68"/>
      <c r="H77" s="10"/>
      <c r="I77" s="10"/>
      <c r="J77" s="10">
        <v>8.8115999999999993E-3</v>
      </c>
      <c r="K77" s="10">
        <v>3.7786557696000002E-13</v>
      </c>
      <c r="L77" s="10"/>
      <c r="M77" s="10"/>
      <c r="N77" s="10"/>
      <c r="O77" s="10"/>
      <c r="P77" s="10"/>
      <c r="Q77" s="10"/>
      <c r="R77" s="10"/>
      <c r="S77" s="10"/>
      <c r="T77" s="10">
        <v>7.3377306122448978E-19</v>
      </c>
      <c r="U77" s="67">
        <v>1.0365269212496369</v>
      </c>
    </row>
    <row r="78" spans="1:23">
      <c r="A78" s="66"/>
      <c r="B78" s="10"/>
      <c r="C78" s="10"/>
      <c r="D78" s="68"/>
      <c r="E78" s="253"/>
      <c r="F78" s="68"/>
      <c r="G78" s="68"/>
      <c r="H78" s="10"/>
      <c r="I78" s="10"/>
      <c r="J78" s="10">
        <v>1.5277962</v>
      </c>
      <c r="K78" s="10">
        <v>7.5611669097874296E-11</v>
      </c>
      <c r="L78" s="10"/>
      <c r="M78" s="10"/>
      <c r="N78" s="10"/>
      <c r="O78" s="10"/>
      <c r="P78" s="10"/>
      <c r="Q78" s="10"/>
      <c r="R78" s="10"/>
      <c r="S78" s="10"/>
      <c r="T78" s="10">
        <v>9.1176489795918385E-19</v>
      </c>
      <c r="U78" s="67">
        <v>7.4285288624742624E-3</v>
      </c>
    </row>
    <row r="79" spans="1:23">
      <c r="A79" s="66"/>
      <c r="B79" s="10"/>
      <c r="C79" s="10"/>
      <c r="D79" s="68"/>
      <c r="E79" s="253"/>
      <c r="F79" s="68"/>
      <c r="G79" s="68"/>
      <c r="H79" s="10"/>
      <c r="I79" s="10"/>
      <c r="J79" s="10">
        <v>169.41119999999998</v>
      </c>
      <c r="K79" s="10">
        <v>9.643665486994285E-9</v>
      </c>
      <c r="L79" s="10"/>
      <c r="M79" s="10"/>
      <c r="N79" s="10"/>
      <c r="O79" s="10"/>
      <c r="P79" s="10"/>
      <c r="Q79" s="10"/>
      <c r="R79" s="10"/>
      <c r="S79" s="10"/>
      <c r="T79" s="10">
        <v>1.1343673469387757E-18</v>
      </c>
      <c r="U79" s="67">
        <v>8.3348328354986161E-5</v>
      </c>
    </row>
    <row r="80" spans="1:23">
      <c r="A80" s="66"/>
      <c r="B80" s="10"/>
      <c r="C80" s="10"/>
      <c r="D80" s="68"/>
      <c r="E80" s="253"/>
      <c r="F80" s="68"/>
      <c r="G80" s="68"/>
      <c r="H80" s="10"/>
      <c r="I80" s="10"/>
      <c r="J80" s="10">
        <v>313.80216000000001</v>
      </c>
      <c r="K80" s="10">
        <v>2.0023047238875429E-8</v>
      </c>
      <c r="L80" s="10"/>
      <c r="M80" s="10"/>
      <c r="N80" s="10"/>
      <c r="O80" s="10"/>
      <c r="P80" s="10"/>
      <c r="Q80" s="10"/>
      <c r="R80" s="10"/>
      <c r="S80" s="10"/>
      <c r="T80" s="10">
        <v>1.3543412244897961E-18</v>
      </c>
      <c r="U80" s="67">
        <v>5.3722607126712807E-5</v>
      </c>
    </row>
    <row r="81" spans="1:21" ht="16.5" thickBot="1">
      <c r="A81" s="69"/>
      <c r="B81" s="51"/>
      <c r="C81" s="51"/>
      <c r="D81" s="68"/>
      <c r="E81" s="254"/>
      <c r="F81" s="59"/>
      <c r="G81" s="59"/>
      <c r="H81" s="51"/>
      <c r="I81" s="51"/>
      <c r="J81" s="51">
        <v>480.06419999999997</v>
      </c>
      <c r="K81" s="51">
        <v>3.558848765019429E-8</v>
      </c>
      <c r="L81" s="51"/>
      <c r="M81" s="51"/>
      <c r="N81" s="51"/>
      <c r="O81" s="51"/>
      <c r="P81" s="51"/>
      <c r="Q81" s="51"/>
      <c r="R81" s="51"/>
      <c r="S81" s="51"/>
      <c r="T81" s="51">
        <v>1.7060995918367347E-18</v>
      </c>
      <c r="U81" s="70">
        <v>4.423745459779361E-5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7"/>
  <sheetViews>
    <sheetView topLeftCell="E1" zoomScaleNormal="100" workbookViewId="0">
      <selection activeCell="S17" sqref="S17"/>
    </sheetView>
  </sheetViews>
  <sheetFormatPr defaultRowHeight="15.75"/>
  <cols>
    <col min="1" max="1" width="7.125" bestFit="1" customWidth="1"/>
    <col min="2" max="2" width="6.5" bestFit="1" customWidth="1"/>
    <col min="3" max="3" width="9.625" bestFit="1" customWidth="1"/>
    <col min="4" max="4" width="22.75" bestFit="1" customWidth="1"/>
    <col min="5" max="5" width="28.625" bestFit="1" customWidth="1"/>
    <col min="6" max="6" width="20.5" bestFit="1" customWidth="1"/>
    <col min="7" max="7" width="21.5" bestFit="1" customWidth="1"/>
    <col min="8" max="8" width="26.625" style="77" bestFit="1" customWidth="1"/>
    <col min="9" max="10" width="26.625" style="77" customWidth="1"/>
    <col min="11" max="11" width="26.625" style="76" customWidth="1"/>
    <col min="12" max="12" width="22.875" bestFit="1" customWidth="1"/>
    <col min="13" max="14" width="22.875" customWidth="1"/>
    <col min="15" max="15" width="22.875" style="76" customWidth="1"/>
    <col min="16" max="16" width="13.5" bestFit="1" customWidth="1"/>
    <col min="17" max="17" width="8.375" bestFit="1" customWidth="1"/>
    <col min="18" max="18" width="15.75" style="83" customWidth="1"/>
    <col min="19" max="20" width="8.375" style="76" customWidth="1"/>
    <col min="21" max="21" width="16.375" style="76" bestFit="1" customWidth="1"/>
    <col min="22" max="23" width="16.375" style="77" customWidth="1"/>
    <col min="24" max="25" width="16.375" style="76" customWidth="1"/>
    <col min="26" max="26" width="17.625" style="35" customWidth="1"/>
    <col min="27" max="28" width="14.625" style="35" customWidth="1"/>
    <col min="29" max="29" width="30.5" bestFit="1" customWidth="1"/>
    <col min="30" max="30" width="19.625" bestFit="1" customWidth="1"/>
    <col min="31" max="31" width="24.625" bestFit="1" customWidth="1"/>
    <col min="32" max="32" width="19.625" bestFit="1" customWidth="1"/>
    <col min="33" max="33" width="24.5" bestFit="1" customWidth="1"/>
    <col min="34" max="34" width="19.5" bestFit="1" customWidth="1"/>
    <col min="35" max="35" width="37.125" bestFit="1" customWidth="1"/>
    <col min="36" max="36" width="11.875" bestFit="1" customWidth="1"/>
    <col min="37" max="37" width="33.25" bestFit="1" customWidth="1"/>
    <col min="38" max="39" width="11.875" bestFit="1" customWidth="1"/>
    <col min="40" max="40" width="17.375" bestFit="1" customWidth="1"/>
    <col min="41" max="41" width="11.875" bestFit="1" customWidth="1"/>
    <col min="42" max="42" width="8.375" bestFit="1" customWidth="1"/>
    <col min="43" max="43" width="24.875" bestFit="1" customWidth="1"/>
    <col min="44" max="44" width="26.875" bestFit="1" customWidth="1"/>
    <col min="45" max="45" width="30.25" bestFit="1" customWidth="1"/>
    <col min="46" max="46" width="20.75" bestFit="1" customWidth="1"/>
    <col min="47" max="47" width="22.25" bestFit="1" customWidth="1"/>
    <col min="48" max="48" width="25" bestFit="1" customWidth="1"/>
    <col min="49" max="49" width="14.75" bestFit="1" customWidth="1"/>
    <col min="50" max="50" width="14.625" bestFit="1" customWidth="1"/>
    <col min="51" max="51" width="11.875" bestFit="1" customWidth="1"/>
  </cols>
  <sheetData>
    <row r="1" spans="1:51" s="13" customFormat="1" ht="18" thickBot="1">
      <c r="A1" s="13" t="s">
        <v>0</v>
      </c>
      <c r="B1" s="13" t="s">
        <v>14</v>
      </c>
      <c r="C1" s="13" t="s">
        <v>1</v>
      </c>
      <c r="D1" s="13" t="s">
        <v>2</v>
      </c>
      <c r="E1" s="14" t="s">
        <v>3</v>
      </c>
      <c r="F1" s="13" t="s">
        <v>4</v>
      </c>
      <c r="G1" s="13" t="s">
        <v>13</v>
      </c>
      <c r="H1" s="119" t="s">
        <v>290</v>
      </c>
      <c r="I1" s="120" t="s">
        <v>295</v>
      </c>
      <c r="J1" s="120"/>
      <c r="K1" s="116" t="s">
        <v>296</v>
      </c>
      <c r="L1" t="s">
        <v>253</v>
      </c>
      <c r="M1" s="134" t="s">
        <v>292</v>
      </c>
      <c r="N1" s="134" t="s">
        <v>293</v>
      </c>
      <c r="O1" s="116" t="s">
        <v>294</v>
      </c>
      <c r="P1" s="93" t="s">
        <v>5</v>
      </c>
      <c r="Q1" s="219" t="s">
        <v>6</v>
      </c>
      <c r="R1" s="154" t="s">
        <v>457</v>
      </c>
      <c r="S1" s="118" t="s">
        <v>291</v>
      </c>
      <c r="T1" s="118" t="s">
        <v>301</v>
      </c>
      <c r="U1" s="118" t="s">
        <v>289</v>
      </c>
      <c r="V1" s="119" t="s">
        <v>297</v>
      </c>
      <c r="W1" s="119" t="s">
        <v>300</v>
      </c>
      <c r="X1" s="118" t="s">
        <v>298</v>
      </c>
      <c r="Y1" s="118" t="s">
        <v>299</v>
      </c>
      <c r="Z1" s="35" t="s">
        <v>302</v>
      </c>
      <c r="AA1" s="35" t="s">
        <v>458</v>
      </c>
      <c r="AB1" s="35" t="s">
        <v>459</v>
      </c>
      <c r="AC1" s="13" t="s">
        <v>19</v>
      </c>
      <c r="AD1" s="24" t="s">
        <v>126</v>
      </c>
      <c r="AE1" s="26" t="s">
        <v>18</v>
      </c>
      <c r="AF1" s="14" t="s">
        <v>127</v>
      </c>
      <c r="AG1" s="26" t="s">
        <v>161</v>
      </c>
      <c r="AH1" s="14" t="s">
        <v>160</v>
      </c>
      <c r="AI1" s="15" t="s">
        <v>162</v>
      </c>
      <c r="AJ1" s="14" t="s">
        <v>165</v>
      </c>
      <c r="AK1" s="14" t="s">
        <v>163</v>
      </c>
      <c r="AL1" s="14" t="s">
        <v>179</v>
      </c>
      <c r="AM1" s="13" t="s">
        <v>7</v>
      </c>
      <c r="AN1" s="13" t="s">
        <v>8</v>
      </c>
      <c r="AO1" s="14" t="s">
        <v>9</v>
      </c>
      <c r="AP1" s="15" t="s">
        <v>6</v>
      </c>
      <c r="AQ1" s="13" t="s">
        <v>10</v>
      </c>
      <c r="AR1" s="13" t="s">
        <v>183</v>
      </c>
      <c r="AS1" s="14" t="s">
        <v>141</v>
      </c>
      <c r="AT1" s="30" t="s">
        <v>78</v>
      </c>
      <c r="AU1" s="30" t="s">
        <v>182</v>
      </c>
      <c r="AV1" s="14" t="s">
        <v>142</v>
      </c>
      <c r="AW1" s="13" t="s">
        <v>11</v>
      </c>
      <c r="AX1" s="13" t="s">
        <v>164</v>
      </c>
      <c r="AY1" s="13" t="s">
        <v>59</v>
      </c>
    </row>
    <row r="2" spans="1:51" s="10" customFormat="1" ht="16.5" thickTop="1">
      <c r="A2" s="10">
        <v>350</v>
      </c>
      <c r="B2" s="10">
        <v>350</v>
      </c>
      <c r="C2" s="10">
        <v>10</v>
      </c>
      <c r="D2" s="10">
        <v>1</v>
      </c>
      <c r="E2" s="8">
        <v>2</v>
      </c>
      <c r="F2" s="10" t="s">
        <v>15</v>
      </c>
      <c r="G2" s="10">
        <v>0</v>
      </c>
      <c r="H2" s="120">
        <v>2.5</v>
      </c>
      <c r="I2" s="120">
        <f t="shared" ref="I2:I21" si="0">G2*AM2</f>
        <v>0</v>
      </c>
      <c r="J2" s="120">
        <f>I2/H2</f>
        <v>0</v>
      </c>
      <c r="K2" s="116">
        <f>J2/1000</f>
        <v>0</v>
      </c>
      <c r="L2">
        <f t="shared" ref="L2:L21" si="1">AM2*G2</f>
        <v>0</v>
      </c>
      <c r="M2">
        <v>1054</v>
      </c>
      <c r="N2">
        <f t="shared" ref="N2:N21" si="2">M2*AM2</f>
        <v>6.0228571428571433E-6</v>
      </c>
      <c r="O2" s="76">
        <f>H2/N2</f>
        <v>415085.38899430737</v>
      </c>
      <c r="P2" s="94" t="s">
        <v>83</v>
      </c>
      <c r="Q2" s="220">
        <v>7.0000000000000007E-2</v>
      </c>
      <c r="R2" s="83">
        <f>10^(6.2*Q2-20.09)</f>
        <v>2.2080047330188974E-20</v>
      </c>
      <c r="S2" s="116">
        <v>1</v>
      </c>
      <c r="T2" s="116">
        <f>0.001*K2*O2*S2</f>
        <v>0</v>
      </c>
      <c r="U2" s="116">
        <f>Q2-0.07</f>
        <v>0</v>
      </c>
      <c r="V2" s="120">
        <f>833*10^5*T2*K2^2</f>
        <v>0</v>
      </c>
      <c r="W2" s="120">
        <v>1.0244375510204081E-20</v>
      </c>
      <c r="X2" s="116">
        <f t="shared" ref="X2:X21" si="3">AR2-W2</f>
        <v>0</v>
      </c>
      <c r="Y2" s="116">
        <f t="shared" ref="Y2:Y21" si="4">X2/W2</f>
        <v>0</v>
      </c>
      <c r="Z2" s="146"/>
      <c r="AA2" s="146"/>
      <c r="AB2" s="320">
        <v>0</v>
      </c>
      <c r="AC2" s="10">
        <v>3.1373399999999997E-4</v>
      </c>
      <c r="AD2">
        <f>3.03613*10^-8</f>
        <v>3.0361299999999999E-8</v>
      </c>
      <c r="AE2" s="27">
        <v>1.22747E-2</v>
      </c>
      <c r="AF2" s="8">
        <f>3.49706*10^-8</f>
        <v>3.4970600000000001E-8</v>
      </c>
      <c r="AG2" s="27">
        <v>1.22747E-2</v>
      </c>
      <c r="AH2" s="8">
        <v>3.4970600000000001E-8</v>
      </c>
      <c r="AI2" s="28">
        <v>2.2000000000000002</v>
      </c>
      <c r="AJ2" s="9">
        <f t="shared" ref="AJ2:AJ21" si="5">LOG10(AI2)</f>
        <v>0.34242268082220628</v>
      </c>
      <c r="AK2" s="8">
        <f t="shared" ref="AK2:AK21" si="6">SQRT(AD2^2+AF2^2+AH2^2)/AF2</f>
        <v>1.6594464603289432</v>
      </c>
      <c r="AL2" s="8">
        <f t="shared" ref="AL2:AL21" si="7">AE2/AC2</f>
        <v>39.124544996716963</v>
      </c>
      <c r="AM2" s="10">
        <v>5.7142857142857144E-9</v>
      </c>
      <c r="AN2" s="10">
        <v>1000</v>
      </c>
      <c r="AO2" s="10">
        <v>1.3605442176870701E-12</v>
      </c>
      <c r="AP2" s="10">
        <v>7.0000000000000007E-2</v>
      </c>
      <c r="AQ2" s="10">
        <f t="shared" ref="AQ2:AQ21" si="8">((AM2^2)*AC2*1000)/(0.9869*(10^-12))</f>
        <v>1.0380358202658914E-5</v>
      </c>
      <c r="AR2" s="10">
        <f t="shared" ref="AR2:AR21" si="9">9.869*10^-16*AQ2</f>
        <v>1.0244375510204081E-20</v>
      </c>
      <c r="AS2" s="10">
        <f>LOG10(9.869*10^-16*AQ2)</f>
        <v>-19.989514510736544</v>
      </c>
      <c r="AT2" s="33">
        <f t="shared" ref="AT2:AT21" si="10">((AM2^2)*AE2*1000)/(0.9869*(10^-12))</f>
        <v>4.0612679158196874E-4</v>
      </c>
      <c r="AU2" s="10">
        <f t="shared" ref="AU2:AU21" si="11">9.869*10^-16*AT2</f>
        <v>4.0080653061224492E-19</v>
      </c>
      <c r="AV2" s="10">
        <f>LOG10(9.869*10^-16*AT2)</f>
        <v>-18.397065210829048</v>
      </c>
      <c r="AW2" s="10">
        <v>5.0000000000000001E-4</v>
      </c>
      <c r="AX2" s="10">
        <f t="shared" ref="AX2:AX21" si="12">(AW2*AM2^2*AN2/AO2^2)/10^6</f>
        <v>8.8200000000000625</v>
      </c>
      <c r="AY2" s="10">
        <f t="shared" ref="AY2:AY21" si="13">AT2/AQ2</f>
        <v>39.124544996716963</v>
      </c>
    </row>
    <row r="3" spans="1:51">
      <c r="A3">
        <v>350</v>
      </c>
      <c r="B3">
        <v>350</v>
      </c>
      <c r="C3">
        <v>10</v>
      </c>
      <c r="D3">
        <v>1</v>
      </c>
      <c r="E3" s="8">
        <v>2</v>
      </c>
      <c r="F3" t="s">
        <v>99</v>
      </c>
      <c r="G3">
        <v>8</v>
      </c>
      <c r="H3" s="120">
        <v>2.5</v>
      </c>
      <c r="I3" s="120">
        <f t="shared" si="0"/>
        <v>4.5714285714285715E-8</v>
      </c>
      <c r="J3" s="120">
        <f t="shared" ref="J3:J11" si="14">I3/H3</f>
        <v>1.8285714285714285E-8</v>
      </c>
      <c r="K3" s="116">
        <f t="shared" ref="K3:K21" si="15">J3/1000</f>
        <v>1.8285714285714284E-11</v>
      </c>
      <c r="L3">
        <f t="shared" si="1"/>
        <v>4.5714285714285715E-8</v>
      </c>
      <c r="M3">
        <v>1070</v>
      </c>
      <c r="N3">
        <f t="shared" si="2"/>
        <v>6.1142857142857141E-6</v>
      </c>
      <c r="O3" s="76">
        <f t="shared" ref="O3:O21" si="16">H3/N3</f>
        <v>408878.50467289722</v>
      </c>
      <c r="P3" s="94" t="s">
        <v>101</v>
      </c>
      <c r="Q3" s="220">
        <v>0.10199999999999999</v>
      </c>
      <c r="R3" s="83">
        <f t="shared" ref="R3:R21" si="17">10^(6.2*Q3-20.09)</f>
        <v>3.4865829335287144E-20</v>
      </c>
      <c r="S3" s="116">
        <v>1</v>
      </c>
      <c r="T3" s="116">
        <f t="shared" ref="T3:T21" si="18">0.001*K3*O3*S3</f>
        <v>7.4766355140186907E-9</v>
      </c>
      <c r="U3" s="116">
        <f>Q3-0.07</f>
        <v>3.1999999999999987E-2</v>
      </c>
      <c r="V3" s="120">
        <f t="shared" ref="V3:V21" si="19">(833*10^11*U3^3)/(O3^2*S3^2)</f>
        <v>1.6326999408639974E-2</v>
      </c>
      <c r="W3" s="120">
        <v>1.0244375510204081E-20</v>
      </c>
      <c r="X3" s="116">
        <f t="shared" si="3"/>
        <v>2.7907350204081639E-19</v>
      </c>
      <c r="Y3" s="116">
        <f t="shared" si="4"/>
        <v>27.241631445747043</v>
      </c>
      <c r="Z3" s="146">
        <f t="shared" ref="Z3:Z21" si="20">X3/W3</f>
        <v>27.241631445747043</v>
      </c>
      <c r="AA3" s="146">
        <f t="shared" ref="AA3:AA21" si="21">(R3-W3)/W3</f>
        <v>2.4034118820184256</v>
      </c>
      <c r="AB3" s="320">
        <f>(AR3-R3)/R3</f>
        <v>7.2980351555328262</v>
      </c>
      <c r="AC3">
        <v>8.8603599999999994E-3</v>
      </c>
      <c r="AD3" s="10">
        <f>8.574*10^-7</f>
        <v>8.5739999999999994E-7</v>
      </c>
      <c r="AE3" s="27">
        <v>0.106572</v>
      </c>
      <c r="AF3" s="8">
        <f>2.99*10^-7</f>
        <v>2.9900000000000002E-7</v>
      </c>
      <c r="AG3" s="27">
        <v>0.106572</v>
      </c>
      <c r="AH3" s="8">
        <v>2.9900000000000002E-7</v>
      </c>
      <c r="AI3" s="28">
        <f t="shared" ref="AI3:AI11" si="22">SQRT(AD3^2+AF3^2+AH3^2)/AD3</f>
        <v>1.1149992972818488</v>
      </c>
      <c r="AJ3" s="9">
        <f t="shared" si="5"/>
        <v>4.7274593674124246E-2</v>
      </c>
      <c r="AK3" s="8">
        <f t="shared" si="6"/>
        <v>3.1973257441118963</v>
      </c>
      <c r="AL3" s="8">
        <f t="shared" si="7"/>
        <v>12.027953717456176</v>
      </c>
      <c r="AM3">
        <v>5.7142857142857144E-9</v>
      </c>
      <c r="AN3">
        <v>1000</v>
      </c>
      <c r="AO3" s="8">
        <v>1.3605442176870747E-12</v>
      </c>
      <c r="AP3" s="12">
        <v>0.10199999999999999</v>
      </c>
      <c r="AQ3">
        <f t="shared" si="8"/>
        <v>2.931582506343302E-4</v>
      </c>
      <c r="AR3">
        <f t="shared" si="9"/>
        <v>2.8931787755102047E-19</v>
      </c>
      <c r="AS3" s="8">
        <f t="shared" ref="AS3:AS11" si="23">LOG10(9.869*10^-16*AQ3)</f>
        <v>-18.538624729567115</v>
      </c>
      <c r="AT3" s="31">
        <f t="shared" si="10"/>
        <v>3.5260938705201405E-3</v>
      </c>
      <c r="AU3">
        <f t="shared" si="11"/>
        <v>3.4799020408163266E-18</v>
      </c>
      <c r="AV3" s="8">
        <f t="shared" ref="AV3:AV11" si="24">LOG10(9.869*10^-16*AT3)</f>
        <v>-17.45843298126368</v>
      </c>
      <c r="AW3">
        <v>5.0000000000000001E-4</v>
      </c>
      <c r="AX3">
        <f t="shared" si="12"/>
        <v>8.8200000000000021</v>
      </c>
      <c r="AY3">
        <f t="shared" si="13"/>
        <v>12.027953717456173</v>
      </c>
    </row>
    <row r="4" spans="1:51">
      <c r="A4">
        <v>350</v>
      </c>
      <c r="B4">
        <v>350</v>
      </c>
      <c r="C4">
        <v>10</v>
      </c>
      <c r="D4">
        <v>1</v>
      </c>
      <c r="E4" s="8">
        <v>2</v>
      </c>
      <c r="F4" t="s">
        <v>99</v>
      </c>
      <c r="G4">
        <v>16</v>
      </c>
      <c r="H4" s="120"/>
      <c r="I4" s="120"/>
      <c r="J4" s="120"/>
      <c r="K4" s="116"/>
      <c r="P4" s="94" t="s">
        <v>505</v>
      </c>
      <c r="Q4" s="220">
        <v>0.13300000000000001</v>
      </c>
      <c r="R4" s="83">
        <f t="shared" si="17"/>
        <v>5.4275020979631632E-20</v>
      </c>
      <c r="S4" s="116"/>
      <c r="T4" s="116">
        <f t="shared" si="18"/>
        <v>0</v>
      </c>
      <c r="U4" s="116">
        <f>Q4-0.07</f>
        <v>6.3E-2</v>
      </c>
      <c r="V4" s="120"/>
      <c r="W4" s="120">
        <v>1.0244375510204081E-20</v>
      </c>
      <c r="X4" s="116">
        <f t="shared" si="3"/>
        <v>1.9375923591836736E-18</v>
      </c>
      <c r="Y4" s="116">
        <f t="shared" si="4"/>
        <v>189.13718627882221</v>
      </c>
      <c r="Z4" s="146">
        <f t="shared" ref="Z4" si="25">X4/W4</f>
        <v>189.13718627882221</v>
      </c>
      <c r="AA4" s="146">
        <f t="shared" ref="AA4" si="26">(R4-W4)/W4</f>
        <v>4.2980311904390938</v>
      </c>
      <c r="AB4" s="320">
        <f>(AR4-R4)/R4</f>
        <v>34.888272349537424</v>
      </c>
      <c r="AD4" s="10"/>
      <c r="AE4" s="27"/>
      <c r="AF4" s="8"/>
      <c r="AG4" s="27"/>
      <c r="AH4" s="8"/>
      <c r="AI4" s="28"/>
      <c r="AJ4" s="9"/>
      <c r="AK4" s="8"/>
      <c r="AL4" s="8"/>
      <c r="AO4" s="8"/>
      <c r="AP4" s="12"/>
      <c r="AQ4">
        <v>1.973692101219858E-3</v>
      </c>
      <c r="AR4">
        <v>1.9478367346938778E-18</v>
      </c>
      <c r="AS4" s="8">
        <v>-17.71044744796718</v>
      </c>
      <c r="AT4" s="31"/>
      <c r="AV4" s="8"/>
    </row>
    <row r="5" spans="1:51">
      <c r="A5">
        <v>350</v>
      </c>
      <c r="B5">
        <v>350</v>
      </c>
      <c r="C5">
        <v>10</v>
      </c>
      <c r="D5">
        <v>1</v>
      </c>
      <c r="E5" s="8">
        <v>2</v>
      </c>
      <c r="F5" t="s">
        <v>99</v>
      </c>
      <c r="G5">
        <v>30</v>
      </c>
      <c r="H5" s="120">
        <v>2.5</v>
      </c>
      <c r="I5" s="120">
        <f t="shared" si="0"/>
        <v>1.7142857142857143E-7</v>
      </c>
      <c r="J5" s="120">
        <f t="shared" si="14"/>
        <v>6.8571428571428573E-8</v>
      </c>
      <c r="K5" s="116">
        <f t="shared" si="15"/>
        <v>6.8571428571428567E-11</v>
      </c>
      <c r="L5">
        <f t="shared" si="1"/>
        <v>1.7142857142857143E-7</v>
      </c>
      <c r="M5">
        <v>1114</v>
      </c>
      <c r="N5">
        <f t="shared" si="2"/>
        <v>6.3657142857142859E-6</v>
      </c>
      <c r="O5" s="76">
        <f t="shared" si="16"/>
        <v>392728.90484739677</v>
      </c>
      <c r="P5" s="94" t="s">
        <v>102</v>
      </c>
      <c r="Q5" s="220">
        <v>0.183</v>
      </c>
      <c r="R5" s="83">
        <f t="shared" si="17"/>
        <v>1.1081536978184833E-19</v>
      </c>
      <c r="S5" s="116">
        <v>1</v>
      </c>
      <c r="T5" s="116">
        <f t="shared" si="18"/>
        <v>2.6929982046678637E-8</v>
      </c>
      <c r="U5" s="116">
        <f t="shared" ref="U5:U21" si="27">Q5-0.07</f>
        <v>0.11299999999999999</v>
      </c>
      <c r="V5" s="120">
        <f t="shared" si="19"/>
        <v>0.77928191723530227</v>
      </c>
      <c r="W5" s="120">
        <v>1.0244375510204081E-20</v>
      </c>
      <c r="X5" s="116">
        <f t="shared" si="3"/>
        <v>1.4758408685714287E-17</v>
      </c>
      <c r="Y5" s="116">
        <f t="shared" si="4"/>
        <v>1440.635270643284</v>
      </c>
      <c r="Z5" s="146">
        <f t="shared" si="20"/>
        <v>1440.635270643284</v>
      </c>
      <c r="AA5" s="146">
        <f t="shared" si="21"/>
        <v>9.8171913135621427</v>
      </c>
      <c r="AB5" s="320">
        <f t="shared" ref="AB5:AB21" si="28">(AR5-R5)/R5</f>
        <v>132.27260550858722</v>
      </c>
      <c r="AC5">
        <v>0.45229000000000003</v>
      </c>
      <c r="AD5" s="10">
        <f>4.377*10^-5</f>
        <v>4.3770000000000003E-5</v>
      </c>
      <c r="AE5" s="27">
        <v>0.66708199999999995</v>
      </c>
      <c r="AF5" s="8">
        <f>1.798*10^-6</f>
        <v>1.798E-6</v>
      </c>
      <c r="AG5" s="27">
        <v>0.66708199999999995</v>
      </c>
      <c r="AH5" s="8">
        <v>1.798E-6</v>
      </c>
      <c r="AI5" s="28">
        <f t="shared" si="22"/>
        <v>1.0016860106873879</v>
      </c>
      <c r="AJ5" s="9">
        <f t="shared" si="5"/>
        <v>7.3160856119779323E-4</v>
      </c>
      <c r="AK5" s="8">
        <f t="shared" si="6"/>
        <v>24.384759003218562</v>
      </c>
      <c r="AL5" s="8">
        <f t="shared" si="7"/>
        <v>1.4748988480841936</v>
      </c>
      <c r="AM5">
        <v>5.7142857142857144E-9</v>
      </c>
      <c r="AN5">
        <v>1000</v>
      </c>
      <c r="AO5" s="8">
        <v>1.3605442176870747E-12</v>
      </c>
      <c r="AP5" s="12">
        <v>0.183</v>
      </c>
      <c r="AQ5">
        <f t="shared" si="8"/>
        <v>1.4964690506864416E-2</v>
      </c>
      <c r="AR5">
        <f t="shared" si="9"/>
        <v>1.4768653061224491E-17</v>
      </c>
      <c r="AS5" s="8">
        <f t="shared" si="23"/>
        <v>-16.830659111644863</v>
      </c>
      <c r="AT5" s="31">
        <f t="shared" si="10"/>
        <v>2.2071404790510795E-2</v>
      </c>
      <c r="AU5">
        <f t="shared" si="11"/>
        <v>2.1782269387755102E-17</v>
      </c>
      <c r="AV5" s="8">
        <f t="shared" si="24"/>
        <v>-16.661896875212197</v>
      </c>
      <c r="AW5">
        <v>5.0000000000000001E-4</v>
      </c>
      <c r="AX5">
        <f t="shared" si="12"/>
        <v>8.8200000000000021</v>
      </c>
      <c r="AY5">
        <f t="shared" si="13"/>
        <v>1.4748988480841936</v>
      </c>
    </row>
    <row r="6" spans="1:51">
      <c r="A6">
        <v>350</v>
      </c>
      <c r="B6">
        <v>350</v>
      </c>
      <c r="C6">
        <v>10</v>
      </c>
      <c r="D6">
        <v>1</v>
      </c>
      <c r="E6" s="8">
        <v>2</v>
      </c>
      <c r="F6" t="s">
        <v>99</v>
      </c>
      <c r="G6">
        <v>50</v>
      </c>
      <c r="H6" s="120">
        <v>2.5</v>
      </c>
      <c r="I6" s="120">
        <f t="shared" si="0"/>
        <v>2.8571428571428575E-7</v>
      </c>
      <c r="J6" s="120">
        <f t="shared" si="14"/>
        <v>1.142857142857143E-7</v>
      </c>
      <c r="K6" s="116">
        <f t="shared" si="15"/>
        <v>1.142857142857143E-10</v>
      </c>
      <c r="L6">
        <f t="shared" si="1"/>
        <v>2.8571428571428575E-7</v>
      </c>
      <c r="M6">
        <v>1154</v>
      </c>
      <c r="N6">
        <f t="shared" si="2"/>
        <v>6.5942857142857146E-6</v>
      </c>
      <c r="O6" s="76">
        <f t="shared" si="16"/>
        <v>379116.11785095319</v>
      </c>
      <c r="P6" s="94" t="s">
        <v>103</v>
      </c>
      <c r="Q6" s="220">
        <v>0.248</v>
      </c>
      <c r="R6" s="83">
        <f t="shared" si="17"/>
        <v>2.8028509276466816E-19</v>
      </c>
      <c r="S6" s="116">
        <v>1</v>
      </c>
      <c r="T6" s="116">
        <f t="shared" si="18"/>
        <v>4.3327556325823227E-8</v>
      </c>
      <c r="U6" s="116">
        <f t="shared" si="27"/>
        <v>0.17799999999999999</v>
      </c>
      <c r="V6" s="120">
        <f t="shared" si="19"/>
        <v>3.2685904784728059</v>
      </c>
      <c r="W6" s="120">
        <v>1.0244375510204081E-20</v>
      </c>
      <c r="X6" s="116">
        <f t="shared" si="3"/>
        <v>8.6556612767346971E-17</v>
      </c>
      <c r="Y6" s="116">
        <f t="shared" si="4"/>
        <v>8449.1839137613424</v>
      </c>
      <c r="Z6" s="146">
        <f t="shared" si="20"/>
        <v>8449.1839137613424</v>
      </c>
      <c r="AA6" s="146">
        <f t="shared" si="21"/>
        <v>26.359900316567419</v>
      </c>
      <c r="AB6" s="320">
        <f t="shared" si="28"/>
        <v>307.85287650863432</v>
      </c>
      <c r="AC6">
        <v>2.6511100000000001</v>
      </c>
      <c r="AD6" s="10">
        <f>0.000256</f>
        <v>2.5599999999999999E-4</v>
      </c>
      <c r="AE6" s="27">
        <v>1.2206999999999999</v>
      </c>
      <c r="AF6" s="8">
        <f>3.176*10^-6</f>
        <v>3.1760000000000002E-6</v>
      </c>
      <c r="AG6" s="27">
        <v>1.2206999999999999</v>
      </c>
      <c r="AH6" s="8">
        <v>3.1760000000000002E-6</v>
      </c>
      <c r="AI6" s="28">
        <f t="shared" si="22"/>
        <v>1.0001539031959656</v>
      </c>
      <c r="AJ6" s="9">
        <f t="shared" si="5"/>
        <v>6.6834165891198989E-5</v>
      </c>
      <c r="AK6" s="8">
        <f t="shared" si="6"/>
        <v>80.616939300430474</v>
      </c>
      <c r="AL6" s="8">
        <f t="shared" si="7"/>
        <v>0.46044864226682403</v>
      </c>
      <c r="AM6">
        <v>5.7142857142857144E-9</v>
      </c>
      <c r="AN6">
        <v>1000</v>
      </c>
      <c r="AO6" s="8">
        <v>1.3605442176870747E-12</v>
      </c>
      <c r="AP6" s="12">
        <v>0.248</v>
      </c>
      <c r="AQ6">
        <f t="shared" si="8"/>
        <v>8.7715935903188949E-2</v>
      </c>
      <c r="AR6">
        <f t="shared" si="9"/>
        <v>8.6566857142857172E-17</v>
      </c>
      <c r="AS6" s="8">
        <f t="shared" si="23"/>
        <v>-16.062648349495433</v>
      </c>
      <c r="AT6" s="31">
        <f t="shared" si="10"/>
        <v>4.0388683591787107E-2</v>
      </c>
      <c r="AU6">
        <f t="shared" si="11"/>
        <v>3.9859591836734695E-17</v>
      </c>
      <c r="AV6" s="8">
        <f t="shared" si="24"/>
        <v>-16.399467152799641</v>
      </c>
      <c r="AW6">
        <v>5.0000000000000001E-4</v>
      </c>
      <c r="AX6">
        <f t="shared" si="12"/>
        <v>8.8200000000000021</v>
      </c>
      <c r="AY6">
        <f t="shared" si="13"/>
        <v>0.46044864226682397</v>
      </c>
    </row>
    <row r="7" spans="1:51">
      <c r="A7">
        <v>350</v>
      </c>
      <c r="B7">
        <v>350</v>
      </c>
      <c r="C7">
        <v>10</v>
      </c>
      <c r="D7">
        <v>1</v>
      </c>
      <c r="E7" s="8">
        <v>2</v>
      </c>
      <c r="F7" t="s">
        <v>99</v>
      </c>
      <c r="G7">
        <v>64</v>
      </c>
      <c r="H7" s="120"/>
      <c r="I7" s="120"/>
      <c r="J7" s="120"/>
      <c r="K7" s="116"/>
      <c r="P7" s="94" t="s">
        <v>507</v>
      </c>
      <c r="Q7" s="220">
        <v>0.28999999999999998</v>
      </c>
      <c r="R7" s="83">
        <f t="shared" si="17"/>
        <v>5.1050499997540401E-19</v>
      </c>
      <c r="S7" s="116"/>
      <c r="T7" s="116">
        <f t="shared" si="18"/>
        <v>0</v>
      </c>
      <c r="U7" s="116">
        <f t="shared" si="27"/>
        <v>0.21999999999999997</v>
      </c>
      <c r="V7" s="120"/>
      <c r="W7" s="120">
        <v>1.0244375510204081E-20</v>
      </c>
      <c r="X7" s="116">
        <f t="shared" si="3"/>
        <v>2.0724853113469386E-16</v>
      </c>
      <c r="Y7" s="116">
        <f t="shared" si="4"/>
        <v>20230.469971377024</v>
      </c>
      <c r="Z7" s="146">
        <f t="shared" ref="Z7" si="29">X7/W7</f>
        <v>20230.469971377024</v>
      </c>
      <c r="AA7" s="146">
        <f t="shared" ref="AA7" si="30">(R7-W7)/W7</f>
        <v>48.83271059001175</v>
      </c>
      <c r="AB7" s="320">
        <f t="shared" ref="AB7" si="31">(AR7-R7)/R7</f>
        <v>404.98774844553867</v>
      </c>
      <c r="AD7" s="10"/>
      <c r="AE7" s="27"/>
      <c r="AF7" s="8"/>
      <c r="AG7" s="27"/>
      <c r="AH7" s="8"/>
      <c r="AI7" s="28"/>
      <c r="AJ7" s="9"/>
      <c r="AK7" s="8"/>
      <c r="AL7" s="8"/>
      <c r="AO7" s="8"/>
      <c r="AP7" s="12"/>
      <c r="AQ7">
        <v>0.210009905269231</v>
      </c>
      <c r="AR7">
        <v>2.0725877551020406E-16</v>
      </c>
      <c r="AS7" s="8">
        <v>-15.683487071996156</v>
      </c>
      <c r="AT7" s="31"/>
      <c r="AV7" s="8"/>
    </row>
    <row r="8" spans="1:51">
      <c r="A8">
        <v>350</v>
      </c>
      <c r="B8">
        <v>350</v>
      </c>
      <c r="C8">
        <v>10</v>
      </c>
      <c r="D8">
        <v>1</v>
      </c>
      <c r="E8" s="8">
        <v>2</v>
      </c>
      <c r="F8" t="s">
        <v>99</v>
      </c>
      <c r="G8">
        <v>80</v>
      </c>
      <c r="H8" s="120">
        <v>2.5</v>
      </c>
      <c r="I8" s="120">
        <f t="shared" si="0"/>
        <v>4.5714285714285715E-7</v>
      </c>
      <c r="J8" s="120">
        <f t="shared" si="14"/>
        <v>1.8285714285714286E-7</v>
      </c>
      <c r="K8" s="116">
        <f t="shared" si="15"/>
        <v>1.8285714285714287E-10</v>
      </c>
      <c r="L8">
        <f t="shared" si="1"/>
        <v>4.5714285714285715E-7</v>
      </c>
      <c r="M8">
        <v>1214</v>
      </c>
      <c r="N8">
        <f t="shared" si="2"/>
        <v>6.9371428571428572E-6</v>
      </c>
      <c r="O8" s="76">
        <f t="shared" si="16"/>
        <v>360378.91268533771</v>
      </c>
      <c r="P8" s="94" t="s">
        <v>104</v>
      </c>
      <c r="Q8" s="220">
        <v>0.33300000000000002</v>
      </c>
      <c r="R8" s="83">
        <f t="shared" si="17"/>
        <v>9.431917643879313E-19</v>
      </c>
      <c r="S8" s="116">
        <v>1</v>
      </c>
      <c r="T8" s="116">
        <f t="shared" si="18"/>
        <v>6.5897858319604616E-8</v>
      </c>
      <c r="U8" s="116">
        <f t="shared" si="27"/>
        <v>0.26300000000000001</v>
      </c>
      <c r="V8" s="120">
        <f t="shared" si="19"/>
        <v>11.667921689287786</v>
      </c>
      <c r="W8" s="120">
        <v>1.0244375510204081E-20</v>
      </c>
      <c r="X8" s="116">
        <f t="shared" si="3"/>
        <v>4.5739057195102037E-16</v>
      </c>
      <c r="Y8" s="116">
        <f t="shared" si="4"/>
        <v>44647.970146684769</v>
      </c>
      <c r="Z8" s="146">
        <f t="shared" si="20"/>
        <v>44647.970146684769</v>
      </c>
      <c r="AA8" s="146">
        <f t="shared" si="21"/>
        <v>91.069229934850526</v>
      </c>
      <c r="AB8" s="320">
        <f t="shared" si="28"/>
        <v>483.94996839094892</v>
      </c>
      <c r="AC8">
        <v>14.007899999999999</v>
      </c>
      <c r="AD8" s="10">
        <v>1.3500000000000001E-3</v>
      </c>
      <c r="AE8" s="27">
        <v>2.0972200000000001</v>
      </c>
      <c r="AF8" s="8">
        <f>5.186*10^-6</f>
        <v>5.186E-6</v>
      </c>
      <c r="AG8" s="27">
        <v>2.0972200000000001</v>
      </c>
      <c r="AH8" s="8">
        <v>5.186E-6</v>
      </c>
      <c r="AI8" s="99">
        <f t="shared" si="22"/>
        <v>1.00001475687109</v>
      </c>
      <c r="AJ8" s="9">
        <f t="shared" si="5"/>
        <v>6.4087803978802725E-6</v>
      </c>
      <c r="AK8" s="8">
        <f t="shared" si="6"/>
        <v>260.32007747319159</v>
      </c>
      <c r="AL8" s="8">
        <f t="shared" si="7"/>
        <v>0.14971694543793146</v>
      </c>
      <c r="AM8">
        <v>5.7142857142857144E-9</v>
      </c>
      <c r="AN8">
        <v>1000</v>
      </c>
      <c r="AO8" s="8">
        <v>1.3605442176870747E-12</v>
      </c>
      <c r="AP8" s="12">
        <v>0.33300000000000002</v>
      </c>
      <c r="AQ8">
        <f t="shared" si="8"/>
        <v>0.4634723035024122</v>
      </c>
      <c r="AR8">
        <f t="shared" si="9"/>
        <v>4.574008163265306E-16</v>
      </c>
      <c r="AS8" s="8">
        <f t="shared" si="23"/>
        <v>-15.339703064640089</v>
      </c>
      <c r="AT8" s="31">
        <f t="shared" si="10"/>
        <v>6.938965757546306E-2</v>
      </c>
      <c r="AU8">
        <f t="shared" si="11"/>
        <v>6.848065306122449E-17</v>
      </c>
      <c r="AV8" s="8">
        <f t="shared" si="24"/>
        <v>-16.164432106690516</v>
      </c>
      <c r="AW8">
        <v>5.0000000000000001E-4</v>
      </c>
      <c r="AX8">
        <f t="shared" si="12"/>
        <v>8.8200000000000021</v>
      </c>
      <c r="AY8">
        <f t="shared" si="13"/>
        <v>0.14971694543793146</v>
      </c>
    </row>
    <row r="9" spans="1:51">
      <c r="A9">
        <v>350</v>
      </c>
      <c r="B9">
        <v>350</v>
      </c>
      <c r="C9">
        <v>10</v>
      </c>
      <c r="D9">
        <v>1</v>
      </c>
      <c r="E9" s="8">
        <v>2</v>
      </c>
      <c r="F9" t="s">
        <v>99</v>
      </c>
      <c r="G9">
        <v>110</v>
      </c>
      <c r="H9" s="120">
        <v>2.5</v>
      </c>
      <c r="I9" s="120">
        <f t="shared" si="0"/>
        <v>6.2857142857142856E-7</v>
      </c>
      <c r="J9" s="120">
        <f t="shared" si="14"/>
        <v>2.5142857142857143E-7</v>
      </c>
      <c r="K9" s="116">
        <f t="shared" si="15"/>
        <v>2.5142857142857144E-10</v>
      </c>
      <c r="L9">
        <f t="shared" si="1"/>
        <v>6.2857142857142856E-7</v>
      </c>
      <c r="M9">
        <v>1274</v>
      </c>
      <c r="N9">
        <f t="shared" si="2"/>
        <v>7.2799999999999998E-6</v>
      </c>
      <c r="O9" s="76">
        <f t="shared" si="16"/>
        <v>343406.59340659343</v>
      </c>
      <c r="P9" s="94" t="s">
        <v>105</v>
      </c>
      <c r="Q9" s="220">
        <v>0.40600000000000003</v>
      </c>
      <c r="R9" s="83">
        <f t="shared" si="17"/>
        <v>2.6742376570889791E-18</v>
      </c>
      <c r="S9" s="116">
        <v>1</v>
      </c>
      <c r="T9" s="116">
        <f t="shared" si="18"/>
        <v>8.6342229199372064E-8</v>
      </c>
      <c r="U9" s="116">
        <f t="shared" si="27"/>
        <v>0.33600000000000002</v>
      </c>
      <c r="V9" s="120">
        <f t="shared" si="19"/>
        <v>26.794494914671411</v>
      </c>
      <c r="W9" s="120">
        <v>1.0244375510204081E-20</v>
      </c>
      <c r="X9" s="116">
        <f t="shared" si="3"/>
        <v>1.4035260821551022E-15</v>
      </c>
      <c r="Y9" s="116">
        <f t="shared" si="4"/>
        <v>137004.55247438914</v>
      </c>
      <c r="Z9" s="146">
        <f t="shared" si="20"/>
        <v>137004.55247438914</v>
      </c>
      <c r="AA9" s="146">
        <f t="shared" si="21"/>
        <v>260.04447796015091</v>
      </c>
      <c r="AB9" s="320">
        <f t="shared" si="28"/>
        <v>523.83604918585331</v>
      </c>
      <c r="AC9">
        <v>42.9833</v>
      </c>
      <c r="AD9" s="10">
        <v>4.1596699999999999E-3</v>
      </c>
      <c r="AE9" s="27">
        <v>3.03268</v>
      </c>
      <c r="AF9" s="8">
        <f>7.146*10^-6</f>
        <v>7.1459999999999999E-6</v>
      </c>
      <c r="AG9" s="27">
        <v>3.03268</v>
      </c>
      <c r="AH9" s="8">
        <v>7.1459999999999999E-6</v>
      </c>
      <c r="AI9" s="28">
        <f t="shared" si="22"/>
        <v>1.0000029512610547</v>
      </c>
      <c r="AJ9" s="9">
        <f t="shared" si="5"/>
        <v>1.2817144993548559E-6</v>
      </c>
      <c r="AK9" s="8">
        <f t="shared" si="6"/>
        <v>582.09939494431444</v>
      </c>
      <c r="AL9" s="8">
        <f t="shared" si="7"/>
        <v>7.0554843392666461E-2</v>
      </c>
      <c r="AM9">
        <v>5.7142857142857144E-9</v>
      </c>
      <c r="AN9">
        <v>1000</v>
      </c>
      <c r="AO9" s="8">
        <v>1.3605442176870747E-12</v>
      </c>
      <c r="AP9" s="12">
        <v>0.40600000000000003</v>
      </c>
      <c r="AQ9">
        <f t="shared" si="8"/>
        <v>1.4221667104373417</v>
      </c>
      <c r="AR9">
        <f t="shared" si="9"/>
        <v>1.4035363265306124E-15</v>
      </c>
      <c r="AS9" s="8">
        <f t="shared" si="23"/>
        <v>-14.852776342411355</v>
      </c>
      <c r="AT9" s="31">
        <f t="shared" si="10"/>
        <v>0.10034074953317025</v>
      </c>
      <c r="AU9">
        <f t="shared" si="11"/>
        <v>9.9026285714285712E-17</v>
      </c>
      <c r="AV9" s="8">
        <f t="shared" si="24"/>
        <v>-16.004249510196129</v>
      </c>
      <c r="AW9">
        <v>5.0000000000000001E-4</v>
      </c>
      <c r="AX9">
        <f t="shared" si="12"/>
        <v>8.8200000000000021</v>
      </c>
      <c r="AY9">
        <f t="shared" si="13"/>
        <v>7.0554843392666447E-2</v>
      </c>
    </row>
    <row r="10" spans="1:51">
      <c r="A10">
        <v>350</v>
      </c>
      <c r="B10">
        <v>350</v>
      </c>
      <c r="C10">
        <v>10</v>
      </c>
      <c r="D10">
        <v>1</v>
      </c>
      <c r="E10" s="8">
        <v>2</v>
      </c>
      <c r="F10" t="s">
        <v>99</v>
      </c>
      <c r="G10">
        <v>150</v>
      </c>
      <c r="H10" s="120">
        <v>2.5</v>
      </c>
      <c r="I10" s="120">
        <f t="shared" si="0"/>
        <v>8.5714285714285713E-7</v>
      </c>
      <c r="J10" s="120">
        <f t="shared" si="14"/>
        <v>3.4285714285714286E-7</v>
      </c>
      <c r="K10" s="116">
        <f t="shared" si="15"/>
        <v>3.4285714285714286E-10</v>
      </c>
      <c r="L10">
        <f t="shared" si="1"/>
        <v>8.5714285714285713E-7</v>
      </c>
      <c r="M10">
        <v>1354</v>
      </c>
      <c r="N10">
        <f t="shared" si="2"/>
        <v>7.7371428571428571E-6</v>
      </c>
      <c r="O10" s="76">
        <f t="shared" si="16"/>
        <v>323116.69128508127</v>
      </c>
      <c r="P10" s="94" t="s">
        <v>106</v>
      </c>
      <c r="Q10" s="220">
        <v>0.48599999999999999</v>
      </c>
      <c r="R10" s="83">
        <f t="shared" si="17"/>
        <v>8.3791506743841137E-18</v>
      </c>
      <c r="S10" s="116">
        <v>1</v>
      </c>
      <c r="T10" s="116">
        <f t="shared" si="18"/>
        <v>1.1078286558345644E-7</v>
      </c>
      <c r="U10" s="116">
        <f t="shared" si="27"/>
        <v>0.41599999999999998</v>
      </c>
      <c r="V10" s="120">
        <f t="shared" si="19"/>
        <v>57.438912304591661</v>
      </c>
      <c r="W10" s="120">
        <v>1.0244375510204081E-20</v>
      </c>
      <c r="X10" s="116">
        <f t="shared" si="3"/>
        <v>4.0119734290938786E-15</v>
      </c>
      <c r="Y10" s="116">
        <f t="shared" si="4"/>
        <v>391626.93959213869</v>
      </c>
      <c r="Z10" s="146">
        <f t="shared" si="20"/>
        <v>391626.93959213869</v>
      </c>
      <c r="AA10" s="146">
        <f t="shared" si="21"/>
        <v>816.92693620396108</v>
      </c>
      <c r="AB10" s="320">
        <f t="shared" si="28"/>
        <v>477.80552926854705</v>
      </c>
      <c r="AC10">
        <v>122.867</v>
      </c>
      <c r="AD10" s="10">
        <v>1.189E-2</v>
      </c>
      <c r="AE10" s="27">
        <v>4.3826000000000001</v>
      </c>
      <c r="AF10" s="8">
        <f>9.717*10^-6</f>
        <v>9.7170000000000003E-6</v>
      </c>
      <c r="AG10" s="27">
        <v>4.3826000000000001</v>
      </c>
      <c r="AH10" s="8">
        <v>9.7170000000000003E-6</v>
      </c>
      <c r="AI10" s="28">
        <f t="shared" si="22"/>
        <v>1.0000006678832489</v>
      </c>
      <c r="AJ10" s="9">
        <f t="shared" si="5"/>
        <v>2.9005791270272975E-7</v>
      </c>
      <c r="AK10" s="8">
        <f t="shared" si="6"/>
        <v>1223.6295092242285</v>
      </c>
      <c r="AL10" s="8">
        <f t="shared" si="7"/>
        <v>3.5669463729072898E-2</v>
      </c>
      <c r="AM10">
        <v>5.7142857142857144E-9</v>
      </c>
      <c r="AN10">
        <v>1000</v>
      </c>
      <c r="AO10" s="8">
        <v>1.3605442176870747E-12</v>
      </c>
      <c r="AP10" s="12">
        <v>0.48599999999999999</v>
      </c>
      <c r="AQ10">
        <f t="shared" si="8"/>
        <v>4.065238295135666</v>
      </c>
      <c r="AR10">
        <f t="shared" si="9"/>
        <v>4.0119836734693885E-15</v>
      </c>
      <c r="AS10" s="8">
        <f t="shared" si="23"/>
        <v>-14.396640842983768</v>
      </c>
      <c r="AT10" s="31">
        <f t="shared" si="10"/>
        <v>0.14500486991837977</v>
      </c>
      <c r="AU10">
        <f t="shared" si="11"/>
        <v>1.4310530612244899E-16</v>
      </c>
      <c r="AV10" s="8">
        <f t="shared" si="24"/>
        <v>-15.84434426297693</v>
      </c>
      <c r="AW10">
        <v>5.0000000000000001E-4</v>
      </c>
      <c r="AX10">
        <f t="shared" si="12"/>
        <v>8.8200000000000021</v>
      </c>
      <c r="AY10">
        <f t="shared" si="13"/>
        <v>3.5669463729072898E-2</v>
      </c>
    </row>
    <row r="11" spans="1:51" s="305" customFormat="1">
      <c r="A11" s="305">
        <v>350</v>
      </c>
      <c r="B11" s="305">
        <v>350</v>
      </c>
      <c r="C11" s="305">
        <v>10</v>
      </c>
      <c r="D11" s="305">
        <v>1</v>
      </c>
      <c r="E11" s="306">
        <v>2</v>
      </c>
      <c r="F11" s="305" t="s">
        <v>99</v>
      </c>
      <c r="G11" s="305">
        <v>200</v>
      </c>
      <c r="H11" s="307">
        <v>2.5</v>
      </c>
      <c r="I11" s="307">
        <f t="shared" si="0"/>
        <v>1.142857142857143E-6</v>
      </c>
      <c r="J11" s="307">
        <f t="shared" si="14"/>
        <v>4.5714285714285721E-7</v>
      </c>
      <c r="K11" s="308">
        <f t="shared" si="15"/>
        <v>4.5714285714285722E-10</v>
      </c>
      <c r="L11" s="305">
        <f t="shared" si="1"/>
        <v>1.142857142857143E-6</v>
      </c>
      <c r="M11" s="305">
        <v>1454</v>
      </c>
      <c r="N11" s="305">
        <f t="shared" si="2"/>
        <v>8.3085714285714284E-6</v>
      </c>
      <c r="O11" s="308">
        <f t="shared" si="16"/>
        <v>300894.08528198075</v>
      </c>
      <c r="P11" s="309" t="s">
        <v>107</v>
      </c>
      <c r="Q11" s="305">
        <v>0.56699999999999995</v>
      </c>
      <c r="R11" s="310">
        <f t="shared" si="17"/>
        <v>2.6631768070405072E-17</v>
      </c>
      <c r="S11" s="308">
        <v>1</v>
      </c>
      <c r="T11" s="308">
        <f t="shared" si="18"/>
        <v>1.375515818431912E-7</v>
      </c>
      <c r="U11" s="311">
        <f t="shared" si="27"/>
        <v>0.49699999999999994</v>
      </c>
      <c r="V11" s="307">
        <f t="shared" si="19"/>
        <v>112.95016402541451</v>
      </c>
      <c r="W11" s="307">
        <v>1.0244375510204081E-20</v>
      </c>
      <c r="X11" s="308">
        <f t="shared" si="3"/>
        <v>9.5945366944000016E-15</v>
      </c>
      <c r="Y11" s="308">
        <f t="shared" si="4"/>
        <v>936566.28311244573</v>
      </c>
      <c r="Z11" s="313">
        <f t="shared" si="20"/>
        <v>936566.28311244573</v>
      </c>
      <c r="AA11" s="314">
        <f t="shared" si="21"/>
        <v>2598.6477817391656</v>
      </c>
      <c r="AB11" s="321">
        <f t="shared" si="28"/>
        <v>359.26699066358975</v>
      </c>
      <c r="AC11" s="305">
        <v>293.83300000000003</v>
      </c>
      <c r="AD11" s="305">
        <v>2.843E-2</v>
      </c>
      <c r="AE11" s="315">
        <v>6.2769000000000004</v>
      </c>
      <c r="AF11" s="306">
        <f>1.296*10^-5</f>
        <v>1.2960000000000001E-5</v>
      </c>
      <c r="AG11" s="315">
        <v>6.2769000000000004</v>
      </c>
      <c r="AH11" s="306">
        <v>1.2960000000000001E-5</v>
      </c>
      <c r="AI11" s="316">
        <f t="shared" si="22"/>
        <v>1.0000002078051176</v>
      </c>
      <c r="AJ11" s="306">
        <f t="shared" si="5"/>
        <v>9.0248606489645649E-8</v>
      </c>
      <c r="AK11" s="306">
        <f t="shared" si="6"/>
        <v>2193.6732953626151</v>
      </c>
      <c r="AL11" s="306">
        <f t="shared" si="7"/>
        <v>2.1362134273549941E-2</v>
      </c>
      <c r="AM11" s="305">
        <v>5.7142857142857144E-9</v>
      </c>
      <c r="AN11" s="305">
        <v>1000</v>
      </c>
      <c r="AO11" s="306">
        <v>1.3605442176870747E-12</v>
      </c>
      <c r="AP11" s="316">
        <v>0.56699999999999995</v>
      </c>
      <c r="AQ11" s="305">
        <f t="shared" si="8"/>
        <v>9.7219038795982495</v>
      </c>
      <c r="AR11" s="305">
        <f t="shared" si="9"/>
        <v>9.5945469387755114E-15</v>
      </c>
      <c r="AS11" s="306">
        <f t="shared" si="23"/>
        <v>-14.017975528133856</v>
      </c>
      <c r="AT11" s="317">
        <f t="shared" si="10"/>
        <v>0.2076806160705239</v>
      </c>
      <c r="AU11" s="305">
        <f t="shared" si="11"/>
        <v>2.0496000000000003E-16</v>
      </c>
      <c r="AV11" s="306">
        <f t="shared" si="24"/>
        <v>-15.688330887599388</v>
      </c>
      <c r="AW11" s="305">
        <v>5.0000000000000001E-4</v>
      </c>
      <c r="AX11" s="305">
        <f t="shared" si="12"/>
        <v>8.8200000000000021</v>
      </c>
      <c r="AY11" s="305">
        <f t="shared" si="13"/>
        <v>2.1362134273549941E-2</v>
      </c>
    </row>
    <row r="12" spans="1:51" s="10" customFormat="1">
      <c r="A12" s="10">
        <v>350</v>
      </c>
      <c r="B12" s="10">
        <v>350</v>
      </c>
      <c r="C12" s="10">
        <v>10</v>
      </c>
      <c r="D12" s="10">
        <v>1</v>
      </c>
      <c r="E12" s="8">
        <v>2</v>
      </c>
      <c r="F12" s="10" t="s">
        <v>15</v>
      </c>
      <c r="G12" s="10">
        <v>0</v>
      </c>
      <c r="H12" s="120">
        <v>1</v>
      </c>
      <c r="I12" s="120">
        <f t="shared" si="0"/>
        <v>0</v>
      </c>
      <c r="J12" s="120">
        <v>0</v>
      </c>
      <c r="K12" s="116">
        <f t="shared" si="15"/>
        <v>0</v>
      </c>
      <c r="L12">
        <f t="shared" si="1"/>
        <v>0</v>
      </c>
      <c r="M12" s="16">
        <v>1054</v>
      </c>
      <c r="N12">
        <f t="shared" si="2"/>
        <v>6.0228571428571433E-6</v>
      </c>
      <c r="O12" s="76">
        <f t="shared" si="16"/>
        <v>166034.15559772294</v>
      </c>
      <c r="P12" s="94" t="s">
        <v>83</v>
      </c>
      <c r="Q12" s="220">
        <v>7.0000000000000007E-2</v>
      </c>
      <c r="R12" s="83">
        <f t="shared" si="17"/>
        <v>2.2080047330188974E-20</v>
      </c>
      <c r="S12" s="116">
        <v>1</v>
      </c>
      <c r="T12" s="116">
        <f t="shared" si="18"/>
        <v>0</v>
      </c>
      <c r="U12" s="116">
        <f t="shared" si="27"/>
        <v>0</v>
      </c>
      <c r="V12" s="120">
        <f t="shared" si="19"/>
        <v>0</v>
      </c>
      <c r="W12" s="120">
        <v>1.0244375510204081E-20</v>
      </c>
      <c r="X12" s="116">
        <f t="shared" si="3"/>
        <v>0</v>
      </c>
      <c r="Y12" s="116">
        <f t="shared" si="4"/>
        <v>0</v>
      </c>
      <c r="Z12" s="147"/>
      <c r="AA12" s="146"/>
      <c r="AB12" s="320">
        <v>0</v>
      </c>
      <c r="AC12" s="10">
        <v>3.1373399999999997E-4</v>
      </c>
      <c r="AD12">
        <f>3.03613*10^-8</f>
        <v>3.0361299999999999E-8</v>
      </c>
      <c r="AE12" s="27">
        <v>1.22747E-2</v>
      </c>
      <c r="AF12" s="8">
        <f>3.49706*10^-8</f>
        <v>3.4970600000000001E-8</v>
      </c>
      <c r="AG12" s="27">
        <v>1.22747E-2</v>
      </c>
      <c r="AH12" s="8">
        <v>3.4970600000000001E-8</v>
      </c>
      <c r="AI12" s="28">
        <v>2.2000000000000002</v>
      </c>
      <c r="AJ12" s="9">
        <f t="shared" si="5"/>
        <v>0.34242268082220628</v>
      </c>
      <c r="AK12" s="8">
        <f t="shared" si="6"/>
        <v>1.6594464603289432</v>
      </c>
      <c r="AL12" s="8">
        <f t="shared" si="7"/>
        <v>39.124544996716963</v>
      </c>
      <c r="AM12" s="10">
        <v>5.7142857142857144E-9</v>
      </c>
      <c r="AN12" s="10">
        <v>1000</v>
      </c>
      <c r="AO12" s="10">
        <v>1.3605442176870701E-12</v>
      </c>
      <c r="AP12" s="10">
        <v>7.0000000000000007E-2</v>
      </c>
      <c r="AQ12" s="10">
        <f t="shared" si="8"/>
        <v>1.0380358202658914E-5</v>
      </c>
      <c r="AR12" s="10">
        <f t="shared" si="9"/>
        <v>1.0244375510204081E-20</v>
      </c>
      <c r="AS12" s="10">
        <f>LOG10(9.869*10^-16*AQ12)</f>
        <v>-19.989514510736544</v>
      </c>
      <c r="AT12" s="33">
        <f t="shared" si="10"/>
        <v>4.0612679158196874E-4</v>
      </c>
      <c r="AU12" s="10">
        <f t="shared" si="11"/>
        <v>4.0080653061224492E-19</v>
      </c>
      <c r="AV12" s="10">
        <f>LOG10(9.869*10^-16*AT12)</f>
        <v>-18.397065210829048</v>
      </c>
      <c r="AW12" s="10">
        <v>5.0000000000000001E-4</v>
      </c>
      <c r="AX12" s="10">
        <f t="shared" si="12"/>
        <v>8.8200000000000625</v>
      </c>
      <c r="AY12" s="10">
        <f t="shared" si="13"/>
        <v>39.124544996716963</v>
      </c>
    </row>
    <row r="13" spans="1:51">
      <c r="A13">
        <v>350</v>
      </c>
      <c r="B13">
        <v>350</v>
      </c>
      <c r="C13">
        <v>10</v>
      </c>
      <c r="D13">
        <v>1</v>
      </c>
      <c r="E13" s="8">
        <v>2</v>
      </c>
      <c r="F13" t="s">
        <v>132</v>
      </c>
      <c r="G13">
        <v>64</v>
      </c>
      <c r="H13" s="120">
        <v>1</v>
      </c>
      <c r="I13" s="120">
        <f t="shared" si="0"/>
        <v>3.6571428571428572E-7</v>
      </c>
      <c r="J13" s="120">
        <v>3.6571428571428572E-7</v>
      </c>
      <c r="K13" s="116">
        <f t="shared" si="15"/>
        <v>3.6571428571428574E-10</v>
      </c>
      <c r="L13">
        <f t="shared" si="1"/>
        <v>3.6571428571428572E-7</v>
      </c>
      <c r="M13" s="16">
        <v>1118</v>
      </c>
      <c r="N13">
        <f t="shared" si="2"/>
        <v>6.388571428571429E-6</v>
      </c>
      <c r="O13" s="76">
        <f t="shared" si="16"/>
        <v>156529.51699463328</v>
      </c>
      <c r="P13" s="94" t="s">
        <v>133</v>
      </c>
      <c r="Q13" s="220">
        <v>0.123</v>
      </c>
      <c r="R13" s="83">
        <f t="shared" si="17"/>
        <v>4.7054373995317626E-20</v>
      </c>
      <c r="S13" s="116">
        <v>1</v>
      </c>
      <c r="T13" s="116">
        <f t="shared" si="18"/>
        <v>5.7245080500894462E-8</v>
      </c>
      <c r="U13" s="116">
        <f t="shared" si="27"/>
        <v>5.2999999999999992E-2</v>
      </c>
      <c r="V13" s="120">
        <f t="shared" si="19"/>
        <v>0.50615102414655977</v>
      </c>
      <c r="W13" s="120">
        <v>1.0244375510204081E-20</v>
      </c>
      <c r="X13" s="116">
        <f t="shared" si="3"/>
        <v>7.1565061224489834E-21</v>
      </c>
      <c r="Y13" s="116">
        <f t="shared" si="4"/>
        <v>0.69857905104324081</v>
      </c>
      <c r="Z13" s="146">
        <f t="shared" si="20"/>
        <v>0.69857905104324081</v>
      </c>
      <c r="AA13" s="146">
        <f t="shared" si="21"/>
        <v>3.593191058688578</v>
      </c>
      <c r="AB13" s="320">
        <f t="shared" si="28"/>
        <v>-0.63019629940492616</v>
      </c>
      <c r="AC13">
        <v>5.3290200000000003E-4</v>
      </c>
      <c r="AD13" s="10">
        <f>5.15712*10^-8</f>
        <v>5.1571200000000003E-8</v>
      </c>
      <c r="AE13" s="27">
        <v>1.40179E-2</v>
      </c>
      <c r="AF13" s="8">
        <f>3.76488*10^-8</f>
        <v>3.7648799999999998E-8</v>
      </c>
      <c r="AG13" s="27">
        <v>1.40179E-2</v>
      </c>
      <c r="AH13" s="8">
        <v>3.7648799999999998E-8</v>
      </c>
      <c r="AI13" s="28">
        <f t="shared" ref="AI13:AI21" si="32">SQRT(AD13^2+AF13^2+AH13^2)/AD13</f>
        <v>1.4373250428309805</v>
      </c>
      <c r="AJ13" s="9">
        <f t="shared" si="5"/>
        <v>0.15755499245219615</v>
      </c>
      <c r="AK13" s="8">
        <f t="shared" si="6"/>
        <v>1.9688430241825787</v>
      </c>
      <c r="AL13" s="8">
        <f t="shared" si="7"/>
        <v>26.304836536548933</v>
      </c>
      <c r="AM13">
        <v>5.7142857142857144E-9</v>
      </c>
      <c r="AN13">
        <v>1000</v>
      </c>
      <c r="AO13" s="8">
        <v>1.3605442176870747E-12</v>
      </c>
      <c r="AP13" s="12">
        <v>0.123</v>
      </c>
      <c r="AQ13">
        <f t="shared" si="8"/>
        <v>1.76318589853613E-5</v>
      </c>
      <c r="AR13">
        <f t="shared" si="9"/>
        <v>1.7400881632653065E-20</v>
      </c>
      <c r="AS13" s="8">
        <f t="shared" ref="AS13:AS21" si="33">LOG10(9.869*10^-16*AQ13)</f>
        <v>-19.759428747206112</v>
      </c>
      <c r="AT13" s="31">
        <f t="shared" si="10"/>
        <v>4.638031684454105E-4</v>
      </c>
      <c r="AU13">
        <f t="shared" si="11"/>
        <v>4.5772734693877556E-19</v>
      </c>
      <c r="AV13" s="8">
        <f t="shared" ref="AV13:AV21" si="34">LOG10(9.869*10^-16*AT13)</f>
        <v>-18.339393139856259</v>
      </c>
      <c r="AW13">
        <v>5.0000000000000001E-4</v>
      </c>
      <c r="AX13">
        <f t="shared" si="12"/>
        <v>8.8200000000000021</v>
      </c>
      <c r="AY13">
        <f t="shared" si="13"/>
        <v>26.304836536548933</v>
      </c>
    </row>
    <row r="14" spans="1:51">
      <c r="E14" s="8"/>
      <c r="G14">
        <v>122</v>
      </c>
      <c r="H14" s="120">
        <v>1</v>
      </c>
      <c r="I14" s="120">
        <f t="shared" si="0"/>
        <v>0</v>
      </c>
      <c r="J14" s="120"/>
      <c r="K14" s="116"/>
      <c r="M14" s="16"/>
      <c r="P14" s="94" t="s">
        <v>504</v>
      </c>
      <c r="Q14" s="220">
        <v>0.16700000000000001</v>
      </c>
      <c r="R14" s="83">
        <f t="shared" si="17"/>
        <v>8.8186072282175134E-20</v>
      </c>
      <c r="S14" s="116">
        <v>1</v>
      </c>
      <c r="T14" s="116">
        <f t="shared" si="18"/>
        <v>0</v>
      </c>
      <c r="U14" s="116">
        <f t="shared" si="27"/>
        <v>9.7000000000000003E-2</v>
      </c>
      <c r="V14" s="120" t="e">
        <f t="shared" si="19"/>
        <v>#DIV/0!</v>
      </c>
      <c r="W14" s="120"/>
      <c r="X14" s="116">
        <f t="shared" si="3"/>
        <v>2.170008163265306E-20</v>
      </c>
      <c r="Y14" s="116" t="e">
        <f t="shared" si="4"/>
        <v>#DIV/0!</v>
      </c>
      <c r="Z14" s="146" t="e">
        <f t="shared" ref="Z14" si="35">X14/W14</f>
        <v>#DIV/0!</v>
      </c>
      <c r="AA14" s="146" t="e">
        <f t="shared" ref="AA14" si="36">(R14-W14)/W14</f>
        <v>#DIV/0!</v>
      </c>
      <c r="AB14" s="320">
        <f t="shared" ref="AB14" si="37">(AR14-R14)/R14</f>
        <v>-0.7539284711170966</v>
      </c>
      <c r="AD14" s="10"/>
      <c r="AE14" s="27"/>
      <c r="AF14" s="8"/>
      <c r="AG14" s="27"/>
      <c r="AH14" s="8"/>
      <c r="AI14" s="28"/>
      <c r="AJ14" s="9"/>
      <c r="AK14" s="8"/>
      <c r="AL14" s="8"/>
      <c r="AO14" s="8"/>
      <c r="AP14" s="12"/>
      <c r="AQ14">
        <v>2.1988126084358154E-5</v>
      </c>
      <c r="AR14">
        <v>2.170008163265306E-20</v>
      </c>
      <c r="AS14" s="8">
        <v>-19.663538632393678</v>
      </c>
      <c r="AT14" s="31"/>
      <c r="AV14" s="8"/>
    </row>
    <row r="15" spans="1:51">
      <c r="A15">
        <v>350</v>
      </c>
      <c r="B15">
        <v>350</v>
      </c>
      <c r="C15">
        <v>10</v>
      </c>
      <c r="D15">
        <v>1</v>
      </c>
      <c r="E15" s="8">
        <v>2</v>
      </c>
      <c r="F15" t="s">
        <v>132</v>
      </c>
      <c r="G15">
        <v>192</v>
      </c>
      <c r="H15" s="120">
        <v>1</v>
      </c>
      <c r="I15" s="120">
        <f t="shared" si="0"/>
        <v>1.0971428571428572E-6</v>
      </c>
      <c r="J15" s="120">
        <v>1.0971428571428572E-6</v>
      </c>
      <c r="K15" s="116">
        <f t="shared" si="15"/>
        <v>1.0971428571428571E-9</v>
      </c>
      <c r="L15">
        <f t="shared" si="1"/>
        <v>1.0971428571428572E-6</v>
      </c>
      <c r="M15" s="16">
        <v>1246</v>
      </c>
      <c r="N15">
        <f t="shared" si="2"/>
        <v>7.1200000000000004E-6</v>
      </c>
      <c r="O15" s="76">
        <f t="shared" si="16"/>
        <v>140449.43820224717</v>
      </c>
      <c r="P15" s="94" t="s">
        <v>134</v>
      </c>
      <c r="Q15" s="220">
        <v>0.21299999999999999</v>
      </c>
      <c r="R15" s="83">
        <f t="shared" si="17"/>
        <v>1.7005914842240739E-19</v>
      </c>
      <c r="S15" s="116">
        <v>1</v>
      </c>
      <c r="T15" s="116">
        <f t="shared" si="18"/>
        <v>1.5409309791332263E-7</v>
      </c>
      <c r="U15" s="116">
        <f t="shared" si="27"/>
        <v>0.14299999999999999</v>
      </c>
      <c r="V15" s="120">
        <f t="shared" si="19"/>
        <v>12.348468581088639</v>
      </c>
      <c r="W15" s="120">
        <v>1.0244375510204081E-20</v>
      </c>
      <c r="X15" s="116">
        <f t="shared" si="3"/>
        <v>6.9767072653061219E-19</v>
      </c>
      <c r="Y15" s="116">
        <f t="shared" si="4"/>
        <v>68.102806836364564</v>
      </c>
      <c r="Z15" s="146">
        <f t="shared" si="20"/>
        <v>68.102806836364564</v>
      </c>
      <c r="AA15" s="146">
        <f t="shared" si="21"/>
        <v>15.600245495981394</v>
      </c>
      <c r="AB15" s="320">
        <f t="shared" si="28"/>
        <v>3.1627581262634368</v>
      </c>
      <c r="AC15">
        <v>2.1679899999999998E-2</v>
      </c>
      <c r="AD15" s="10">
        <f>2.098*10^-6</f>
        <v>2.0979999999999996E-6</v>
      </c>
      <c r="AE15" s="27">
        <v>2.24718E-2</v>
      </c>
      <c r="AF15" s="8">
        <f>5.4149*10^-8</f>
        <v>5.4149000000000004E-8</v>
      </c>
      <c r="AG15" s="27">
        <v>2.24718E-2</v>
      </c>
      <c r="AH15" s="8">
        <v>5.4149000000000004E-8</v>
      </c>
      <c r="AI15" s="28">
        <f t="shared" si="32"/>
        <v>1.0006659250222989</v>
      </c>
      <c r="AJ15" s="9">
        <f t="shared" si="5"/>
        <v>2.8911130999839142E-4</v>
      </c>
      <c r="AK15" s="8">
        <f t="shared" si="6"/>
        <v>38.770745733010443</v>
      </c>
      <c r="AL15" s="8">
        <f t="shared" si="7"/>
        <v>1.0365269212496369</v>
      </c>
      <c r="AM15">
        <v>5.7142857142857144E-9</v>
      </c>
      <c r="AN15">
        <v>1000</v>
      </c>
      <c r="AO15" s="8">
        <v>1.3605442176870747E-12</v>
      </c>
      <c r="AP15" s="12">
        <v>0.21299999999999999</v>
      </c>
      <c r="AQ15">
        <f t="shared" si="8"/>
        <v>7.1731188777061135E-4</v>
      </c>
      <c r="AR15">
        <f t="shared" si="9"/>
        <v>7.0791510204081632E-19</v>
      </c>
      <c r="AS15" s="8">
        <f t="shared" si="33"/>
        <v>-18.150018822714188</v>
      </c>
      <c r="AT15" s="31">
        <f t="shared" si="10"/>
        <v>7.4351308260663682E-4</v>
      </c>
      <c r="AU15">
        <f t="shared" si="11"/>
        <v>7.3377306122448978E-19</v>
      </c>
      <c r="AV15" s="8">
        <f t="shared" si="34"/>
        <v>-18.134438236401696</v>
      </c>
      <c r="AW15">
        <v>5.0000000000000001E-4</v>
      </c>
      <c r="AX15">
        <f t="shared" si="12"/>
        <v>8.8200000000000021</v>
      </c>
      <c r="AY15">
        <f t="shared" si="13"/>
        <v>1.0365269212496369</v>
      </c>
    </row>
    <row r="16" spans="1:51">
      <c r="E16" s="8"/>
      <c r="G16">
        <v>256</v>
      </c>
      <c r="H16" s="120">
        <v>1</v>
      </c>
      <c r="I16" s="120">
        <f t="shared" si="0"/>
        <v>0</v>
      </c>
      <c r="J16" s="120">
        <v>1.0971428571428572E-6</v>
      </c>
      <c r="K16" s="116"/>
      <c r="M16" s="16"/>
      <c r="P16" s="94" t="s">
        <v>506</v>
      </c>
      <c r="Q16" s="220">
        <v>0.252</v>
      </c>
      <c r="R16" s="83">
        <f t="shared" si="17"/>
        <v>2.9675633580735115E-19</v>
      </c>
      <c r="S16" s="116">
        <v>1</v>
      </c>
      <c r="T16" s="116">
        <f t="shared" si="18"/>
        <v>0</v>
      </c>
      <c r="U16" s="116">
        <f t="shared" si="27"/>
        <v>0.182</v>
      </c>
      <c r="V16" s="120"/>
      <c r="W16" s="120"/>
      <c r="X16" s="116">
        <f t="shared" si="3"/>
        <v>1.074377142857143E-17</v>
      </c>
      <c r="Y16" s="116" t="e">
        <f t="shared" si="4"/>
        <v>#DIV/0!</v>
      </c>
      <c r="Z16" s="146" t="e">
        <f t="shared" ref="Z16" si="38">X16/W16</f>
        <v>#DIV/0!</v>
      </c>
      <c r="AA16" s="146" t="e">
        <f t="shared" ref="AA16" si="39">(R16-W16)/W16</f>
        <v>#DIV/0!</v>
      </c>
      <c r="AB16" s="320">
        <f t="shared" ref="AB16" si="40">(AR16-R16)/R16</f>
        <v>35.204017007226064</v>
      </c>
      <c r="AD16" s="10"/>
      <c r="AE16" s="27"/>
      <c r="AF16" s="8"/>
      <c r="AG16" s="27"/>
      <c r="AH16" s="8"/>
      <c r="AI16" s="28"/>
      <c r="AJ16" s="9"/>
      <c r="AK16" s="8"/>
      <c r="AL16" s="8"/>
      <c r="AO16" s="8"/>
      <c r="AP16" s="12"/>
      <c r="AQ16">
        <v>1.0886383046480323E-2</v>
      </c>
      <c r="AR16">
        <v>1.074377142857143E-17</v>
      </c>
      <c r="AS16" s="8">
        <v>-16.96884323976284</v>
      </c>
      <c r="AT16" s="31"/>
      <c r="AV16" s="8"/>
    </row>
    <row r="17" spans="1:51">
      <c r="A17">
        <v>350</v>
      </c>
      <c r="B17">
        <v>350</v>
      </c>
      <c r="C17">
        <v>10</v>
      </c>
      <c r="D17">
        <v>1</v>
      </c>
      <c r="E17" s="8">
        <v>2</v>
      </c>
      <c r="F17" t="s">
        <v>132</v>
      </c>
      <c r="G17">
        <f>G15*2</f>
        <v>384</v>
      </c>
      <c r="H17" s="120">
        <v>1</v>
      </c>
      <c r="I17" s="120">
        <f t="shared" si="0"/>
        <v>2.1942857142857143E-6</v>
      </c>
      <c r="J17" s="120">
        <v>2.1942857142857143E-6</v>
      </c>
      <c r="K17" s="116">
        <f t="shared" si="15"/>
        <v>2.1942857142857142E-9</v>
      </c>
      <c r="L17">
        <f t="shared" si="1"/>
        <v>2.1942857142857143E-6</v>
      </c>
      <c r="M17" s="16">
        <v>1438</v>
      </c>
      <c r="N17">
        <f t="shared" si="2"/>
        <v>8.2171428571428576E-6</v>
      </c>
      <c r="O17" s="76">
        <f t="shared" si="16"/>
        <v>121696.80111265647</v>
      </c>
      <c r="P17" s="94" t="s">
        <v>135</v>
      </c>
      <c r="Q17" s="220">
        <v>0.318</v>
      </c>
      <c r="R17" s="83">
        <f t="shared" si="17"/>
        <v>7.6137743245614864E-19</v>
      </c>
      <c r="S17" s="116">
        <v>1</v>
      </c>
      <c r="T17" s="116">
        <f t="shared" si="18"/>
        <v>2.670375521557719E-7</v>
      </c>
      <c r="U17" s="116">
        <f t="shared" si="27"/>
        <v>0.248</v>
      </c>
      <c r="V17" s="120">
        <f t="shared" si="19"/>
        <v>85.79099773075454</v>
      </c>
      <c r="W17" s="120">
        <v>1.0244375510204081E-20</v>
      </c>
      <c r="X17" s="116">
        <f t="shared" si="3"/>
        <v>1.2272804133877553E-16</v>
      </c>
      <c r="Y17" s="116">
        <f t="shared" si="4"/>
        <v>11980.041264255709</v>
      </c>
      <c r="Z17" s="146">
        <f t="shared" si="20"/>
        <v>11980.041264255709</v>
      </c>
      <c r="AA17" s="146">
        <f t="shared" si="21"/>
        <v>73.321507611446478</v>
      </c>
      <c r="AB17" s="320">
        <f t="shared" si="28"/>
        <v>160.20557358567996</v>
      </c>
      <c r="AC17">
        <v>3.7588599999999999</v>
      </c>
      <c r="AD17" s="10">
        <v>3.6376099999999999E-4</v>
      </c>
      <c r="AE17" s="27">
        <v>2.7922800000000001E-2</v>
      </c>
      <c r="AF17" s="8">
        <f>5.8294*10^-8</f>
        <v>5.8293999999999999E-8</v>
      </c>
      <c r="AG17" s="27">
        <v>2.7922800000000001E-2</v>
      </c>
      <c r="AH17" s="8">
        <v>5.8293999999999999E-8</v>
      </c>
      <c r="AI17" s="99">
        <f t="shared" si="32"/>
        <v>1.0000000256812074</v>
      </c>
      <c r="AJ17" s="9">
        <f t="shared" si="5"/>
        <v>1.1153206511787519E-8</v>
      </c>
      <c r="AK17" s="8">
        <f t="shared" si="6"/>
        <v>6240.1106347449431</v>
      </c>
      <c r="AL17" s="8">
        <f t="shared" si="7"/>
        <v>7.4285288624742615E-3</v>
      </c>
      <c r="AM17">
        <v>5.7142857142857144E-9</v>
      </c>
      <c r="AN17">
        <v>1000</v>
      </c>
      <c r="AO17" s="8">
        <v>1.3605442176870747E-12</v>
      </c>
      <c r="AP17" s="12">
        <v>0.318</v>
      </c>
      <c r="AQ17">
        <f t="shared" si="8"/>
        <v>0.12436749996381166</v>
      </c>
      <c r="AR17">
        <f t="shared" si="9"/>
        <v>1.2273828571428573E-16</v>
      </c>
      <c r="AS17" s="8">
        <f t="shared" si="33"/>
        <v>-15.91101994680103</v>
      </c>
      <c r="AT17" s="31">
        <f t="shared" si="10"/>
        <v>9.2386756303494168E-4</v>
      </c>
      <c r="AU17">
        <f t="shared" si="11"/>
        <v>9.1176489795918385E-19</v>
      </c>
      <c r="AV17" s="8">
        <f t="shared" si="34"/>
        <v>-18.040117131717384</v>
      </c>
      <c r="AW17">
        <v>5.0000000000000001E-4</v>
      </c>
      <c r="AX17">
        <f t="shared" si="12"/>
        <v>8.8200000000000021</v>
      </c>
      <c r="AY17">
        <f t="shared" si="13"/>
        <v>7.4285288624742624E-3</v>
      </c>
    </row>
    <row r="18" spans="1:51">
      <c r="B18">
        <v>350</v>
      </c>
      <c r="C18">
        <v>10</v>
      </c>
      <c r="D18">
        <v>1</v>
      </c>
      <c r="E18" s="8">
        <v>2</v>
      </c>
      <c r="F18" t="s">
        <v>132</v>
      </c>
      <c r="G18">
        <v>486</v>
      </c>
      <c r="H18" s="120">
        <v>1</v>
      </c>
      <c r="I18" s="120">
        <f t="shared" si="0"/>
        <v>2.7771428571428572E-6</v>
      </c>
      <c r="J18" s="120">
        <v>2.1942857142857143E-6</v>
      </c>
      <c r="K18" s="116">
        <f t="shared" si="15"/>
        <v>2.1942857142857142E-9</v>
      </c>
      <c r="L18">
        <f t="shared" si="1"/>
        <v>2.7771428571428572E-6</v>
      </c>
      <c r="M18" s="16">
        <v>1540</v>
      </c>
      <c r="N18">
        <f t="shared" si="2"/>
        <v>8.8000000000000004E-6</v>
      </c>
      <c r="O18" s="76">
        <f t="shared" si="16"/>
        <v>113636.36363636363</v>
      </c>
      <c r="P18" s="94" t="s">
        <v>461</v>
      </c>
      <c r="Q18" s="220">
        <v>0.36399999999999999</v>
      </c>
      <c r="R18" s="83">
        <f t="shared" si="17"/>
        <v>1.4682499678319826E-18</v>
      </c>
      <c r="S18" s="116">
        <v>1</v>
      </c>
      <c r="T18" s="116">
        <f t="shared" si="18"/>
        <v>2.4935064935064937E-7</v>
      </c>
      <c r="U18" s="116">
        <f t="shared" si="27"/>
        <v>0.29399999999999998</v>
      </c>
      <c r="V18" s="120">
        <f t="shared" si="19"/>
        <v>163.92769676236799</v>
      </c>
      <c r="W18" s="120">
        <v>1.0244375510204081E-20</v>
      </c>
      <c r="X18" s="116">
        <f t="shared" si="3"/>
        <v>5.5521203678693884E-15</v>
      </c>
      <c r="Y18" s="116">
        <f t="shared" si="4"/>
        <v>541967.67409971508</v>
      </c>
      <c r="Z18" s="146">
        <f t="shared" si="20"/>
        <v>541967.67409971508</v>
      </c>
      <c r="AA18" s="146">
        <f t="shared" si="21"/>
        <v>142.32254478269638</v>
      </c>
      <c r="AB18" s="320">
        <f t="shared" si="28"/>
        <v>3780.4614227052716</v>
      </c>
      <c r="AD18" s="10"/>
      <c r="AE18" s="27"/>
      <c r="AF18" s="8"/>
      <c r="AG18" s="27"/>
      <c r="AH18" s="8"/>
      <c r="AI18" s="99"/>
      <c r="AJ18" s="9"/>
      <c r="AK18" s="8"/>
      <c r="AL18" s="8"/>
      <c r="AM18">
        <v>5.7142857142857144E-9</v>
      </c>
      <c r="AO18" s="8"/>
      <c r="AP18" s="12"/>
      <c r="AQ18" s="91"/>
      <c r="AR18">
        <v>5.5521306122448982E-15</v>
      </c>
      <c r="AS18" s="8"/>
      <c r="AT18" s="31"/>
      <c r="AV18" s="8"/>
      <c r="AW18">
        <v>1.0004999999999999</v>
      </c>
      <c r="AX18" t="e">
        <f t="shared" ref="AX18" si="41">(AW18*AM18^2*AN18/AO18^2)/10^6</f>
        <v>#DIV/0!</v>
      </c>
      <c r="AY18" t="e">
        <f t="shared" si="13"/>
        <v>#DIV/0!</v>
      </c>
    </row>
    <row r="19" spans="1:51">
      <c r="A19">
        <v>350</v>
      </c>
      <c r="B19">
        <v>350</v>
      </c>
      <c r="C19">
        <v>10</v>
      </c>
      <c r="D19">
        <v>1</v>
      </c>
      <c r="E19" s="8">
        <v>2</v>
      </c>
      <c r="F19" t="s">
        <v>132</v>
      </c>
      <c r="G19">
        <v>600</v>
      </c>
      <c r="H19" s="120">
        <v>1</v>
      </c>
      <c r="I19" s="120">
        <f t="shared" si="0"/>
        <v>3.4285714285714285E-6</v>
      </c>
      <c r="J19" s="120">
        <v>3.4285714285714285E-6</v>
      </c>
      <c r="K19" s="116">
        <f t="shared" si="15"/>
        <v>3.4285714285714287E-9</v>
      </c>
      <c r="L19">
        <f t="shared" si="1"/>
        <v>3.4285714285714285E-6</v>
      </c>
      <c r="M19" s="16">
        <v>1654</v>
      </c>
      <c r="N19">
        <f t="shared" si="2"/>
        <v>9.451428571428571E-6</v>
      </c>
      <c r="O19" s="76">
        <f t="shared" si="16"/>
        <v>105804.11124546554</v>
      </c>
      <c r="P19" s="94" t="s">
        <v>136</v>
      </c>
      <c r="Q19" s="220">
        <v>0.40699999999999997</v>
      </c>
      <c r="R19" s="83">
        <f t="shared" si="17"/>
        <v>2.7126889605169241E-18</v>
      </c>
      <c r="S19" s="116">
        <v>1</v>
      </c>
      <c r="T19" s="116">
        <f t="shared" si="18"/>
        <v>3.6275695284159617E-7</v>
      </c>
      <c r="U19" s="116">
        <f t="shared" si="27"/>
        <v>0.33699999999999997</v>
      </c>
      <c r="V19" s="120">
        <f t="shared" si="19"/>
        <v>284.79320106952247</v>
      </c>
      <c r="W19" s="120">
        <v>1.0244375510204081E-20</v>
      </c>
      <c r="X19" s="116">
        <f t="shared" si="3"/>
        <v>1.3609948939297959E-14</v>
      </c>
      <c r="Y19" s="116">
        <f t="shared" si="4"/>
        <v>1328528.901126432</v>
      </c>
      <c r="Z19" s="146">
        <f t="shared" si="20"/>
        <v>1328528.901126432</v>
      </c>
      <c r="AA19" s="146">
        <f t="shared" si="21"/>
        <v>263.79788424535053</v>
      </c>
      <c r="AB19" s="320">
        <f t="shared" si="28"/>
        <v>5016.1469644201243</v>
      </c>
      <c r="AC19">
        <v>416.80500000000001</v>
      </c>
      <c r="AD19" s="10">
        <f>0.040336</f>
        <v>4.0335999999999997E-2</v>
      </c>
      <c r="AE19" s="27">
        <v>3.474E-2</v>
      </c>
      <c r="AF19" s="8">
        <f>6.3049*10^-8</f>
        <v>6.3048999999999998E-8</v>
      </c>
      <c r="AG19" s="27">
        <v>3.474E-2</v>
      </c>
      <c r="AH19" s="8">
        <v>6.3048999999999998E-8</v>
      </c>
      <c r="AI19" s="28">
        <f t="shared" si="32"/>
        <v>1.0000000000024434</v>
      </c>
      <c r="AJ19" s="9">
        <f t="shared" si="5"/>
        <v>1.0611459441939408E-12</v>
      </c>
      <c r="AK19" s="8">
        <f t="shared" si="6"/>
        <v>639756.37996000808</v>
      </c>
      <c r="AL19" s="8">
        <f t="shared" si="7"/>
        <v>8.3348328354986148E-5</v>
      </c>
      <c r="AM19">
        <v>5.7142857142857144E-9</v>
      </c>
      <c r="AN19">
        <v>1000</v>
      </c>
      <c r="AO19" s="8">
        <v>1.3605442176870747E-12</v>
      </c>
      <c r="AP19" s="12">
        <v>0.40699999999999997</v>
      </c>
      <c r="AQ19">
        <f t="shared" si="8"/>
        <v>13.790616256635394</v>
      </c>
      <c r="AR19">
        <f t="shared" si="9"/>
        <v>1.3609959183673469E-14</v>
      </c>
      <c r="AS19" s="8">
        <f t="shared" si="33"/>
        <v>-13.866143177245744</v>
      </c>
      <c r="AT19" s="31">
        <f t="shared" si="10"/>
        <v>1.1494248119756569E-3</v>
      </c>
      <c r="AU19">
        <f t="shared" si="11"/>
        <v>1.1343673469387757E-18</v>
      </c>
      <c r="AV19" s="8">
        <f t="shared" si="34"/>
        <v>-17.945246283261508</v>
      </c>
      <c r="AW19">
        <v>5.0000000000000001E-4</v>
      </c>
      <c r="AX19">
        <f t="shared" si="12"/>
        <v>8.8200000000000021</v>
      </c>
      <c r="AY19">
        <f t="shared" si="13"/>
        <v>8.3348328354986161E-5</v>
      </c>
    </row>
    <row r="20" spans="1:51">
      <c r="A20">
        <v>350</v>
      </c>
      <c r="B20">
        <v>350</v>
      </c>
      <c r="C20">
        <v>10</v>
      </c>
      <c r="D20">
        <v>1</v>
      </c>
      <c r="E20" s="8">
        <v>2</v>
      </c>
      <c r="F20" t="s">
        <v>132</v>
      </c>
      <c r="G20">
        <v>800</v>
      </c>
      <c r="H20" s="120">
        <v>1</v>
      </c>
      <c r="I20" s="120">
        <f t="shared" si="0"/>
        <v>4.5714285714285719E-6</v>
      </c>
      <c r="J20" s="120">
        <v>4.5714285714285719E-6</v>
      </c>
      <c r="K20" s="116">
        <f t="shared" si="15"/>
        <v>4.5714285714285722E-9</v>
      </c>
      <c r="L20">
        <f t="shared" si="1"/>
        <v>4.5714285714285719E-6</v>
      </c>
      <c r="M20" s="16">
        <v>1854</v>
      </c>
      <c r="N20">
        <f t="shared" si="2"/>
        <v>1.0594285714285715E-5</v>
      </c>
      <c r="O20" s="76">
        <f t="shared" si="16"/>
        <v>94390.507011866226</v>
      </c>
      <c r="P20" s="94" t="s">
        <v>137</v>
      </c>
      <c r="Q20" s="220">
        <v>0.47099999999999997</v>
      </c>
      <c r="R20" s="83">
        <f t="shared" si="17"/>
        <v>6.7639439480959992E-18</v>
      </c>
      <c r="S20" s="116">
        <v>1</v>
      </c>
      <c r="T20" s="116">
        <f t="shared" si="18"/>
        <v>4.314994606256743E-7</v>
      </c>
      <c r="U20" s="116">
        <f t="shared" si="27"/>
        <v>0.40099999999999997</v>
      </c>
      <c r="V20" s="120">
        <f t="shared" si="19"/>
        <v>602.86695779852357</v>
      </c>
      <c r="W20" s="120">
        <v>1.0244375510204081E-20</v>
      </c>
      <c r="X20" s="116">
        <f t="shared" si="3"/>
        <v>2.520988363317551E-14</v>
      </c>
      <c r="Y20" s="116">
        <f t="shared" si="4"/>
        <v>2460851.1868844307</v>
      </c>
      <c r="Z20" s="146">
        <f t="shared" si="20"/>
        <v>2460851.1868844307</v>
      </c>
      <c r="AA20" s="146">
        <f t="shared" si="21"/>
        <v>659.25927508794064</v>
      </c>
      <c r="AB20" s="320">
        <f t="shared" si="28"/>
        <v>3726.0997617665685</v>
      </c>
      <c r="AC20">
        <v>772.053</v>
      </c>
      <c r="AD20" s="10">
        <v>7.4714799999999998E-2</v>
      </c>
      <c r="AE20" s="27">
        <v>4.1476699999999998E-2</v>
      </c>
      <c r="AF20" s="8">
        <f>6.71506*10^-8</f>
        <v>6.7150600000000008E-8</v>
      </c>
      <c r="AG20" s="27">
        <v>4.1476699999999998E-2</v>
      </c>
      <c r="AH20" s="8">
        <v>6.7150600000000008E-8</v>
      </c>
      <c r="AI20" s="28">
        <f t="shared" si="32"/>
        <v>1.0000000000008078</v>
      </c>
      <c r="AJ20" s="9">
        <f t="shared" si="5"/>
        <v>3.5082233233194416E-13</v>
      </c>
      <c r="AK20" s="8">
        <f t="shared" si="6"/>
        <v>1112645.3077122222</v>
      </c>
      <c r="AL20" s="8">
        <f t="shared" si="7"/>
        <v>5.37226071267128E-5</v>
      </c>
      <c r="AM20">
        <v>5.7142857142857144E-9</v>
      </c>
      <c r="AN20">
        <v>1000</v>
      </c>
      <c r="AO20" s="8">
        <v>1.3605442176870747E-12</v>
      </c>
      <c r="AP20" s="12">
        <v>0.47099999999999997</v>
      </c>
      <c r="AQ20">
        <f t="shared" si="8"/>
        <v>25.544527183656928</v>
      </c>
      <c r="AR20">
        <f t="shared" si="9"/>
        <v>2.520989387755102E-14</v>
      </c>
      <c r="AS20" s="8">
        <f t="shared" si="33"/>
        <v>-13.598428982506459</v>
      </c>
      <c r="AT20" s="31">
        <f t="shared" si="10"/>
        <v>1.3723185981252368E-3</v>
      </c>
      <c r="AU20">
        <f t="shared" si="11"/>
        <v>1.3543412244897961E-18</v>
      </c>
      <c r="AV20" s="8">
        <f t="shared" si="34"/>
        <v>-17.868271901941078</v>
      </c>
      <c r="AW20">
        <v>5.0000000000000001E-4</v>
      </c>
      <c r="AX20">
        <f t="shared" si="12"/>
        <v>8.8200000000000021</v>
      </c>
      <c r="AY20">
        <f t="shared" si="13"/>
        <v>5.3722607126712807E-5</v>
      </c>
    </row>
    <row r="21" spans="1:51" s="305" customFormat="1">
      <c r="A21" s="305">
        <v>350</v>
      </c>
      <c r="B21" s="305">
        <v>350</v>
      </c>
      <c r="C21" s="305">
        <v>10</v>
      </c>
      <c r="D21" s="305">
        <v>1</v>
      </c>
      <c r="E21" s="306">
        <v>2</v>
      </c>
      <c r="F21" s="305" t="s">
        <v>132</v>
      </c>
      <c r="G21" s="305">
        <v>1100</v>
      </c>
      <c r="H21" s="307">
        <v>1</v>
      </c>
      <c r="I21" s="307">
        <f t="shared" si="0"/>
        <v>6.2857142857142858E-6</v>
      </c>
      <c r="J21" s="307">
        <v>6.2857142857142858E-6</v>
      </c>
      <c r="K21" s="308">
        <f t="shared" si="15"/>
        <v>6.2857142857142855E-9</v>
      </c>
      <c r="L21" s="305">
        <f t="shared" si="1"/>
        <v>6.2857142857142858E-6</v>
      </c>
      <c r="M21" s="305">
        <v>2154</v>
      </c>
      <c r="N21" s="305">
        <f t="shared" si="2"/>
        <v>1.2308571428571429E-5</v>
      </c>
      <c r="O21" s="308">
        <f t="shared" si="16"/>
        <v>81244.196843082638</v>
      </c>
      <c r="P21" s="309" t="s">
        <v>138</v>
      </c>
      <c r="Q21" s="305">
        <v>0.54500000000000004</v>
      </c>
      <c r="R21" s="310">
        <f t="shared" si="17"/>
        <v>1.945360081622661E-17</v>
      </c>
      <c r="S21" s="308">
        <v>1</v>
      </c>
      <c r="T21" s="308">
        <f t="shared" si="18"/>
        <v>5.1067780872794806E-7</v>
      </c>
      <c r="U21" s="311">
        <f t="shared" si="27"/>
        <v>0.47500000000000003</v>
      </c>
      <c r="V21" s="307">
        <f t="shared" si="19"/>
        <v>1352.5120118700002</v>
      </c>
      <c r="W21" s="307">
        <v>1.0244375510204081E-20</v>
      </c>
      <c r="X21" s="312">
        <f t="shared" si="3"/>
        <v>3.8566846898481622E-14</v>
      </c>
      <c r="Y21" s="308">
        <f t="shared" si="4"/>
        <v>3764685.0078920349</v>
      </c>
      <c r="Z21" s="313">
        <f t="shared" si="20"/>
        <v>3764685.0078920349</v>
      </c>
      <c r="AA21" s="314">
        <f t="shared" si="21"/>
        <v>1897.954289292649</v>
      </c>
      <c r="AB21" s="314">
        <f t="shared" si="28"/>
        <v>1981.5048075772072</v>
      </c>
      <c r="AC21" s="305">
        <v>1181.1099999999999</v>
      </c>
      <c r="AD21" s="305">
        <v>0.114301</v>
      </c>
      <c r="AE21" s="315">
        <v>5.2249299999999999E-2</v>
      </c>
      <c r="AF21" s="306">
        <f>7.28044*10^-8</f>
        <v>7.2804400000000003E-8</v>
      </c>
      <c r="AG21" s="315">
        <v>5.2249299999999999E-2</v>
      </c>
      <c r="AH21" s="306">
        <v>7.2804400000000003E-8</v>
      </c>
      <c r="AI21" s="316">
        <f t="shared" si="32"/>
        <v>1.0000000000004057</v>
      </c>
      <c r="AJ21" s="306">
        <f t="shared" si="5"/>
        <v>1.7618262813924982E-13</v>
      </c>
      <c r="AK21" s="306">
        <f t="shared" si="6"/>
        <v>1569973.7927933803</v>
      </c>
      <c r="AL21" s="306">
        <f t="shared" si="7"/>
        <v>4.4237454597793603E-5</v>
      </c>
      <c r="AM21" s="305">
        <v>5.7142857142857144E-9</v>
      </c>
      <c r="AN21" s="305">
        <v>1000</v>
      </c>
      <c r="AO21" s="306">
        <v>1.3605442176870747E-12</v>
      </c>
      <c r="AP21" s="316">
        <v>0.54500000000000004</v>
      </c>
      <c r="AQ21" s="305">
        <f t="shared" si="8"/>
        <v>39.078789282457329</v>
      </c>
      <c r="AR21" s="305">
        <f t="shared" si="9"/>
        <v>3.8566857142857135E-14</v>
      </c>
      <c r="AS21" s="306">
        <f t="shared" si="33"/>
        <v>-13.413785750844296</v>
      </c>
      <c r="AT21" s="317">
        <f t="shared" si="10"/>
        <v>1.7287461666194495E-3</v>
      </c>
      <c r="AU21" s="305">
        <f t="shared" si="11"/>
        <v>1.7060995918367347E-18</v>
      </c>
      <c r="AV21" s="306">
        <f t="shared" si="34"/>
        <v>-17.767995620927749</v>
      </c>
      <c r="AW21" s="305">
        <v>5.0000000000000001E-4</v>
      </c>
      <c r="AX21" s="305">
        <f t="shared" si="12"/>
        <v>8.8200000000000021</v>
      </c>
      <c r="AY21" s="305">
        <f t="shared" si="13"/>
        <v>4.423745459779361E-5</v>
      </c>
    </row>
    <row r="22" spans="1:51">
      <c r="Z22" s="135"/>
      <c r="AA22" s="221"/>
      <c r="AB22" s="221"/>
    </row>
    <row r="23" spans="1:51">
      <c r="AC23">
        <v>936566.28311244573</v>
      </c>
    </row>
    <row r="24" spans="1:51">
      <c r="AC24">
        <f>AC23/1000000</f>
        <v>0.93656628311244572</v>
      </c>
    </row>
    <row r="26" spans="1:51">
      <c r="AC26">
        <v>3764685.0078920349</v>
      </c>
    </row>
    <row r="27" spans="1:51">
      <c r="AC27">
        <f>AC26/10000000</f>
        <v>0.37646850078920352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0"/>
  <sheetViews>
    <sheetView zoomScaleNormal="100" workbookViewId="0">
      <selection activeCell="D19" sqref="D19"/>
    </sheetView>
  </sheetViews>
  <sheetFormatPr defaultRowHeight="15.75"/>
  <cols>
    <col min="1" max="1" width="14.125" customWidth="1"/>
    <col min="2" max="2" width="11.875" bestFit="1" customWidth="1"/>
    <col min="4" max="4" width="9" style="10"/>
    <col min="5" max="5" width="14.5" style="66" customWidth="1"/>
    <col min="6" max="6" width="12.25" style="10" bestFit="1" customWidth="1"/>
    <col min="7" max="7" width="9" style="10"/>
    <col min="8" max="8" width="11.875" style="67" bestFit="1" customWidth="1"/>
    <col min="9" max="10" width="14.375" bestFit="1" customWidth="1"/>
    <col min="11" max="11" width="13.25" bestFit="1" customWidth="1"/>
    <col min="12" max="12" width="11.125" bestFit="1" customWidth="1"/>
    <col min="13" max="13" width="14.375" bestFit="1" customWidth="1"/>
    <col min="14" max="14" width="11.875" bestFit="1" customWidth="1"/>
    <col min="15" max="15" width="14.375" bestFit="1" customWidth="1"/>
    <col min="16" max="16" width="11.75" bestFit="1" customWidth="1"/>
    <col min="17" max="17" width="14.375" bestFit="1" customWidth="1"/>
    <col min="18" max="18" width="10.5" bestFit="1" customWidth="1"/>
    <col min="19" max="19" width="6.125" bestFit="1" customWidth="1"/>
  </cols>
  <sheetData>
    <row r="1" spans="1:19">
      <c r="A1" s="148" t="s">
        <v>347</v>
      </c>
      <c r="E1" s="203" t="s">
        <v>334</v>
      </c>
      <c r="F1" s="64"/>
      <c r="G1" s="64"/>
      <c r="H1" s="65"/>
      <c r="I1" s="148" t="s">
        <v>335</v>
      </c>
      <c r="M1" s="148" t="s">
        <v>386</v>
      </c>
      <c r="Q1" s="148" t="s">
        <v>391</v>
      </c>
    </row>
    <row r="2" spans="1:19">
      <c r="A2" s="5" t="s">
        <v>0</v>
      </c>
      <c r="B2" s="6">
        <f>2*10^-6</f>
        <v>1.9999999999999999E-6</v>
      </c>
      <c r="C2" s="6" t="s">
        <v>108</v>
      </c>
      <c r="E2" s="204" t="s">
        <v>0</v>
      </c>
      <c r="F2" s="208">
        <v>2.9999999999999999E-7</v>
      </c>
      <c r="G2" s="205" t="s">
        <v>108</v>
      </c>
      <c r="H2" s="206">
        <v>9.9999999999999995E-8</v>
      </c>
      <c r="I2" s="163" t="s">
        <v>0</v>
      </c>
      <c r="J2" s="164">
        <v>3.0000000000000001E-6</v>
      </c>
      <c r="K2" s="6" t="s">
        <v>108</v>
      </c>
      <c r="L2" s="54">
        <v>5.0000000000000004E-6</v>
      </c>
      <c r="M2" s="5" t="s">
        <v>0</v>
      </c>
      <c r="N2" s="164">
        <v>3.0000000000000001E-6</v>
      </c>
      <c r="O2" s="6" t="s">
        <v>108</v>
      </c>
      <c r="Q2" s="5" t="s">
        <v>0</v>
      </c>
      <c r="R2" s="164">
        <v>3.0000000000000001E-6</v>
      </c>
      <c r="S2" s="6" t="s">
        <v>108</v>
      </c>
    </row>
    <row r="3" spans="1:19">
      <c r="A3" s="5" t="s">
        <v>110</v>
      </c>
      <c r="B3" s="6">
        <v>350</v>
      </c>
      <c r="C3" s="6" t="s">
        <v>123</v>
      </c>
      <c r="E3" s="204" t="s">
        <v>110</v>
      </c>
      <c r="F3" s="205">
        <v>700</v>
      </c>
      <c r="G3" s="205" t="s">
        <v>123</v>
      </c>
      <c r="H3" s="67">
        <v>700</v>
      </c>
      <c r="I3" s="163" t="s">
        <v>110</v>
      </c>
      <c r="J3" s="6">
        <v>200</v>
      </c>
      <c r="K3" s="6" t="s">
        <v>123</v>
      </c>
      <c r="L3">
        <v>200</v>
      </c>
      <c r="M3" s="5" t="s">
        <v>110</v>
      </c>
      <c r="N3" s="6">
        <v>300</v>
      </c>
      <c r="O3" s="6" t="s">
        <v>123</v>
      </c>
      <c r="Q3" s="5" t="s">
        <v>110</v>
      </c>
      <c r="R3" s="6">
        <v>300</v>
      </c>
      <c r="S3" s="6" t="s">
        <v>123</v>
      </c>
    </row>
    <row r="4" spans="1:19">
      <c r="A4" s="5" t="s">
        <v>109</v>
      </c>
      <c r="B4" s="6">
        <f>B2/B3</f>
        <v>5.7142857142857144E-9</v>
      </c>
      <c r="C4" s="6" t="s">
        <v>108</v>
      </c>
      <c r="E4" s="204" t="s">
        <v>109</v>
      </c>
      <c r="F4" s="205">
        <f>F2/F3</f>
        <v>4.2857142857142854E-10</v>
      </c>
      <c r="G4" s="205" t="s">
        <v>108</v>
      </c>
      <c r="H4" s="67">
        <f>H2/H3</f>
        <v>1.4285714285714285E-10</v>
      </c>
      <c r="I4" s="163" t="s">
        <v>109</v>
      </c>
      <c r="J4" s="6">
        <f>J2/J3</f>
        <v>1.5000000000000002E-8</v>
      </c>
      <c r="K4" s="6" t="s">
        <v>108</v>
      </c>
      <c r="M4" s="5" t="s">
        <v>109</v>
      </c>
      <c r="N4" s="164">
        <f>N2/N3</f>
        <v>1E-8</v>
      </c>
      <c r="O4" s="6" t="s">
        <v>108</v>
      </c>
      <c r="Q4" s="5" t="s">
        <v>109</v>
      </c>
      <c r="R4" s="164">
        <f>R2/R3</f>
        <v>1E-8</v>
      </c>
      <c r="S4" s="6" t="s">
        <v>108</v>
      </c>
    </row>
    <row r="6" spans="1:19">
      <c r="A6" s="5" t="s">
        <v>111</v>
      </c>
      <c r="B6" s="6">
        <v>1000</v>
      </c>
      <c r="C6" s="6" t="s">
        <v>112</v>
      </c>
      <c r="E6" s="204" t="s">
        <v>111</v>
      </c>
      <c r="F6" s="205">
        <v>1000</v>
      </c>
      <c r="G6" s="205" t="s">
        <v>112</v>
      </c>
      <c r="I6" s="163" t="s">
        <v>111</v>
      </c>
      <c r="J6" s="6">
        <v>1000</v>
      </c>
      <c r="K6" s="6" t="s">
        <v>112</v>
      </c>
      <c r="M6" s="5" t="s">
        <v>111</v>
      </c>
      <c r="N6" s="6">
        <v>1000</v>
      </c>
      <c r="O6" s="6" t="s">
        <v>112</v>
      </c>
      <c r="Q6" s="5" t="s">
        <v>111</v>
      </c>
      <c r="R6" s="6">
        <v>1000</v>
      </c>
      <c r="S6" s="6" t="s">
        <v>112</v>
      </c>
    </row>
    <row r="7" spans="1:19">
      <c r="A7" s="5" t="s">
        <v>113</v>
      </c>
      <c r="B7" s="6">
        <v>1</v>
      </c>
      <c r="C7" s="6" t="s">
        <v>124</v>
      </c>
      <c r="E7" s="204" t="s">
        <v>113</v>
      </c>
      <c r="F7" s="205">
        <v>1</v>
      </c>
      <c r="G7" s="205" t="s">
        <v>124</v>
      </c>
      <c r="I7" s="163" t="s">
        <v>113</v>
      </c>
      <c r="J7" s="6">
        <v>1</v>
      </c>
      <c r="K7" s="6" t="s">
        <v>124</v>
      </c>
      <c r="M7" s="5" t="s">
        <v>113</v>
      </c>
      <c r="N7" s="6">
        <v>1</v>
      </c>
      <c r="O7" s="6" t="s">
        <v>124</v>
      </c>
      <c r="Q7" s="5" t="s">
        <v>113</v>
      </c>
      <c r="R7" s="6">
        <v>1</v>
      </c>
      <c r="S7" s="6" t="s">
        <v>124</v>
      </c>
    </row>
    <row r="8" spans="1:19">
      <c r="A8" s="5" t="s">
        <v>115</v>
      </c>
      <c r="B8" s="6">
        <f>B6/B7</f>
        <v>1000</v>
      </c>
      <c r="C8" s="6" t="s">
        <v>114</v>
      </c>
      <c r="E8" s="204" t="s">
        <v>115</v>
      </c>
      <c r="F8" s="205">
        <f>F6/F7</f>
        <v>1000</v>
      </c>
      <c r="G8" s="205" t="s">
        <v>114</v>
      </c>
      <c r="I8" s="163" t="s">
        <v>115</v>
      </c>
      <c r="J8" s="6">
        <f>J6/J7</f>
        <v>1000</v>
      </c>
      <c r="K8" s="6" t="s">
        <v>114</v>
      </c>
      <c r="M8" s="5" t="s">
        <v>115</v>
      </c>
      <c r="N8" s="6">
        <f>N6/N7</f>
        <v>1000</v>
      </c>
      <c r="O8" s="6" t="s">
        <v>114</v>
      </c>
      <c r="Q8" s="5" t="s">
        <v>115</v>
      </c>
      <c r="R8" s="6">
        <f>R6/R7</f>
        <v>1000</v>
      </c>
      <c r="S8" s="6" t="s">
        <v>114</v>
      </c>
    </row>
    <row r="10" spans="1:19">
      <c r="A10" s="5" t="s">
        <v>120</v>
      </c>
      <c r="B10" s="6">
        <f>0.8 *10^-6</f>
        <v>7.9999999999999996E-7</v>
      </c>
      <c r="C10" s="6" t="s">
        <v>119</v>
      </c>
      <c r="E10" s="204" t="s">
        <v>120</v>
      </c>
      <c r="F10" s="205">
        <f>0.8 *10^-6</f>
        <v>7.9999999999999996E-7</v>
      </c>
      <c r="G10" s="205" t="s">
        <v>119</v>
      </c>
      <c r="I10" s="163" t="s">
        <v>120</v>
      </c>
      <c r="J10" s="6">
        <f>0.8 *10^-6</f>
        <v>7.9999999999999996E-7</v>
      </c>
      <c r="K10" s="6" t="s">
        <v>119</v>
      </c>
      <c r="M10" s="5" t="s">
        <v>120</v>
      </c>
      <c r="N10" s="6">
        <f>0.8 *10^-6</f>
        <v>7.9999999999999996E-7</v>
      </c>
      <c r="O10" s="6" t="s">
        <v>119</v>
      </c>
      <c r="Q10" s="5" t="s">
        <v>120</v>
      </c>
      <c r="R10" s="6">
        <f>0.8 *10^-6</f>
        <v>7.9999999999999996E-7</v>
      </c>
      <c r="S10" s="6" t="s">
        <v>119</v>
      </c>
    </row>
    <row r="11" spans="1:19">
      <c r="A11" s="5" t="s">
        <v>116</v>
      </c>
      <c r="B11" s="6">
        <v>0.6</v>
      </c>
      <c r="C11" s="6"/>
      <c r="E11" s="204" t="s">
        <v>116</v>
      </c>
      <c r="F11" s="205">
        <v>0.6</v>
      </c>
      <c r="G11" s="205"/>
      <c r="I11" s="163" t="s">
        <v>116</v>
      </c>
      <c r="J11" s="6">
        <v>0.6</v>
      </c>
      <c r="K11" s="6"/>
      <c r="M11" s="5" t="s">
        <v>116</v>
      </c>
      <c r="N11" s="6">
        <v>0.6</v>
      </c>
      <c r="O11" s="6"/>
      <c r="Q11" s="5" t="s">
        <v>116</v>
      </c>
      <c r="R11" s="6">
        <v>0.6</v>
      </c>
      <c r="S11" s="6"/>
    </row>
    <row r="12" spans="1:19">
      <c r="A12" s="5" t="s">
        <v>117</v>
      </c>
      <c r="B12" s="6">
        <f>(B11-0.5)/3</f>
        <v>3.3333333333333326E-2</v>
      </c>
      <c r="C12" s="6"/>
      <c r="E12" s="204" t="s">
        <v>117</v>
      </c>
      <c r="F12" s="205">
        <f>(F11-0.5)/3</f>
        <v>3.3333333333333326E-2</v>
      </c>
      <c r="G12" s="205"/>
      <c r="I12" s="163" t="s">
        <v>117</v>
      </c>
      <c r="J12" s="6">
        <f>(J11-0.5)/3</f>
        <v>3.3333333333333326E-2</v>
      </c>
      <c r="K12" s="6"/>
      <c r="M12" s="5" t="s">
        <v>117</v>
      </c>
      <c r="N12" s="6">
        <f>(N11-0.5)/3</f>
        <v>3.3333333333333326E-2</v>
      </c>
      <c r="O12" s="6"/>
      <c r="Q12" s="5" t="s">
        <v>117</v>
      </c>
      <c r="R12" s="6">
        <f>(R11-0.5)/3</f>
        <v>3.3333333333333326E-2</v>
      </c>
      <c r="S12" s="6"/>
    </row>
    <row r="13" spans="1:19">
      <c r="A13" s="5" t="s">
        <v>118</v>
      </c>
      <c r="B13" s="6">
        <f>(B12/B10)*B4^2</f>
        <v>1.3605442176870747E-12</v>
      </c>
      <c r="C13" s="6" t="s">
        <v>121</v>
      </c>
      <c r="E13" s="204" t="s">
        <v>118</v>
      </c>
      <c r="F13" s="205">
        <f>(F12/F10)*F4^2</f>
        <v>7.6530612244897927E-15</v>
      </c>
      <c r="G13" s="205" t="s">
        <v>121</v>
      </c>
      <c r="I13" s="163" t="s">
        <v>118</v>
      </c>
      <c r="J13" s="6">
        <f>(J12/J10)*J4^2</f>
        <v>9.3749999999999999E-12</v>
      </c>
      <c r="K13" s="6" t="s">
        <v>121</v>
      </c>
      <c r="M13" s="5" t="s">
        <v>118</v>
      </c>
      <c r="N13" s="6">
        <f>(N12/N10)*N4^2</f>
        <v>4.166666666666666E-12</v>
      </c>
      <c r="O13" s="6" t="s">
        <v>121</v>
      </c>
      <c r="Q13" s="5" t="s">
        <v>118</v>
      </c>
      <c r="R13" s="6">
        <f>(R12/R10)*R4^2</f>
        <v>4.166666666666666E-12</v>
      </c>
      <c r="S13" s="6" t="s">
        <v>121</v>
      </c>
    </row>
    <row r="15" spans="1:19">
      <c r="A15" s="5" t="s">
        <v>122</v>
      </c>
      <c r="B15" s="6">
        <f>B4/B13</f>
        <v>4200</v>
      </c>
      <c r="C15" s="6" t="s">
        <v>71</v>
      </c>
      <c r="E15" s="204" t="s">
        <v>122</v>
      </c>
      <c r="F15" s="205">
        <f>F4/F13</f>
        <v>56000.000000000022</v>
      </c>
      <c r="G15" s="205" t="s">
        <v>71</v>
      </c>
      <c r="I15" s="163" t="s">
        <v>122</v>
      </c>
      <c r="J15" s="6">
        <f>J4/J13</f>
        <v>1600.0000000000002</v>
      </c>
      <c r="K15" s="6" t="s">
        <v>71</v>
      </c>
      <c r="M15" s="5" t="s">
        <v>122</v>
      </c>
      <c r="N15" s="6">
        <f>N4/N13</f>
        <v>2400.0000000000005</v>
      </c>
      <c r="O15" s="6" t="s">
        <v>71</v>
      </c>
      <c r="Q15" s="5" t="s">
        <v>122</v>
      </c>
      <c r="R15" s="6">
        <f>R4/R13</f>
        <v>2400.0000000000005</v>
      </c>
      <c r="S15" s="6" t="s">
        <v>71</v>
      </c>
    </row>
    <row r="16" spans="1:19">
      <c r="F16" s="10">
        <f>B4/40</f>
        <v>1.4285714285714285E-10</v>
      </c>
    </row>
    <row r="17" spans="5:15">
      <c r="F17" s="10">
        <f>B4/57</f>
        <v>1.0025062656641604E-10</v>
      </c>
      <c r="J17">
        <f>F17*150</f>
        <v>1.5037593984962404E-8</v>
      </c>
      <c r="N17">
        <f>F17*100</f>
        <v>1.0025062656641603E-8</v>
      </c>
    </row>
    <row r="19" spans="5:15">
      <c r="E19" s="207" t="s">
        <v>395</v>
      </c>
      <c r="I19" s="148" t="s">
        <v>415</v>
      </c>
      <c r="M19" s="148" t="s">
        <v>450</v>
      </c>
    </row>
    <row r="20" spans="5:15">
      <c r="I20" s="163" t="s">
        <v>0</v>
      </c>
      <c r="J20" s="164">
        <v>3.0000000000000001E-6</v>
      </c>
      <c r="K20" s="6" t="s">
        <v>108</v>
      </c>
      <c r="M20" s="163" t="s">
        <v>0</v>
      </c>
      <c r="N20" s="164">
        <v>3.0000000000000001E-6</v>
      </c>
      <c r="O20" s="6" t="s">
        <v>108</v>
      </c>
    </row>
    <row r="21" spans="5:15">
      <c r="E21" s="204" t="s">
        <v>0</v>
      </c>
      <c r="F21" s="208">
        <v>1E-8</v>
      </c>
      <c r="G21" s="205" t="s">
        <v>108</v>
      </c>
      <c r="I21" s="163" t="s">
        <v>110</v>
      </c>
      <c r="J21" s="6">
        <v>400</v>
      </c>
      <c r="K21" s="6" t="s">
        <v>123</v>
      </c>
      <c r="M21" s="163" t="s">
        <v>110</v>
      </c>
      <c r="N21" s="6">
        <v>300</v>
      </c>
      <c r="O21" s="6" t="s">
        <v>123</v>
      </c>
    </row>
    <row r="22" spans="5:15">
      <c r="E22" s="204" t="s">
        <v>110</v>
      </c>
      <c r="F22" s="205">
        <v>10</v>
      </c>
      <c r="G22" s="205" t="s">
        <v>123</v>
      </c>
      <c r="I22" s="163" t="s">
        <v>109</v>
      </c>
      <c r="J22" s="164">
        <f>J20/J21</f>
        <v>7.500000000000001E-9</v>
      </c>
      <c r="K22" s="6" t="s">
        <v>108</v>
      </c>
      <c r="M22" s="163" t="s">
        <v>109</v>
      </c>
      <c r="N22" s="164">
        <f>N20/N21</f>
        <v>1E-8</v>
      </c>
      <c r="O22" s="6" t="s">
        <v>108</v>
      </c>
    </row>
    <row r="23" spans="5:15">
      <c r="E23" s="204" t="s">
        <v>109</v>
      </c>
      <c r="F23" s="205">
        <f>F21/F22</f>
        <v>1.0000000000000001E-9</v>
      </c>
      <c r="G23" s="205" t="s">
        <v>108</v>
      </c>
      <c r="H23" s="139"/>
    </row>
    <row r="24" spans="5:15">
      <c r="I24" s="163" t="s">
        <v>111</v>
      </c>
      <c r="J24" s="6">
        <v>1000</v>
      </c>
      <c r="K24" s="6" t="s">
        <v>112</v>
      </c>
      <c r="M24" s="163" t="s">
        <v>111</v>
      </c>
      <c r="N24" s="6">
        <v>1000</v>
      </c>
      <c r="O24" s="6" t="s">
        <v>112</v>
      </c>
    </row>
    <row r="25" spans="5:15">
      <c r="E25" s="204" t="s">
        <v>111</v>
      </c>
      <c r="F25" s="205">
        <v>1000</v>
      </c>
      <c r="G25" s="205" t="s">
        <v>112</v>
      </c>
      <c r="I25" s="163" t="s">
        <v>113</v>
      </c>
      <c r="J25" s="6">
        <v>1</v>
      </c>
      <c r="K25" s="6" t="s">
        <v>124</v>
      </c>
      <c r="M25" s="163" t="s">
        <v>113</v>
      </c>
      <c r="N25" s="6">
        <v>1</v>
      </c>
      <c r="O25" s="6" t="s">
        <v>124</v>
      </c>
    </row>
    <row r="26" spans="5:15">
      <c r="E26" s="204" t="s">
        <v>113</v>
      </c>
      <c r="F26" s="205">
        <v>1</v>
      </c>
      <c r="G26" s="205" t="s">
        <v>124</v>
      </c>
      <c r="I26" s="163" t="s">
        <v>115</v>
      </c>
      <c r="J26" s="6">
        <f>J24/J25</f>
        <v>1000</v>
      </c>
      <c r="K26" s="6" t="s">
        <v>114</v>
      </c>
      <c r="M26" s="163" t="s">
        <v>115</v>
      </c>
      <c r="N26" s="6">
        <f>N24/N25</f>
        <v>1000</v>
      </c>
      <c r="O26" s="6" t="s">
        <v>114</v>
      </c>
    </row>
    <row r="27" spans="5:15">
      <c r="E27" s="204" t="s">
        <v>115</v>
      </c>
      <c r="F27" s="205">
        <f>F25/F26</f>
        <v>1000</v>
      </c>
      <c r="G27" s="205" t="s">
        <v>114</v>
      </c>
    </row>
    <row r="28" spans="5:15">
      <c r="I28" s="163" t="s">
        <v>120</v>
      </c>
      <c r="J28" s="6">
        <f>0.8 *10^-6</f>
        <v>7.9999999999999996E-7</v>
      </c>
      <c r="K28" s="6" t="s">
        <v>119</v>
      </c>
      <c r="M28" s="163" t="s">
        <v>120</v>
      </c>
      <c r="N28" s="6">
        <f>0.8 *10^-6</f>
        <v>7.9999999999999996E-7</v>
      </c>
      <c r="O28" s="6" t="s">
        <v>119</v>
      </c>
    </row>
    <row r="29" spans="5:15">
      <c r="E29" s="204" t="s">
        <v>120</v>
      </c>
      <c r="F29" s="205">
        <f>0.8 *10^-6</f>
        <v>7.9999999999999996E-7</v>
      </c>
      <c r="G29" s="205" t="s">
        <v>119</v>
      </c>
      <c r="I29" s="163" t="s">
        <v>116</v>
      </c>
      <c r="J29" s="6">
        <v>0.6</v>
      </c>
      <c r="K29" s="6"/>
      <c r="M29" s="163" t="s">
        <v>116</v>
      </c>
      <c r="N29" s="6">
        <v>0.6</v>
      </c>
      <c r="O29" s="6"/>
    </row>
    <row r="30" spans="5:15">
      <c r="E30" s="204" t="s">
        <v>116</v>
      </c>
      <c r="F30" s="205">
        <v>0.6</v>
      </c>
      <c r="G30" s="205"/>
      <c r="I30" s="163" t="s">
        <v>117</v>
      </c>
      <c r="J30" s="6">
        <f>(J29-0.5)/3</f>
        <v>3.3333333333333326E-2</v>
      </c>
      <c r="K30" s="6"/>
      <c r="M30" s="163" t="s">
        <v>117</v>
      </c>
      <c r="N30" s="6">
        <f>(N29-0.5)/3</f>
        <v>3.3333333333333326E-2</v>
      </c>
      <c r="O30" s="6"/>
    </row>
    <row r="31" spans="5:15">
      <c r="E31" s="204" t="s">
        <v>117</v>
      </c>
      <c r="F31" s="205">
        <f>(F30-0.5)/3</f>
        <v>3.3333333333333326E-2</v>
      </c>
      <c r="G31" s="205"/>
      <c r="I31" s="163" t="s">
        <v>118</v>
      </c>
      <c r="J31" s="6">
        <f>(J30/J28)*J22^2</f>
        <v>2.34375E-12</v>
      </c>
      <c r="K31" s="6" t="s">
        <v>121</v>
      </c>
      <c r="M31" s="163" t="s">
        <v>118</v>
      </c>
      <c r="N31" s="6">
        <f>(N30/N28)*N22^2</f>
        <v>4.166666666666666E-12</v>
      </c>
      <c r="O31" s="6" t="s">
        <v>121</v>
      </c>
    </row>
    <row r="32" spans="5:15">
      <c r="E32" s="204" t="s">
        <v>118</v>
      </c>
      <c r="F32" s="205">
        <f>(F31/F29)*F23^2</f>
        <v>4.1666666666666662E-14</v>
      </c>
      <c r="G32" s="205" t="s">
        <v>121</v>
      </c>
    </row>
    <row r="33" spans="5:15">
      <c r="I33" s="163" t="s">
        <v>122</v>
      </c>
      <c r="J33" s="6">
        <f>J22/J31</f>
        <v>3200.0000000000005</v>
      </c>
      <c r="K33" s="6" t="s">
        <v>71</v>
      </c>
      <c r="M33" s="163" t="s">
        <v>122</v>
      </c>
      <c r="N33" s="6">
        <f>N22/N31</f>
        <v>2400.0000000000005</v>
      </c>
      <c r="O33" s="6" t="s">
        <v>71</v>
      </c>
    </row>
    <row r="34" spans="5:15">
      <c r="E34" s="204" t="s">
        <v>122</v>
      </c>
      <c r="F34" s="205">
        <f>F23/F32</f>
        <v>24000.000000000004</v>
      </c>
      <c r="G34" s="205" t="s">
        <v>71</v>
      </c>
    </row>
    <row r="36" spans="5:15">
      <c r="E36" s="207" t="s">
        <v>397</v>
      </c>
    </row>
    <row r="39" spans="5:15">
      <c r="E39" s="204" t="s">
        <v>0</v>
      </c>
      <c r="F39" s="208">
        <v>3.4999999999999999E-9</v>
      </c>
      <c r="G39" s="205" t="s">
        <v>108</v>
      </c>
    </row>
    <row r="40" spans="5:15">
      <c r="E40" s="204" t="s">
        <v>110</v>
      </c>
      <c r="F40" s="205">
        <v>5</v>
      </c>
      <c r="G40" s="205" t="s">
        <v>123</v>
      </c>
    </row>
    <row r="41" spans="5:15">
      <c r="E41" s="204" t="s">
        <v>109</v>
      </c>
      <c r="F41" s="205">
        <f>F39/F40</f>
        <v>6.9999999999999996E-10</v>
      </c>
      <c r="G41" s="205" t="s">
        <v>108</v>
      </c>
    </row>
    <row r="43" spans="5:15">
      <c r="E43" s="204" t="s">
        <v>111</v>
      </c>
      <c r="F43" s="205">
        <v>1000</v>
      </c>
      <c r="G43" s="205" t="s">
        <v>112</v>
      </c>
    </row>
    <row r="44" spans="5:15">
      <c r="E44" s="204" t="s">
        <v>113</v>
      </c>
      <c r="F44" s="205">
        <v>1</v>
      </c>
      <c r="G44" s="205" t="s">
        <v>124</v>
      </c>
    </row>
    <row r="45" spans="5:15">
      <c r="E45" s="204" t="s">
        <v>115</v>
      </c>
      <c r="F45" s="205">
        <f>F43/F44</f>
        <v>1000</v>
      </c>
      <c r="G45" s="205" t="s">
        <v>114</v>
      </c>
    </row>
    <row r="47" spans="5:15">
      <c r="E47" s="204" t="s">
        <v>120</v>
      </c>
      <c r="F47" s="205">
        <f>0.8 *10^-6</f>
        <v>7.9999999999999996E-7</v>
      </c>
      <c r="G47" s="205" t="s">
        <v>119</v>
      </c>
    </row>
    <row r="48" spans="5:15">
      <c r="E48" s="204" t="s">
        <v>116</v>
      </c>
      <c r="F48" s="205">
        <v>0.6</v>
      </c>
      <c r="G48" s="205"/>
    </row>
    <row r="49" spans="5:17">
      <c r="E49" s="204" t="s">
        <v>117</v>
      </c>
      <c r="F49" s="205">
        <f>(F48-0.5)/3</f>
        <v>3.3333333333333326E-2</v>
      </c>
      <c r="G49" s="205"/>
      <c r="K49" t="s">
        <v>462</v>
      </c>
      <c r="L49" t="s">
        <v>463</v>
      </c>
      <c r="M49" t="s">
        <v>466</v>
      </c>
    </row>
    <row r="50" spans="5:17">
      <c r="E50" s="204" t="s">
        <v>118</v>
      </c>
      <c r="F50" s="205">
        <f>(F49/F47)*F41^2</f>
        <v>2.0416666666666661E-14</v>
      </c>
      <c r="G50" s="205" t="s">
        <v>121</v>
      </c>
      <c r="J50" t="s">
        <v>464</v>
      </c>
      <c r="K50">
        <v>308</v>
      </c>
      <c r="L50">
        <v>4</v>
      </c>
      <c r="M50">
        <f>K50/L50</f>
        <v>77</v>
      </c>
    </row>
    <row r="51" spans="5:17">
      <c r="J51" t="s">
        <v>465</v>
      </c>
      <c r="K51">
        <v>200</v>
      </c>
      <c r="L51">
        <v>4</v>
      </c>
      <c r="M51">
        <f>K51/L51</f>
        <v>50</v>
      </c>
    </row>
    <row r="52" spans="5:17">
      <c r="E52" s="204" t="s">
        <v>122</v>
      </c>
      <c r="F52" s="205">
        <f>F41/F50</f>
        <v>34285.714285714297</v>
      </c>
      <c r="G52" s="205" t="s">
        <v>71</v>
      </c>
    </row>
    <row r="53" spans="5:17" ht="16.5" thickBot="1"/>
    <row r="54" spans="5:17">
      <c r="E54" s="207" t="s">
        <v>411</v>
      </c>
      <c r="J54" s="203" t="s">
        <v>410</v>
      </c>
      <c r="K54" s="64"/>
      <c r="L54" s="64"/>
      <c r="M54" s="64"/>
      <c r="N54" s="64"/>
      <c r="O54" s="64"/>
      <c r="P54" s="64"/>
      <c r="Q54" s="65"/>
    </row>
    <row r="55" spans="5:17">
      <c r="J55" s="66"/>
      <c r="K55" s="10" t="s">
        <v>330</v>
      </c>
      <c r="L55" s="10" t="s">
        <v>190</v>
      </c>
      <c r="M55" s="10" t="s">
        <v>331</v>
      </c>
      <c r="N55" s="10" t="s">
        <v>60</v>
      </c>
      <c r="O55" s="10" t="s">
        <v>363</v>
      </c>
      <c r="P55" s="10" t="s">
        <v>333</v>
      </c>
      <c r="Q55" s="67" t="s">
        <v>413</v>
      </c>
    </row>
    <row r="56" spans="5:17">
      <c r="E56" s="204" t="s">
        <v>0</v>
      </c>
      <c r="F56" s="208">
        <v>3.4999999999999999E-9</v>
      </c>
      <c r="G56" s="205" t="s">
        <v>108</v>
      </c>
      <c r="J56" s="66" t="s">
        <v>334</v>
      </c>
      <c r="K56" s="10">
        <v>1</v>
      </c>
      <c r="L56" s="10">
        <v>76</v>
      </c>
      <c r="M56" s="10">
        <f>K56*L56</f>
        <v>76</v>
      </c>
      <c r="N56" s="10">
        <v>2.5000000000000002E-10</v>
      </c>
      <c r="O56" s="10">
        <f>(K56*10^-9)/N56</f>
        <v>4</v>
      </c>
      <c r="P56" s="10">
        <f>(M56*10^-9)/N56</f>
        <v>304</v>
      </c>
      <c r="Q56" s="67">
        <f>P56/O56</f>
        <v>76</v>
      </c>
    </row>
    <row r="57" spans="5:17" ht="16.5" thickBot="1">
      <c r="E57" s="204" t="s">
        <v>110</v>
      </c>
      <c r="F57" s="205">
        <v>4</v>
      </c>
      <c r="G57" s="205" t="s">
        <v>123</v>
      </c>
      <c r="J57" s="69"/>
      <c r="K57" s="51"/>
      <c r="L57" s="51"/>
      <c r="M57" s="51"/>
      <c r="N57" s="51"/>
      <c r="O57" s="51"/>
      <c r="P57" s="51"/>
      <c r="Q57" s="70"/>
    </row>
    <row r="58" spans="5:17" ht="16.5" thickBot="1">
      <c r="E58" s="204" t="s">
        <v>109</v>
      </c>
      <c r="F58" s="205">
        <f>F56/F57</f>
        <v>8.7499999999999998E-10</v>
      </c>
      <c r="G58" s="205" t="s">
        <v>108</v>
      </c>
    </row>
    <row r="59" spans="5:17">
      <c r="J59" s="203" t="s">
        <v>430</v>
      </c>
      <c r="K59" s="64"/>
      <c r="L59" s="64"/>
      <c r="M59" s="64"/>
      <c r="N59" s="64"/>
      <c r="O59" s="64"/>
      <c r="P59" s="64"/>
      <c r="Q59" s="65"/>
    </row>
    <row r="60" spans="5:17">
      <c r="E60" s="204" t="s">
        <v>111</v>
      </c>
      <c r="F60" s="205">
        <v>1000</v>
      </c>
      <c r="G60" s="205" t="s">
        <v>112</v>
      </c>
      <c r="J60" s="66"/>
      <c r="K60" s="10" t="s">
        <v>330</v>
      </c>
      <c r="L60" s="10" t="s">
        <v>190</v>
      </c>
      <c r="M60" s="10" t="s">
        <v>331</v>
      </c>
      <c r="N60" s="10" t="s">
        <v>60</v>
      </c>
      <c r="O60" s="10" t="s">
        <v>363</v>
      </c>
      <c r="P60" s="10" t="s">
        <v>333</v>
      </c>
      <c r="Q60" s="67" t="s">
        <v>413</v>
      </c>
    </row>
    <row r="61" spans="5:17">
      <c r="E61" s="204" t="s">
        <v>113</v>
      </c>
      <c r="F61" s="205">
        <v>1</v>
      </c>
      <c r="G61" s="205" t="s">
        <v>124</v>
      </c>
      <c r="J61" s="66" t="s">
        <v>334</v>
      </c>
      <c r="K61" s="10">
        <v>1</v>
      </c>
      <c r="L61" s="10">
        <v>50</v>
      </c>
      <c r="M61" s="10">
        <f>K61*L61</f>
        <v>50</v>
      </c>
      <c r="N61" s="10">
        <v>2.5000000000000002E-10</v>
      </c>
      <c r="O61" s="10">
        <f>(K61*10^-9)/N61</f>
        <v>4</v>
      </c>
      <c r="P61" s="10">
        <f>(M61*10^-9)/N61</f>
        <v>200</v>
      </c>
      <c r="Q61" s="67">
        <f>P61/O61</f>
        <v>50</v>
      </c>
    </row>
    <row r="62" spans="5:17" ht="16.5" thickBot="1">
      <c r="E62" s="204" t="s">
        <v>115</v>
      </c>
      <c r="F62" s="205">
        <f>F60/F61</f>
        <v>1000</v>
      </c>
      <c r="G62" s="205" t="s">
        <v>114</v>
      </c>
      <c r="J62" s="69"/>
      <c r="K62" s="51"/>
      <c r="L62" s="51"/>
      <c r="M62" s="51"/>
      <c r="N62" s="51"/>
      <c r="O62" s="51"/>
      <c r="P62" s="51"/>
      <c r="Q62" s="70"/>
    </row>
    <row r="64" spans="5:17">
      <c r="E64" s="204" t="s">
        <v>120</v>
      </c>
      <c r="F64" s="205">
        <f>0.8 *10^-6</f>
        <v>7.9999999999999996E-7</v>
      </c>
      <c r="G64" s="205" t="s">
        <v>119</v>
      </c>
      <c r="J64" s="207" t="s">
        <v>429</v>
      </c>
      <c r="K64" s="10"/>
      <c r="L64" s="10"/>
      <c r="N64" s="207" t="s">
        <v>487</v>
      </c>
      <c r="O64" s="10"/>
      <c r="P64" s="10"/>
    </row>
    <row r="65" spans="5:16">
      <c r="E65" s="204" t="s">
        <v>116</v>
      </c>
      <c r="F65" s="205">
        <v>0.6</v>
      </c>
      <c r="G65" s="205"/>
      <c r="J65" s="66"/>
      <c r="K65" s="10"/>
      <c r="L65" s="10"/>
      <c r="N65" s="66"/>
      <c r="O65" s="10"/>
      <c r="P65" s="10"/>
    </row>
    <row r="66" spans="5:16">
      <c r="E66" s="204" t="s">
        <v>117</v>
      </c>
      <c r="F66" s="205">
        <f>(F65-0.5)/3</f>
        <v>3.3333333333333326E-2</v>
      </c>
      <c r="G66" s="205"/>
      <c r="J66" s="204" t="s">
        <v>0</v>
      </c>
      <c r="K66" s="208">
        <v>9.9999999999999995E-8</v>
      </c>
      <c r="L66" s="205" t="s">
        <v>108</v>
      </c>
      <c r="N66" s="204" t="s">
        <v>0</v>
      </c>
      <c r="O66" s="208">
        <v>1E-10</v>
      </c>
      <c r="P66" s="205" t="s">
        <v>108</v>
      </c>
    </row>
    <row r="67" spans="5:16">
      <c r="E67" s="204" t="s">
        <v>118</v>
      </c>
      <c r="F67" s="205">
        <f>(F66/F64)*F58^2</f>
        <v>3.1901041666666657E-14</v>
      </c>
      <c r="G67" s="205" t="s">
        <v>121</v>
      </c>
      <c r="J67" s="204" t="s">
        <v>110</v>
      </c>
      <c r="K67" s="205">
        <v>200</v>
      </c>
      <c r="L67" s="205" t="s">
        <v>123</v>
      </c>
      <c r="N67" s="204" t="s">
        <v>110</v>
      </c>
      <c r="O67" s="205">
        <v>3</v>
      </c>
      <c r="P67" s="205" t="s">
        <v>123</v>
      </c>
    </row>
    <row r="68" spans="5:16">
      <c r="J68" s="204" t="s">
        <v>109</v>
      </c>
      <c r="K68" s="205">
        <f>K66/K67</f>
        <v>4.9999999999999993E-10</v>
      </c>
      <c r="L68" s="205" t="s">
        <v>108</v>
      </c>
      <c r="N68" s="204" t="s">
        <v>109</v>
      </c>
      <c r="O68" s="205">
        <f>O66/O67</f>
        <v>3.3333333333333335E-11</v>
      </c>
      <c r="P68" s="205" t="s">
        <v>108</v>
      </c>
    </row>
    <row r="69" spans="5:16">
      <c r="E69" s="204" t="s">
        <v>122</v>
      </c>
      <c r="F69" s="205">
        <f>F58/F67</f>
        <v>27428.571428571435</v>
      </c>
      <c r="G69" s="205" t="s">
        <v>71</v>
      </c>
      <c r="J69" s="66"/>
      <c r="K69" s="10"/>
      <c r="L69" s="10"/>
      <c r="N69" s="66"/>
      <c r="O69" s="10"/>
      <c r="P69" s="10"/>
    </row>
    <row r="70" spans="5:16">
      <c r="J70" s="204" t="s">
        <v>111</v>
      </c>
      <c r="K70" s="205">
        <v>1000</v>
      </c>
      <c r="L70" s="205" t="s">
        <v>112</v>
      </c>
      <c r="N70" s="204" t="s">
        <v>111</v>
      </c>
      <c r="O70" s="205">
        <v>1000</v>
      </c>
      <c r="P70" s="205" t="s">
        <v>112</v>
      </c>
    </row>
    <row r="71" spans="5:16">
      <c r="E71" s="207" t="s">
        <v>425</v>
      </c>
      <c r="J71" s="204" t="s">
        <v>113</v>
      </c>
      <c r="K71" s="205">
        <v>1</v>
      </c>
      <c r="L71" s="205" t="s">
        <v>124</v>
      </c>
      <c r="N71" s="204" t="s">
        <v>113</v>
      </c>
      <c r="O71" s="205">
        <v>1</v>
      </c>
      <c r="P71" s="205" t="s">
        <v>124</v>
      </c>
    </row>
    <row r="72" spans="5:16">
      <c r="J72" s="204" t="s">
        <v>115</v>
      </c>
      <c r="K72" s="205">
        <f>K70/K71</f>
        <v>1000</v>
      </c>
      <c r="L72" s="205" t="s">
        <v>114</v>
      </c>
      <c r="N72" s="204" t="s">
        <v>115</v>
      </c>
      <c r="O72" s="205">
        <f>O70/O71</f>
        <v>1000</v>
      </c>
      <c r="P72" s="205" t="s">
        <v>114</v>
      </c>
    </row>
    <row r="73" spans="5:16">
      <c r="E73" s="204" t="s">
        <v>0</v>
      </c>
      <c r="F73" s="208">
        <v>2.0000000000000001E-9</v>
      </c>
      <c r="G73" s="205" t="s">
        <v>108</v>
      </c>
      <c r="J73" s="66"/>
      <c r="K73" s="10"/>
      <c r="L73" s="10"/>
      <c r="N73" s="66"/>
      <c r="O73" s="10"/>
      <c r="P73" s="10"/>
    </row>
    <row r="74" spans="5:16">
      <c r="E74" s="204" t="s">
        <v>110</v>
      </c>
      <c r="F74" s="205">
        <v>4</v>
      </c>
      <c r="G74" s="205" t="s">
        <v>123</v>
      </c>
      <c r="J74" s="204" t="s">
        <v>120</v>
      </c>
      <c r="K74" s="205">
        <f>0.8 *10^-6</f>
        <v>7.9999999999999996E-7</v>
      </c>
      <c r="L74" s="205" t="s">
        <v>119</v>
      </c>
      <c r="N74" s="204" t="s">
        <v>120</v>
      </c>
      <c r="O74" s="205">
        <f>0.8 *10^-6</f>
        <v>7.9999999999999996E-7</v>
      </c>
      <c r="P74" s="205" t="s">
        <v>119</v>
      </c>
    </row>
    <row r="75" spans="5:16">
      <c r="E75" s="204" t="s">
        <v>109</v>
      </c>
      <c r="F75" s="205">
        <f>F73/F74</f>
        <v>5.0000000000000003E-10</v>
      </c>
      <c r="G75" s="205" t="s">
        <v>108</v>
      </c>
      <c r="J75" s="204" t="s">
        <v>116</v>
      </c>
      <c r="K75" s="205">
        <v>0.6</v>
      </c>
      <c r="L75" s="205"/>
      <c r="N75" s="204" t="s">
        <v>116</v>
      </c>
      <c r="O75" s="205">
        <v>0.6</v>
      </c>
      <c r="P75" s="205"/>
    </row>
    <row r="76" spans="5:16">
      <c r="J76" s="204" t="s">
        <v>117</v>
      </c>
      <c r="K76" s="205">
        <f>(K75-0.5)/3</f>
        <v>3.3333333333333326E-2</v>
      </c>
      <c r="L76" s="205"/>
      <c r="N76" s="204" t="s">
        <v>117</v>
      </c>
      <c r="O76" s="205">
        <f>(O75-0.5)/3</f>
        <v>3.3333333333333326E-2</v>
      </c>
      <c r="P76" s="205"/>
    </row>
    <row r="77" spans="5:16">
      <c r="E77" s="204" t="s">
        <v>111</v>
      </c>
      <c r="F77" s="205">
        <v>1000</v>
      </c>
      <c r="G77" s="205" t="s">
        <v>112</v>
      </c>
      <c r="J77" s="204" t="s">
        <v>118</v>
      </c>
      <c r="K77" s="205">
        <f>(K76/K74)*K68^2</f>
        <v>1.0416666666666661E-14</v>
      </c>
      <c r="L77" s="205" t="s">
        <v>121</v>
      </c>
      <c r="N77" s="204" t="s">
        <v>118</v>
      </c>
      <c r="O77" s="205">
        <f>(O76/O74)*O68^2</f>
        <v>4.629629629629629E-17</v>
      </c>
      <c r="P77" s="205" t="s">
        <v>121</v>
      </c>
    </row>
    <row r="78" spans="5:16">
      <c r="E78" s="204" t="s">
        <v>113</v>
      </c>
      <c r="F78" s="205">
        <v>1</v>
      </c>
      <c r="G78" s="205" t="s">
        <v>124</v>
      </c>
      <c r="J78" s="66"/>
      <c r="K78" s="10"/>
      <c r="L78" s="10"/>
      <c r="N78" s="66"/>
      <c r="O78" s="10"/>
      <c r="P78" s="10"/>
    </row>
    <row r="79" spans="5:16">
      <c r="E79" s="204" t="s">
        <v>115</v>
      </c>
      <c r="F79" s="205">
        <f>F77/F78</f>
        <v>1000</v>
      </c>
      <c r="G79" s="205" t="s">
        <v>114</v>
      </c>
      <c r="J79" s="204" t="s">
        <v>122</v>
      </c>
      <c r="K79" s="205">
        <f>K68/K77</f>
        <v>48000.000000000022</v>
      </c>
      <c r="L79" s="205" t="s">
        <v>71</v>
      </c>
      <c r="N79" s="204" t="s">
        <v>122</v>
      </c>
      <c r="O79" s="205">
        <f>O68/O77</f>
        <v>720000.00000000012</v>
      </c>
      <c r="P79" s="205" t="s">
        <v>71</v>
      </c>
    </row>
    <row r="81" spans="5:7">
      <c r="E81" s="204" t="s">
        <v>120</v>
      </c>
      <c r="F81" s="205">
        <f>0.8 *10^-6</f>
        <v>7.9999999999999996E-7</v>
      </c>
      <c r="G81" s="205" t="s">
        <v>119</v>
      </c>
    </row>
    <row r="82" spans="5:7">
      <c r="E82" s="204" t="s">
        <v>116</v>
      </c>
      <c r="F82" s="205">
        <v>0.6</v>
      </c>
      <c r="G82" s="205"/>
    </row>
    <row r="83" spans="5:7">
      <c r="E83" s="204" t="s">
        <v>117</v>
      </c>
      <c r="F83" s="205">
        <f>(F82-0.5)/3</f>
        <v>3.3333333333333326E-2</v>
      </c>
      <c r="G83" s="205"/>
    </row>
    <row r="84" spans="5:7">
      <c r="E84" s="204" t="s">
        <v>118</v>
      </c>
      <c r="F84" s="205">
        <f>(F83/F81)*F75^2</f>
        <v>1.0416666666666665E-14</v>
      </c>
      <c r="G84" s="205" t="s">
        <v>121</v>
      </c>
    </row>
    <row r="86" spans="5:7">
      <c r="E86" s="204" t="s">
        <v>122</v>
      </c>
      <c r="F86" s="205">
        <f>F75/F84</f>
        <v>48000.000000000007</v>
      </c>
      <c r="G86" s="205" t="s">
        <v>71</v>
      </c>
    </row>
    <row r="88" spans="5:7">
      <c r="E88" s="207" t="s">
        <v>429</v>
      </c>
    </row>
    <row r="90" spans="5:7">
      <c r="E90" s="204" t="s">
        <v>0</v>
      </c>
      <c r="F90" s="208">
        <v>3.4999999999999999E-9</v>
      </c>
      <c r="G90" s="205" t="s">
        <v>108</v>
      </c>
    </row>
    <row r="91" spans="5:7">
      <c r="E91" s="204" t="s">
        <v>110</v>
      </c>
      <c r="F91" s="205">
        <v>4</v>
      </c>
      <c r="G91" s="205" t="s">
        <v>123</v>
      </c>
    </row>
    <row r="92" spans="5:7">
      <c r="E92" s="204" t="s">
        <v>109</v>
      </c>
      <c r="F92" s="205">
        <f>F90/F91</f>
        <v>8.7499999999999998E-10</v>
      </c>
      <c r="G92" s="205" t="s">
        <v>108</v>
      </c>
    </row>
    <row r="94" spans="5:7">
      <c r="E94" s="204" t="s">
        <v>111</v>
      </c>
      <c r="F94" s="205">
        <v>1000</v>
      </c>
      <c r="G94" s="205" t="s">
        <v>112</v>
      </c>
    </row>
    <row r="95" spans="5:7">
      <c r="E95" s="204" t="s">
        <v>113</v>
      </c>
      <c r="F95" s="205">
        <v>1</v>
      </c>
      <c r="G95" s="205" t="s">
        <v>124</v>
      </c>
    </row>
    <row r="96" spans="5:7">
      <c r="E96" s="204" t="s">
        <v>115</v>
      </c>
      <c r="F96" s="205">
        <f>F94/F95</f>
        <v>1000</v>
      </c>
      <c r="G96" s="205" t="s">
        <v>114</v>
      </c>
    </row>
    <row r="98" spans="5:7">
      <c r="E98" s="204" t="s">
        <v>120</v>
      </c>
      <c r="F98" s="205">
        <f>0.8 *10^-6</f>
        <v>7.9999999999999996E-7</v>
      </c>
      <c r="G98" s="205" t="s">
        <v>119</v>
      </c>
    </row>
    <row r="99" spans="5:7">
      <c r="E99" s="204" t="s">
        <v>116</v>
      </c>
      <c r="F99" s="205">
        <v>0.6</v>
      </c>
      <c r="G99" s="205"/>
    </row>
    <row r="100" spans="5:7">
      <c r="E100" s="204" t="s">
        <v>117</v>
      </c>
      <c r="F100" s="205">
        <f>(F99-0.5)/3</f>
        <v>3.3333333333333326E-2</v>
      </c>
      <c r="G100" s="205"/>
    </row>
    <row r="101" spans="5:7">
      <c r="E101" s="204" t="s">
        <v>118</v>
      </c>
      <c r="F101" s="205">
        <f>(F100/F98)*F92^2</f>
        <v>3.1901041666666657E-14</v>
      </c>
      <c r="G101" s="205" t="s">
        <v>121</v>
      </c>
    </row>
    <row r="103" spans="5:7">
      <c r="E103" s="204" t="s">
        <v>122</v>
      </c>
      <c r="F103" s="205">
        <f>F92/F101</f>
        <v>27428.571428571435</v>
      </c>
      <c r="G103" s="205" t="s">
        <v>71</v>
      </c>
    </row>
    <row r="105" spans="5:7">
      <c r="E105" s="207" t="s">
        <v>439</v>
      </c>
    </row>
    <row r="107" spans="5:7">
      <c r="E107" s="204" t="s">
        <v>0</v>
      </c>
      <c r="F107" s="208">
        <v>1.0000000000000001E-9</v>
      </c>
      <c r="G107" s="205" t="s">
        <v>108</v>
      </c>
    </row>
    <row r="108" spans="5:7">
      <c r="E108" s="204" t="s">
        <v>110</v>
      </c>
      <c r="F108" s="205">
        <v>3</v>
      </c>
      <c r="G108" s="205" t="s">
        <v>123</v>
      </c>
    </row>
    <row r="109" spans="5:7">
      <c r="E109" s="204" t="s">
        <v>109</v>
      </c>
      <c r="F109" s="205">
        <f>F107/F108</f>
        <v>3.3333333333333337E-10</v>
      </c>
      <c r="G109" s="205" t="s">
        <v>108</v>
      </c>
    </row>
    <row r="111" spans="5:7">
      <c r="E111" s="204" t="s">
        <v>111</v>
      </c>
      <c r="F111" s="205">
        <v>1000</v>
      </c>
      <c r="G111" s="205" t="s">
        <v>112</v>
      </c>
    </row>
    <row r="112" spans="5:7">
      <c r="E112" s="204" t="s">
        <v>113</v>
      </c>
      <c r="F112" s="205">
        <v>1</v>
      </c>
      <c r="G112" s="205" t="s">
        <v>124</v>
      </c>
    </row>
    <row r="113" spans="5:7">
      <c r="E113" s="204" t="s">
        <v>115</v>
      </c>
      <c r="F113" s="205">
        <f>F111/F112</f>
        <v>1000</v>
      </c>
      <c r="G113" s="205" t="s">
        <v>114</v>
      </c>
    </row>
    <row r="115" spans="5:7">
      <c r="E115" s="204" t="s">
        <v>120</v>
      </c>
      <c r="F115" s="205">
        <f>0.8 *10^-6</f>
        <v>7.9999999999999996E-7</v>
      </c>
      <c r="G115" s="205" t="s">
        <v>119</v>
      </c>
    </row>
    <row r="116" spans="5:7">
      <c r="E116" s="204" t="s">
        <v>116</v>
      </c>
      <c r="F116" s="205">
        <v>0.6</v>
      </c>
      <c r="G116" s="205"/>
    </row>
    <row r="117" spans="5:7">
      <c r="E117" s="204" t="s">
        <v>117</v>
      </c>
      <c r="F117" s="205">
        <f>(F116-0.5)/3</f>
        <v>3.3333333333333326E-2</v>
      </c>
      <c r="G117" s="205"/>
    </row>
    <row r="118" spans="5:7">
      <c r="E118" s="204" t="s">
        <v>118</v>
      </c>
      <c r="F118" s="205">
        <f>(F117/F115)*F109^2</f>
        <v>4.6296296296296293E-15</v>
      </c>
      <c r="G118" s="205" t="s">
        <v>121</v>
      </c>
    </row>
    <row r="120" spans="5:7">
      <c r="E120" s="204" t="s">
        <v>122</v>
      </c>
      <c r="F120" s="205">
        <f>F109/F118</f>
        <v>72000.000000000015</v>
      </c>
      <c r="G120" s="205" t="s">
        <v>71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F156"/>
  <sheetViews>
    <sheetView topLeftCell="AQ1" zoomScaleNormal="100" workbookViewId="0">
      <selection sqref="A1:AV1"/>
    </sheetView>
  </sheetViews>
  <sheetFormatPr defaultRowHeight="15.75"/>
  <cols>
    <col min="1" max="1" width="9.875" bestFit="1" customWidth="1"/>
    <col min="2" max="2" width="11.5" style="8" bestFit="1" customWidth="1"/>
    <col min="3" max="3" width="8" customWidth="1"/>
    <col min="4" max="4" width="5.75" bestFit="1" customWidth="1"/>
    <col min="5" max="5" width="8.375" bestFit="1" customWidth="1"/>
    <col min="6" max="6" width="10.5" style="8" bestFit="1" customWidth="1"/>
    <col min="7" max="7" width="11.875" style="12" bestFit="1" customWidth="1"/>
    <col min="8" max="8" width="11.875" style="10" customWidth="1"/>
    <col min="9" max="9" width="11.875" style="8" customWidth="1"/>
    <col min="10" max="10" width="15" style="10" bestFit="1" customWidth="1"/>
    <col min="11" max="11" width="11.875" style="8" bestFit="1" customWidth="1"/>
    <col min="12" max="12" width="19.75" bestFit="1" customWidth="1"/>
    <col min="13" max="13" width="24.875" bestFit="1" customWidth="1"/>
    <col min="14" max="14" width="10.125" customWidth="1"/>
    <col min="15" max="15" width="12.625" style="10" bestFit="1" customWidth="1"/>
    <col min="16" max="16" width="12.625" style="83" bestFit="1" customWidth="1"/>
    <col min="17" max="17" width="18.875" style="8" bestFit="1" customWidth="1"/>
    <col min="18" max="18" width="13.5" bestFit="1" customWidth="1"/>
    <col min="19" max="19" width="7.25" style="83" bestFit="1" customWidth="1"/>
    <col min="20" max="20" width="26.625" bestFit="1" customWidth="1"/>
    <col min="21" max="21" width="26.625" customWidth="1"/>
    <col min="22" max="23" width="28.125" bestFit="1" customWidth="1"/>
    <col min="24" max="24" width="17.625" bestFit="1" customWidth="1"/>
    <col min="25" max="25" width="20.125" bestFit="1" customWidth="1"/>
    <col min="26" max="26" width="20.125" customWidth="1"/>
    <col min="27" max="27" width="29" bestFit="1" customWidth="1"/>
    <col min="28" max="28" width="32.75" style="10" bestFit="1" customWidth="1"/>
    <col min="29" max="30" width="18.875" customWidth="1"/>
    <col min="31" max="31" width="18.875" style="8" customWidth="1"/>
    <col min="32" max="32" width="25.375" style="10" bestFit="1" customWidth="1"/>
    <col min="33" max="33" width="18.875" style="8" customWidth="1"/>
    <col min="34" max="34" width="9" style="8"/>
    <col min="35" max="35" width="26.625" bestFit="1" customWidth="1"/>
    <col min="36" max="36" width="17.125" bestFit="1" customWidth="1"/>
    <col min="37" max="37" width="21.375" bestFit="1" customWidth="1"/>
    <col min="38" max="38" width="16.875" style="8" bestFit="1" customWidth="1"/>
    <col min="39" max="39" width="23.5" bestFit="1" customWidth="1"/>
    <col min="40" max="40" width="26.375" bestFit="1" customWidth="1"/>
    <col min="41" max="41" width="19.25" bestFit="1" customWidth="1"/>
    <col min="42" max="42" width="21.75" bestFit="1" customWidth="1"/>
    <col min="43" max="43" width="8.75" style="8" customWidth="1"/>
    <col min="44" max="44" width="18.625" style="10" bestFit="1" customWidth="1"/>
    <col min="45" max="45" width="18.5" style="8" bestFit="1" customWidth="1"/>
    <col min="46" max="46" width="18.5" style="12" customWidth="1"/>
    <col min="47" max="47" width="32.625" style="10" bestFit="1" customWidth="1"/>
    <col min="48" max="48" width="29" style="8" bestFit="1" customWidth="1"/>
    <col min="49" max="49" width="18" bestFit="1" customWidth="1"/>
    <col min="50" max="50" width="9.375" bestFit="1" customWidth="1"/>
    <col min="51" max="51" width="13.375" bestFit="1" customWidth="1"/>
    <col min="52" max="52" width="9.875" bestFit="1" customWidth="1"/>
    <col min="53" max="53" width="20" bestFit="1" customWidth="1"/>
    <col min="54" max="54" width="20.25" bestFit="1" customWidth="1"/>
  </cols>
  <sheetData>
    <row r="1" spans="1:54" s="154" customFormat="1" thickBot="1">
      <c r="A1" s="154" t="s">
        <v>402</v>
      </c>
      <c r="B1" s="155" t="s">
        <v>362</v>
      </c>
      <c r="C1" s="154" t="s">
        <v>0</v>
      </c>
      <c r="D1" s="154" t="s">
        <v>14</v>
      </c>
      <c r="E1" s="154" t="s">
        <v>1</v>
      </c>
      <c r="F1" s="155" t="s">
        <v>190</v>
      </c>
      <c r="G1" s="167" t="s">
        <v>7</v>
      </c>
      <c r="H1" s="156" t="s">
        <v>331</v>
      </c>
      <c r="I1" s="155" t="s">
        <v>344</v>
      </c>
      <c r="J1" s="156" t="s">
        <v>8</v>
      </c>
      <c r="K1" s="155" t="s">
        <v>9</v>
      </c>
      <c r="L1" s="154" t="s">
        <v>2</v>
      </c>
      <c r="M1" s="154" t="s">
        <v>3</v>
      </c>
      <c r="N1" s="154" t="s">
        <v>4</v>
      </c>
      <c r="O1" s="156" t="s">
        <v>12</v>
      </c>
      <c r="P1" s="197" t="s">
        <v>11</v>
      </c>
      <c r="Q1" s="155" t="s">
        <v>13</v>
      </c>
      <c r="R1" s="154" t="s">
        <v>5</v>
      </c>
      <c r="S1" s="197" t="s">
        <v>6</v>
      </c>
      <c r="T1" s="154" t="s">
        <v>369</v>
      </c>
      <c r="U1" s="154" t="s">
        <v>368</v>
      </c>
      <c r="V1" s="154" t="s">
        <v>351</v>
      </c>
      <c r="W1" s="154" t="s">
        <v>352</v>
      </c>
      <c r="X1" s="154" t="s">
        <v>354</v>
      </c>
      <c r="Y1" s="154" t="s">
        <v>353</v>
      </c>
      <c r="Z1" s="154" t="s">
        <v>492</v>
      </c>
      <c r="AA1" s="154" t="s">
        <v>493</v>
      </c>
      <c r="AB1" s="154" t="s">
        <v>367</v>
      </c>
      <c r="AC1" s="154" t="s">
        <v>348</v>
      </c>
      <c r="AD1" s="154" t="s">
        <v>349</v>
      </c>
      <c r="AE1" s="155" t="s">
        <v>350</v>
      </c>
      <c r="AF1" s="154" t="s">
        <v>396</v>
      </c>
      <c r="AG1" s="156" t="s">
        <v>307</v>
      </c>
      <c r="AH1" s="266" t="s">
        <v>491</v>
      </c>
      <c r="AI1" s="154" t="s">
        <v>396</v>
      </c>
      <c r="AJ1" s="154" t="s">
        <v>126</v>
      </c>
      <c r="AK1" s="154" t="s">
        <v>161</v>
      </c>
      <c r="AL1" s="155" t="s">
        <v>160</v>
      </c>
      <c r="AM1" s="154" t="s">
        <v>183</v>
      </c>
      <c r="AN1" s="154" t="s">
        <v>141</v>
      </c>
      <c r="AO1" s="154" t="s">
        <v>182</v>
      </c>
      <c r="AP1" s="154" t="s">
        <v>142</v>
      </c>
      <c r="AQ1" s="155" t="s">
        <v>370</v>
      </c>
      <c r="AR1" s="156" t="s">
        <v>471</v>
      </c>
      <c r="AS1" s="155" t="s">
        <v>472</v>
      </c>
      <c r="AT1" s="167" t="s">
        <v>473</v>
      </c>
      <c r="AU1" s="154" t="s">
        <v>162</v>
      </c>
      <c r="AV1" s="155" t="s">
        <v>163</v>
      </c>
      <c r="AW1" s="154" t="s">
        <v>357</v>
      </c>
      <c r="AX1" s="154" t="s">
        <v>358</v>
      </c>
      <c r="AY1" s="154" t="s">
        <v>359</v>
      </c>
      <c r="AZ1" s="154" t="s">
        <v>117</v>
      </c>
      <c r="BA1" s="154" t="s">
        <v>360</v>
      </c>
      <c r="BB1" s="154" t="s">
        <v>361</v>
      </c>
    </row>
    <row r="2" spans="1:54">
      <c r="A2" t="s">
        <v>208</v>
      </c>
      <c r="B2"/>
      <c r="C2">
        <v>700</v>
      </c>
      <c r="D2">
        <v>700</v>
      </c>
      <c r="E2">
        <v>7</v>
      </c>
      <c r="F2" s="8">
        <f t="shared" ref="F2:F12" si="0">C2/E2</f>
        <v>100</v>
      </c>
      <c r="G2" s="12">
        <v>4.2857142857142854E-10</v>
      </c>
      <c r="H2" s="200">
        <f>C2*G2*10^9</f>
        <v>300</v>
      </c>
      <c r="I2" s="201">
        <f>E2*G2*10^9</f>
        <v>2.9999999999999996</v>
      </c>
      <c r="J2" s="10">
        <v>1000</v>
      </c>
      <c r="K2" s="8">
        <v>8.5034013605442157E-16</v>
      </c>
      <c r="L2">
        <v>2</v>
      </c>
      <c r="M2">
        <v>2</v>
      </c>
      <c r="N2" t="s">
        <v>20</v>
      </c>
      <c r="O2" s="10">
        <v>88000</v>
      </c>
      <c r="P2" s="83">
        <f t="shared" ref="P2:P18" si="1">(O2*K2^2)/(G2^2*J2)</f>
        <v>3.4643487024439392E-10</v>
      </c>
      <c r="Q2" s="8">
        <v>0</v>
      </c>
      <c r="R2" t="s">
        <v>364</v>
      </c>
      <c r="S2" s="83">
        <v>9.0999999999999998E-2</v>
      </c>
      <c r="T2" s="16">
        <v>23</v>
      </c>
      <c r="U2">
        <f t="shared" ref="U2:U16" si="2">T2*G2</f>
        <v>9.857142857142857E-9</v>
      </c>
      <c r="V2" s="16">
        <v>2104</v>
      </c>
      <c r="W2" s="16">
        <v>2104</v>
      </c>
      <c r="X2">
        <f t="shared" ref="X2:X11" si="3">D2*3</f>
        <v>2100</v>
      </c>
      <c r="Y2">
        <f t="shared" ref="Y2:Y16" si="4">V2*W2*G2^2</f>
        <v>8.1308865306122435E-13</v>
      </c>
      <c r="AB2" s="10">
        <f>W2-X2</f>
        <v>4</v>
      </c>
      <c r="AC2">
        <f>AB2/2</f>
        <v>2</v>
      </c>
      <c r="AD2">
        <f t="shared" ref="AD2:AD16" si="5">AC2*G2</f>
        <v>8.5714285714285708E-10</v>
      </c>
      <c r="AE2" s="8">
        <f t="shared" ref="AE2:AE8" si="6">AD2*10^9</f>
        <v>0.8571428571428571</v>
      </c>
      <c r="AG2" s="10"/>
    </row>
    <row r="3" spans="1:54">
      <c r="B3"/>
      <c r="C3">
        <v>700</v>
      </c>
      <c r="D3">
        <v>700</v>
      </c>
      <c r="E3">
        <v>7</v>
      </c>
      <c r="F3" s="8">
        <f t="shared" si="0"/>
        <v>100</v>
      </c>
      <c r="G3" s="12">
        <v>4.2857142857142854E-10</v>
      </c>
      <c r="H3" s="200">
        <f t="shared" ref="H3:H32" si="7">C3*G3*10^9</f>
        <v>300</v>
      </c>
      <c r="I3" s="201">
        <f t="shared" ref="I3:I32" si="8">E3*G3*10^9</f>
        <v>2.9999999999999996</v>
      </c>
      <c r="J3" s="10">
        <v>1000</v>
      </c>
      <c r="K3" s="8">
        <v>8.5034013605442157E-16</v>
      </c>
      <c r="L3">
        <v>2</v>
      </c>
      <c r="M3">
        <v>2</v>
      </c>
      <c r="N3" t="s">
        <v>20</v>
      </c>
      <c r="O3" s="10">
        <v>88000</v>
      </c>
      <c r="P3" s="83">
        <f t="shared" si="1"/>
        <v>3.4643487024439392E-10</v>
      </c>
      <c r="Q3" s="8">
        <v>2</v>
      </c>
      <c r="R3" t="s">
        <v>365</v>
      </c>
      <c r="S3" s="83">
        <v>0.22900000000000001</v>
      </c>
      <c r="T3" s="16">
        <v>27</v>
      </c>
      <c r="U3">
        <f t="shared" si="2"/>
        <v>1.157142857142857E-8</v>
      </c>
      <c r="V3">
        <v>2108</v>
      </c>
      <c r="W3">
        <v>2108</v>
      </c>
      <c r="X3">
        <f t="shared" si="3"/>
        <v>2100</v>
      </c>
      <c r="Y3">
        <f t="shared" si="4"/>
        <v>8.1618318367346924E-13</v>
      </c>
      <c r="AB3" s="10">
        <f t="shared" ref="AB3:AB9" si="9">W3-X3</f>
        <v>8</v>
      </c>
      <c r="AC3">
        <f t="shared" ref="AC3:AC9" si="10">AB3/2</f>
        <v>4</v>
      </c>
      <c r="AD3">
        <f t="shared" si="5"/>
        <v>1.7142857142857142E-9</v>
      </c>
      <c r="AE3" s="8">
        <f t="shared" si="6"/>
        <v>1.7142857142857142</v>
      </c>
      <c r="AG3" s="10"/>
    </row>
    <row r="4" spans="1:54">
      <c r="B4"/>
      <c r="C4">
        <v>700</v>
      </c>
      <c r="D4">
        <v>700</v>
      </c>
      <c r="E4">
        <v>7</v>
      </c>
      <c r="F4" s="8">
        <f t="shared" si="0"/>
        <v>100</v>
      </c>
      <c r="G4" s="12">
        <v>4.2857142857142854E-10</v>
      </c>
      <c r="H4" s="200">
        <f t="shared" si="7"/>
        <v>300</v>
      </c>
      <c r="I4" s="201">
        <f t="shared" si="8"/>
        <v>2.9999999999999996</v>
      </c>
      <c r="J4" s="10">
        <v>1000</v>
      </c>
      <c r="K4" s="8">
        <v>8.5034013605442157E-16</v>
      </c>
      <c r="L4">
        <v>2</v>
      </c>
      <c r="M4">
        <v>2</v>
      </c>
      <c r="N4" t="s">
        <v>20</v>
      </c>
      <c r="O4" s="10">
        <v>88000</v>
      </c>
      <c r="P4" s="83">
        <f t="shared" si="1"/>
        <v>3.4643487024439392E-10</v>
      </c>
      <c r="Q4" s="8">
        <v>4</v>
      </c>
      <c r="R4" t="s">
        <v>366</v>
      </c>
      <c r="S4" s="83">
        <v>0.33100000000000002</v>
      </c>
      <c r="T4" s="16">
        <v>31</v>
      </c>
      <c r="U4">
        <f t="shared" si="2"/>
        <v>1.3285714285714285E-8</v>
      </c>
      <c r="V4">
        <v>2112</v>
      </c>
      <c r="W4">
        <v>2112</v>
      </c>
      <c r="X4">
        <f t="shared" si="3"/>
        <v>2100</v>
      </c>
      <c r="Y4">
        <f t="shared" si="4"/>
        <v>8.1928359183673455E-13</v>
      </c>
      <c r="AB4" s="10">
        <f t="shared" si="9"/>
        <v>12</v>
      </c>
      <c r="AC4">
        <f t="shared" si="10"/>
        <v>6</v>
      </c>
      <c r="AD4">
        <f t="shared" si="5"/>
        <v>2.5714285714285712E-9</v>
      </c>
      <c r="AE4" s="8">
        <f t="shared" si="6"/>
        <v>2.5714285714285712</v>
      </c>
      <c r="AG4" s="10"/>
      <c r="AI4">
        <v>4.37829E-3</v>
      </c>
      <c r="AJ4" s="54">
        <v>2.7302200000000001E-12</v>
      </c>
      <c r="AM4">
        <f>AI4*G4^2</f>
        <v>8.0417571428571418E-22</v>
      </c>
      <c r="AN4">
        <f>LOG10(AM4)</f>
        <v>-21.094649046516572</v>
      </c>
    </row>
    <row r="5" spans="1:54">
      <c r="B5"/>
      <c r="C5">
        <v>700</v>
      </c>
      <c r="D5">
        <v>700</v>
      </c>
      <c r="E5">
        <v>7</v>
      </c>
      <c r="F5" s="8">
        <f t="shared" si="0"/>
        <v>100</v>
      </c>
      <c r="G5" s="12">
        <v>4.2857142857142854E-10</v>
      </c>
      <c r="H5" s="200">
        <f t="shared" si="7"/>
        <v>300</v>
      </c>
      <c r="I5" s="201">
        <f t="shared" si="8"/>
        <v>2.9999999999999996</v>
      </c>
      <c r="J5" s="10">
        <v>1000</v>
      </c>
      <c r="K5" s="8">
        <v>8.5034013605442157E-16</v>
      </c>
      <c r="L5">
        <v>2</v>
      </c>
      <c r="M5">
        <v>2</v>
      </c>
      <c r="N5" t="s">
        <v>20</v>
      </c>
      <c r="O5" s="10">
        <v>88000</v>
      </c>
      <c r="P5" s="83">
        <f t="shared" si="1"/>
        <v>3.4643487024439392E-10</v>
      </c>
      <c r="Q5" s="8">
        <v>6</v>
      </c>
      <c r="R5" t="s">
        <v>371</v>
      </c>
      <c r="S5" s="83">
        <v>0.41</v>
      </c>
      <c r="T5" s="16">
        <v>35</v>
      </c>
      <c r="U5">
        <f t="shared" si="2"/>
        <v>1.4999999999999999E-8</v>
      </c>
      <c r="V5">
        <v>2116</v>
      </c>
      <c r="W5">
        <v>2116</v>
      </c>
      <c r="X5">
        <f t="shared" si="3"/>
        <v>2100</v>
      </c>
      <c r="Y5">
        <f t="shared" si="4"/>
        <v>8.2238987755102028E-13</v>
      </c>
      <c r="AB5" s="10">
        <f t="shared" si="9"/>
        <v>16</v>
      </c>
      <c r="AC5">
        <f t="shared" si="10"/>
        <v>8</v>
      </c>
      <c r="AD5">
        <f t="shared" si="5"/>
        <v>3.4285714285714283E-9</v>
      </c>
      <c r="AE5" s="8">
        <f t="shared" si="6"/>
        <v>3.4285714285714284</v>
      </c>
      <c r="AG5" s="10"/>
    </row>
    <row r="6" spans="1:54">
      <c r="B6"/>
      <c r="C6">
        <v>700</v>
      </c>
      <c r="D6">
        <v>700</v>
      </c>
      <c r="E6">
        <v>7</v>
      </c>
      <c r="F6" s="8">
        <f t="shared" si="0"/>
        <v>100</v>
      </c>
      <c r="G6" s="12">
        <v>4.2857142857142854E-10</v>
      </c>
      <c r="H6" s="200">
        <f t="shared" si="7"/>
        <v>300</v>
      </c>
      <c r="I6" s="201">
        <f t="shared" si="8"/>
        <v>2.9999999999999996</v>
      </c>
      <c r="J6" s="10">
        <v>1000</v>
      </c>
      <c r="K6" s="8">
        <v>8.5034013605442157E-16</v>
      </c>
      <c r="L6">
        <v>2</v>
      </c>
      <c r="M6">
        <v>2</v>
      </c>
      <c r="N6" t="s">
        <v>20</v>
      </c>
      <c r="O6" s="10">
        <v>88000</v>
      </c>
      <c r="P6" s="83">
        <f t="shared" si="1"/>
        <v>3.4643487024439392E-10</v>
      </c>
      <c r="Q6" s="8">
        <v>10</v>
      </c>
      <c r="R6" t="s">
        <v>380</v>
      </c>
      <c r="S6" s="83">
        <v>0.52400000000000002</v>
      </c>
      <c r="T6" s="16">
        <v>43</v>
      </c>
      <c r="U6">
        <f t="shared" si="2"/>
        <v>1.8428571428571429E-8</v>
      </c>
      <c r="V6">
        <v>2124</v>
      </c>
      <c r="W6">
        <v>2124</v>
      </c>
      <c r="X6">
        <f t="shared" si="3"/>
        <v>2100</v>
      </c>
      <c r="Y6">
        <f t="shared" si="4"/>
        <v>8.2862008163265293E-13</v>
      </c>
      <c r="AB6" s="10">
        <f t="shared" si="9"/>
        <v>24</v>
      </c>
      <c r="AC6">
        <f t="shared" si="10"/>
        <v>12</v>
      </c>
      <c r="AD6">
        <f t="shared" si="5"/>
        <v>5.1428571428571425E-9</v>
      </c>
      <c r="AE6" s="8">
        <f t="shared" si="6"/>
        <v>5.1428571428571423</v>
      </c>
      <c r="AG6" s="10"/>
      <c r="AI6">
        <v>5.3187900000000003E-2</v>
      </c>
      <c r="AJ6" s="54">
        <v>2.3690700000000001E-11</v>
      </c>
      <c r="AK6">
        <v>5.4321700000000002</v>
      </c>
      <c r="AL6" s="157">
        <v>4.7866999999999999E-11</v>
      </c>
      <c r="AM6">
        <f>AI6*G6^2</f>
        <v>9.7692061224489792E-21</v>
      </c>
      <c r="AN6">
        <f t="shared" ref="AN6" si="11">LOG10(AM6)</f>
        <v>-20.010140727033342</v>
      </c>
      <c r="AO6">
        <f>AK6*G6^2</f>
        <v>9.9774551020408147E-19</v>
      </c>
      <c r="AP6">
        <f>LOG10(AO6)</f>
        <v>-18.000980217839082</v>
      </c>
    </row>
    <row r="7" spans="1:54">
      <c r="B7"/>
      <c r="C7">
        <v>700</v>
      </c>
      <c r="D7">
        <v>700</v>
      </c>
      <c r="E7">
        <v>7</v>
      </c>
      <c r="F7" s="8">
        <f t="shared" si="0"/>
        <v>100</v>
      </c>
      <c r="G7" s="12">
        <v>4.2857142857142854E-10</v>
      </c>
      <c r="H7" s="200">
        <f t="shared" si="7"/>
        <v>300</v>
      </c>
      <c r="I7" s="201">
        <f t="shared" si="8"/>
        <v>2.9999999999999996</v>
      </c>
      <c r="J7" s="10">
        <v>1000</v>
      </c>
      <c r="K7" s="8">
        <v>8.5034013605442157E-16</v>
      </c>
      <c r="L7">
        <v>2</v>
      </c>
      <c r="M7">
        <v>2</v>
      </c>
      <c r="N7" t="s">
        <v>20</v>
      </c>
      <c r="O7" s="10">
        <v>88000</v>
      </c>
      <c r="P7" s="83">
        <f t="shared" si="1"/>
        <v>3.4643487024439392E-10</v>
      </c>
      <c r="Q7" s="8">
        <v>16</v>
      </c>
      <c r="U7">
        <f t="shared" si="2"/>
        <v>0</v>
      </c>
      <c r="X7">
        <f t="shared" si="3"/>
        <v>2100</v>
      </c>
      <c r="Y7">
        <f t="shared" si="4"/>
        <v>0</v>
      </c>
      <c r="AB7" s="10">
        <f t="shared" si="9"/>
        <v>-2100</v>
      </c>
      <c r="AC7">
        <f t="shared" si="10"/>
        <v>-1050</v>
      </c>
      <c r="AD7">
        <f t="shared" si="5"/>
        <v>-4.4999999999999998E-7</v>
      </c>
      <c r="AE7" s="8">
        <f t="shared" si="6"/>
        <v>-450</v>
      </c>
      <c r="AG7" s="10"/>
    </row>
    <row r="8" spans="1:54" s="51" customFormat="1" ht="16.5" thickBot="1">
      <c r="B8"/>
      <c r="C8" s="51">
        <v>700</v>
      </c>
      <c r="D8" s="51">
        <v>700</v>
      </c>
      <c r="E8" s="51">
        <v>7</v>
      </c>
      <c r="F8" s="110">
        <f t="shared" si="0"/>
        <v>100</v>
      </c>
      <c r="G8" s="12">
        <v>4.2857142857142854E-10</v>
      </c>
      <c r="H8" s="200">
        <f t="shared" si="7"/>
        <v>300</v>
      </c>
      <c r="I8" s="201">
        <f t="shared" si="8"/>
        <v>2.9999999999999996</v>
      </c>
      <c r="J8" s="51">
        <v>1000</v>
      </c>
      <c r="K8" s="110">
        <v>8.5034013605442157E-16</v>
      </c>
      <c r="L8" s="51">
        <v>2</v>
      </c>
      <c r="M8" s="51">
        <v>2</v>
      </c>
      <c r="N8" s="51" t="s">
        <v>20</v>
      </c>
      <c r="O8" s="51">
        <v>88000</v>
      </c>
      <c r="P8" s="84">
        <f t="shared" si="1"/>
        <v>3.4643487024439392E-10</v>
      </c>
      <c r="Q8" s="110">
        <v>22</v>
      </c>
      <c r="S8" s="84"/>
      <c r="U8" s="51">
        <f t="shared" si="2"/>
        <v>0</v>
      </c>
      <c r="X8" s="51">
        <f t="shared" si="3"/>
        <v>2100</v>
      </c>
      <c r="Y8" s="51">
        <f t="shared" si="4"/>
        <v>0</v>
      </c>
      <c r="AB8" s="51">
        <f t="shared" si="9"/>
        <v>-2100</v>
      </c>
      <c r="AC8" s="51">
        <f t="shared" si="10"/>
        <v>-1050</v>
      </c>
      <c r="AD8" s="51">
        <f t="shared" si="5"/>
        <v>-4.4999999999999998E-7</v>
      </c>
      <c r="AE8" s="110">
        <f t="shared" si="6"/>
        <v>-450</v>
      </c>
      <c r="AH8" s="8"/>
      <c r="AL8" s="110"/>
      <c r="AQ8" s="110"/>
      <c r="AS8" s="110"/>
      <c r="AT8" s="114"/>
      <c r="AV8" s="110"/>
    </row>
    <row r="9" spans="1:54">
      <c r="A9" s="148" t="s">
        <v>404</v>
      </c>
      <c r="B9"/>
      <c r="C9" s="16">
        <v>500</v>
      </c>
      <c r="D9" s="16">
        <v>500</v>
      </c>
      <c r="E9" s="16">
        <v>5</v>
      </c>
      <c r="F9" s="17">
        <f t="shared" si="0"/>
        <v>100</v>
      </c>
      <c r="G9" s="12">
        <v>2.0000000000000001E-9</v>
      </c>
      <c r="H9" s="200">
        <f t="shared" si="7"/>
        <v>1000.0000000000001</v>
      </c>
      <c r="I9" s="201">
        <f t="shared" si="8"/>
        <v>10</v>
      </c>
      <c r="J9" s="10">
        <v>1000</v>
      </c>
      <c r="K9" s="8">
        <v>1.666666666666666E-15</v>
      </c>
      <c r="L9" s="16">
        <v>2</v>
      </c>
      <c r="M9" s="16">
        <v>2</v>
      </c>
      <c r="N9" s="16" t="s">
        <v>20</v>
      </c>
      <c r="O9" s="10">
        <v>88000</v>
      </c>
      <c r="P9" s="198">
        <f t="shared" si="1"/>
        <v>6.1111111111111059E-11</v>
      </c>
      <c r="Q9" s="8">
        <v>0</v>
      </c>
      <c r="R9" s="16" t="s">
        <v>399</v>
      </c>
      <c r="S9" s="83">
        <v>0.123</v>
      </c>
      <c r="T9" s="16">
        <v>17</v>
      </c>
      <c r="U9">
        <f t="shared" si="2"/>
        <v>3.4E-8</v>
      </c>
      <c r="V9" s="16">
        <v>1504</v>
      </c>
      <c r="W9" s="16">
        <v>1504</v>
      </c>
      <c r="X9" s="16">
        <f t="shared" si="3"/>
        <v>1500</v>
      </c>
      <c r="Y9">
        <f t="shared" si="4"/>
        <v>9.0480640000000008E-12</v>
      </c>
      <c r="AB9" s="16">
        <f t="shared" si="9"/>
        <v>4</v>
      </c>
      <c r="AC9" s="16">
        <f t="shared" si="10"/>
        <v>2</v>
      </c>
      <c r="AD9">
        <f t="shared" si="5"/>
        <v>4.0000000000000002E-9</v>
      </c>
      <c r="AE9" s="8">
        <f t="shared" ref="AE9" si="12">AD9*10^9</f>
        <v>4</v>
      </c>
      <c r="AG9" s="10"/>
      <c r="AI9">
        <v>1.04696E-4</v>
      </c>
      <c r="AJ9" s="54">
        <v>2.3992300000000002E-13</v>
      </c>
      <c r="AM9">
        <f>AI9*G9^2</f>
        <v>4.1878400000000003E-22</v>
      </c>
      <c r="AN9">
        <f t="shared" ref="AN9" si="13">LOG10(AM9)</f>
        <v>-21.378009919267431</v>
      </c>
    </row>
    <row r="10" spans="1:54">
      <c r="A10" s="5"/>
      <c r="B10" s="5"/>
      <c r="C10" s="5"/>
      <c r="D10" s="5"/>
      <c r="E10" s="5"/>
      <c r="F10" s="17"/>
      <c r="H10" s="200"/>
      <c r="I10" s="201"/>
      <c r="L10" s="16"/>
      <c r="M10" s="16"/>
      <c r="N10" s="16"/>
      <c r="P10" s="198"/>
      <c r="Q10" s="8">
        <v>2</v>
      </c>
      <c r="R10" s="16"/>
      <c r="T10" s="16"/>
      <c r="V10" s="16"/>
      <c r="W10" s="16"/>
      <c r="X10" s="16"/>
      <c r="AB10" s="16"/>
      <c r="AC10" s="16"/>
      <c r="AG10" s="10"/>
      <c r="AJ10" s="54"/>
    </row>
    <row r="11" spans="1:54">
      <c r="B11"/>
      <c r="C11" s="16">
        <v>500</v>
      </c>
      <c r="D11" s="16">
        <v>500</v>
      </c>
      <c r="E11" s="16">
        <v>5</v>
      </c>
      <c r="F11" s="17">
        <f t="shared" ref="F11" si="14">C11/E11</f>
        <v>100</v>
      </c>
      <c r="G11" s="12">
        <v>2.0000000000000001E-9</v>
      </c>
      <c r="H11" s="200">
        <f t="shared" si="7"/>
        <v>1000.0000000000001</v>
      </c>
      <c r="I11" s="201">
        <f t="shared" si="8"/>
        <v>10</v>
      </c>
      <c r="J11" s="10">
        <v>1000</v>
      </c>
      <c r="K11" s="8">
        <v>1.666666666666666E-15</v>
      </c>
      <c r="L11" s="16">
        <v>2</v>
      </c>
      <c r="M11" s="16">
        <v>2</v>
      </c>
      <c r="N11" s="16" t="s">
        <v>20</v>
      </c>
      <c r="O11" s="10">
        <v>88000</v>
      </c>
      <c r="P11" s="198">
        <f t="shared" si="1"/>
        <v>6.1111111111111059E-11</v>
      </c>
      <c r="Q11" s="8">
        <v>4</v>
      </c>
      <c r="R11" s="16" t="s">
        <v>406</v>
      </c>
      <c r="S11" s="83">
        <v>0.41099999999999998</v>
      </c>
      <c r="T11" s="16">
        <v>25</v>
      </c>
      <c r="U11">
        <f t="shared" si="2"/>
        <v>5.0000000000000004E-8</v>
      </c>
      <c r="V11" s="16">
        <v>1512</v>
      </c>
      <c r="W11" s="16">
        <v>1512</v>
      </c>
      <c r="X11" s="16">
        <f t="shared" si="3"/>
        <v>1500</v>
      </c>
      <c r="Y11">
        <f t="shared" si="4"/>
        <v>9.1445760000000003E-12</v>
      </c>
      <c r="AB11" s="16">
        <f t="shared" ref="AB11" si="15">W11-X11</f>
        <v>12</v>
      </c>
      <c r="AC11" s="16">
        <f t="shared" ref="AC11" si="16">AB11/2</f>
        <v>6</v>
      </c>
      <c r="AD11">
        <f t="shared" si="5"/>
        <v>1.2000000000000002E-8</v>
      </c>
      <c r="AE11" s="8">
        <f t="shared" ref="AE11" si="17">AD11*10^9</f>
        <v>12.000000000000002</v>
      </c>
      <c r="AG11" s="10"/>
    </row>
    <row r="12" spans="1:54">
      <c r="B12"/>
      <c r="C12" s="16">
        <v>500</v>
      </c>
      <c r="D12" s="16">
        <v>500</v>
      </c>
      <c r="E12" s="16">
        <v>5</v>
      </c>
      <c r="F12" s="17">
        <f t="shared" si="0"/>
        <v>100</v>
      </c>
      <c r="G12" s="12">
        <v>2.0000000000000001E-9</v>
      </c>
      <c r="H12" s="200">
        <f t="shared" si="7"/>
        <v>1000.0000000000001</v>
      </c>
      <c r="I12" s="201">
        <f t="shared" si="8"/>
        <v>10</v>
      </c>
      <c r="J12" s="16">
        <v>1000</v>
      </c>
      <c r="K12" s="8">
        <v>1.666666666666666E-15</v>
      </c>
      <c r="L12" s="16">
        <v>2</v>
      </c>
      <c r="M12" s="16">
        <v>2</v>
      </c>
      <c r="N12" s="16" t="s">
        <v>20</v>
      </c>
      <c r="O12" s="10">
        <v>88000</v>
      </c>
      <c r="P12" s="83">
        <f t="shared" si="1"/>
        <v>6.1111111111111059E-11</v>
      </c>
      <c r="Q12" s="8">
        <v>6</v>
      </c>
      <c r="R12" s="16" t="s">
        <v>400</v>
      </c>
      <c r="S12" s="83">
        <v>0.495</v>
      </c>
      <c r="T12" s="16">
        <v>29</v>
      </c>
      <c r="U12">
        <f t="shared" si="2"/>
        <v>5.8000000000000003E-8</v>
      </c>
      <c r="V12" s="16">
        <v>1516</v>
      </c>
      <c r="W12" s="16">
        <v>1516</v>
      </c>
      <c r="X12" s="16">
        <v>1500</v>
      </c>
      <c r="Y12">
        <f t="shared" si="4"/>
        <v>9.1930240000000002E-12</v>
      </c>
      <c r="AB12" s="16">
        <f t="shared" ref="AB12" si="18">W12-X12</f>
        <v>16</v>
      </c>
      <c r="AC12" s="16">
        <f t="shared" ref="AC12" si="19">AB12/2</f>
        <v>8</v>
      </c>
      <c r="AD12">
        <f t="shared" si="5"/>
        <v>1.6000000000000001E-8</v>
      </c>
      <c r="AE12" s="8">
        <f t="shared" ref="AE12" si="20">AD12*10^9</f>
        <v>16</v>
      </c>
      <c r="AG12" s="10"/>
      <c r="AI12">
        <v>1.9670900000000002E-2</v>
      </c>
      <c r="AJ12" s="54">
        <v>2.5759000000000001E-11</v>
      </c>
      <c r="AM12">
        <f>AI12*G12^2</f>
        <v>7.8683600000000007E-20</v>
      </c>
      <c r="AN12">
        <f>LOG10(AM12)</f>
        <v>-19.104115778082036</v>
      </c>
    </row>
    <row r="13" spans="1:54" s="51" customFormat="1" ht="16.5" thickBot="1">
      <c r="A13" s="238"/>
      <c r="B13" s="238"/>
      <c r="C13" s="238">
        <v>500</v>
      </c>
      <c r="D13" s="238">
        <v>500</v>
      </c>
      <c r="E13" s="238">
        <v>5</v>
      </c>
      <c r="F13" s="168">
        <f t="shared" ref="F13" si="21">C13/E13</f>
        <v>100</v>
      </c>
      <c r="G13" s="114">
        <v>2.0000000000000001E-9</v>
      </c>
      <c r="H13" s="209">
        <f t="shared" si="7"/>
        <v>1000.0000000000001</v>
      </c>
      <c r="I13" s="210">
        <f t="shared" si="8"/>
        <v>10</v>
      </c>
      <c r="J13" s="58">
        <v>1000</v>
      </c>
      <c r="K13" s="110">
        <v>1.666666666666666E-15</v>
      </c>
      <c r="L13" s="58">
        <v>2</v>
      </c>
      <c r="M13" s="58">
        <v>2</v>
      </c>
      <c r="N13" s="58" t="s">
        <v>20</v>
      </c>
      <c r="O13" s="51">
        <v>88000</v>
      </c>
      <c r="P13" s="84">
        <f t="shared" si="1"/>
        <v>6.1111111111111059E-11</v>
      </c>
      <c r="Q13" s="110">
        <v>10</v>
      </c>
      <c r="R13" s="58" t="s">
        <v>409</v>
      </c>
      <c r="S13" s="84">
        <v>0.60899999999999999</v>
      </c>
      <c r="T13" s="58">
        <v>37</v>
      </c>
      <c r="U13" s="51">
        <f t="shared" si="2"/>
        <v>7.4000000000000001E-8</v>
      </c>
      <c r="V13" s="58">
        <v>1524</v>
      </c>
      <c r="W13" s="58">
        <v>1524</v>
      </c>
      <c r="X13" s="58">
        <v>1500</v>
      </c>
      <c r="Y13" s="51">
        <f t="shared" si="4"/>
        <v>9.2903040000000004E-12</v>
      </c>
      <c r="AB13" s="58">
        <f t="shared" ref="AB13" si="22">W13-X13</f>
        <v>24</v>
      </c>
      <c r="AC13" s="58">
        <f t="shared" ref="AC13" si="23">AB13/2</f>
        <v>12</v>
      </c>
      <c r="AD13" s="51">
        <f t="shared" si="5"/>
        <v>2.4000000000000003E-8</v>
      </c>
      <c r="AE13" s="110">
        <f t="shared" ref="AE13" si="24">AD13*10^9</f>
        <v>24.000000000000004</v>
      </c>
      <c r="AH13" s="8"/>
      <c r="AL13" s="110"/>
      <c r="AQ13" s="110"/>
      <c r="AS13" s="110"/>
      <c r="AT13" s="114"/>
      <c r="AV13" s="110"/>
    </row>
    <row r="14" spans="1:54" s="91" customFormat="1" ht="15">
      <c r="A14" s="91" t="s">
        <v>410</v>
      </c>
      <c r="C14" s="109">
        <v>308</v>
      </c>
      <c r="D14" s="109">
        <v>308</v>
      </c>
      <c r="E14" s="109">
        <v>4</v>
      </c>
      <c r="F14" s="94">
        <v>76</v>
      </c>
      <c r="G14" s="241">
        <v>8.7499999999999998E-10</v>
      </c>
      <c r="H14" s="242">
        <f t="shared" si="7"/>
        <v>269.49999999999994</v>
      </c>
      <c r="I14" s="243">
        <f t="shared" si="8"/>
        <v>3.5</v>
      </c>
      <c r="J14" s="109">
        <v>1000</v>
      </c>
      <c r="K14" s="94">
        <v>3.1901041666666657E-14</v>
      </c>
      <c r="L14" s="109">
        <v>2</v>
      </c>
      <c r="M14" s="109">
        <v>2</v>
      </c>
      <c r="N14" s="109" t="s">
        <v>20</v>
      </c>
      <c r="O14" s="109">
        <v>88000</v>
      </c>
      <c r="P14" s="244">
        <f t="shared" si="1"/>
        <v>1.1697048611111105E-7</v>
      </c>
      <c r="Q14" s="94">
        <v>0</v>
      </c>
      <c r="R14" s="109" t="s">
        <v>416</v>
      </c>
      <c r="S14" s="244">
        <v>0.151</v>
      </c>
      <c r="T14" s="109">
        <v>14</v>
      </c>
      <c r="U14" s="109">
        <f t="shared" si="2"/>
        <v>1.2250000000000001E-8</v>
      </c>
      <c r="V14" s="109">
        <v>928</v>
      </c>
      <c r="W14" s="109">
        <v>928</v>
      </c>
      <c r="X14" s="91">
        <f>D14*3</f>
        <v>924</v>
      </c>
      <c r="Y14" s="109">
        <f t="shared" si="4"/>
        <v>6.5934399999999998E-13</v>
      </c>
      <c r="Z14" s="109"/>
      <c r="AA14" s="109"/>
      <c r="AB14" s="109">
        <f t="shared" ref="AB14" si="25">W14-X14</f>
        <v>4</v>
      </c>
      <c r="AC14" s="91">
        <f t="shared" ref="AC14" si="26">AB14/2</f>
        <v>2</v>
      </c>
      <c r="AD14" s="91">
        <f t="shared" si="5"/>
        <v>1.75E-9</v>
      </c>
      <c r="AE14" s="94">
        <f t="shared" ref="AE14" si="27">AD14*10^9</f>
        <v>1.75</v>
      </c>
      <c r="AF14" s="109"/>
      <c r="AG14" s="109"/>
      <c r="AH14" s="94"/>
      <c r="AI14" s="91">
        <v>2.16379E-4</v>
      </c>
      <c r="AJ14" s="57">
        <v>1.16815E-11</v>
      </c>
      <c r="AL14" s="94"/>
      <c r="AM14" s="91">
        <f t="shared" ref="AM14:AM23" si="28">AI14*G14^2</f>
        <v>1.6566517187499999E-22</v>
      </c>
      <c r="AN14" s="91">
        <f t="shared" ref="AN14:AP30" si="29">LOG10(AM14)</f>
        <v>-21.780768784594184</v>
      </c>
      <c r="AQ14" s="94"/>
      <c r="AR14" s="109">
        <f t="shared" ref="AR14:AR21" si="30">EXP((S14*100-84.2)/3.8)</f>
        <v>1.2667698276589389E-8</v>
      </c>
      <c r="AS14" s="94">
        <f t="shared" ref="AS14:AS17" si="31">9.869*10^-16*AR14</f>
        <v>1.2501751429166067E-23</v>
      </c>
      <c r="AT14" s="241">
        <f>RSQ(AS14:AS17,AM14:AM17)</f>
        <v>0.96556516282285088</v>
      </c>
      <c r="AU14" s="109"/>
      <c r="AV14" s="94"/>
    </row>
    <row r="15" spans="1:54" s="91" customFormat="1" ht="15">
      <c r="C15" s="109">
        <v>308</v>
      </c>
      <c r="D15" s="109">
        <v>308</v>
      </c>
      <c r="E15" s="109">
        <v>4</v>
      </c>
      <c r="F15" s="94">
        <v>76</v>
      </c>
      <c r="G15" s="241">
        <v>8.7499999999999998E-10</v>
      </c>
      <c r="H15" s="242">
        <f>C15*G15*10^9</f>
        <v>269.49999999999994</v>
      </c>
      <c r="I15" s="243">
        <f>E15*G15*10^9</f>
        <v>3.5</v>
      </c>
      <c r="J15" s="109">
        <v>1000</v>
      </c>
      <c r="K15" s="94">
        <v>3.1901041666666657E-14</v>
      </c>
      <c r="L15" s="109">
        <v>2</v>
      </c>
      <c r="M15" s="109">
        <v>2</v>
      </c>
      <c r="N15" s="109" t="s">
        <v>20</v>
      </c>
      <c r="O15" s="109">
        <v>88000</v>
      </c>
      <c r="P15" s="244">
        <f>(O15*K15^2)/(G15^2*J15)</f>
        <v>1.1697048611111105E-7</v>
      </c>
      <c r="Q15" s="94">
        <v>4</v>
      </c>
      <c r="R15" s="109" t="s">
        <v>418</v>
      </c>
      <c r="S15" s="244">
        <v>0.47</v>
      </c>
      <c r="T15" s="109">
        <v>22</v>
      </c>
      <c r="U15" s="109">
        <f t="shared" si="2"/>
        <v>1.925E-8</v>
      </c>
      <c r="V15" s="109">
        <v>936</v>
      </c>
      <c r="W15" s="109">
        <v>936</v>
      </c>
      <c r="X15" s="91">
        <f>D15*3</f>
        <v>924</v>
      </c>
      <c r="Y15" s="109">
        <f t="shared" si="4"/>
        <v>6.7076099999999993E-13</v>
      </c>
      <c r="Z15" s="109"/>
      <c r="AA15" s="109"/>
      <c r="AB15" s="109">
        <f>W15-X15</f>
        <v>12</v>
      </c>
      <c r="AC15" s="91">
        <f>AB15/2</f>
        <v>6</v>
      </c>
      <c r="AD15" s="91">
        <f t="shared" si="5"/>
        <v>5.2499999999999999E-9</v>
      </c>
      <c r="AE15" s="94">
        <f>AD15*10^9</f>
        <v>5.25</v>
      </c>
      <c r="AF15" s="109"/>
      <c r="AG15" s="109"/>
      <c r="AH15" s="94"/>
      <c r="AI15" s="91">
        <v>1.4526799999999999E-2</v>
      </c>
      <c r="AJ15" s="57">
        <v>4.8548600000000001E-10</v>
      </c>
      <c r="AL15" s="94"/>
      <c r="AM15" s="91">
        <f t="shared" si="28"/>
        <v>1.1122081249999999E-20</v>
      </c>
      <c r="AN15" s="91">
        <f>LOG10(AM15)</f>
        <v>-19.953813936601524</v>
      </c>
      <c r="AQ15" s="94"/>
      <c r="AR15" s="109">
        <f t="shared" si="30"/>
        <v>5.6038383397365818E-5</v>
      </c>
      <c r="AS15" s="94">
        <f t="shared" si="31"/>
        <v>5.5304280574860321E-20</v>
      </c>
      <c r="AT15" s="241"/>
      <c r="AU15" s="109"/>
      <c r="AV15" s="94"/>
    </row>
    <row r="16" spans="1:54" s="109" customFormat="1" ht="15">
      <c r="A16" s="91"/>
      <c r="B16" s="91"/>
      <c r="C16" s="109">
        <v>308</v>
      </c>
      <c r="D16" s="109">
        <v>308</v>
      </c>
      <c r="E16" s="109">
        <v>4</v>
      </c>
      <c r="F16" s="94">
        <v>76</v>
      </c>
      <c r="G16" s="241">
        <v>8.7499999999999998E-10</v>
      </c>
      <c r="H16" s="242">
        <f>C16*G16*10^9</f>
        <v>269.49999999999994</v>
      </c>
      <c r="I16" s="243">
        <f>E16*G16*10^9</f>
        <v>3.5</v>
      </c>
      <c r="J16" s="109">
        <v>1000</v>
      </c>
      <c r="K16" s="94">
        <v>3.1901041666666657E-14</v>
      </c>
      <c r="L16" s="109">
        <v>2</v>
      </c>
      <c r="M16" s="109">
        <v>2</v>
      </c>
      <c r="N16" s="109" t="s">
        <v>20</v>
      </c>
      <c r="O16" s="109">
        <v>88000</v>
      </c>
      <c r="P16" s="244">
        <f>(O16*K16^2)/(G16^2*J16)</f>
        <v>1.1697048611111105E-7</v>
      </c>
      <c r="Q16" s="94">
        <v>8</v>
      </c>
      <c r="R16" s="109" t="s">
        <v>423</v>
      </c>
      <c r="S16" s="244">
        <v>0.61899999999999999</v>
      </c>
      <c r="T16" s="109">
        <v>30</v>
      </c>
      <c r="U16" s="109">
        <f t="shared" si="2"/>
        <v>2.625E-8</v>
      </c>
      <c r="V16" s="109">
        <v>944</v>
      </c>
      <c r="W16" s="109">
        <v>944</v>
      </c>
      <c r="X16" s="109">
        <f>D16*3</f>
        <v>924</v>
      </c>
      <c r="Y16" s="109">
        <f t="shared" si="4"/>
        <v>6.8227599999999991E-13</v>
      </c>
      <c r="AB16" s="109">
        <f>W16-X16</f>
        <v>20</v>
      </c>
      <c r="AC16" s="109">
        <f>AB16/2</f>
        <v>10</v>
      </c>
      <c r="AD16" s="109">
        <f t="shared" si="5"/>
        <v>8.7499999999999989E-9</v>
      </c>
      <c r="AE16" s="94">
        <f>AD16*10^9</f>
        <v>8.7499999999999982</v>
      </c>
      <c r="AH16" s="94"/>
      <c r="AI16" s="109">
        <v>9.4901200000000005E-2</v>
      </c>
      <c r="AJ16" s="245">
        <v>2.2966700000000001E-9</v>
      </c>
      <c r="AL16" s="94"/>
      <c r="AM16" s="91">
        <f t="shared" si="28"/>
        <v>7.2658731250000001E-20</v>
      </c>
      <c r="AN16" s="91">
        <f>LOG10(AM16)</f>
        <v>-19.138712189957129</v>
      </c>
      <c r="AQ16" s="94"/>
      <c r="AR16" s="109">
        <f t="shared" si="30"/>
        <v>2.827334023107377E-3</v>
      </c>
      <c r="AS16" s="94">
        <f t="shared" si="31"/>
        <v>2.7902959474046703E-18</v>
      </c>
      <c r="AT16" s="241"/>
      <c r="AV16" s="94"/>
    </row>
    <row r="17" spans="1:110" s="252" customFormat="1" thickBot="1">
      <c r="A17" s="91"/>
      <c r="B17" s="246"/>
      <c r="C17" s="246">
        <v>308</v>
      </c>
      <c r="D17" s="246">
        <v>308</v>
      </c>
      <c r="E17" s="246">
        <v>4</v>
      </c>
      <c r="F17" s="111">
        <v>76</v>
      </c>
      <c r="G17" s="247">
        <v>8.7499999999999998E-10</v>
      </c>
      <c r="H17" s="248">
        <f>C17*G17*10^9</f>
        <v>269.49999999999994</v>
      </c>
      <c r="I17" s="249">
        <f>E17*G17*10^9</f>
        <v>3.5</v>
      </c>
      <c r="J17" s="246">
        <v>1001</v>
      </c>
      <c r="K17" s="111">
        <v>3.1901041666666702E-14</v>
      </c>
      <c r="L17" s="246">
        <v>2</v>
      </c>
      <c r="M17" s="246">
        <v>2</v>
      </c>
      <c r="N17" s="246" t="s">
        <v>20</v>
      </c>
      <c r="O17" s="246">
        <v>88000</v>
      </c>
      <c r="P17" s="250">
        <f>(O17*K17^2)/(G17^2*J17)</f>
        <v>1.1685363247863275E-7</v>
      </c>
      <c r="Q17" s="111">
        <v>12</v>
      </c>
      <c r="R17" s="246" t="s">
        <v>445</v>
      </c>
      <c r="S17" s="250">
        <v>0.70499999999999996</v>
      </c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111"/>
      <c r="AF17" s="246"/>
      <c r="AG17" s="246"/>
      <c r="AH17" s="94"/>
      <c r="AI17" s="246">
        <v>0.320164</v>
      </c>
      <c r="AJ17" s="251">
        <v>6.0668900000000003E-9</v>
      </c>
      <c r="AK17" s="246"/>
      <c r="AL17" s="111"/>
      <c r="AM17" s="246">
        <f t="shared" si="28"/>
        <v>2.4512556249999999E-19</v>
      </c>
      <c r="AN17" s="246">
        <f t="shared" ref="AN17" si="32">LOG10(AM17)</f>
        <v>-18.610611396729091</v>
      </c>
      <c r="AO17" s="246"/>
      <c r="AP17" s="246"/>
      <c r="AQ17" s="111"/>
      <c r="AR17" s="246">
        <f t="shared" si="30"/>
        <v>2.7180291163623964E-2</v>
      </c>
      <c r="AS17" s="111">
        <f t="shared" si="31"/>
        <v>2.6824229349380488E-17</v>
      </c>
      <c r="AT17" s="247"/>
      <c r="AU17" s="246"/>
      <c r="AV17" s="111"/>
      <c r="AW17" s="246"/>
      <c r="AX17" s="246"/>
      <c r="AY17" s="246"/>
      <c r="AZ17" s="246"/>
      <c r="BA17" s="246"/>
      <c r="BB17" s="246"/>
      <c r="BC17" s="246"/>
      <c r="BD17" s="246"/>
      <c r="BE17" s="246"/>
      <c r="BF17" s="246"/>
      <c r="BG17" s="246"/>
      <c r="BH17" s="246"/>
      <c r="BI17" s="246"/>
      <c r="BJ17" s="246"/>
      <c r="BK17" s="246"/>
      <c r="BL17" s="246"/>
      <c r="BM17" s="246"/>
      <c r="BN17" s="246"/>
      <c r="BO17" s="246"/>
      <c r="BP17" s="246"/>
      <c r="BQ17" s="246"/>
      <c r="BR17" s="246"/>
      <c r="BS17" s="246"/>
      <c r="BT17" s="246"/>
      <c r="BU17" s="246"/>
      <c r="BV17" s="246"/>
      <c r="BW17" s="246"/>
      <c r="BX17" s="246"/>
      <c r="BY17" s="246"/>
      <c r="BZ17" s="246"/>
      <c r="CA17" s="246"/>
      <c r="CB17" s="246"/>
      <c r="CC17" s="246"/>
      <c r="CD17" s="246"/>
    </row>
    <row r="18" spans="1:110" s="91" customFormat="1" ht="15">
      <c r="A18" s="91" t="s">
        <v>424</v>
      </c>
      <c r="C18" s="109">
        <v>212</v>
      </c>
      <c r="D18" s="109">
        <v>212</v>
      </c>
      <c r="E18" s="109">
        <v>4</v>
      </c>
      <c r="F18" s="94">
        <f t="shared" ref="F18" si="33">C18/E18</f>
        <v>53</v>
      </c>
      <c r="G18" s="241">
        <v>5.0000000000000003E-10</v>
      </c>
      <c r="H18" s="242">
        <f t="shared" si="7"/>
        <v>106.00000000000001</v>
      </c>
      <c r="I18" s="243">
        <f t="shared" si="8"/>
        <v>2</v>
      </c>
      <c r="J18" s="109">
        <v>1000</v>
      </c>
      <c r="K18" s="94">
        <v>1.0416666666666665E-14</v>
      </c>
      <c r="L18" s="109">
        <v>2</v>
      </c>
      <c r="M18" s="109">
        <v>2</v>
      </c>
      <c r="N18" s="109" t="s">
        <v>20</v>
      </c>
      <c r="O18" s="109">
        <v>88000</v>
      </c>
      <c r="P18" s="244">
        <f t="shared" si="1"/>
        <v>3.8194444444444435E-8</v>
      </c>
      <c r="Q18" s="94">
        <v>0</v>
      </c>
      <c r="R18" s="109" t="s">
        <v>426</v>
      </c>
      <c r="S18" s="244">
        <v>0.155</v>
      </c>
      <c r="T18" s="109">
        <v>14</v>
      </c>
      <c r="U18" s="109">
        <f>T18*G18</f>
        <v>7.0000000000000006E-9</v>
      </c>
      <c r="V18" s="109">
        <v>640</v>
      </c>
      <c r="W18" s="109">
        <v>640</v>
      </c>
      <c r="X18" s="91">
        <f>D18*3</f>
        <v>636</v>
      </c>
      <c r="Y18" s="109">
        <f>V18*W18*G18^2</f>
        <v>1.0240000000000001E-13</v>
      </c>
      <c r="Z18" s="109"/>
      <c r="AA18" s="109"/>
      <c r="AB18" s="109">
        <f t="shared" ref="AB18" si="34">W18-X18</f>
        <v>4</v>
      </c>
      <c r="AC18" s="91">
        <f t="shared" ref="AC18" si="35">AB18/2</f>
        <v>2</v>
      </c>
      <c r="AD18" s="91">
        <f>AC18*G18</f>
        <v>1.0000000000000001E-9</v>
      </c>
      <c r="AE18" s="94">
        <f t="shared" ref="AE18" si="36">AD18*10^9</f>
        <v>1</v>
      </c>
      <c r="AF18" s="109"/>
      <c r="AG18" s="109"/>
      <c r="AH18" s="94"/>
      <c r="AI18" s="91">
        <v>4.2318899999999998E-4</v>
      </c>
      <c r="AJ18" s="57">
        <v>7.4600500000000007E-12</v>
      </c>
      <c r="AL18" s="94"/>
      <c r="AM18" s="91">
        <f t="shared" si="28"/>
        <v>1.0579725E-22</v>
      </c>
      <c r="AN18" s="91">
        <f t="shared" ref="AN18" si="37">LOG10(AM18)</f>
        <v>-21.975525620820182</v>
      </c>
      <c r="AQ18" s="94"/>
      <c r="AR18" s="109">
        <f t="shared" si="30"/>
        <v>1.4073850042061485E-8</v>
      </c>
      <c r="AS18" s="94">
        <f t="shared" ref="AS18" si="38">9.869*10^-16*AR18</f>
        <v>1.3889482606510477E-23</v>
      </c>
      <c r="AT18" s="241">
        <f>RSQ(AS18:AS21,AM18:AM21)</f>
        <v>0.96277837484003004</v>
      </c>
      <c r="AU18" s="109"/>
      <c r="AV18" s="94"/>
    </row>
    <row r="19" spans="1:110" s="91" customFormat="1" ht="15">
      <c r="C19" s="109">
        <v>212</v>
      </c>
      <c r="D19" s="109">
        <v>212</v>
      </c>
      <c r="E19" s="109">
        <v>4</v>
      </c>
      <c r="F19" s="94">
        <f t="shared" ref="F19:F22" si="39">C19/E19</f>
        <v>53</v>
      </c>
      <c r="G19" s="241">
        <v>5.0000000000000003E-10</v>
      </c>
      <c r="H19" s="242">
        <f t="shared" si="7"/>
        <v>106.00000000000001</v>
      </c>
      <c r="I19" s="243">
        <f t="shared" si="8"/>
        <v>2</v>
      </c>
      <c r="J19" s="109">
        <v>1000</v>
      </c>
      <c r="K19" s="94">
        <v>1.0416666666666665E-14</v>
      </c>
      <c r="L19" s="109">
        <v>2</v>
      </c>
      <c r="M19" s="109">
        <v>2</v>
      </c>
      <c r="N19" s="109" t="s">
        <v>20</v>
      </c>
      <c r="O19" s="109">
        <v>88000</v>
      </c>
      <c r="P19" s="244">
        <f t="shared" ref="P19" si="40">(O19*K19^2)/(G19^2*J19)</f>
        <v>3.8194444444444435E-8</v>
      </c>
      <c r="Q19" s="94">
        <v>4</v>
      </c>
      <c r="R19" s="109" t="s">
        <v>427</v>
      </c>
      <c r="S19" s="244">
        <v>0.47699999999999998</v>
      </c>
      <c r="T19" s="109">
        <v>22</v>
      </c>
      <c r="U19" s="109">
        <f>T19*G19</f>
        <v>1.1000000000000001E-8</v>
      </c>
      <c r="V19" s="109">
        <v>648</v>
      </c>
      <c r="W19" s="109">
        <v>648</v>
      </c>
      <c r="X19" s="91">
        <f>D19*3</f>
        <v>636</v>
      </c>
      <c r="Y19" s="109">
        <f>V19*W19*G19^2</f>
        <v>1.0497600000000001E-13</v>
      </c>
      <c r="Z19" s="109"/>
      <c r="AA19" s="109"/>
      <c r="AB19" s="109">
        <f t="shared" ref="AB19:AB22" si="41">W19-X19</f>
        <v>12</v>
      </c>
      <c r="AC19" s="91">
        <f t="shared" ref="AC19:AC22" si="42">AB19/2</f>
        <v>6</v>
      </c>
      <c r="AD19" s="91">
        <f>AC19*G19</f>
        <v>3.0000000000000004E-9</v>
      </c>
      <c r="AE19" s="94">
        <f t="shared" ref="AE19:AE22" si="43">AD19*10^9</f>
        <v>3.0000000000000004</v>
      </c>
      <c r="AF19" s="109"/>
      <c r="AG19" s="109"/>
      <c r="AH19" s="94"/>
      <c r="AI19" s="91">
        <v>2.73066E-2</v>
      </c>
      <c r="AJ19" s="57">
        <v>2.9798900000000001E-10</v>
      </c>
      <c r="AL19" s="94"/>
      <c r="AM19" s="91">
        <f t="shared" si="28"/>
        <v>6.82665E-21</v>
      </c>
      <c r="AN19" s="91">
        <f t="shared" si="29"/>
        <v>-20.165792362706426</v>
      </c>
      <c r="AQ19" s="94"/>
      <c r="AR19" s="109">
        <f t="shared" si="30"/>
        <v>6.7373205884258135E-5</v>
      </c>
      <c r="AS19" s="94">
        <f t="shared" ref="AS19:AS22" si="44">9.869*10^-16*AR19</f>
        <v>6.6490616887174348E-20</v>
      </c>
      <c r="AT19" s="241"/>
      <c r="AU19" s="109"/>
      <c r="AV19" s="94"/>
    </row>
    <row r="20" spans="1:110" s="246" customFormat="1" thickBot="1">
      <c r="A20" s="109"/>
      <c r="B20" s="91"/>
      <c r="C20" s="109">
        <v>212</v>
      </c>
      <c r="D20" s="109">
        <v>212</v>
      </c>
      <c r="E20" s="109">
        <v>4</v>
      </c>
      <c r="F20" s="109">
        <f t="shared" ref="F20" si="45">C20/E20</f>
        <v>53</v>
      </c>
      <c r="G20" s="241">
        <v>5.0000000000000003E-10</v>
      </c>
      <c r="H20" s="242">
        <f t="shared" si="7"/>
        <v>106.00000000000001</v>
      </c>
      <c r="I20" s="242">
        <f t="shared" si="8"/>
        <v>2</v>
      </c>
      <c r="J20" s="109">
        <v>1000</v>
      </c>
      <c r="K20" s="109">
        <v>1.0416666666666665E-14</v>
      </c>
      <c r="L20" s="109">
        <v>2</v>
      </c>
      <c r="M20" s="109">
        <v>2</v>
      </c>
      <c r="N20" s="109" t="s">
        <v>20</v>
      </c>
      <c r="O20" s="109">
        <v>88000</v>
      </c>
      <c r="P20" s="244">
        <f t="shared" ref="P20:P30" si="46">(O20*K20^2)/(G20^2*J20)</f>
        <v>3.8194444444444435E-8</v>
      </c>
      <c r="Q20" s="109">
        <v>8</v>
      </c>
      <c r="R20" s="109" t="s">
        <v>428</v>
      </c>
      <c r="S20" s="244">
        <v>0.627</v>
      </c>
      <c r="T20" s="109">
        <v>30</v>
      </c>
      <c r="U20" s="109">
        <f>T20*G20</f>
        <v>1.5000000000000002E-8</v>
      </c>
      <c r="V20" s="109">
        <v>656</v>
      </c>
      <c r="W20" s="109">
        <v>656</v>
      </c>
      <c r="X20" s="109">
        <f>D20*3</f>
        <v>636</v>
      </c>
      <c r="Y20" s="109">
        <f>V20*W20*G20^2</f>
        <v>1.0758400000000001E-13</v>
      </c>
      <c r="Z20" s="109"/>
      <c r="AA20" s="109"/>
      <c r="AB20" s="109">
        <f t="shared" si="41"/>
        <v>20</v>
      </c>
      <c r="AC20" s="109">
        <f t="shared" si="42"/>
        <v>10</v>
      </c>
      <c r="AD20" s="109">
        <f>AC20*G20</f>
        <v>5.0000000000000001E-9</v>
      </c>
      <c r="AE20" s="94">
        <f t="shared" si="43"/>
        <v>5</v>
      </c>
      <c r="AF20" s="109"/>
      <c r="AG20" s="109"/>
      <c r="AH20" s="94"/>
      <c r="AI20" s="109">
        <v>0.17444899999999999</v>
      </c>
      <c r="AJ20" s="245">
        <v>1.37856E-9</v>
      </c>
      <c r="AK20" s="109"/>
      <c r="AL20" s="109"/>
      <c r="AM20" s="109">
        <f t="shared" si="28"/>
        <v>4.3612249999999999E-20</v>
      </c>
      <c r="AN20" s="109">
        <f t="shared" si="29"/>
        <v>-19.360391507057887</v>
      </c>
      <c r="AO20" s="109"/>
      <c r="AP20" s="109"/>
      <c r="AQ20" s="94"/>
      <c r="AR20" s="109">
        <f t="shared" si="30"/>
        <v>3.4898562356418189E-3</v>
      </c>
      <c r="AS20" s="94">
        <f t="shared" si="44"/>
        <v>3.4441391189549107E-18</v>
      </c>
      <c r="AT20" s="241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  <c r="BQ20" s="109"/>
      <c r="BR20" s="109"/>
      <c r="BS20" s="109"/>
      <c r="BT20" s="109"/>
      <c r="BU20" s="109"/>
      <c r="BV20" s="109"/>
      <c r="BW20" s="109"/>
      <c r="BX20" s="109"/>
      <c r="BY20" s="109"/>
      <c r="BZ20" s="109"/>
      <c r="CA20" s="109"/>
      <c r="CB20" s="109"/>
      <c r="CC20" s="109"/>
      <c r="CD20" s="109"/>
      <c r="CE20" s="109"/>
      <c r="CF20" s="109"/>
      <c r="CG20" s="109"/>
      <c r="CH20" s="109"/>
      <c r="CI20" s="109"/>
      <c r="CJ20" s="109"/>
      <c r="CK20" s="109"/>
      <c r="CL20" s="109"/>
      <c r="CM20" s="109"/>
      <c r="CN20" s="109"/>
      <c r="CO20" s="109"/>
      <c r="CP20" s="109"/>
      <c r="CQ20" s="109"/>
      <c r="CR20" s="109"/>
      <c r="CS20" s="109"/>
      <c r="CT20" s="109"/>
      <c r="CU20" s="109"/>
      <c r="CV20" s="109"/>
      <c r="CW20" s="109"/>
      <c r="CX20" s="109"/>
      <c r="CY20" s="109"/>
      <c r="CZ20" s="109"/>
      <c r="DA20" s="109"/>
      <c r="DB20" s="109"/>
      <c r="DC20" s="109"/>
      <c r="DD20" s="109"/>
      <c r="DE20" s="109"/>
      <c r="DF20" s="109"/>
    </row>
    <row r="21" spans="1:110" s="246" customFormat="1" thickBot="1">
      <c r="F21" s="111"/>
      <c r="G21" s="247">
        <v>5.0000000000000003E-10</v>
      </c>
      <c r="H21" s="248"/>
      <c r="I21" s="249"/>
      <c r="K21" s="111"/>
      <c r="P21" s="250"/>
      <c r="Q21" s="111">
        <v>12</v>
      </c>
      <c r="R21" s="246" t="s">
        <v>447</v>
      </c>
      <c r="S21" s="250">
        <v>0.71399999999999997</v>
      </c>
      <c r="AE21" s="111"/>
      <c r="AH21" s="94"/>
      <c r="AI21" s="246">
        <v>0.57883099999999998</v>
      </c>
      <c r="AJ21" s="251">
        <v>3.5851E-9</v>
      </c>
      <c r="AL21" s="111"/>
      <c r="AM21" s="246">
        <f t="shared" si="28"/>
        <v>1.4470775000000001E-19</v>
      </c>
      <c r="AN21" s="246">
        <f t="shared" ref="AN21" si="47">LOG10(AM21)</f>
        <v>-18.839508209087569</v>
      </c>
      <c r="AQ21" s="111"/>
      <c r="AR21" s="246">
        <f t="shared" si="30"/>
        <v>3.4443979661397013E-2</v>
      </c>
      <c r="AS21" s="111">
        <f t="shared" si="44"/>
        <v>3.3992763527832709E-17</v>
      </c>
      <c r="AT21" s="247"/>
      <c r="AV21" s="111"/>
    </row>
    <row r="22" spans="1:110">
      <c r="A22" s="148" t="s">
        <v>430</v>
      </c>
      <c r="B22"/>
      <c r="C22" s="16">
        <v>200</v>
      </c>
      <c r="D22" s="16">
        <v>200</v>
      </c>
      <c r="E22" s="16">
        <v>4</v>
      </c>
      <c r="F22" s="8">
        <f t="shared" si="39"/>
        <v>50</v>
      </c>
      <c r="G22" s="202">
        <v>4.9999999999999993E-10</v>
      </c>
      <c r="H22" s="200">
        <f t="shared" si="7"/>
        <v>99.999999999999986</v>
      </c>
      <c r="I22" s="201">
        <f t="shared" si="8"/>
        <v>1.9999999999999998</v>
      </c>
      <c r="J22" s="16">
        <v>1000</v>
      </c>
      <c r="K22" s="8">
        <v>4.1666666666666643E-14</v>
      </c>
      <c r="L22" s="16">
        <v>2</v>
      </c>
      <c r="M22" s="16">
        <v>2</v>
      </c>
      <c r="N22" s="16" t="s">
        <v>20</v>
      </c>
      <c r="O22" s="10">
        <v>88000</v>
      </c>
      <c r="P22" s="83">
        <f t="shared" si="46"/>
        <v>6.1111111111111053E-7</v>
      </c>
      <c r="Q22" s="8">
        <v>0</v>
      </c>
      <c r="R22" s="16" t="s">
        <v>433</v>
      </c>
      <c r="S22" s="222">
        <v>0.156</v>
      </c>
      <c r="T22" s="16">
        <v>14</v>
      </c>
      <c r="U22" s="16">
        <f t="shared" ref="U22:U31" si="48">T22*G22</f>
        <v>6.999999999999999E-9</v>
      </c>
      <c r="V22" s="16">
        <v>604</v>
      </c>
      <c r="W22" s="16">
        <v>604</v>
      </c>
      <c r="X22" s="16">
        <f>D22*3</f>
        <v>600</v>
      </c>
      <c r="Y22" s="16">
        <f>V22*W22*G22^2</f>
        <v>9.1203999999999967E-14</v>
      </c>
      <c r="Z22" s="234">
        <f>W22*G22</f>
        <v>3.0199999999999998E-7</v>
      </c>
      <c r="AA22" s="234">
        <f>T22*V22*G22^2</f>
        <v>2.1139999999999992E-15</v>
      </c>
      <c r="AB22" s="16">
        <f t="shared" si="41"/>
        <v>4</v>
      </c>
      <c r="AC22" s="16">
        <f t="shared" si="42"/>
        <v>2</v>
      </c>
      <c r="AD22" s="16">
        <f>AC22*G22</f>
        <v>9.9999999999999986E-10</v>
      </c>
      <c r="AE22" s="8">
        <f t="shared" si="43"/>
        <v>0.99999999999999989</v>
      </c>
      <c r="AF22" s="10">
        <v>5.1989E-5</v>
      </c>
      <c r="AG22" s="68">
        <f t="shared" ref="AG22:AG28" si="49">AF22*G22^2</f>
        <v>1.2997249999999996E-23</v>
      </c>
      <c r="AH22" s="8">
        <f>LOG10(AG22)</f>
        <v>-22.88614852739811</v>
      </c>
      <c r="AI22" s="54">
        <v>5.1988999999999996E-4</v>
      </c>
      <c r="AJ22" s="54">
        <v>2.2699999999999999E-10</v>
      </c>
      <c r="AK22">
        <v>2.70444E-2</v>
      </c>
      <c r="AL22" s="54">
        <v>1.6441900000000001E-9</v>
      </c>
      <c r="AM22" s="16">
        <f t="shared" si="28"/>
        <v>1.2997249999999995E-22</v>
      </c>
      <c r="AN22" s="16">
        <f t="shared" si="29"/>
        <v>-21.88614852739811</v>
      </c>
      <c r="AO22" s="54">
        <f>AK22*G22^2</f>
        <v>6.761099999999998E-21</v>
      </c>
      <c r="AP22">
        <f t="shared" ref="AP22" si="50">LOG10(AO22)</f>
        <v>-20.169982640587026</v>
      </c>
      <c r="AQ22" s="8">
        <f>AO22/AM22</f>
        <v>52.019465656196509</v>
      </c>
      <c r="AR22" s="10">
        <f t="shared" ref="AR22" si="51">EXP((S22*100-84.2)/3.8)</f>
        <v>1.444913076386206E-8</v>
      </c>
      <c r="AS22" s="8">
        <f t="shared" si="44"/>
        <v>1.4259847150855467E-23</v>
      </c>
      <c r="AT22" s="12">
        <f>RSQ(AS22:AS28,AM22:AM28)</f>
        <v>0.95939347689393839</v>
      </c>
      <c r="AU22" s="8">
        <f>SQRT(AJ22^2+2*AL22^2)/AJ22</f>
        <v>10.29202600566887</v>
      </c>
      <c r="AV22" s="8">
        <f>SQRT(AJ22^2+2*AL22^2)/AL22</f>
        <v>1.4209366942304922</v>
      </c>
    </row>
    <row r="23" spans="1:110">
      <c r="A23" s="148"/>
      <c r="B23" s="5"/>
      <c r="C23" s="16">
        <v>200</v>
      </c>
      <c r="D23" s="16">
        <v>200</v>
      </c>
      <c r="E23" s="16">
        <v>4</v>
      </c>
      <c r="F23" s="8">
        <f t="shared" ref="F23:F28" si="52">C23/E23</f>
        <v>50</v>
      </c>
      <c r="G23" s="202">
        <v>4.9999999999999993E-10</v>
      </c>
      <c r="H23" s="200">
        <f t="shared" ref="H23" si="53">C23*G23*10^9</f>
        <v>99.999999999999986</v>
      </c>
      <c r="I23" s="201">
        <f t="shared" ref="I23" si="54">E23*G23*10^9</f>
        <v>1.9999999999999998</v>
      </c>
      <c r="J23" s="16">
        <v>1000</v>
      </c>
      <c r="K23" s="8">
        <v>4.1666666666666643E-14</v>
      </c>
      <c r="L23" s="16">
        <v>2</v>
      </c>
      <c r="M23" s="16">
        <v>2</v>
      </c>
      <c r="N23" s="16" t="s">
        <v>20</v>
      </c>
      <c r="O23" s="10">
        <v>88000</v>
      </c>
      <c r="P23" s="83">
        <f t="shared" si="46"/>
        <v>6.1111111111111053E-7</v>
      </c>
      <c r="Q23" s="8">
        <v>2</v>
      </c>
      <c r="R23" s="16" t="s">
        <v>475</v>
      </c>
      <c r="S23" s="76">
        <v>0.35299999999999998</v>
      </c>
      <c r="T23">
        <v>18</v>
      </c>
      <c r="U23">
        <f t="shared" si="48"/>
        <v>8.9999999999999979E-9</v>
      </c>
      <c r="V23">
        <v>608</v>
      </c>
      <c r="W23" s="16">
        <v>608</v>
      </c>
      <c r="X23" s="16">
        <f t="shared" ref="X23:X27" si="55">D23*3</f>
        <v>600</v>
      </c>
      <c r="Y23" s="16">
        <f>V23*W23*G23^2</f>
        <v>9.2415999999999974E-14</v>
      </c>
      <c r="Z23" s="234">
        <f t="shared" ref="Z23:Z28" si="56">W23*G23</f>
        <v>3.0399999999999997E-7</v>
      </c>
      <c r="AA23" s="234">
        <f t="shared" ref="AA23:AA28" si="57">T23*V23*G23^2</f>
        <v>2.7359999999999991E-15</v>
      </c>
      <c r="AB23" s="16">
        <f t="shared" ref="AB23" si="58">W23-X23</f>
        <v>8</v>
      </c>
      <c r="AC23" s="16">
        <f t="shared" ref="AC23" si="59">AB23/2</f>
        <v>4</v>
      </c>
      <c r="AD23" s="16">
        <f>AC23*G23</f>
        <v>1.9999999999999997E-9</v>
      </c>
      <c r="AE23" s="8">
        <f t="shared" ref="AE23" si="60">AD23*10^9</f>
        <v>1.9999999999999998</v>
      </c>
      <c r="AF23" s="10">
        <v>6.6782200000000003E-3</v>
      </c>
      <c r="AG23" s="68">
        <f t="shared" si="49"/>
        <v>1.6695549999999996E-21</v>
      </c>
      <c r="AH23" s="8">
        <f t="shared" ref="AH23:AH28" si="61">LOG10(AG23)</f>
        <v>-20.777399269449948</v>
      </c>
      <c r="AI23" s="54">
        <v>6.6782200000000003E-3</v>
      </c>
      <c r="AJ23" s="54">
        <v>1.44014E-8</v>
      </c>
      <c r="AK23">
        <v>0.30612099999999998</v>
      </c>
      <c r="AL23" s="157">
        <v>1.84883E-8</v>
      </c>
      <c r="AM23" s="16">
        <f t="shared" si="28"/>
        <v>1.6695549999999996E-21</v>
      </c>
      <c r="AN23" s="16">
        <f t="shared" si="29"/>
        <v>-20.777399269449948</v>
      </c>
      <c r="AO23" s="54">
        <f>AK23*G23^2</f>
        <v>7.6530249999999965E-20</v>
      </c>
      <c r="AP23">
        <f t="shared" ref="AP23" si="62">LOG10(AO23)</f>
        <v>-19.116166867966207</v>
      </c>
      <c r="AQ23" s="8">
        <f>AO23/AM23</f>
        <v>45.838711512948052</v>
      </c>
      <c r="AR23" s="10">
        <f t="shared" ref="AR23:AR28" si="63">EXP((S23*100-84.2)/3.8)</f>
        <v>2.5781949062703129E-6</v>
      </c>
      <c r="AS23" s="8">
        <f t="shared" ref="AS23:AS28" si="64">9.869*10^-16*AR23</f>
        <v>2.5444205529981716E-21</v>
      </c>
      <c r="AU23" s="8">
        <f t="shared" ref="AU23:AU27" si="65">SQRT(AJ23^2+2*AL23^2)/AJ23</f>
        <v>2.0727294539477716</v>
      </c>
      <c r="AV23" s="8">
        <f t="shared" ref="AV23:AV28" si="66">SQRT(AJ23^2+2*AL23^2)/AL23</f>
        <v>1.6145457374709107</v>
      </c>
    </row>
    <row r="24" spans="1:110">
      <c r="B24"/>
      <c r="C24" s="16">
        <v>200</v>
      </c>
      <c r="D24" s="16">
        <v>200</v>
      </c>
      <c r="E24" s="16">
        <v>4</v>
      </c>
      <c r="F24" s="8">
        <f t="shared" si="52"/>
        <v>50</v>
      </c>
      <c r="G24" s="202">
        <v>4.9999999999999993E-10</v>
      </c>
      <c r="H24" s="200">
        <f t="shared" si="7"/>
        <v>99.999999999999986</v>
      </c>
      <c r="I24" s="201">
        <f t="shared" si="8"/>
        <v>1.9999999999999998</v>
      </c>
      <c r="J24" s="16">
        <v>1000</v>
      </c>
      <c r="K24" s="8">
        <v>4.1666666666666643E-14</v>
      </c>
      <c r="L24" s="16">
        <v>2</v>
      </c>
      <c r="M24" s="16">
        <v>2</v>
      </c>
      <c r="N24" s="16" t="s">
        <v>20</v>
      </c>
      <c r="O24" s="10">
        <v>88000</v>
      </c>
      <c r="P24" s="83">
        <f t="shared" si="46"/>
        <v>6.1111111111111053E-7</v>
      </c>
      <c r="Q24" s="8">
        <v>4</v>
      </c>
      <c r="R24" s="16" t="s">
        <v>434</v>
      </c>
      <c r="S24">
        <v>0.47899999999999998</v>
      </c>
      <c r="T24">
        <v>22</v>
      </c>
      <c r="U24">
        <f t="shared" si="48"/>
        <v>1.0999999999999999E-8</v>
      </c>
      <c r="V24">
        <v>612</v>
      </c>
      <c r="W24" s="16">
        <v>612</v>
      </c>
      <c r="X24" s="16">
        <f t="shared" si="55"/>
        <v>600</v>
      </c>
      <c r="Y24" s="16">
        <f>V24*W24*G24^2</f>
        <v>9.3635999999999968E-14</v>
      </c>
      <c r="Z24" s="234">
        <f t="shared" si="56"/>
        <v>3.0599999999999996E-7</v>
      </c>
      <c r="AA24" s="234">
        <f t="shared" si="57"/>
        <v>3.3659999999999991E-15</v>
      </c>
      <c r="AB24" s="16">
        <f t="shared" ref="AB24" si="67">W24-X24</f>
        <v>12</v>
      </c>
      <c r="AC24" s="16">
        <f t="shared" ref="AC24" si="68">AB24/2</f>
        <v>6</v>
      </c>
      <c r="AD24" s="16">
        <f>AC24*G24</f>
        <v>2.9999999999999996E-9</v>
      </c>
      <c r="AE24" s="8">
        <f t="shared" ref="AE24" si="69">AD24*10^9</f>
        <v>2.9999999999999996</v>
      </c>
      <c r="AF24" s="10">
        <v>0.1399</v>
      </c>
      <c r="AG24" s="68">
        <f t="shared" si="49"/>
        <v>3.4974999999999987E-20</v>
      </c>
      <c r="AH24" s="8">
        <f t="shared" si="61"/>
        <v>-19.456242276836136</v>
      </c>
      <c r="AI24">
        <v>3.0095E-2</v>
      </c>
      <c r="AJ24" s="54">
        <v>5.2530000000000001E-8</v>
      </c>
      <c r="AK24">
        <v>1.08565</v>
      </c>
      <c r="AL24" s="157">
        <v>6.5139199999999996E-8</v>
      </c>
      <c r="AM24">
        <f>AI24*G24^2</f>
        <v>7.5237499999999979E-21</v>
      </c>
      <c r="AN24">
        <f t="shared" si="29"/>
        <v>-20.123565643667153</v>
      </c>
      <c r="AO24" s="54">
        <f>AK24*G24^2</f>
        <v>2.7141249999999992E-19</v>
      </c>
      <c r="AP24">
        <f t="shared" si="29"/>
        <v>-18.566370154627602</v>
      </c>
      <c r="AQ24" s="8">
        <f>AO24/AM24</f>
        <v>36.074098687489617</v>
      </c>
      <c r="AR24" s="10">
        <f t="shared" si="63"/>
        <v>7.1014137647636881E-5</v>
      </c>
      <c r="AS24" s="8">
        <f t="shared" si="64"/>
        <v>7.0083852444452839E-20</v>
      </c>
      <c r="AT24" s="270">
        <f>RSQ(AS22:AS28,AG22:AG28)</f>
        <v>0.99063782748937002</v>
      </c>
      <c r="AU24" s="8">
        <f t="shared" si="65"/>
        <v>2.0187592346213568</v>
      </c>
      <c r="AV24" s="8">
        <f t="shared" si="66"/>
        <v>1.6279816545898611</v>
      </c>
    </row>
    <row r="25" spans="1:110">
      <c r="B25" s="5"/>
      <c r="C25" s="16">
        <v>200</v>
      </c>
      <c r="D25" s="16">
        <v>200</v>
      </c>
      <c r="E25" s="16">
        <v>4</v>
      </c>
      <c r="F25" s="8">
        <f t="shared" si="52"/>
        <v>50</v>
      </c>
      <c r="G25" s="202">
        <v>4.9999999999999993E-10</v>
      </c>
      <c r="H25" s="200">
        <f t="shared" ref="H25" si="70">C25*G25*10^9</f>
        <v>99.999999999999986</v>
      </c>
      <c r="I25" s="201">
        <f t="shared" ref="I25" si="71">E25*G25*10^9</f>
        <v>1.9999999999999998</v>
      </c>
      <c r="J25" s="16">
        <v>1000</v>
      </c>
      <c r="K25" s="8">
        <v>4.1666666666666643E-14</v>
      </c>
      <c r="L25" s="16">
        <v>2</v>
      </c>
      <c r="M25" s="16">
        <v>2</v>
      </c>
      <c r="N25" s="16" t="s">
        <v>20</v>
      </c>
      <c r="O25" s="10">
        <v>88000</v>
      </c>
      <c r="P25" s="83">
        <f t="shared" si="46"/>
        <v>6.1111111111111053E-7</v>
      </c>
      <c r="Q25" s="16">
        <v>6</v>
      </c>
      <c r="R25" s="16" t="s">
        <v>476</v>
      </c>
      <c r="S25">
        <v>0.56499999999999995</v>
      </c>
      <c r="T25" s="16">
        <v>26</v>
      </c>
      <c r="U25" s="16">
        <f t="shared" si="48"/>
        <v>1.2999999999999997E-8</v>
      </c>
      <c r="V25">
        <v>616</v>
      </c>
      <c r="W25" s="16">
        <v>616</v>
      </c>
      <c r="X25" s="16">
        <f t="shared" si="55"/>
        <v>600</v>
      </c>
      <c r="Y25" s="16">
        <f>V25*W25*G25^2</f>
        <v>9.4863999999999973E-14</v>
      </c>
      <c r="Z25" s="234">
        <f t="shared" si="56"/>
        <v>3.0799999999999995E-7</v>
      </c>
      <c r="AA25" s="234">
        <f t="shared" si="57"/>
        <v>4.0039999999999988E-15</v>
      </c>
      <c r="AB25" s="16">
        <f t="shared" ref="AB25" si="72">W25-X25</f>
        <v>16</v>
      </c>
      <c r="AC25" s="16">
        <f t="shared" ref="AC25" si="73">AB25/2</f>
        <v>8</v>
      </c>
      <c r="AD25" s="16">
        <f>AC25*G25</f>
        <v>3.9999999999999994E-9</v>
      </c>
      <c r="AE25" s="8">
        <f t="shared" ref="AE25" si="74">AD25*10^9</f>
        <v>3.9999999999999996</v>
      </c>
      <c r="AF25" s="10">
        <v>1.23698</v>
      </c>
      <c r="AG25" s="68">
        <f t="shared" si="49"/>
        <v>3.092449999999999E-19</v>
      </c>
      <c r="AH25" s="8">
        <f t="shared" si="61"/>
        <v>-18.50969731349339</v>
      </c>
      <c r="AI25">
        <v>8.5803699999999997E-2</v>
      </c>
      <c r="AJ25" s="54">
        <v>1.12582E-7</v>
      </c>
      <c r="AK25">
        <v>2.4894699999999998</v>
      </c>
      <c r="AL25" s="68">
        <v>1.48396E-7</v>
      </c>
      <c r="AM25" s="16">
        <f>AI25*G25^2</f>
        <v>2.1450924999999992E-20</v>
      </c>
      <c r="AN25">
        <f t="shared" si="29"/>
        <v>-19.668553975566244</v>
      </c>
      <c r="AO25" s="54">
        <f t="shared" ref="AO25:AO27" si="75">AK25*G25^2</f>
        <v>6.2236749999999974E-19</v>
      </c>
      <c r="AP25">
        <f t="shared" ref="AP25:AP27" si="76">LOG10(AO25)</f>
        <v>-18.205953094262561</v>
      </c>
      <c r="AQ25" s="8">
        <f t="shared" ref="AQ25:AQ28" si="77">AO25/AM25</f>
        <v>29.013550697697184</v>
      </c>
      <c r="AR25" s="10">
        <f t="shared" si="63"/>
        <v>6.8268726730599371E-4</v>
      </c>
      <c r="AS25" s="8">
        <f t="shared" si="64"/>
        <v>6.7374406410428519E-19</v>
      </c>
      <c r="AU25" s="8">
        <f t="shared" si="65"/>
        <v>2.1153848899404326</v>
      </c>
      <c r="AV25" s="8">
        <f t="shared" si="66"/>
        <v>1.6048563416754749</v>
      </c>
    </row>
    <row r="26" spans="1:110" s="51" customFormat="1" ht="16.5" thickBot="1">
      <c r="A26" s="10"/>
      <c r="B26"/>
      <c r="C26" s="16">
        <v>200</v>
      </c>
      <c r="D26" s="16">
        <v>200</v>
      </c>
      <c r="E26" s="16">
        <v>4</v>
      </c>
      <c r="F26" s="8">
        <f t="shared" si="52"/>
        <v>50</v>
      </c>
      <c r="G26" s="202">
        <v>4.9999999999999993E-10</v>
      </c>
      <c r="H26" s="200">
        <f t="shared" si="7"/>
        <v>99.999999999999986</v>
      </c>
      <c r="I26" s="200">
        <f t="shared" si="8"/>
        <v>1.9999999999999998</v>
      </c>
      <c r="J26" s="16">
        <v>1000</v>
      </c>
      <c r="K26" s="8">
        <v>4.1666666666666643E-14</v>
      </c>
      <c r="L26" s="16">
        <v>2</v>
      </c>
      <c r="M26" s="16">
        <v>2</v>
      </c>
      <c r="N26" s="16" t="s">
        <v>20</v>
      </c>
      <c r="O26" s="10">
        <v>88000</v>
      </c>
      <c r="P26" s="83">
        <f t="shared" si="46"/>
        <v>6.1111111111111053E-7</v>
      </c>
      <c r="Q26" s="10">
        <v>8</v>
      </c>
      <c r="R26" s="16" t="s">
        <v>435</v>
      </c>
      <c r="S26">
        <v>0.629</v>
      </c>
      <c r="T26" s="16">
        <v>30</v>
      </c>
      <c r="U26" s="16">
        <f t="shared" si="48"/>
        <v>1.4999999999999999E-8</v>
      </c>
      <c r="V26">
        <v>620</v>
      </c>
      <c r="W26" s="16">
        <v>620</v>
      </c>
      <c r="X26" s="16">
        <f t="shared" si="55"/>
        <v>600</v>
      </c>
      <c r="Y26" s="16">
        <f>V26*W26*G26^2</f>
        <v>9.6099999999999964E-14</v>
      </c>
      <c r="Z26" s="234">
        <f t="shared" si="56"/>
        <v>3.0999999999999994E-7</v>
      </c>
      <c r="AA26" s="234">
        <f t="shared" si="57"/>
        <v>4.6499999999999986E-15</v>
      </c>
      <c r="AB26" s="16">
        <f t="shared" ref="AB26:AB29" si="78">W26-X26</f>
        <v>20</v>
      </c>
      <c r="AC26" s="16">
        <f t="shared" ref="AC26:AC29" si="79">AB26/2</f>
        <v>10</v>
      </c>
      <c r="AD26" s="16">
        <f>AC26*G26</f>
        <v>4.9999999999999993E-9</v>
      </c>
      <c r="AE26" s="8">
        <f t="shared" ref="AE26:AE29" si="80">AD26*10^9</f>
        <v>4.9999999999999991</v>
      </c>
      <c r="AF26" s="10">
        <v>4.9794</v>
      </c>
      <c r="AG26" s="68">
        <f t="shared" si="49"/>
        <v>1.2448499999999996E-18</v>
      </c>
      <c r="AH26" s="8">
        <f t="shared" si="61"/>
        <v>-17.904882976356959</v>
      </c>
      <c r="AI26" s="10">
        <v>0.191524</v>
      </c>
      <c r="AJ26" s="68">
        <v>3.7837000000000001E-10</v>
      </c>
      <c r="AK26" s="10">
        <v>4.5886300000000002</v>
      </c>
      <c r="AL26" s="68">
        <v>2.7175900000000002E-7</v>
      </c>
      <c r="AM26" s="10">
        <f>AI26*G26^2</f>
        <v>4.7880999999999984E-20</v>
      </c>
      <c r="AN26" s="10">
        <f t="shared" si="29"/>
        <v>-19.319836787882444</v>
      </c>
      <c r="AO26" s="54">
        <f t="shared" si="75"/>
        <v>1.1471574999999997E-18</v>
      </c>
      <c r="AP26">
        <f t="shared" si="76"/>
        <v>-17.940376951161443</v>
      </c>
      <c r="AQ26" s="8">
        <f t="shared" si="77"/>
        <v>23.95851172698983</v>
      </c>
      <c r="AR26" s="10">
        <f t="shared" si="63"/>
        <v>3.6784524030826484E-3</v>
      </c>
      <c r="AS26" s="8">
        <f t="shared" si="64"/>
        <v>3.6302646766022657E-18</v>
      </c>
      <c r="AT26" s="12"/>
      <c r="AU26" s="8">
        <f t="shared" si="65"/>
        <v>1015.7397514348722</v>
      </c>
      <c r="AV26" s="8">
        <f t="shared" si="66"/>
        <v>1.4142142477357238</v>
      </c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</row>
    <row r="27" spans="1:110" s="51" customFormat="1" ht="16.5" thickBot="1">
      <c r="A27" s="255"/>
      <c r="B27" s="255"/>
      <c r="C27" s="16">
        <v>200</v>
      </c>
      <c r="D27" s="16">
        <v>200</v>
      </c>
      <c r="E27" s="16">
        <v>4</v>
      </c>
      <c r="F27" s="8">
        <f t="shared" si="52"/>
        <v>50</v>
      </c>
      <c r="G27" s="202">
        <v>4.9999999999999993E-10</v>
      </c>
      <c r="H27" s="200">
        <f t="shared" ref="H27:H28" si="81">C27*G27*10^9</f>
        <v>99.999999999999986</v>
      </c>
      <c r="I27" s="200">
        <f t="shared" ref="I27:I28" si="82">E27*G27*10^9</f>
        <v>1.9999999999999998</v>
      </c>
      <c r="J27" s="16">
        <v>1000</v>
      </c>
      <c r="K27" s="8">
        <v>4.1666666666666643E-14</v>
      </c>
      <c r="L27" s="16">
        <v>2</v>
      </c>
      <c r="M27" s="16">
        <v>2</v>
      </c>
      <c r="N27" s="16" t="s">
        <v>20</v>
      </c>
      <c r="O27" s="10">
        <v>88000</v>
      </c>
      <c r="P27" s="83">
        <f t="shared" si="46"/>
        <v>6.1111111111111053E-7</v>
      </c>
      <c r="Q27" s="10">
        <v>12</v>
      </c>
      <c r="R27" s="16" t="s">
        <v>448</v>
      </c>
      <c r="S27">
        <v>0.71599999999999997</v>
      </c>
      <c r="T27" s="16">
        <v>38</v>
      </c>
      <c r="U27" s="16">
        <f t="shared" si="48"/>
        <v>1.8999999999999998E-8</v>
      </c>
      <c r="V27">
        <v>628</v>
      </c>
      <c r="W27" s="16">
        <v>628</v>
      </c>
      <c r="X27" s="16">
        <f t="shared" si="55"/>
        <v>600</v>
      </c>
      <c r="Y27" s="16">
        <f t="shared" ref="Y27:Y28" si="83">V27*W27*G27^2</f>
        <v>9.8595999999999967E-14</v>
      </c>
      <c r="Z27" s="234">
        <f t="shared" si="56"/>
        <v>3.1399999999999998E-7</v>
      </c>
      <c r="AA27" s="234">
        <f t="shared" si="57"/>
        <v>5.9659999999999979E-15</v>
      </c>
      <c r="AB27" s="16">
        <f t="shared" ref="AB27:AB28" si="84">W27-X27</f>
        <v>28</v>
      </c>
      <c r="AC27" s="16">
        <f t="shared" ref="AC27:AC28" si="85">AB27/2</f>
        <v>14</v>
      </c>
      <c r="AD27" s="16">
        <f t="shared" ref="AD27:AD28" si="86">AC27*G27</f>
        <v>6.999999999999999E-9</v>
      </c>
      <c r="AE27" s="8">
        <f t="shared" ref="AE27:AE28" si="87">AD27*10^9</f>
        <v>6.9999999999999991</v>
      </c>
      <c r="AF27" s="10">
        <v>39.659799999999997</v>
      </c>
      <c r="AG27" s="68">
        <f t="shared" si="49"/>
        <v>9.9149499999999967E-18</v>
      </c>
      <c r="AH27" s="8">
        <f t="shared" si="61"/>
        <v>-17.003709471552359</v>
      </c>
      <c r="AI27">
        <v>0.63361199999999995</v>
      </c>
      <c r="AJ27">
        <v>2.4211500000000002E-7</v>
      </c>
      <c r="AK27" s="16">
        <v>11.0586</v>
      </c>
      <c r="AL27" s="54">
        <v>6.4658600000000002E-7</v>
      </c>
      <c r="AM27" s="10">
        <f>AI27*G26^2</f>
        <v>1.5840299999999994E-19</v>
      </c>
      <c r="AN27" s="10">
        <f t="shared" ref="AN27" si="88">LOG10(AM27)</f>
        <v>-18.800236597550136</v>
      </c>
      <c r="AO27" s="54">
        <f t="shared" si="75"/>
        <v>2.764649999999999E-18</v>
      </c>
      <c r="AP27">
        <f t="shared" si="76"/>
        <v>-17.558359841823993</v>
      </c>
      <c r="AQ27" s="8">
        <f t="shared" si="77"/>
        <v>17.45326793053162</v>
      </c>
      <c r="AR27" s="10">
        <f t="shared" si="63"/>
        <v>3.6305375122105715E-2</v>
      </c>
      <c r="AS27" s="8">
        <f t="shared" si="64"/>
        <v>3.582977470800613E-17</v>
      </c>
      <c r="AT27" s="12"/>
      <c r="AU27" s="8">
        <f t="shared" si="65"/>
        <v>3.9069079742953701</v>
      </c>
      <c r="AV27" s="8">
        <f t="shared" si="66"/>
        <v>1.4629469617290252</v>
      </c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</row>
    <row r="28" spans="1:110" s="51" customFormat="1" ht="16.5" thickBot="1">
      <c r="C28" s="16">
        <v>200</v>
      </c>
      <c r="D28" s="16">
        <v>200</v>
      </c>
      <c r="E28" s="16">
        <v>4</v>
      </c>
      <c r="F28" s="8">
        <f t="shared" si="52"/>
        <v>50</v>
      </c>
      <c r="G28" s="202">
        <v>4.9999999999999993E-10</v>
      </c>
      <c r="H28" s="200">
        <f t="shared" si="81"/>
        <v>99.999999999999986</v>
      </c>
      <c r="I28" s="200">
        <f t="shared" si="82"/>
        <v>1.9999999999999998</v>
      </c>
      <c r="J28" s="16">
        <v>1000</v>
      </c>
      <c r="K28" s="8">
        <v>4.1666666666666643E-14</v>
      </c>
      <c r="L28" s="16">
        <v>2</v>
      </c>
      <c r="M28" s="16">
        <v>2</v>
      </c>
      <c r="N28" s="16" t="s">
        <v>20</v>
      </c>
      <c r="O28" s="10">
        <v>88000</v>
      </c>
      <c r="P28" s="83">
        <f t="shared" si="46"/>
        <v>6.1111111111111053E-7</v>
      </c>
      <c r="Q28" s="51">
        <v>16</v>
      </c>
      <c r="R28" s="51" t="s">
        <v>490</v>
      </c>
      <c r="S28" s="51">
        <v>0.77200000000000002</v>
      </c>
      <c r="T28" s="58">
        <v>46</v>
      </c>
      <c r="U28" s="58">
        <f t="shared" si="48"/>
        <v>2.2999999999999998E-8</v>
      </c>
      <c r="V28" s="58">
        <v>636</v>
      </c>
      <c r="W28" s="58">
        <v>636</v>
      </c>
      <c r="X28" s="58">
        <v>600</v>
      </c>
      <c r="Y28" s="16">
        <f t="shared" si="83"/>
        <v>1.0112399999999996E-13</v>
      </c>
      <c r="Z28" s="234">
        <f t="shared" si="56"/>
        <v>3.1799999999999996E-7</v>
      </c>
      <c r="AA28" s="234">
        <f t="shared" si="57"/>
        <v>7.313999999999997E-15</v>
      </c>
      <c r="AB28" s="16">
        <f t="shared" si="84"/>
        <v>36</v>
      </c>
      <c r="AC28" s="16">
        <f t="shared" si="85"/>
        <v>18</v>
      </c>
      <c r="AD28" s="16">
        <f t="shared" si="86"/>
        <v>8.9999999999999979E-9</v>
      </c>
      <c r="AE28" s="8">
        <f t="shared" si="87"/>
        <v>8.9999999999999982</v>
      </c>
      <c r="AF28" s="16">
        <v>121.20367</v>
      </c>
      <c r="AG28" s="68">
        <f t="shared" si="49"/>
        <v>3.0300917499999989E-17</v>
      </c>
      <c r="AH28" s="8">
        <f t="shared" si="61"/>
        <v>-16.518544221030552</v>
      </c>
      <c r="AI28" s="211"/>
      <c r="AJ28" s="256"/>
      <c r="AK28">
        <v>9.2751999999999999</v>
      </c>
      <c r="AL28">
        <v>5.2787699999999996E-7</v>
      </c>
      <c r="AM28" s="211"/>
      <c r="AN28" s="211"/>
      <c r="AO28" s="54">
        <f t="shared" ref="AO28" si="89">AK28*G28^2</f>
        <v>2.3187999999999992E-18</v>
      </c>
      <c r="AP28">
        <f t="shared" ref="AP28" si="90">LOG10(AO28)</f>
        <v>-17.634736708301265</v>
      </c>
      <c r="AQ28" s="8" t="e">
        <f t="shared" si="77"/>
        <v>#DIV/0!</v>
      </c>
      <c r="AR28" s="10">
        <f t="shared" si="63"/>
        <v>0.15848342533402834</v>
      </c>
      <c r="AS28" s="8">
        <f t="shared" si="64"/>
        <v>1.5640729246215255E-16</v>
      </c>
      <c r="AU28" s="8"/>
      <c r="AV28" s="8">
        <f t="shared" si="66"/>
        <v>1.4142135623730949</v>
      </c>
    </row>
    <row r="29" spans="1:110" s="91" customFormat="1" ht="15" customHeight="1">
      <c r="A29" s="91" t="s">
        <v>440</v>
      </c>
      <c r="C29" s="109">
        <v>300</v>
      </c>
      <c r="D29" s="109">
        <v>300</v>
      </c>
      <c r="E29" s="109">
        <v>6</v>
      </c>
      <c r="F29" s="94">
        <f t="shared" ref="F29" si="91">C29/E29</f>
        <v>50</v>
      </c>
      <c r="G29" s="241">
        <v>1.6666666666666669E-10</v>
      </c>
      <c r="H29" s="242">
        <f t="shared" si="7"/>
        <v>50.000000000000007</v>
      </c>
      <c r="I29" s="243">
        <f t="shared" si="8"/>
        <v>1</v>
      </c>
      <c r="J29" s="109">
        <v>1000</v>
      </c>
      <c r="K29" s="94">
        <v>1.1574074074074073E-15</v>
      </c>
      <c r="L29" s="109">
        <v>2</v>
      </c>
      <c r="M29" s="109">
        <v>2</v>
      </c>
      <c r="N29" s="109" t="s">
        <v>20</v>
      </c>
      <c r="O29" s="109">
        <v>88000</v>
      </c>
      <c r="P29" s="244">
        <f t="shared" si="46"/>
        <v>4.2438271604938268E-9</v>
      </c>
      <c r="Q29" s="94">
        <v>0</v>
      </c>
      <c r="R29" s="109" t="s">
        <v>441</v>
      </c>
      <c r="S29" s="244">
        <v>0.10927000000000001</v>
      </c>
      <c r="T29" s="109">
        <v>20</v>
      </c>
      <c r="U29" s="109">
        <f t="shared" si="48"/>
        <v>3.3333333333333338E-9</v>
      </c>
      <c r="V29" s="109">
        <v>904</v>
      </c>
      <c r="W29" s="109">
        <v>904</v>
      </c>
      <c r="X29" s="109">
        <f>D29*3</f>
        <v>900</v>
      </c>
      <c r="Y29" s="109">
        <f>V29*W29*G29^2</f>
        <v>2.2700444444444448E-14</v>
      </c>
      <c r="Z29" s="109"/>
      <c r="AA29" s="109"/>
      <c r="AB29" s="109">
        <f t="shared" si="78"/>
        <v>4</v>
      </c>
      <c r="AC29" s="109">
        <f t="shared" si="79"/>
        <v>2</v>
      </c>
      <c r="AD29" s="109">
        <f>AC29*G29</f>
        <v>3.3333333333333337E-10</v>
      </c>
      <c r="AE29" s="94">
        <f t="shared" si="80"/>
        <v>0.33333333333333337</v>
      </c>
      <c r="AF29" s="109"/>
      <c r="AG29" s="109"/>
      <c r="AH29" s="94"/>
      <c r="AL29" s="94"/>
      <c r="AQ29" s="94"/>
      <c r="AR29" s="109"/>
      <c r="AS29" s="94"/>
      <c r="AT29" s="241"/>
      <c r="AU29" s="109"/>
      <c r="AV29" s="157"/>
    </row>
    <row r="30" spans="1:110" s="91" customFormat="1">
      <c r="C30" s="109">
        <v>300</v>
      </c>
      <c r="D30" s="109">
        <v>300</v>
      </c>
      <c r="E30" s="109">
        <v>6</v>
      </c>
      <c r="F30" s="94">
        <f t="shared" ref="F30" si="92">C30/E30</f>
        <v>50</v>
      </c>
      <c r="G30" s="241">
        <v>1.6666666666666669E-10</v>
      </c>
      <c r="H30" s="242">
        <f t="shared" si="7"/>
        <v>50.000000000000007</v>
      </c>
      <c r="I30" s="243">
        <f t="shared" si="8"/>
        <v>1</v>
      </c>
      <c r="J30" s="109">
        <v>1000</v>
      </c>
      <c r="K30" s="94">
        <v>1.1574074074074073E-15</v>
      </c>
      <c r="L30" s="109">
        <v>2</v>
      </c>
      <c r="M30" s="109">
        <v>2</v>
      </c>
      <c r="N30" s="109" t="s">
        <v>20</v>
      </c>
      <c r="O30" s="109">
        <v>88000</v>
      </c>
      <c r="P30" s="244">
        <f t="shared" si="46"/>
        <v>4.2438271604938268E-9</v>
      </c>
      <c r="Q30" s="94">
        <v>4</v>
      </c>
      <c r="R30" s="109" t="s">
        <v>442</v>
      </c>
      <c r="S30" s="244">
        <v>0.376</v>
      </c>
      <c r="T30" s="109">
        <v>28</v>
      </c>
      <c r="U30" s="109">
        <f t="shared" si="48"/>
        <v>4.6666666666666671E-9</v>
      </c>
      <c r="V30" s="109">
        <v>912</v>
      </c>
      <c r="W30" s="109">
        <v>912</v>
      </c>
      <c r="X30" s="109">
        <f>D30*3</f>
        <v>900</v>
      </c>
      <c r="Y30" s="109">
        <f>V30*W30*G30^2</f>
        <v>2.3104000000000003E-14</v>
      </c>
      <c r="Z30" s="109"/>
      <c r="AA30" s="109"/>
      <c r="AB30" s="109">
        <f t="shared" ref="AB30:AB31" si="93">W30-X30</f>
        <v>12</v>
      </c>
      <c r="AC30" s="109">
        <f t="shared" ref="AC30:AC31" si="94">AB30/2</f>
        <v>6</v>
      </c>
      <c r="AD30" s="109">
        <f>AC30*G30</f>
        <v>1.0000000000000001E-9</v>
      </c>
      <c r="AE30" s="94">
        <f t="shared" ref="AE30:AE31" si="95">AD30*10^9</f>
        <v>1</v>
      </c>
      <c r="AF30" s="109"/>
      <c r="AG30" s="109"/>
      <c r="AH30" s="94"/>
      <c r="AI30" s="91">
        <v>1.74559E-2</v>
      </c>
      <c r="AJ30" s="57">
        <v>1.6462000000000002E-11</v>
      </c>
      <c r="AL30" s="94"/>
      <c r="AM30" s="91">
        <f>AI30*G30^2</f>
        <v>4.8488611111111121E-22</v>
      </c>
      <c r="AN30" s="91">
        <f t="shared" si="29"/>
        <v>-21.314360255468287</v>
      </c>
      <c r="AQ30" s="94"/>
      <c r="AR30" s="109"/>
      <c r="AS30" s="94"/>
      <c r="AT30" s="241"/>
      <c r="AU30" s="109"/>
      <c r="AV30" s="157"/>
    </row>
    <row r="31" spans="1:110" s="109" customFormat="1" ht="16.5" thickBot="1">
      <c r="B31" s="91"/>
      <c r="C31" s="109">
        <v>300</v>
      </c>
      <c r="D31" s="109">
        <v>300</v>
      </c>
      <c r="E31" s="109">
        <v>6</v>
      </c>
      <c r="F31" s="94">
        <f t="shared" ref="F31:F32" si="96">C31/E31</f>
        <v>50</v>
      </c>
      <c r="G31" s="241">
        <v>1.6666666666666669E-10</v>
      </c>
      <c r="H31" s="242">
        <f t="shared" si="7"/>
        <v>50.000000000000007</v>
      </c>
      <c r="I31" s="243">
        <f t="shared" si="8"/>
        <v>1</v>
      </c>
      <c r="J31" s="109">
        <v>1000</v>
      </c>
      <c r="K31" s="94">
        <v>1.1574074074074073E-15</v>
      </c>
      <c r="L31" s="109">
        <v>2</v>
      </c>
      <c r="M31" s="109">
        <v>2</v>
      </c>
      <c r="N31" s="109" t="s">
        <v>20</v>
      </c>
      <c r="O31" s="109">
        <v>88000</v>
      </c>
      <c r="P31" s="244">
        <f t="shared" ref="P31:P37" si="97">(O31*K31^2)/(G31^2*J31)</f>
        <v>4.2438271604938268E-9</v>
      </c>
      <c r="Q31" s="94">
        <v>10</v>
      </c>
      <c r="R31" s="109" t="s">
        <v>443</v>
      </c>
      <c r="S31" s="244">
        <v>0.57799999999999996</v>
      </c>
      <c r="T31" s="109">
        <v>40</v>
      </c>
      <c r="U31" s="109">
        <f t="shared" si="48"/>
        <v>6.6666666666666676E-9</v>
      </c>
      <c r="V31" s="109">
        <v>924</v>
      </c>
      <c r="W31" s="109">
        <v>924</v>
      </c>
      <c r="X31" s="109">
        <f>D31*3</f>
        <v>900</v>
      </c>
      <c r="Y31" s="109">
        <f>V31*W31*G31^2</f>
        <v>2.3716000000000003E-14</v>
      </c>
      <c r="AB31" s="109">
        <f t="shared" si="93"/>
        <v>24</v>
      </c>
      <c r="AC31" s="109">
        <f t="shared" si="94"/>
        <v>12</v>
      </c>
      <c r="AD31" s="109">
        <f>AC31*G31</f>
        <v>2.0000000000000001E-9</v>
      </c>
      <c r="AE31" s="94">
        <f t="shared" si="95"/>
        <v>2</v>
      </c>
      <c r="AH31" s="94"/>
      <c r="AI31" s="109">
        <v>0.20689099999999999</v>
      </c>
      <c r="AJ31" s="245">
        <v>1.3507699999999999E-10</v>
      </c>
      <c r="AL31" s="94"/>
      <c r="AM31" s="109">
        <f>AI31*G31^2</f>
        <v>5.7469722222222233E-21</v>
      </c>
      <c r="AN31" s="109">
        <f t="shared" ref="AN31:AN33" si="98">LOG10(AM31)</f>
        <v>-20.240560902007552</v>
      </c>
      <c r="AQ31" s="94"/>
      <c r="AS31" s="94"/>
      <c r="AT31" s="241"/>
      <c r="AV31" s="157"/>
    </row>
    <row r="32" spans="1:110" s="258" customFormat="1">
      <c r="A32" s="257" t="s">
        <v>480</v>
      </c>
      <c r="C32" s="258">
        <v>300</v>
      </c>
      <c r="D32" s="258">
        <v>300</v>
      </c>
      <c r="E32" s="258">
        <v>3</v>
      </c>
      <c r="F32" s="259">
        <f t="shared" si="96"/>
        <v>100</v>
      </c>
      <c r="G32" s="260">
        <v>3.3299999999999997E-11</v>
      </c>
      <c r="H32" s="258">
        <f t="shared" si="7"/>
        <v>9.9899999999999984</v>
      </c>
      <c r="I32" s="259">
        <f t="shared" si="8"/>
        <v>9.9899999999999989E-2</v>
      </c>
      <c r="J32" s="258">
        <v>1000</v>
      </c>
      <c r="K32" s="259">
        <v>4.629629629629629E-17</v>
      </c>
      <c r="L32" s="109">
        <v>2</v>
      </c>
      <c r="M32" s="109">
        <v>2</v>
      </c>
      <c r="N32" s="109" t="s">
        <v>20</v>
      </c>
      <c r="O32" s="258">
        <v>88000</v>
      </c>
      <c r="P32" s="261">
        <f t="shared" si="97"/>
        <v>1.7009310253171392E-10</v>
      </c>
      <c r="Q32" s="259">
        <v>0</v>
      </c>
      <c r="R32" s="258" t="s">
        <v>481</v>
      </c>
      <c r="S32" s="261">
        <v>0.19</v>
      </c>
      <c r="X32" s="258">
        <f>D32*3</f>
        <v>900</v>
      </c>
      <c r="AE32" s="259"/>
      <c r="AH32" s="94"/>
      <c r="AI32" s="258">
        <v>1.9089399999999999E-4</v>
      </c>
      <c r="AJ32" s="262">
        <v>1.9436900000000002E-12</v>
      </c>
      <c r="AL32" s="259"/>
      <c r="AM32" s="258">
        <f t="shared" ref="AM32:AM33" si="99">AI32*G32^2</f>
        <v>2.1168044765999999E-25</v>
      </c>
      <c r="AN32" s="109">
        <f t="shared" si="98"/>
        <v>-24.674319254713346</v>
      </c>
      <c r="AQ32" s="259"/>
      <c r="AS32" s="259"/>
      <c r="AT32" s="263"/>
      <c r="AV32" s="157"/>
    </row>
    <row r="33" spans="1:48" s="109" customFormat="1">
      <c r="A33" s="264"/>
      <c r="C33" s="109">
        <v>300</v>
      </c>
      <c r="D33" s="109">
        <v>300</v>
      </c>
      <c r="E33" s="109">
        <v>3</v>
      </c>
      <c r="F33" s="94">
        <f t="shared" ref="F33:F37" si="100">C33/E33</f>
        <v>100</v>
      </c>
      <c r="G33" s="260">
        <v>3.3299999999999997E-11</v>
      </c>
      <c r="H33" s="109">
        <f t="shared" ref="H33" si="101">C33*G33*10^9</f>
        <v>9.9899999999999984</v>
      </c>
      <c r="I33" s="94">
        <f t="shared" ref="I33" si="102">E33*G33*10^9</f>
        <v>9.9899999999999989E-2</v>
      </c>
      <c r="J33" s="109">
        <v>1000</v>
      </c>
      <c r="K33" s="94">
        <v>4.629629629629629E-17</v>
      </c>
      <c r="L33" s="109">
        <v>2</v>
      </c>
      <c r="M33" s="109">
        <v>2</v>
      </c>
      <c r="N33" s="109" t="s">
        <v>20</v>
      </c>
      <c r="O33" s="109">
        <v>88000</v>
      </c>
      <c r="P33" s="244">
        <f t="shared" si="97"/>
        <v>1.7009310253171392E-10</v>
      </c>
      <c r="Q33" s="94">
        <v>2</v>
      </c>
      <c r="R33" s="109" t="s">
        <v>482</v>
      </c>
      <c r="S33" s="244">
        <v>0.41</v>
      </c>
      <c r="AE33" s="94"/>
      <c r="AH33" s="94"/>
      <c r="AI33" s="91">
        <v>2.9570500000000001E-3</v>
      </c>
      <c r="AJ33" s="245">
        <v>2.1506199999999999E-11</v>
      </c>
      <c r="AL33" s="94"/>
      <c r="AM33" s="109">
        <f t="shared" si="99"/>
        <v>3.2790431745000001E-24</v>
      </c>
      <c r="AN33" s="91">
        <f t="shared" si="98"/>
        <v>-23.484252865025155</v>
      </c>
      <c r="AQ33" s="94"/>
      <c r="AS33" s="94"/>
      <c r="AT33" s="241"/>
      <c r="AV33" s="157"/>
    </row>
    <row r="34" spans="1:48" s="109" customFormat="1">
      <c r="A34" s="264"/>
      <c r="B34" s="94"/>
      <c r="C34" s="109">
        <v>300</v>
      </c>
      <c r="D34" s="109">
        <v>300</v>
      </c>
      <c r="E34" s="109">
        <v>3</v>
      </c>
      <c r="F34" s="94">
        <f t="shared" si="100"/>
        <v>100</v>
      </c>
      <c r="G34" s="260">
        <v>3.3299999999999997E-11</v>
      </c>
      <c r="H34" s="109">
        <f t="shared" ref="H34:H37" si="103">C34*G34*10^9</f>
        <v>9.9899999999999984</v>
      </c>
      <c r="I34" s="94">
        <f t="shared" ref="I34:I37" si="104">E34*G34*10^9</f>
        <v>9.9899999999999989E-2</v>
      </c>
      <c r="J34" s="109">
        <v>1000</v>
      </c>
      <c r="K34" s="94">
        <v>4.629629629629629E-17</v>
      </c>
      <c r="L34" s="109">
        <v>2</v>
      </c>
      <c r="M34" s="109">
        <v>2</v>
      </c>
      <c r="N34" s="109" t="s">
        <v>20</v>
      </c>
      <c r="O34" s="109">
        <v>88000</v>
      </c>
      <c r="P34" s="244">
        <f t="shared" si="97"/>
        <v>1.7009310253171392E-10</v>
      </c>
      <c r="Q34" s="94">
        <v>4</v>
      </c>
      <c r="R34" s="109" t="s">
        <v>483</v>
      </c>
      <c r="S34" s="244">
        <v>0.54</v>
      </c>
      <c r="AE34" s="94"/>
      <c r="AH34" s="94"/>
      <c r="AI34" s="109">
        <v>1.3986E-2</v>
      </c>
      <c r="AJ34" s="245">
        <v>7.91141E-11</v>
      </c>
      <c r="AL34" s="94"/>
      <c r="AM34" s="109">
        <f t="shared" ref="AM34:AM37" si="105">AI34*G34^2</f>
        <v>1.550893554E-23</v>
      </c>
      <c r="AN34" s="91">
        <f t="shared" ref="AN34:AN37" si="106">LOG10(AM34)</f>
        <v>-22.809418009083139</v>
      </c>
      <c r="AQ34" s="94"/>
      <c r="AS34" s="94"/>
      <c r="AT34" s="241"/>
      <c r="AV34" s="157"/>
    </row>
    <row r="35" spans="1:48" s="109" customFormat="1">
      <c r="A35" s="264"/>
      <c r="B35" s="94"/>
      <c r="C35" s="109">
        <v>300</v>
      </c>
      <c r="D35" s="109">
        <v>300</v>
      </c>
      <c r="E35" s="109">
        <v>3</v>
      </c>
      <c r="F35" s="94">
        <f t="shared" si="100"/>
        <v>100</v>
      </c>
      <c r="G35" s="260">
        <v>3.3299999999999997E-11</v>
      </c>
      <c r="H35" s="109">
        <f t="shared" si="103"/>
        <v>9.9899999999999984</v>
      </c>
      <c r="I35" s="94">
        <f t="shared" si="104"/>
        <v>9.9899999999999989E-2</v>
      </c>
      <c r="J35" s="109">
        <v>1000</v>
      </c>
      <c r="K35" s="94">
        <v>4.629629629629629E-17</v>
      </c>
      <c r="L35" s="109">
        <v>2</v>
      </c>
      <c r="M35" s="109">
        <v>2</v>
      </c>
      <c r="N35" s="109" t="s">
        <v>20</v>
      </c>
      <c r="O35" s="109">
        <v>88000</v>
      </c>
      <c r="P35" s="244">
        <f t="shared" si="97"/>
        <v>1.7009310253171392E-10</v>
      </c>
      <c r="Q35" s="94">
        <v>6</v>
      </c>
      <c r="R35" s="109" t="s">
        <v>484</v>
      </c>
      <c r="S35" s="244">
        <v>0.624</v>
      </c>
      <c r="AE35" s="94"/>
      <c r="AH35" s="94"/>
      <c r="AL35" s="94"/>
      <c r="AM35" s="109">
        <f t="shared" si="105"/>
        <v>0</v>
      </c>
      <c r="AN35" s="91" t="e">
        <f t="shared" si="106"/>
        <v>#NUM!</v>
      </c>
      <c r="AQ35" s="94"/>
      <c r="AS35" s="94"/>
      <c r="AT35" s="241"/>
      <c r="AV35" s="157"/>
    </row>
    <row r="36" spans="1:48" s="109" customFormat="1">
      <c r="A36" s="264"/>
      <c r="B36" s="94"/>
      <c r="C36" s="109">
        <v>300</v>
      </c>
      <c r="D36" s="109">
        <v>300</v>
      </c>
      <c r="E36" s="109">
        <v>3</v>
      </c>
      <c r="F36" s="94">
        <f t="shared" si="100"/>
        <v>100</v>
      </c>
      <c r="G36" s="260">
        <v>3.3299999999999997E-11</v>
      </c>
      <c r="H36" s="109">
        <f t="shared" si="103"/>
        <v>9.9899999999999984</v>
      </c>
      <c r="I36" s="94">
        <f t="shared" si="104"/>
        <v>9.9899999999999989E-2</v>
      </c>
      <c r="J36" s="109">
        <v>1000</v>
      </c>
      <c r="K36" s="94">
        <v>4.629629629629629E-17</v>
      </c>
      <c r="L36" s="109">
        <v>2</v>
      </c>
      <c r="M36" s="109">
        <v>2</v>
      </c>
      <c r="N36" s="109" t="s">
        <v>20</v>
      </c>
      <c r="O36" s="109">
        <v>88000</v>
      </c>
      <c r="P36" s="244">
        <f t="shared" si="97"/>
        <v>1.7009310253171392E-10</v>
      </c>
      <c r="Q36" s="94">
        <v>8</v>
      </c>
      <c r="R36" s="109" t="s">
        <v>485</v>
      </c>
      <c r="S36" s="244">
        <v>0.68300000000000005</v>
      </c>
      <c r="AE36" s="94"/>
      <c r="AH36" s="94"/>
      <c r="AI36" s="109">
        <v>9.4148200000000001E-2</v>
      </c>
      <c r="AJ36" s="109">
        <v>3.6869900000000002E-10</v>
      </c>
      <c r="AL36" s="94"/>
      <c r="AM36" s="109">
        <f t="shared" si="105"/>
        <v>1.04399997498E-22</v>
      </c>
      <c r="AN36" s="91">
        <f t="shared" si="106"/>
        <v>-21.981299511741849</v>
      </c>
      <c r="AQ36" s="94"/>
      <c r="AS36" s="94"/>
      <c r="AT36" s="241"/>
      <c r="AV36" s="157"/>
    </row>
    <row r="37" spans="1:48" s="246" customFormat="1" ht="16.5" thickBot="1">
      <c r="A37" s="265"/>
      <c r="B37" s="111"/>
      <c r="C37" s="246">
        <v>300</v>
      </c>
      <c r="D37" s="246">
        <v>300</v>
      </c>
      <c r="E37" s="246">
        <v>3</v>
      </c>
      <c r="F37" s="111">
        <f t="shared" si="100"/>
        <v>100</v>
      </c>
      <c r="G37" s="260">
        <v>3.3299999999999997E-11</v>
      </c>
      <c r="H37" s="109">
        <f t="shared" si="103"/>
        <v>9.9899999999999984</v>
      </c>
      <c r="I37" s="94">
        <f t="shared" si="104"/>
        <v>9.9899999999999989E-2</v>
      </c>
      <c r="J37" s="109">
        <v>1000</v>
      </c>
      <c r="K37" s="94">
        <v>4.629629629629629E-17</v>
      </c>
      <c r="L37" s="109">
        <v>2</v>
      </c>
      <c r="M37" s="109">
        <v>2</v>
      </c>
      <c r="N37" s="109" t="s">
        <v>20</v>
      </c>
      <c r="O37" s="109">
        <v>88000</v>
      </c>
      <c r="P37" s="244">
        <f t="shared" si="97"/>
        <v>1.7009310253171392E-10</v>
      </c>
      <c r="Q37" s="111">
        <v>12</v>
      </c>
      <c r="R37" s="246" t="s">
        <v>486</v>
      </c>
      <c r="S37" s="250">
        <v>0.76</v>
      </c>
      <c r="AE37" s="111"/>
      <c r="AH37" s="94"/>
      <c r="AL37" s="111"/>
      <c r="AM37" s="109">
        <f t="shared" si="105"/>
        <v>0</v>
      </c>
      <c r="AN37" s="91" t="e">
        <f t="shared" si="106"/>
        <v>#NUM!</v>
      </c>
      <c r="AQ37" s="111"/>
      <c r="AS37" s="111"/>
      <c r="AT37" s="247"/>
      <c r="AV37" s="157"/>
    </row>
    <row r="38" spans="1:48">
      <c r="AG38" s="10"/>
      <c r="AM38" s="10"/>
    </row>
    <row r="39" spans="1:48">
      <c r="AG39" s="10"/>
    </row>
    <row r="40" spans="1:48">
      <c r="AG40" s="10"/>
    </row>
    <row r="41" spans="1:48">
      <c r="AG41" s="10"/>
    </row>
    <row r="42" spans="1:48">
      <c r="AG42" s="10"/>
    </row>
    <row r="43" spans="1:48">
      <c r="AG43" s="10"/>
    </row>
    <row r="44" spans="1:48">
      <c r="AG44" s="10"/>
    </row>
    <row r="45" spans="1:48">
      <c r="AG45" s="10"/>
    </row>
    <row r="46" spans="1:48">
      <c r="AG46" s="10"/>
    </row>
    <row r="47" spans="1:48">
      <c r="AG47" s="10"/>
    </row>
    <row r="48" spans="1:48">
      <c r="AG48" s="10"/>
    </row>
    <row r="49" spans="33:33">
      <c r="AG49" s="10"/>
    </row>
    <row r="50" spans="33:33">
      <c r="AG50" s="10"/>
    </row>
    <row r="51" spans="33:33">
      <c r="AG51" s="10"/>
    </row>
    <row r="52" spans="33:33">
      <c r="AG52" s="10"/>
    </row>
    <row r="53" spans="33:33">
      <c r="AG53" s="10"/>
    </row>
    <row r="54" spans="33:33">
      <c r="AG54" s="10"/>
    </row>
    <row r="55" spans="33:33">
      <c r="AG55" s="10"/>
    </row>
    <row r="56" spans="33:33">
      <c r="AG56" s="10"/>
    </row>
    <row r="57" spans="33:33">
      <c r="AG57" s="10"/>
    </row>
    <row r="58" spans="33:33">
      <c r="AG58" s="10"/>
    </row>
    <row r="59" spans="33:33">
      <c r="AG59" s="10"/>
    </row>
    <row r="60" spans="33:33">
      <c r="AG60" s="10"/>
    </row>
    <row r="61" spans="33:33">
      <c r="AG61" s="10"/>
    </row>
    <row r="62" spans="33:33">
      <c r="AG62" s="10"/>
    </row>
    <row r="63" spans="33:33">
      <c r="AG63" s="10"/>
    </row>
    <row r="64" spans="33:33">
      <c r="AG64" s="10"/>
    </row>
    <row r="65" spans="33:33">
      <c r="AG65" s="10"/>
    </row>
    <row r="66" spans="33:33">
      <c r="AG66" s="10"/>
    </row>
    <row r="67" spans="33:33">
      <c r="AG67" s="10"/>
    </row>
    <row r="68" spans="33:33">
      <c r="AG68" s="10"/>
    </row>
    <row r="69" spans="33:33">
      <c r="AG69" s="10"/>
    </row>
    <row r="70" spans="33:33">
      <c r="AG70" s="10"/>
    </row>
    <row r="71" spans="33:33">
      <c r="AG71" s="10"/>
    </row>
    <row r="72" spans="33:33">
      <c r="AG72" s="10"/>
    </row>
    <row r="73" spans="33:33">
      <c r="AG73" s="10"/>
    </row>
    <row r="74" spans="33:33">
      <c r="AG74" s="10"/>
    </row>
    <row r="75" spans="33:33">
      <c r="AG75" s="10"/>
    </row>
    <row r="76" spans="33:33">
      <c r="AG76" s="10"/>
    </row>
    <row r="77" spans="33:33">
      <c r="AG77" s="10"/>
    </row>
    <row r="78" spans="33:33">
      <c r="AG78" s="10"/>
    </row>
    <row r="79" spans="33:33">
      <c r="AG79" s="10"/>
    </row>
    <row r="80" spans="33:33">
      <c r="AG80" s="10"/>
    </row>
    <row r="81" spans="33:33">
      <c r="AG81" s="10"/>
    </row>
    <row r="82" spans="33:33">
      <c r="AG82" s="10"/>
    </row>
    <row r="83" spans="33:33">
      <c r="AG83" s="10"/>
    </row>
    <row r="84" spans="33:33">
      <c r="AG84" s="10"/>
    </row>
    <row r="85" spans="33:33">
      <c r="AG85" s="10"/>
    </row>
    <row r="86" spans="33:33">
      <c r="AG86" s="10"/>
    </row>
    <row r="87" spans="33:33">
      <c r="AG87" s="10"/>
    </row>
    <row r="88" spans="33:33">
      <c r="AG88" s="10"/>
    </row>
    <row r="89" spans="33:33">
      <c r="AG89" s="10"/>
    </row>
    <row r="90" spans="33:33">
      <c r="AG90" s="10"/>
    </row>
    <row r="91" spans="33:33">
      <c r="AG91" s="10"/>
    </row>
    <row r="92" spans="33:33">
      <c r="AG92" s="10"/>
    </row>
    <row r="93" spans="33:33">
      <c r="AG93" s="10"/>
    </row>
    <row r="94" spans="33:33">
      <c r="AG94" s="10"/>
    </row>
    <row r="95" spans="33:33">
      <c r="AG95" s="10"/>
    </row>
    <row r="96" spans="33:33">
      <c r="AG96" s="10"/>
    </row>
    <row r="97" spans="33:33">
      <c r="AG97" s="10"/>
    </row>
    <row r="98" spans="33:33">
      <c r="AG98" s="10"/>
    </row>
    <row r="99" spans="33:33">
      <c r="AG99" s="10"/>
    </row>
    <row r="100" spans="33:33">
      <c r="AG100" s="10"/>
    </row>
    <row r="101" spans="33:33">
      <c r="AG101" s="10"/>
    </row>
    <row r="102" spans="33:33">
      <c r="AG102" s="10"/>
    </row>
    <row r="103" spans="33:33">
      <c r="AG103" s="10"/>
    </row>
    <row r="104" spans="33:33">
      <c r="AG104" s="10"/>
    </row>
    <row r="105" spans="33:33">
      <c r="AG105" s="10"/>
    </row>
    <row r="106" spans="33:33">
      <c r="AG106" s="10"/>
    </row>
    <row r="107" spans="33:33">
      <c r="AG107" s="10"/>
    </row>
    <row r="108" spans="33:33">
      <c r="AG108" s="10"/>
    </row>
    <row r="109" spans="33:33">
      <c r="AG109" s="10"/>
    </row>
    <row r="110" spans="33:33">
      <c r="AG110" s="10"/>
    </row>
    <row r="111" spans="33:33">
      <c r="AG111" s="10"/>
    </row>
    <row r="112" spans="33:33">
      <c r="AG112" s="10"/>
    </row>
    <row r="113" spans="33:33">
      <c r="AG113" s="10"/>
    </row>
    <row r="114" spans="33:33">
      <c r="AG114" s="10"/>
    </row>
    <row r="115" spans="33:33">
      <c r="AG115" s="10"/>
    </row>
    <row r="116" spans="33:33">
      <c r="AG116" s="10"/>
    </row>
    <row r="117" spans="33:33">
      <c r="AG117" s="10"/>
    </row>
    <row r="118" spans="33:33">
      <c r="AG118" s="10"/>
    </row>
    <row r="119" spans="33:33">
      <c r="AG119" s="10"/>
    </row>
    <row r="120" spans="33:33">
      <c r="AG120" s="10"/>
    </row>
    <row r="121" spans="33:33">
      <c r="AG121" s="10"/>
    </row>
    <row r="122" spans="33:33">
      <c r="AG122" s="10"/>
    </row>
    <row r="123" spans="33:33">
      <c r="AG123" s="10"/>
    </row>
    <row r="124" spans="33:33">
      <c r="AG124" s="10"/>
    </row>
    <row r="125" spans="33:33">
      <c r="AG125" s="10"/>
    </row>
    <row r="126" spans="33:33">
      <c r="AG126" s="10"/>
    </row>
    <row r="127" spans="33:33">
      <c r="AG127" s="10"/>
    </row>
    <row r="128" spans="33:33">
      <c r="AG128" s="10"/>
    </row>
    <row r="129" spans="33:33">
      <c r="AG129" s="10"/>
    </row>
    <row r="130" spans="33:33">
      <c r="AG130" s="10"/>
    </row>
    <row r="131" spans="33:33">
      <c r="AG131" s="10"/>
    </row>
    <row r="132" spans="33:33">
      <c r="AG132" s="10"/>
    </row>
    <row r="133" spans="33:33">
      <c r="AG133" s="10"/>
    </row>
    <row r="134" spans="33:33">
      <c r="AG134" s="10"/>
    </row>
    <row r="135" spans="33:33">
      <c r="AG135" s="10"/>
    </row>
    <row r="136" spans="33:33">
      <c r="AG136" s="10"/>
    </row>
    <row r="137" spans="33:33">
      <c r="AG137" s="10"/>
    </row>
    <row r="138" spans="33:33">
      <c r="AG138" s="10"/>
    </row>
    <row r="139" spans="33:33">
      <c r="AG139" s="10"/>
    </row>
    <row r="140" spans="33:33">
      <c r="AG140" s="10"/>
    </row>
    <row r="141" spans="33:33">
      <c r="AG141" s="10"/>
    </row>
    <row r="142" spans="33:33">
      <c r="AG142" s="10"/>
    </row>
    <row r="143" spans="33:33">
      <c r="AG143" s="10"/>
    </row>
    <row r="144" spans="33:33">
      <c r="AG144" s="10"/>
    </row>
    <row r="145" spans="33:33">
      <c r="AG145" s="10"/>
    </row>
    <row r="146" spans="33:33">
      <c r="AG146" s="10"/>
    </row>
    <row r="147" spans="33:33">
      <c r="AG147" s="10"/>
    </row>
    <row r="148" spans="33:33">
      <c r="AG148" s="10"/>
    </row>
    <row r="149" spans="33:33">
      <c r="AG149" s="10"/>
    </row>
    <row r="150" spans="33:33">
      <c r="AG150" s="10"/>
    </row>
    <row r="151" spans="33:33">
      <c r="AG151" s="10"/>
    </row>
    <row r="152" spans="33:33">
      <c r="AG152" s="10"/>
    </row>
    <row r="153" spans="33:33">
      <c r="AG153" s="10"/>
    </row>
    <row r="154" spans="33:33">
      <c r="AG154" s="10"/>
    </row>
    <row r="155" spans="33:33">
      <c r="AG155" s="10"/>
    </row>
    <row r="156" spans="33:33">
      <c r="AG156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LBM Large Plates</vt:lpstr>
      <vt:lpstr>AR2</vt:lpstr>
      <vt:lpstr>OR2</vt:lpstr>
      <vt:lpstr>OR</vt:lpstr>
      <vt:lpstr>Aspect_Ratio_Compaction</vt:lpstr>
      <vt:lpstr>consistency</vt:lpstr>
      <vt:lpstr>Fracture_analysis</vt:lpstr>
      <vt:lpstr>Unit Conversion 2</vt:lpstr>
      <vt:lpstr>lbm_smectite</vt:lpstr>
      <vt:lpstr>lbm_kaolinite</vt:lpstr>
      <vt:lpstr>end_members</vt:lpstr>
      <vt:lpstr>k compare</vt:lpstr>
      <vt:lpstr>SA Calculations</vt:lpstr>
      <vt:lpstr>YA Analysis</vt:lpstr>
      <vt:lpstr>T compare</vt:lpstr>
      <vt:lpstr>LBM Spheres Dilation</vt:lpstr>
      <vt:lpstr>single bed</vt:lpstr>
      <vt:lpstr>LBM_Plates</vt:lpstr>
      <vt:lpstr>LBM_Spheres</vt:lpstr>
      <vt:lpstr>Unit Conversion</vt:lpstr>
    </vt:vector>
  </TitlesOfParts>
  <Company>Rice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cp:lastPrinted>2016-02-16T17:29:28Z</cp:lastPrinted>
  <dcterms:created xsi:type="dcterms:W3CDTF">2016-02-16T17:00:18Z</dcterms:created>
  <dcterms:modified xsi:type="dcterms:W3CDTF">2018-10-15T21:20:47Z</dcterms:modified>
</cp:coreProperties>
</file>