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LB_WRR_REVISIONS\"/>
    </mc:Choice>
  </mc:AlternateContent>
  <xr:revisionPtr revIDLastSave="0" documentId="13_ncr:1_{C29E124C-7958-462E-8F9D-E8B9D46E4963}" xr6:coauthVersionLast="36" xr6:coauthVersionMax="36" xr10:uidLastSave="{00000000-0000-0000-0000-000000000000}"/>
  <bookViews>
    <workbookView xWindow="0" yWindow="0" windowWidth="20490" windowHeight="7545" firstSheet="5" activeTab="11" xr2:uid="{B354FC0D-5F7C-470D-8CC2-6C2D0DB1E39F}"/>
  </bookViews>
  <sheets>
    <sheet name="CRS015B" sheetId="1" r:id="rId1"/>
    <sheet name="CRS799" sheetId="2" r:id="rId2"/>
    <sheet name="min_sizes" sheetId="3" r:id="rId3"/>
    <sheet name="min_sizes _sims" sheetId="6" r:id="rId4"/>
    <sheet name="crs799_calibration" sheetId="5" r:id="rId5"/>
    <sheet name="data" sheetId="4" r:id="rId6"/>
    <sheet name="data2" sheetId="8" r:id="rId7"/>
    <sheet name="data3" sheetId="11" r:id="rId8"/>
    <sheet name="data2_consistency" sheetId="9" r:id="rId9"/>
    <sheet name="PLOT_DATA" sheetId="10" r:id="rId10"/>
    <sheet name="PLOT_DATA2" sheetId="12" r:id="rId11"/>
    <sheet name="PLOT_DATA3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4" i="9" l="1"/>
  <c r="AD14" i="9" s="1"/>
  <c r="AF14" i="9"/>
  <c r="AC15" i="9"/>
  <c r="AD15" i="9" s="1"/>
  <c r="AF15" i="9"/>
  <c r="AC16" i="9"/>
  <c r="AD16" i="9" s="1"/>
  <c r="AF16" i="9"/>
  <c r="AC17" i="9"/>
  <c r="AD17" i="9" s="1"/>
  <c r="AF17" i="9"/>
  <c r="AF13" i="9"/>
  <c r="AC13" i="9"/>
  <c r="AI13" i="9" s="1"/>
  <c r="AC5" i="9"/>
  <c r="AD5" i="9" s="1"/>
  <c r="AF5" i="9"/>
  <c r="AI5" i="9"/>
  <c r="AC6" i="9"/>
  <c r="AD6" i="9" s="1"/>
  <c r="AF6" i="9"/>
  <c r="AC7" i="9"/>
  <c r="AD7" i="9" s="1"/>
  <c r="AF7" i="9"/>
  <c r="AC8" i="9"/>
  <c r="AD8" i="9" s="1"/>
  <c r="AF8" i="9"/>
  <c r="AF4" i="9"/>
  <c r="AC4" i="9"/>
  <c r="AI4" i="9" s="1"/>
  <c r="AB14" i="9"/>
  <c r="AB15" i="9"/>
  <c r="AB16" i="9"/>
  <c r="AB17" i="9"/>
  <c r="AB13" i="9"/>
  <c r="AB5" i="9"/>
  <c r="AB6" i="9"/>
  <c r="AB7" i="9"/>
  <c r="AB8" i="9"/>
  <c r="AB4" i="9"/>
  <c r="AI17" i="9" l="1"/>
  <c r="AE17" i="9"/>
  <c r="AG17" i="9" s="1"/>
  <c r="AI16" i="9"/>
  <c r="AE16" i="9"/>
  <c r="AG16" i="9" s="1"/>
  <c r="AI15" i="9"/>
  <c r="AE15" i="9"/>
  <c r="AG15" i="9" s="1"/>
  <c r="AI14" i="9"/>
  <c r="AE14" i="9"/>
  <c r="AG14" i="9" s="1"/>
  <c r="AH17" i="9"/>
  <c r="AJ17" i="9" s="1"/>
  <c r="AH16" i="9"/>
  <c r="AJ16" i="9" s="1"/>
  <c r="AH15" i="9"/>
  <c r="AJ15" i="9" s="1"/>
  <c r="AH14" i="9"/>
  <c r="AJ14" i="9" s="1"/>
  <c r="AH13" i="9"/>
  <c r="AJ13" i="9" s="1"/>
  <c r="AD13" i="9"/>
  <c r="AE13" i="9"/>
  <c r="AG7" i="9"/>
  <c r="AG5" i="9"/>
  <c r="AE5" i="9"/>
  <c r="AI8" i="9"/>
  <c r="AE8" i="9"/>
  <c r="AG8" i="9" s="1"/>
  <c r="AI7" i="9"/>
  <c r="AE7" i="9"/>
  <c r="AI6" i="9"/>
  <c r="AE6" i="9"/>
  <c r="AG6" i="9" s="1"/>
  <c r="AH8" i="9"/>
  <c r="AJ8" i="9" s="1"/>
  <c r="AH7" i="9"/>
  <c r="AH6" i="9"/>
  <c r="AJ6" i="9" s="1"/>
  <c r="AH5" i="9"/>
  <c r="AJ5" i="9" s="1"/>
  <c r="AD4" i="9"/>
  <c r="AH4" i="9"/>
  <c r="AJ4" i="9" s="1"/>
  <c r="AE4" i="9"/>
  <c r="AX11" i="11"/>
  <c r="AP11" i="11"/>
  <c r="AQ11" i="11" s="1"/>
  <c r="AD11" i="11"/>
  <c r="AC11" i="11"/>
  <c r="Z11" i="11"/>
  <c r="U11" i="11"/>
  <c r="Y11" i="11" s="1"/>
  <c r="T11" i="11"/>
  <c r="AB11" i="11" s="1"/>
  <c r="S11" i="11"/>
  <c r="W11" i="11" s="1"/>
  <c r="X11" i="11" s="1"/>
  <c r="R11" i="11"/>
  <c r="I11" i="11"/>
  <c r="AX10" i="11"/>
  <c r="AW10" i="11"/>
  <c r="AV10" i="11"/>
  <c r="AU10" i="11"/>
  <c r="AT10" i="11"/>
  <c r="AS10" i="11"/>
  <c r="AR10" i="11"/>
  <c r="AP10" i="11"/>
  <c r="AQ10" i="11" s="1"/>
  <c r="AD10" i="11"/>
  <c r="AC10" i="11"/>
  <c r="U10" i="11"/>
  <c r="Y10" i="11" s="1"/>
  <c r="T10" i="11"/>
  <c r="S10" i="11"/>
  <c r="W10" i="11" s="1"/>
  <c r="X10" i="11" s="1"/>
  <c r="R10" i="11"/>
  <c r="AA10" i="11" s="1"/>
  <c r="I10" i="11"/>
  <c r="AX9" i="11"/>
  <c r="AW9" i="11"/>
  <c r="AV9" i="11"/>
  <c r="AU9" i="11"/>
  <c r="AT9" i="11"/>
  <c r="AS9" i="11"/>
  <c r="AR9" i="11"/>
  <c r="AQ9" i="11"/>
  <c r="AP9" i="11"/>
  <c r="AD9" i="11"/>
  <c r="AC9" i="11"/>
  <c r="Z9" i="11"/>
  <c r="U9" i="11"/>
  <c r="Y9" i="11" s="1"/>
  <c r="T9" i="11"/>
  <c r="AA9" i="11" s="1"/>
  <c r="S9" i="11"/>
  <c r="AB9" i="11" s="1"/>
  <c r="R9" i="11"/>
  <c r="I9" i="11"/>
  <c r="AX8" i="11"/>
  <c r="AW8" i="11"/>
  <c r="AV8" i="11"/>
  <c r="AU8" i="11"/>
  <c r="AT8" i="11"/>
  <c r="AS8" i="11"/>
  <c r="AR8" i="11"/>
  <c r="AQ8" i="11"/>
  <c r="AP8" i="11"/>
  <c r="AD8" i="11"/>
  <c r="AC8" i="11"/>
  <c r="U8" i="11"/>
  <c r="Y8" i="11" s="1"/>
  <c r="T8" i="11"/>
  <c r="S8" i="11"/>
  <c r="W8" i="11" s="1"/>
  <c r="X8" i="11" s="1"/>
  <c r="R8" i="11"/>
  <c r="AA8" i="11" s="1"/>
  <c r="I8" i="11"/>
  <c r="AX7" i="11"/>
  <c r="AW7" i="11"/>
  <c r="AV7" i="11"/>
  <c r="AU7" i="11"/>
  <c r="AT7" i="11"/>
  <c r="AS7" i="11"/>
  <c r="AR7" i="11"/>
  <c r="AQ7" i="11"/>
  <c r="AP7" i="11"/>
  <c r="AD7" i="11"/>
  <c r="AC7" i="11"/>
  <c r="Z7" i="11"/>
  <c r="U7" i="11"/>
  <c r="Y7" i="11" s="1"/>
  <c r="T7" i="11"/>
  <c r="AA7" i="11" s="1"/>
  <c r="S7" i="11"/>
  <c r="AB7" i="11" s="1"/>
  <c r="R7" i="11"/>
  <c r="I7" i="11"/>
  <c r="AX6" i="11"/>
  <c r="AW6" i="11"/>
  <c r="AV6" i="11"/>
  <c r="AU6" i="11"/>
  <c r="AT6" i="11"/>
  <c r="AS6" i="11"/>
  <c r="AR6" i="11"/>
  <c r="AQ6" i="11"/>
  <c r="AP6" i="11"/>
  <c r="AD6" i="11"/>
  <c r="AC6" i="11"/>
  <c r="U6" i="11"/>
  <c r="Y6" i="11" s="1"/>
  <c r="T6" i="11"/>
  <c r="S6" i="11"/>
  <c r="W6" i="11" s="1"/>
  <c r="X6" i="11" s="1"/>
  <c r="R6" i="11"/>
  <c r="AA6" i="11" s="1"/>
  <c r="I6" i="11"/>
  <c r="AX5" i="11"/>
  <c r="AW5" i="11"/>
  <c r="AV5" i="11"/>
  <c r="AU5" i="11"/>
  <c r="AT5" i="11"/>
  <c r="AS5" i="11"/>
  <c r="AR5" i="11"/>
  <c r="AQ5" i="11"/>
  <c r="AP5" i="11"/>
  <c r="AD5" i="11"/>
  <c r="AC5" i="11"/>
  <c r="Z5" i="11"/>
  <c r="U5" i="11"/>
  <c r="Y5" i="11" s="1"/>
  <c r="T5" i="11"/>
  <c r="AA5" i="11" s="1"/>
  <c r="S5" i="11"/>
  <c r="AB5" i="11" s="1"/>
  <c r="R5" i="11"/>
  <c r="I5" i="11"/>
  <c r="AX4" i="11"/>
  <c r="AW4" i="11"/>
  <c r="AV4" i="11"/>
  <c r="AU4" i="11"/>
  <c r="AT4" i="11"/>
  <c r="AS4" i="11"/>
  <c r="AR4" i="11"/>
  <c r="AQ4" i="11"/>
  <c r="AP4" i="11"/>
  <c r="AD4" i="11"/>
  <c r="AC4" i="11"/>
  <c r="U4" i="11"/>
  <c r="Y4" i="11" s="1"/>
  <c r="T4" i="11"/>
  <c r="AA4" i="11" s="1"/>
  <c r="S4" i="11"/>
  <c r="W4" i="11" s="1"/>
  <c r="X4" i="11" s="1"/>
  <c r="R4" i="11"/>
  <c r="I4" i="11"/>
  <c r="AX3" i="11"/>
  <c r="AW3" i="11"/>
  <c r="AV3" i="11"/>
  <c r="AU3" i="11"/>
  <c r="AT3" i="11"/>
  <c r="AS3" i="11"/>
  <c r="AR3" i="11"/>
  <c r="AQ3" i="11"/>
  <c r="AP3" i="11"/>
  <c r="AD3" i="11"/>
  <c r="AC3" i="11"/>
  <c r="Z3" i="11"/>
  <c r="U3" i="11"/>
  <c r="Y3" i="11" s="1"/>
  <c r="T3" i="11"/>
  <c r="AA3" i="11" s="1"/>
  <c r="S3" i="11"/>
  <c r="AB3" i="11" s="1"/>
  <c r="R3" i="11"/>
  <c r="I3" i="11"/>
  <c r="AX2" i="11"/>
  <c r="AW2" i="11"/>
  <c r="AV2" i="11"/>
  <c r="AU2" i="11"/>
  <c r="AT2" i="11"/>
  <c r="AS2" i="11"/>
  <c r="AR2" i="11"/>
  <c r="AQ2" i="11"/>
  <c r="AP2" i="11"/>
  <c r="AI2" i="11"/>
  <c r="AC2" i="11"/>
  <c r="AD2" i="11" s="1"/>
  <c r="Y2" i="11"/>
  <c r="W2" i="11"/>
  <c r="X2" i="11" s="1"/>
  <c r="U2" i="11"/>
  <c r="T2" i="11"/>
  <c r="AB2" i="11" s="1"/>
  <c r="S2" i="11"/>
  <c r="Z2" i="11" s="1"/>
  <c r="R2" i="11"/>
  <c r="I2" i="11"/>
  <c r="AG13" i="9" l="1"/>
  <c r="AJ7" i="9"/>
  <c r="AG4" i="9"/>
  <c r="AB6" i="11"/>
  <c r="AB10" i="11"/>
  <c r="W3" i="11"/>
  <c r="X3" i="11" s="1"/>
  <c r="W5" i="11"/>
  <c r="X5" i="11" s="1"/>
  <c r="W7" i="11"/>
  <c r="X7" i="11" s="1"/>
  <c r="W9" i="11"/>
  <c r="X9" i="11" s="1"/>
  <c r="AA11" i="11"/>
  <c r="AB4" i="11"/>
  <c r="AA2" i="11"/>
  <c r="Z4" i="11"/>
  <c r="Z6" i="11"/>
  <c r="Z8" i="11"/>
  <c r="Z10" i="11"/>
  <c r="AB8" i="11"/>
  <c r="Y16" i="9"/>
  <c r="R16" i="9" s="1"/>
  <c r="Y17" i="9"/>
  <c r="R17" i="9" s="1"/>
  <c r="K16" i="9"/>
  <c r="M16" i="9" s="1"/>
  <c r="K17" i="9"/>
  <c r="L17" i="9" s="1"/>
  <c r="H16" i="9"/>
  <c r="H17" i="9"/>
  <c r="C16" i="9"/>
  <c r="D16" i="9"/>
  <c r="C17" i="9"/>
  <c r="D17" i="9"/>
  <c r="AP11" i="8"/>
  <c r="AQ11" i="8" s="1"/>
  <c r="AX11" i="8"/>
  <c r="L16" i="9" l="1"/>
  <c r="Z16" i="9"/>
  <c r="O16" i="9"/>
  <c r="M17" i="9"/>
  <c r="O17" i="9"/>
  <c r="Z17" i="9"/>
  <c r="P17" i="9"/>
  <c r="V17" i="9"/>
  <c r="W17" i="9"/>
  <c r="X17" i="9"/>
  <c r="S17" i="9"/>
  <c r="V16" i="9"/>
  <c r="P16" i="9"/>
  <c r="S16" i="9"/>
  <c r="X16" i="9"/>
  <c r="W16" i="9"/>
  <c r="AP7" i="8"/>
  <c r="AP8" i="8"/>
  <c r="AP9" i="8"/>
  <c r="AP10" i="8"/>
  <c r="AC11" i="8" l="1"/>
  <c r="AD11" i="8" s="1"/>
  <c r="R11" i="8"/>
  <c r="U11" i="8"/>
  <c r="Y11" i="8" s="1"/>
  <c r="T11" i="8"/>
  <c r="S11" i="8"/>
  <c r="I11" i="8"/>
  <c r="Y15" i="9"/>
  <c r="Z15" i="9" s="1"/>
  <c r="K15" i="9"/>
  <c r="L15" i="9" s="1"/>
  <c r="H15" i="9"/>
  <c r="D15" i="9"/>
  <c r="C15" i="9"/>
  <c r="Y14" i="9"/>
  <c r="R14" i="9" s="1"/>
  <c r="S14" i="9" s="1"/>
  <c r="K14" i="9"/>
  <c r="M14" i="9" s="1"/>
  <c r="H14" i="9"/>
  <c r="D14" i="9"/>
  <c r="C14" i="9"/>
  <c r="Y13" i="9"/>
  <c r="R13" i="9" s="1"/>
  <c r="K13" i="9"/>
  <c r="L13" i="9" s="1"/>
  <c r="H13" i="9"/>
  <c r="D13" i="9"/>
  <c r="C13" i="9"/>
  <c r="AB11" i="8" l="1"/>
  <c r="AA11" i="8"/>
  <c r="M13" i="9"/>
  <c r="O13" i="9"/>
  <c r="Z11" i="8"/>
  <c r="R15" i="9"/>
  <c r="W15" i="9" s="1"/>
  <c r="W11" i="8"/>
  <c r="X11" i="8" s="1"/>
  <c r="Z14" i="9"/>
  <c r="V14" i="9"/>
  <c r="W14" i="9"/>
  <c r="O14" i="9"/>
  <c r="V13" i="9"/>
  <c r="X13" i="9"/>
  <c r="W13" i="9"/>
  <c r="S13" i="9"/>
  <c r="P13" i="9"/>
  <c r="L14" i="9"/>
  <c r="X14" i="9"/>
  <c r="M15" i="9"/>
  <c r="S15" i="9"/>
  <c r="Z13" i="9"/>
  <c r="P14" i="9"/>
  <c r="O15" i="9"/>
  <c r="V15" i="9"/>
  <c r="D5" i="9"/>
  <c r="D6" i="9"/>
  <c r="D7" i="9"/>
  <c r="D8" i="9"/>
  <c r="D4" i="9"/>
  <c r="C5" i="9"/>
  <c r="C6" i="9"/>
  <c r="C7" i="9"/>
  <c r="C8" i="9"/>
  <c r="C4" i="9"/>
  <c r="K4" i="9"/>
  <c r="L4" i="9" s="1"/>
  <c r="H5" i="9"/>
  <c r="H6" i="9"/>
  <c r="H7" i="9"/>
  <c r="H8" i="9"/>
  <c r="H4" i="9"/>
  <c r="Y4" i="9"/>
  <c r="Z4" i="9" s="1"/>
  <c r="K5" i="9"/>
  <c r="L5" i="9" s="1"/>
  <c r="Y5" i="9"/>
  <c r="R5" i="9" s="1"/>
  <c r="K6" i="9"/>
  <c r="L6" i="9" s="1"/>
  <c r="Y6" i="9"/>
  <c r="R6" i="9" s="1"/>
  <c r="K7" i="9"/>
  <c r="L7" i="9" s="1"/>
  <c r="Y7" i="9"/>
  <c r="R7" i="9" s="1"/>
  <c r="Y8" i="9"/>
  <c r="R8" i="9" s="1"/>
  <c r="K8" i="9"/>
  <c r="L8" i="9" s="1"/>
  <c r="AX10" i="8"/>
  <c r="AW10" i="8"/>
  <c r="AV10" i="8"/>
  <c r="AT10" i="8"/>
  <c r="AU10" i="8" s="1"/>
  <c r="AR10" i="8"/>
  <c r="AS10" i="8" s="1"/>
  <c r="AQ10" i="8"/>
  <c r="AC10" i="8"/>
  <c r="AD10" i="8" s="1"/>
  <c r="U10" i="8"/>
  <c r="Y10" i="8" s="1"/>
  <c r="T10" i="8"/>
  <c r="S10" i="8"/>
  <c r="W10" i="8" s="1"/>
  <c r="X10" i="8" s="1"/>
  <c r="R10" i="8"/>
  <c r="I10" i="8"/>
  <c r="AX9" i="8"/>
  <c r="AW9" i="8"/>
  <c r="AV9" i="8"/>
  <c r="AT9" i="8"/>
  <c r="AU9" i="8" s="1"/>
  <c r="AR9" i="8"/>
  <c r="AS9" i="8" s="1"/>
  <c r="AQ9" i="8"/>
  <c r="AC9" i="8"/>
  <c r="AD9" i="8" s="1"/>
  <c r="U9" i="8"/>
  <c r="T9" i="8"/>
  <c r="S9" i="8"/>
  <c r="R9" i="8"/>
  <c r="I9" i="8"/>
  <c r="AX8" i="8"/>
  <c r="AW8" i="8"/>
  <c r="AV8" i="8"/>
  <c r="AT8" i="8"/>
  <c r="AU8" i="8" s="1"/>
  <c r="AR8" i="8"/>
  <c r="AS8" i="8" s="1"/>
  <c r="AQ8" i="8"/>
  <c r="AC8" i="8"/>
  <c r="AD8" i="8" s="1"/>
  <c r="U8" i="8"/>
  <c r="T8" i="8"/>
  <c r="S8" i="8"/>
  <c r="W8" i="8" s="1"/>
  <c r="X8" i="8" s="1"/>
  <c r="R8" i="8"/>
  <c r="Y8" i="8" s="1"/>
  <c r="I8" i="8"/>
  <c r="AX7" i="8"/>
  <c r="AW7" i="8"/>
  <c r="AV7" i="8"/>
  <c r="AT7" i="8"/>
  <c r="AU7" i="8" s="1"/>
  <c r="AR7" i="8"/>
  <c r="AS7" i="8" s="1"/>
  <c r="AQ7" i="8"/>
  <c r="AD7" i="8"/>
  <c r="AC7" i="8"/>
  <c r="W7" i="8"/>
  <c r="X7" i="8" s="1"/>
  <c r="U7" i="8"/>
  <c r="T7" i="8"/>
  <c r="S7" i="8"/>
  <c r="R7" i="8"/>
  <c r="I7" i="8"/>
  <c r="AX6" i="8"/>
  <c r="AW6" i="8"/>
  <c r="AV6" i="8"/>
  <c r="AT6" i="8"/>
  <c r="AU6" i="8" s="1"/>
  <c r="AR6" i="8"/>
  <c r="AS6" i="8" s="1"/>
  <c r="AP6" i="8"/>
  <c r="AQ6" i="8" s="1"/>
  <c r="AC6" i="8"/>
  <c r="AD6" i="8" s="1"/>
  <c r="U6" i="8"/>
  <c r="Y6" i="8" s="1"/>
  <c r="T6" i="8"/>
  <c r="S6" i="8"/>
  <c r="W6" i="8" s="1"/>
  <c r="X6" i="8" s="1"/>
  <c r="R6" i="8"/>
  <c r="I6" i="8"/>
  <c r="AX5" i="8"/>
  <c r="AW5" i="8"/>
  <c r="AV5" i="8"/>
  <c r="AT5" i="8"/>
  <c r="AU5" i="8" s="1"/>
  <c r="AR5" i="8"/>
  <c r="AS5" i="8" s="1"/>
  <c r="AP5" i="8"/>
  <c r="AQ5" i="8" s="1"/>
  <c r="AC5" i="8"/>
  <c r="AD5" i="8" s="1"/>
  <c r="U5" i="8"/>
  <c r="Y5" i="8" s="1"/>
  <c r="T5" i="8"/>
  <c r="S5" i="8"/>
  <c r="R5" i="8"/>
  <c r="I5" i="8"/>
  <c r="AX4" i="8"/>
  <c r="AW4" i="8"/>
  <c r="AV4" i="8"/>
  <c r="AT4" i="8"/>
  <c r="AU4" i="8" s="1"/>
  <c r="AR4" i="8"/>
  <c r="AS4" i="8" s="1"/>
  <c r="AP4" i="8"/>
  <c r="AQ4" i="8" s="1"/>
  <c r="AC4" i="8"/>
  <c r="AD4" i="8" s="1"/>
  <c r="U4" i="8"/>
  <c r="Y4" i="8" s="1"/>
  <c r="T4" i="8"/>
  <c r="S4" i="8"/>
  <c r="W4" i="8" s="1"/>
  <c r="X4" i="8" s="1"/>
  <c r="R4" i="8"/>
  <c r="I4" i="8"/>
  <c r="AX3" i="8"/>
  <c r="AW3" i="8"/>
  <c r="AV3" i="8"/>
  <c r="AT3" i="8"/>
  <c r="AU3" i="8" s="1"/>
  <c r="AR3" i="8"/>
  <c r="AS3" i="8" s="1"/>
  <c r="AP3" i="8"/>
  <c r="AQ3" i="8" s="1"/>
  <c r="AC3" i="8"/>
  <c r="AD3" i="8" s="1"/>
  <c r="U3" i="8"/>
  <c r="Y3" i="8" s="1"/>
  <c r="T3" i="8"/>
  <c r="S3" i="8"/>
  <c r="W3" i="8" s="1"/>
  <c r="X3" i="8" s="1"/>
  <c r="R3" i="8"/>
  <c r="I3" i="8"/>
  <c r="AX2" i="8"/>
  <c r="AW2" i="8"/>
  <c r="AV2" i="8"/>
  <c r="AT2" i="8"/>
  <c r="AU2" i="8" s="1"/>
  <c r="AR2" i="8"/>
  <c r="AS2" i="8" s="1"/>
  <c r="AP2" i="8"/>
  <c r="AQ2" i="8" s="1"/>
  <c r="AI2" i="8"/>
  <c r="AC2" i="8"/>
  <c r="AD2" i="8" s="1"/>
  <c r="W2" i="8"/>
  <c r="X2" i="8" s="1"/>
  <c r="U2" i="8"/>
  <c r="T2" i="8"/>
  <c r="S2" i="8"/>
  <c r="R2" i="8"/>
  <c r="I2" i="8"/>
  <c r="Z9" i="8" l="1"/>
  <c r="AB5" i="8"/>
  <c r="AA7" i="8"/>
  <c r="AB9" i="8"/>
  <c r="Y2" i="8"/>
  <c r="AA3" i="8"/>
  <c r="AA6" i="8"/>
  <c r="Y9" i="8"/>
  <c r="AA10" i="8"/>
  <c r="AB10" i="8"/>
  <c r="AB3" i="8"/>
  <c r="Z3" i="8"/>
  <c r="AB7" i="8"/>
  <c r="Z7" i="8"/>
  <c r="AB2" i="8"/>
  <c r="AA4" i="8"/>
  <c r="AA5" i="8"/>
  <c r="W5" i="8"/>
  <c r="X5" i="8" s="1"/>
  <c r="AA8" i="8"/>
  <c r="AA9" i="8"/>
  <c r="W9" i="8"/>
  <c r="X9" i="8" s="1"/>
  <c r="Z5" i="8"/>
  <c r="Y7" i="8"/>
  <c r="X15" i="9"/>
  <c r="P15" i="9"/>
  <c r="O6" i="9"/>
  <c r="Z5" i="9"/>
  <c r="O7" i="9"/>
  <c r="O4" i="9"/>
  <c r="R4" i="9"/>
  <c r="M7" i="9"/>
  <c r="Z7" i="9"/>
  <c r="M6" i="9"/>
  <c r="O5" i="9"/>
  <c r="M4" i="9"/>
  <c r="Z6" i="9"/>
  <c r="M5" i="9"/>
  <c r="P6" i="9"/>
  <c r="W6" i="9"/>
  <c r="X6" i="9"/>
  <c r="S6" i="9"/>
  <c r="V6" i="9"/>
  <c r="P5" i="9"/>
  <c r="W5" i="9"/>
  <c r="X5" i="9"/>
  <c r="S5" i="9"/>
  <c r="V5" i="9"/>
  <c r="P7" i="9"/>
  <c r="W7" i="9"/>
  <c r="V7" i="9"/>
  <c r="X7" i="9"/>
  <c r="S7" i="9"/>
  <c r="M8" i="9"/>
  <c r="P8" i="9"/>
  <c r="X8" i="9"/>
  <c r="W8" i="9"/>
  <c r="V8" i="9"/>
  <c r="S8" i="9"/>
  <c r="O8" i="9"/>
  <c r="Z8" i="9"/>
  <c r="AB4" i="8"/>
  <c r="AB6" i="8"/>
  <c r="Z2" i="8"/>
  <c r="AA2" i="8"/>
  <c r="Z4" i="8"/>
  <c r="Z6" i="8"/>
  <c r="Z8" i="8"/>
  <c r="Z10" i="8"/>
  <c r="AB8" i="8"/>
  <c r="P5" i="1"/>
  <c r="O5" i="1"/>
  <c r="N5" i="1"/>
  <c r="Q5" i="1"/>
  <c r="S4" i="9" l="1"/>
  <c r="V4" i="9"/>
  <c r="W4" i="9"/>
  <c r="P4" i="9"/>
  <c r="X4" i="9"/>
  <c r="AX3" i="4"/>
  <c r="AX4" i="4"/>
  <c r="AX5" i="4"/>
  <c r="AX6" i="4"/>
  <c r="AX7" i="4"/>
  <c r="AX8" i="4"/>
  <c r="AX9" i="4"/>
  <c r="AX10" i="4"/>
  <c r="AX2" i="4"/>
  <c r="AV3" i="4"/>
  <c r="AW3" i="4"/>
  <c r="AV4" i="4"/>
  <c r="AW4" i="4"/>
  <c r="AV5" i="4"/>
  <c r="AW5" i="4"/>
  <c r="AV6" i="4"/>
  <c r="AW6" i="4"/>
  <c r="AV7" i="4"/>
  <c r="AW7" i="4"/>
  <c r="AV8" i="4"/>
  <c r="AW8" i="4"/>
  <c r="AV9" i="4"/>
  <c r="AW9" i="4"/>
  <c r="AV10" i="4"/>
  <c r="AW10" i="4"/>
  <c r="AW2" i="4"/>
  <c r="AV2" i="4"/>
  <c r="AP3" i="4"/>
  <c r="AQ3" i="4" s="1"/>
  <c r="AP4" i="4"/>
  <c r="AQ4" i="4"/>
  <c r="AP5" i="4"/>
  <c r="AQ5" i="4" s="1"/>
  <c r="AP6" i="4"/>
  <c r="AQ6" i="4" s="1"/>
  <c r="AP7" i="4"/>
  <c r="AQ7" i="4" s="1"/>
  <c r="AP8" i="4"/>
  <c r="AQ8" i="4" s="1"/>
  <c r="AP9" i="4"/>
  <c r="AQ9" i="4" s="1"/>
  <c r="AP10" i="4"/>
  <c r="AQ10" i="4" s="1"/>
  <c r="AR3" i="4"/>
  <c r="AS3" i="4" s="1"/>
  <c r="AR4" i="4"/>
  <c r="AR5" i="4"/>
  <c r="AR6" i="4"/>
  <c r="AS6" i="4" s="1"/>
  <c r="AR7" i="4"/>
  <c r="AS7" i="4" s="1"/>
  <c r="AR8" i="4"/>
  <c r="AS8" i="4" s="1"/>
  <c r="AR9" i="4"/>
  <c r="AS9" i="4" s="1"/>
  <c r="AR10" i="4"/>
  <c r="AS10" i="4" s="1"/>
  <c r="AS4" i="4"/>
  <c r="AS5" i="4"/>
  <c r="AT3" i="4"/>
  <c r="AT4" i="4"/>
  <c r="AT5" i="4"/>
  <c r="AT6" i="4"/>
  <c r="AT7" i="4"/>
  <c r="AT8" i="4"/>
  <c r="AU8" i="4" s="1"/>
  <c r="AT9" i="4"/>
  <c r="AU9" i="4" s="1"/>
  <c r="AT10" i="4"/>
  <c r="AU3" i="4"/>
  <c r="AU4" i="4"/>
  <c r="AU5" i="4"/>
  <c r="AU6" i="4"/>
  <c r="AU7" i="4"/>
  <c r="AU10" i="4"/>
  <c r="AU2" i="4"/>
  <c r="AT2" i="4"/>
  <c r="AR2" i="4"/>
  <c r="AS2" i="4" s="1"/>
  <c r="AQ2" i="4"/>
  <c r="AP2" i="4"/>
  <c r="S5" i="4" l="1"/>
  <c r="T5" i="4"/>
  <c r="U5" i="4"/>
  <c r="S6" i="4"/>
  <c r="T6" i="4"/>
  <c r="U6" i="4"/>
  <c r="S7" i="4"/>
  <c r="W7" i="4" s="1"/>
  <c r="X7" i="4" s="1"/>
  <c r="T7" i="4"/>
  <c r="U7" i="4"/>
  <c r="S8" i="4"/>
  <c r="W8" i="4" s="1"/>
  <c r="X8" i="4" s="1"/>
  <c r="T8" i="4"/>
  <c r="AA8" i="4" s="1"/>
  <c r="U8" i="4"/>
  <c r="Y8" i="4" s="1"/>
  <c r="S9" i="4"/>
  <c r="W9" i="4" s="1"/>
  <c r="X9" i="4" s="1"/>
  <c r="T9" i="4"/>
  <c r="U9" i="4"/>
  <c r="S10" i="4"/>
  <c r="W10" i="4" s="1"/>
  <c r="X10" i="4" s="1"/>
  <c r="T10" i="4"/>
  <c r="U10" i="4"/>
  <c r="S3" i="4"/>
  <c r="T3" i="4"/>
  <c r="U3" i="4"/>
  <c r="S4" i="4"/>
  <c r="T4" i="4"/>
  <c r="AA4" i="4" s="1"/>
  <c r="U4" i="4"/>
  <c r="AC2" i="4"/>
  <c r="AC3" i="4"/>
  <c r="AD3" i="4" s="1"/>
  <c r="AC4" i="4"/>
  <c r="AD4" i="4"/>
  <c r="AC5" i="4"/>
  <c r="AD5" i="4"/>
  <c r="AC6" i="4"/>
  <c r="AD6" i="4"/>
  <c r="AC7" i="4"/>
  <c r="AD7" i="4"/>
  <c r="AC8" i="4"/>
  <c r="AD8" i="4"/>
  <c r="AC9" i="4"/>
  <c r="AD9" i="4"/>
  <c r="AC10" i="4"/>
  <c r="AD10" i="4"/>
  <c r="R4" i="4"/>
  <c r="R5" i="4"/>
  <c r="Z5" i="4" s="1"/>
  <c r="R6" i="4"/>
  <c r="R7" i="4"/>
  <c r="R8" i="4"/>
  <c r="R9" i="4"/>
  <c r="R10" i="4"/>
  <c r="AA10" i="4" s="1"/>
  <c r="I4" i="4"/>
  <c r="I5" i="4"/>
  <c r="I6" i="4"/>
  <c r="I7" i="4"/>
  <c r="I8" i="4"/>
  <c r="I9" i="4"/>
  <c r="I10" i="4"/>
  <c r="AI2" i="4"/>
  <c r="Y4" i="4"/>
  <c r="I3" i="4"/>
  <c r="Q14" i="5"/>
  <c r="Y5" i="4" l="1"/>
  <c r="AA9" i="4"/>
  <c r="Z9" i="4"/>
  <c r="Z7" i="4"/>
  <c r="Z8" i="4"/>
  <c r="AB8" i="4"/>
  <c r="AB4" i="4"/>
  <c r="AB10" i="4"/>
  <c r="AA6" i="4"/>
  <c r="AB6" i="4"/>
  <c r="Y10" i="4"/>
  <c r="Z6" i="4"/>
  <c r="Z4" i="4"/>
  <c r="Y9" i="4"/>
  <c r="AB9" i="4"/>
  <c r="Z10" i="4"/>
  <c r="Y6" i="4"/>
  <c r="Y7" i="4"/>
  <c r="AA5" i="4"/>
  <c r="AB7" i="4"/>
  <c r="AB5" i="4"/>
  <c r="AA7" i="4"/>
  <c r="Q13" i="5"/>
  <c r="Q12" i="5"/>
  <c r="J17" i="5"/>
  <c r="J14" i="5"/>
  <c r="Q11" i="5"/>
  <c r="J11" i="5"/>
  <c r="Q10" i="5"/>
  <c r="J6" i="5"/>
  <c r="J9" i="5"/>
  <c r="Q9" i="5"/>
  <c r="B29" i="6" l="1"/>
  <c r="B27" i="6"/>
  <c r="B25" i="6"/>
  <c r="B21" i="6"/>
  <c r="G7" i="6"/>
  <c r="J7" i="6" s="1"/>
  <c r="G6" i="6"/>
  <c r="J6" i="6" s="1"/>
  <c r="C6" i="6"/>
  <c r="I6" i="6" s="1"/>
  <c r="J5" i="6"/>
  <c r="G5" i="6"/>
  <c r="C5" i="6"/>
  <c r="I5" i="6" s="1"/>
  <c r="K5" i="6" s="1"/>
  <c r="G4" i="6"/>
  <c r="J4" i="6" s="1"/>
  <c r="C4" i="6"/>
  <c r="I4" i="6" s="1"/>
  <c r="K4" i="6" s="1"/>
  <c r="G3" i="6"/>
  <c r="J3" i="6" s="1"/>
  <c r="C3" i="6"/>
  <c r="E3" i="6" s="1"/>
  <c r="Q3" i="5"/>
  <c r="Q4" i="5"/>
  <c r="Q5" i="5"/>
  <c r="Q6" i="5"/>
  <c r="Q7" i="5"/>
  <c r="Q8" i="5"/>
  <c r="Q2" i="5"/>
  <c r="J2" i="5"/>
  <c r="I3" i="6" l="1"/>
  <c r="K3" i="6" s="1"/>
  <c r="B30" i="6"/>
  <c r="B32" i="6" s="1"/>
  <c r="E5" i="6"/>
  <c r="W3" i="4"/>
  <c r="X3" i="4" s="1"/>
  <c r="W4" i="4"/>
  <c r="X4" i="4" s="1"/>
  <c r="W5" i="4"/>
  <c r="X5" i="4" s="1"/>
  <c r="W6" i="4"/>
  <c r="X6" i="4" s="1"/>
  <c r="R3" i="4"/>
  <c r="AD2" i="4"/>
  <c r="R2" i="4"/>
  <c r="U2" i="4"/>
  <c r="T2" i="4"/>
  <c r="S2" i="4"/>
  <c r="W2" i="4" s="1"/>
  <c r="I2" i="4"/>
  <c r="B29" i="3"/>
  <c r="B27" i="3"/>
  <c r="B25" i="3"/>
  <c r="B21" i="3"/>
  <c r="AA2" i="4" l="1"/>
  <c r="AB3" i="4"/>
  <c r="AA3" i="4"/>
  <c r="Y3" i="4"/>
  <c r="Z3" i="4"/>
  <c r="Y2" i="4"/>
  <c r="X2" i="4"/>
  <c r="AB2" i="4"/>
  <c r="Z2" i="4"/>
  <c r="B30" i="3"/>
  <c r="B32" i="3" s="1"/>
  <c r="H12" i="3" l="1"/>
  <c r="G12" i="3"/>
  <c r="C5" i="3"/>
  <c r="G5" i="3"/>
  <c r="J5" i="3" s="1"/>
  <c r="E5" i="3" l="1"/>
  <c r="I5" i="3"/>
  <c r="K5" i="3" s="1"/>
  <c r="G4" i="3"/>
  <c r="J4" i="3" s="1"/>
  <c r="G6" i="3"/>
  <c r="J6" i="3" s="1"/>
  <c r="G7" i="3"/>
  <c r="J7" i="3" s="1"/>
  <c r="G3" i="3"/>
  <c r="J3" i="3" s="1"/>
  <c r="C6" i="3"/>
  <c r="C4" i="3"/>
  <c r="C3" i="3"/>
  <c r="I3" i="3" l="1"/>
  <c r="K3" i="3" s="1"/>
  <c r="E3" i="3"/>
  <c r="I6" i="3"/>
  <c r="I4" i="3"/>
  <c r="K4" i="3" s="1"/>
  <c r="C7" i="1"/>
  <c r="E7" i="1"/>
  <c r="G7" i="1"/>
  <c r="H7" i="1"/>
  <c r="C8" i="1"/>
  <c r="E8" i="1"/>
  <c r="G8" i="1"/>
  <c r="H8" i="1"/>
  <c r="C9" i="1"/>
  <c r="E9" i="1"/>
  <c r="G9" i="1"/>
  <c r="H9" i="1"/>
  <c r="C10" i="1"/>
  <c r="E10" i="1"/>
  <c r="G10" i="1"/>
  <c r="H10" i="1"/>
  <c r="C11" i="1"/>
  <c r="E11" i="1"/>
  <c r="G11" i="1"/>
  <c r="H11" i="1"/>
  <c r="C12" i="1"/>
  <c r="E12" i="1"/>
  <c r="G12" i="1"/>
  <c r="H12" i="1"/>
  <c r="C13" i="1"/>
  <c r="E13" i="1"/>
  <c r="G13" i="1"/>
  <c r="H13" i="1"/>
  <c r="C14" i="1"/>
  <c r="E14" i="1"/>
  <c r="G14" i="1"/>
  <c r="H14" i="1"/>
  <c r="C15" i="1"/>
  <c r="E15" i="1"/>
  <c r="G15" i="1"/>
  <c r="H15" i="1"/>
  <c r="C16" i="1"/>
  <c r="E16" i="1"/>
  <c r="G16" i="1"/>
  <c r="H16" i="1"/>
  <c r="C17" i="1"/>
  <c r="E17" i="1"/>
  <c r="G17" i="1"/>
  <c r="H17" i="1"/>
  <c r="C18" i="1"/>
  <c r="E18" i="1"/>
  <c r="G18" i="1"/>
  <c r="H18" i="1"/>
  <c r="C19" i="1"/>
  <c r="E19" i="1"/>
  <c r="G19" i="1"/>
  <c r="H19" i="1"/>
  <c r="C20" i="1"/>
  <c r="E20" i="1"/>
  <c r="G20" i="1"/>
  <c r="H20" i="1"/>
  <c r="C21" i="1"/>
  <c r="E21" i="1"/>
  <c r="G21" i="1"/>
  <c r="H21" i="1"/>
  <c r="G6" i="1"/>
  <c r="H6" i="1" s="1"/>
  <c r="E6" i="1"/>
  <c r="C6" i="1"/>
  <c r="E36" i="2"/>
  <c r="G36" i="2" s="1"/>
  <c r="H36" i="2" s="1"/>
  <c r="C36" i="2"/>
  <c r="E35" i="2"/>
  <c r="G35" i="2" s="1"/>
  <c r="H35" i="2" s="1"/>
  <c r="C35" i="2"/>
  <c r="E34" i="2"/>
  <c r="G34" i="2" s="1"/>
  <c r="H34" i="2" s="1"/>
  <c r="C34" i="2"/>
  <c r="E33" i="2"/>
  <c r="G33" i="2" s="1"/>
  <c r="H33" i="2" s="1"/>
  <c r="C33" i="2"/>
  <c r="E32" i="2"/>
  <c r="G32" i="2" s="1"/>
  <c r="H32" i="2" s="1"/>
  <c r="C32" i="2"/>
  <c r="E31" i="2"/>
  <c r="G31" i="2" s="1"/>
  <c r="H31" i="2" s="1"/>
  <c r="C31" i="2"/>
  <c r="E30" i="2"/>
  <c r="G30" i="2" s="1"/>
  <c r="H30" i="2" s="1"/>
  <c r="C30" i="2"/>
  <c r="E29" i="2"/>
  <c r="G29" i="2" s="1"/>
  <c r="H29" i="2" s="1"/>
  <c r="C29" i="2"/>
  <c r="E28" i="2"/>
  <c r="G28" i="2" s="1"/>
  <c r="H28" i="2" s="1"/>
  <c r="C28" i="2"/>
  <c r="E27" i="2"/>
  <c r="G27" i="2" s="1"/>
  <c r="H27" i="2" s="1"/>
  <c r="C27" i="2"/>
  <c r="E26" i="2"/>
  <c r="G26" i="2" s="1"/>
  <c r="H26" i="2" s="1"/>
  <c r="C26" i="2"/>
  <c r="E25" i="2"/>
  <c r="G25" i="2" s="1"/>
  <c r="H25" i="2" s="1"/>
  <c r="C25" i="2"/>
  <c r="E24" i="2"/>
  <c r="G24" i="2" s="1"/>
  <c r="H24" i="2" s="1"/>
  <c r="C24" i="2"/>
  <c r="E23" i="2"/>
  <c r="G23" i="2" s="1"/>
  <c r="H23" i="2" s="1"/>
  <c r="C23" i="2"/>
  <c r="E22" i="2"/>
  <c r="G22" i="2" s="1"/>
  <c r="H22" i="2" s="1"/>
  <c r="C22" i="2"/>
  <c r="E21" i="2"/>
  <c r="G21" i="2" s="1"/>
  <c r="H21" i="2" s="1"/>
  <c r="C21" i="2"/>
  <c r="E20" i="2"/>
  <c r="G20" i="2" s="1"/>
  <c r="H20" i="2" s="1"/>
  <c r="C20" i="2"/>
  <c r="E19" i="2"/>
  <c r="G19" i="2" s="1"/>
  <c r="H19" i="2" s="1"/>
  <c r="C19" i="2"/>
  <c r="E18" i="2"/>
  <c r="G18" i="2" s="1"/>
  <c r="H18" i="2" s="1"/>
  <c r="C18" i="2"/>
  <c r="E17" i="2"/>
  <c r="G17" i="2" s="1"/>
  <c r="H17" i="2" s="1"/>
  <c r="C17" i="2"/>
  <c r="E16" i="2"/>
  <c r="G16" i="2" s="1"/>
  <c r="H16" i="2" s="1"/>
  <c r="C16" i="2"/>
  <c r="E15" i="2"/>
  <c r="G15" i="2" s="1"/>
  <c r="H15" i="2" s="1"/>
  <c r="C15" i="2"/>
  <c r="E14" i="2"/>
  <c r="G14" i="2" s="1"/>
  <c r="H14" i="2" s="1"/>
  <c r="C14" i="2"/>
  <c r="E13" i="2"/>
  <c r="G13" i="2" s="1"/>
  <c r="H13" i="2" s="1"/>
  <c r="C13" i="2"/>
  <c r="E12" i="2"/>
  <c r="G12" i="2" s="1"/>
  <c r="H12" i="2" s="1"/>
  <c r="C12" i="2"/>
  <c r="E11" i="2"/>
  <c r="G11" i="2" s="1"/>
  <c r="H11" i="2" s="1"/>
  <c r="C11" i="2"/>
  <c r="E10" i="2"/>
  <c r="G10" i="2" s="1"/>
  <c r="H10" i="2" s="1"/>
  <c r="C10" i="2"/>
  <c r="E9" i="2"/>
  <c r="G9" i="2" s="1"/>
  <c r="H9" i="2" s="1"/>
  <c r="C9" i="2"/>
  <c r="E8" i="2"/>
  <c r="G8" i="2" s="1"/>
  <c r="H8" i="2" s="1"/>
  <c r="C8" i="2"/>
  <c r="E7" i="2"/>
  <c r="G7" i="2" s="1"/>
  <c r="H7" i="2" s="1"/>
  <c r="C7" i="2"/>
  <c r="E6" i="2"/>
  <c r="G6" i="2" s="1"/>
  <c r="H6" i="2" s="1"/>
  <c r="C6" i="2"/>
</calcChain>
</file>

<file path=xl/sharedStrings.xml><?xml version="1.0" encoding="utf-8"?>
<sst xmlns="http://schemas.openxmlformats.org/spreadsheetml/2006/main" count="522" uniqueCount="191">
  <si>
    <t>Peak area (total counts)</t>
  </si>
  <si>
    <t>Relative mineral abundance (wt%)</t>
  </si>
  <si>
    <t>Hole-Core-Section</t>
  </si>
  <si>
    <t>Core Top (mbsf)</t>
  </si>
  <si>
    <t>Specimen (mbsf)</t>
  </si>
  <si>
    <t>Sample</t>
  </si>
  <si>
    <t>Total clay</t>
  </si>
  <si>
    <t>Quartz</t>
  </si>
  <si>
    <t>Plagioclase</t>
  </si>
  <si>
    <t>Calcite</t>
  </si>
  <si>
    <t>CRS015B</t>
  </si>
  <si>
    <t>1324B-7H-7</t>
  </si>
  <si>
    <t xml:space="preserve">CRS799 </t>
  </si>
  <si>
    <t>trace</t>
  </si>
  <si>
    <t>1324C-1H-1</t>
  </si>
  <si>
    <t>SVD factor relative abundance (%wt)</t>
  </si>
  <si>
    <t>Smectite</t>
  </si>
  <si>
    <t>Illite</t>
  </si>
  <si>
    <t>Chlorite</t>
  </si>
  <si>
    <t>void ratio</t>
  </si>
  <si>
    <t>hydrualic conductivity (m/s)</t>
  </si>
  <si>
    <t xml:space="preserve">porosity </t>
  </si>
  <si>
    <t>permeability (m2)</t>
  </si>
  <si>
    <t>log10 (k)</t>
  </si>
  <si>
    <t>water density (kg/m3)</t>
  </si>
  <si>
    <t>dynamic viscosity (Pa.s)</t>
  </si>
  <si>
    <t>g (m/s2)</t>
  </si>
  <si>
    <t>mineralogy</t>
  </si>
  <si>
    <t>length</t>
  </si>
  <si>
    <t>thickness</t>
  </si>
  <si>
    <t>dx</t>
  </si>
  <si>
    <t>nm</t>
  </si>
  <si>
    <t>voxels</t>
  </si>
  <si>
    <t>smectite</t>
  </si>
  <si>
    <t>illite</t>
  </si>
  <si>
    <t>kaolinite</t>
  </si>
  <si>
    <t>chlorite</t>
  </si>
  <si>
    <t>Pore diameter</t>
  </si>
  <si>
    <t>m</t>
  </si>
  <si>
    <t>m/vox</t>
  </si>
  <si>
    <t>length for testing</t>
  </si>
  <si>
    <t>thickness for testing</t>
  </si>
  <si>
    <t>porosity</t>
  </si>
  <si>
    <t>permeability</t>
  </si>
  <si>
    <t>intermediate</t>
  </si>
  <si>
    <t>chlorite aspect ratio</t>
  </si>
  <si>
    <t>Weber et al, 2014</t>
  </si>
  <si>
    <t>aspec ratio</t>
  </si>
  <si>
    <t>Series</t>
  </si>
  <si>
    <t>Length</t>
  </si>
  <si>
    <t>dx (m)</t>
  </si>
  <si>
    <t>drho (kg/ cubic m)</t>
  </si>
  <si>
    <t>dt (s)</t>
  </si>
  <si>
    <t>IPD - Parallel to bedding</t>
  </si>
  <si>
    <t>IPD - Perpendicular to bedding</t>
  </si>
  <si>
    <t>Pressure (LBM)</t>
  </si>
  <si>
    <t>Seed dimension</t>
  </si>
  <si>
    <t>Porosity</t>
  </si>
  <si>
    <t>LBM Avg Velocity (X)</t>
  </si>
  <si>
    <t>LBM Avg Velocity (Z)</t>
  </si>
  <si>
    <t>Vertical Permeabilitty (sq m)</t>
  </si>
  <si>
    <t xml:space="preserve"> Log Vertical Permeability (sq m)</t>
  </si>
  <si>
    <t>Tortuoisity (X)- Flow in vertical direction</t>
  </si>
  <si>
    <t>Tortuoisity (Y) - Flow in Hz direction</t>
  </si>
  <si>
    <t>Orientation</t>
  </si>
  <si>
    <t>Magnitude of injeciton (m)</t>
  </si>
  <si>
    <t>(Z) Vertical Permeability 2 (LBM)</t>
  </si>
  <si>
    <t xml:space="preserve"> (Y) Hz Permeability (LBM)</t>
  </si>
  <si>
    <t>LBM Avg Velocity (Y)</t>
  </si>
  <si>
    <t xml:space="preserve"> (X) Hz Permeability (LBM)</t>
  </si>
  <si>
    <t>kh/kv (LBM)</t>
  </si>
  <si>
    <t>dy</t>
  </si>
  <si>
    <t>dz</t>
  </si>
  <si>
    <t>Horizontal Length of platelets</t>
  </si>
  <si>
    <t>Pore size</t>
  </si>
  <si>
    <t>Pore size (nm)</t>
  </si>
  <si>
    <t>Vertical Flow Length</t>
  </si>
  <si>
    <t>Vertical Flow Area</t>
  </si>
  <si>
    <t>Hz Flow Length</t>
  </si>
  <si>
    <t>Hz Flow Area</t>
  </si>
  <si>
    <t>CRS799</t>
  </si>
  <si>
    <t>Smectite fraction</t>
  </si>
  <si>
    <t>Illite fraction</t>
  </si>
  <si>
    <t>Chlorite Fraction</t>
  </si>
  <si>
    <t>Kaolinite fraction</t>
  </si>
  <si>
    <t>Seed Length</t>
  </si>
  <si>
    <t>Seed Width</t>
  </si>
  <si>
    <t>Seed Height</t>
  </si>
  <si>
    <t>Magnitude of Dilation</t>
  </si>
  <si>
    <t>Smectite Layer</t>
  </si>
  <si>
    <t>No of voxels</t>
  </si>
  <si>
    <t>LBLU</t>
  </si>
  <si>
    <t>Cx</t>
  </si>
  <si>
    <t>Density</t>
  </si>
  <si>
    <t>kg/m3</t>
  </si>
  <si>
    <t>LB Density</t>
  </si>
  <si>
    <t>LBDU</t>
  </si>
  <si>
    <t>Crho</t>
  </si>
  <si>
    <t xml:space="preserve"> kg/m3</t>
  </si>
  <si>
    <t>Viscosity of fluid</t>
  </si>
  <si>
    <t>m2/s</t>
  </si>
  <si>
    <t>Time Factor (Tau)</t>
  </si>
  <si>
    <t>LB Viscosity</t>
  </si>
  <si>
    <t>Ct</t>
  </si>
  <si>
    <t>s</t>
  </si>
  <si>
    <t>Cu</t>
  </si>
  <si>
    <t>m/s</t>
  </si>
  <si>
    <t>Pressure (kpa)</t>
  </si>
  <si>
    <t>smec_l</t>
  </si>
  <si>
    <t>smec_t</t>
  </si>
  <si>
    <t>ill_l</t>
  </si>
  <si>
    <t>ill_t</t>
  </si>
  <si>
    <t>seed x</t>
  </si>
  <si>
    <t>seed y</t>
  </si>
  <si>
    <t>seed z</t>
  </si>
  <si>
    <t>code</t>
  </si>
  <si>
    <t>shale_het_seeder22</t>
  </si>
  <si>
    <t>platelets/bed</t>
  </si>
  <si>
    <t>no_beds</t>
  </si>
  <si>
    <t>original_beds</t>
  </si>
  <si>
    <t>smectite_beds_added</t>
  </si>
  <si>
    <t xml:space="preserve">dilation </t>
  </si>
  <si>
    <t>smectite fraction</t>
  </si>
  <si>
    <t>orientation</t>
  </si>
  <si>
    <t>transformed porosity</t>
  </si>
  <si>
    <t>NA</t>
  </si>
  <si>
    <t>shale_het_seeder24</t>
  </si>
  <si>
    <t>normal</t>
  </si>
  <si>
    <t>thick+short</t>
  </si>
  <si>
    <t>narrow+long</t>
  </si>
  <si>
    <t>shale_het_seeder23</t>
  </si>
  <si>
    <t>thick_short</t>
  </si>
  <si>
    <t>1255x1255x84</t>
  </si>
  <si>
    <t>1279x1279x101</t>
  </si>
  <si>
    <t>sh_het_Z32</t>
  </si>
  <si>
    <t>sh_het_Z48</t>
  </si>
  <si>
    <t>sh_het_Z58</t>
  </si>
  <si>
    <t>1303X1303X118</t>
  </si>
  <si>
    <t>sh_het_Z65</t>
  </si>
  <si>
    <t>1327X1327X135</t>
  </si>
  <si>
    <t>sh_het_Z70</t>
  </si>
  <si>
    <t>1351x1351x152</t>
  </si>
  <si>
    <t>Hz1 Permeability (sq m)</t>
  </si>
  <si>
    <t>Hz2 Permeabilitty (sq m)</t>
  </si>
  <si>
    <t>Log Hz2 Permeability (sq m)</t>
  </si>
  <si>
    <t>Log Hz1 Permeability (sq m)</t>
  </si>
  <si>
    <t>CRS015</t>
  </si>
  <si>
    <t>1255x1255x99</t>
  </si>
  <si>
    <t>sh_het_Z25</t>
  </si>
  <si>
    <t>sh_seed_Z34</t>
  </si>
  <si>
    <t>1279X1279X101</t>
  </si>
  <si>
    <t>sh_seed_Z41</t>
  </si>
  <si>
    <t>1303X1303X103</t>
  </si>
  <si>
    <t>length (m)</t>
  </si>
  <si>
    <t>area (m2)</t>
  </si>
  <si>
    <t>Particle Diameter (m)</t>
  </si>
  <si>
    <t>Particle Thickness (m)</t>
  </si>
  <si>
    <t>kv (m2)</t>
  </si>
  <si>
    <t>log10 (kv)</t>
  </si>
  <si>
    <t>visc (Pa.s)</t>
  </si>
  <si>
    <t>Pressure (Pa)</t>
  </si>
  <si>
    <t>flux qv (m/s)</t>
  </si>
  <si>
    <t>kv check</t>
  </si>
  <si>
    <t>flow rate (m3/s)</t>
  </si>
  <si>
    <t>density (kg/m3)</t>
  </si>
  <si>
    <t>Re (vertical)</t>
  </si>
  <si>
    <t>tv</t>
  </si>
  <si>
    <t>kh/kv values</t>
  </si>
  <si>
    <t>flux qh (m/s)</t>
  </si>
  <si>
    <t>kh check</t>
  </si>
  <si>
    <t>Re (hz)</t>
  </si>
  <si>
    <t>th new1</t>
  </si>
  <si>
    <t>kh (m2)</t>
  </si>
  <si>
    <t>kh/kv</t>
  </si>
  <si>
    <t>NM1 data</t>
  </si>
  <si>
    <t>NM2 data</t>
  </si>
  <si>
    <t>sh_seed_Z46</t>
  </si>
  <si>
    <t>1327X1327X105</t>
  </si>
  <si>
    <t>NM1</t>
  </si>
  <si>
    <t>NM2</t>
  </si>
  <si>
    <t>kv</t>
  </si>
  <si>
    <t>1375x1375x109</t>
  </si>
  <si>
    <t>sh_seed_Z53</t>
  </si>
  <si>
    <t>A</t>
  </si>
  <si>
    <t>B</t>
  </si>
  <si>
    <t>C</t>
  </si>
  <si>
    <t>A2</t>
  </si>
  <si>
    <t>B2</t>
  </si>
  <si>
    <t>th</t>
  </si>
  <si>
    <t>theta(radians)</t>
  </si>
  <si>
    <t>kv/KH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</si>
</sst>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15" applyNumberFormat="0" applyFill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118">
    <xf numFmtId="0" fontId="0" fillId="0" borderId="0" xfId="0"/>
    <xf numFmtId="0" fontId="0" fillId="0" borderId="0" xfId="0" applyBorder="1"/>
    <xf numFmtId="0" fontId="3" fillId="0" borderId="1" xfId="2" applyFont="1" applyBorder="1" applyAlignment="1">
      <alignment horizontal="center"/>
    </xf>
    <xf numFmtId="0" fontId="3" fillId="0" borderId="5" xfId="2" applyFont="1" applyBorder="1"/>
    <xf numFmtId="0" fontId="3" fillId="0" borderId="1" xfId="2" applyFont="1" applyBorder="1" applyAlignment="1">
      <alignment horizontal="left"/>
    </xf>
    <xf numFmtId="0" fontId="3" fillId="0" borderId="6" xfId="2" applyFont="1" applyBorder="1" applyAlignment="1">
      <alignment horizontal="center"/>
    </xf>
    <xf numFmtId="0" fontId="3" fillId="0" borderId="7" xfId="2" applyFont="1" applyBorder="1"/>
    <xf numFmtId="0" fontId="3" fillId="0" borderId="5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5" xfId="2" applyFont="1" applyBorder="1" applyAlignment="1">
      <alignment horizontal="left"/>
    </xf>
    <xf numFmtId="0" fontId="2" fillId="0" borderId="0" xfId="2"/>
    <xf numFmtId="0" fontId="3" fillId="0" borderId="1" xfId="2" applyFont="1" applyBorder="1" applyAlignment="1">
      <alignment horizontal="center"/>
    </xf>
    <xf numFmtId="0" fontId="3" fillId="0" borderId="5" xfId="2" applyFont="1" applyBorder="1"/>
    <xf numFmtId="0" fontId="3" fillId="0" borderId="1" xfId="2" applyFont="1" applyBorder="1" applyAlignment="1">
      <alignment horizontal="left"/>
    </xf>
    <xf numFmtId="0" fontId="3" fillId="0" borderId="6" xfId="2" applyFont="1" applyBorder="1" applyAlignment="1">
      <alignment horizontal="center"/>
    </xf>
    <xf numFmtId="0" fontId="3" fillId="0" borderId="7" xfId="2" applyFont="1" applyBorder="1"/>
    <xf numFmtId="0" fontId="3" fillId="0" borderId="5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5" xfId="2" applyFont="1" applyBorder="1" applyAlignment="1">
      <alignment horizontal="left"/>
    </xf>
    <xf numFmtId="0" fontId="3" fillId="3" borderId="0" xfId="2" applyFont="1" applyFill="1" applyBorder="1" applyAlignment="1">
      <alignment horizontal="left"/>
    </xf>
    <xf numFmtId="0" fontId="3" fillId="3" borderId="0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164" fontId="3" fillId="3" borderId="0" xfId="2" applyNumberFormat="1" applyFont="1" applyFill="1" applyBorder="1" applyAlignment="1">
      <alignment horizontal="center"/>
    </xf>
    <xf numFmtId="0" fontId="2" fillId="3" borderId="0" xfId="2" applyFill="1"/>
    <xf numFmtId="0" fontId="3" fillId="3" borderId="0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164" fontId="3" fillId="3" borderId="0" xfId="2" applyNumberFormat="1" applyFont="1" applyFill="1" applyBorder="1" applyAlignment="1">
      <alignment horizontal="center"/>
    </xf>
    <xf numFmtId="0" fontId="2" fillId="3" borderId="0" xfId="2" applyFill="1"/>
    <xf numFmtId="0" fontId="1" fillId="2" borderId="0" xfId="1" applyBorder="1" applyAlignment="1">
      <alignment horizontal="left"/>
    </xf>
    <xf numFmtId="0" fontId="2" fillId="0" borderId="0" xfId="2"/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5" xfId="2" applyFont="1" applyBorder="1" applyAlignment="1">
      <alignment horizontal="left"/>
    </xf>
    <xf numFmtId="0" fontId="3" fillId="0" borderId="7" xfId="2" applyFont="1" applyBorder="1" applyAlignment="1">
      <alignment horizontal="left"/>
    </xf>
    <xf numFmtId="0" fontId="3" fillId="3" borderId="4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0" fontId="2" fillId="0" borderId="0" xfId="2" applyBorder="1"/>
    <xf numFmtId="11" fontId="0" fillId="0" borderId="0" xfId="0" applyNumberFormat="1"/>
    <xf numFmtId="0" fontId="3" fillId="0" borderId="0" xfId="2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2" xfId="0" applyBorder="1"/>
    <xf numFmtId="0" fontId="0" fillId="0" borderId="14" xfId="0" applyBorder="1"/>
    <xf numFmtId="0" fontId="4" fillId="0" borderId="15" xfId="3"/>
    <xf numFmtId="0" fontId="4" fillId="0" borderId="16" xfId="3" applyBorder="1"/>
    <xf numFmtId="0" fontId="4" fillId="0" borderId="17" xfId="3" applyBorder="1"/>
    <xf numFmtId="0" fontId="4" fillId="0" borderId="15" xfId="3" applyBorder="1"/>
    <xf numFmtId="0" fontId="4" fillId="0" borderId="0" xfId="3" applyBorder="1"/>
    <xf numFmtId="0" fontId="0" fillId="0" borderId="18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20" xfId="0" applyBorder="1"/>
    <xf numFmtId="0" fontId="4" fillId="0" borderId="21" xfId="3" applyBorder="1"/>
    <xf numFmtId="11" fontId="0" fillId="0" borderId="4" xfId="0" applyNumberFormat="1" applyBorder="1"/>
    <xf numFmtId="11" fontId="0" fillId="0" borderId="22" xfId="0" applyNumberFormat="1" applyBorder="1"/>
    <xf numFmtId="0" fontId="0" fillId="0" borderId="11" xfId="0" applyBorder="1"/>
    <xf numFmtId="0" fontId="0" fillId="0" borderId="13" xfId="0" applyBorder="1"/>
    <xf numFmtId="0" fontId="0" fillId="0" borderId="23" xfId="0" applyBorder="1"/>
    <xf numFmtId="0" fontId="0" fillId="0" borderId="9" xfId="0" applyFill="1" applyBorder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0" fillId="0" borderId="22" xfId="0" applyBorder="1"/>
    <xf numFmtId="0" fontId="5" fillId="0" borderId="22" xfId="0" applyFont="1" applyBorder="1"/>
    <xf numFmtId="0" fontId="0" fillId="0" borderId="24" xfId="0" applyBorder="1"/>
    <xf numFmtId="0" fontId="0" fillId="0" borderId="25" xfId="0" applyBorder="1"/>
    <xf numFmtId="0" fontId="5" fillId="0" borderId="23" xfId="0" applyFont="1" applyBorder="1"/>
    <xf numFmtId="0" fontId="1" fillId="2" borderId="11" xfId="1" applyBorder="1"/>
    <xf numFmtId="0" fontId="1" fillId="2" borderId="0" xfId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21" xfId="0" applyBorder="1"/>
    <xf numFmtId="0" fontId="0" fillId="0" borderId="2" xfId="0" applyFill="1" applyBorder="1"/>
    <xf numFmtId="0" fontId="0" fillId="4" borderId="0" xfId="0" applyFill="1"/>
    <xf numFmtId="0" fontId="0" fillId="4" borderId="4" xfId="0" applyFill="1" applyBorder="1"/>
    <xf numFmtId="0" fontId="0" fillId="0" borderId="0" xfId="0" applyFill="1"/>
    <xf numFmtId="0" fontId="0" fillId="5" borderId="0" xfId="0" applyFill="1"/>
    <xf numFmtId="11" fontId="0" fillId="0" borderId="0" xfId="0" applyNumberFormat="1" applyFill="1"/>
    <xf numFmtId="11" fontId="0" fillId="0" borderId="4" xfId="0" applyNumberFormat="1" applyFill="1" applyBorder="1"/>
    <xf numFmtId="0" fontId="6" fillId="4" borderId="0" xfId="0" applyFont="1" applyFill="1"/>
    <xf numFmtId="0" fontId="7" fillId="4" borderId="0" xfId="0" applyFont="1" applyFill="1"/>
    <xf numFmtId="0" fontId="6" fillId="0" borderId="0" xfId="0" applyFont="1" applyFill="1"/>
    <xf numFmtId="0" fontId="6" fillId="0" borderId="4" xfId="0" applyFont="1" applyFill="1" applyBorder="1"/>
    <xf numFmtId="0" fontId="9" fillId="7" borderId="0" xfId="5"/>
    <xf numFmtId="2" fontId="1" fillId="2" borderId="0" xfId="1" applyNumberFormat="1"/>
    <xf numFmtId="11" fontId="9" fillId="7" borderId="0" xfId="5" applyNumberFormat="1"/>
    <xf numFmtId="2" fontId="9" fillId="7" borderId="0" xfId="5" applyNumberFormat="1"/>
    <xf numFmtId="0" fontId="8" fillId="6" borderId="0" xfId="4"/>
    <xf numFmtId="0" fontId="1" fillId="2" borderId="0" xfId="1"/>
    <xf numFmtId="2" fontId="0" fillId="0" borderId="9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0" fillId="3" borderId="0" xfId="0" applyFill="1"/>
    <xf numFmtId="0" fontId="0" fillId="3" borderId="4" xfId="0" applyFill="1" applyBorder="1"/>
    <xf numFmtId="11" fontId="0" fillId="3" borderId="0" xfId="0" applyNumberFormat="1" applyFill="1"/>
    <xf numFmtId="11" fontId="0" fillId="3" borderId="4" xfId="0" applyNumberFormat="1" applyFill="1" applyBorder="1"/>
    <xf numFmtId="0" fontId="0" fillId="3" borderId="0" xfId="0" applyFill="1" applyBorder="1"/>
    <xf numFmtId="11" fontId="0" fillId="0" borderId="11" xfId="0" applyNumberFormat="1" applyBorder="1"/>
    <xf numFmtId="11" fontId="0" fillId="0" borderId="0" xfId="0" applyNumberFormat="1" applyBorder="1"/>
    <xf numFmtId="11" fontId="0" fillId="0" borderId="13" xfId="0" applyNumberFormat="1" applyBorder="1"/>
    <xf numFmtId="11" fontId="0" fillId="0" borderId="23" xfId="0" applyNumberFormat="1" applyBorder="1"/>
    <xf numFmtId="2" fontId="0" fillId="0" borderId="0" xfId="0" applyNumberFormat="1"/>
  </cellXfs>
  <cellStyles count="6">
    <cellStyle name="Bad" xfId="4" builtinId="27"/>
    <cellStyle name="Good" xfId="1" builtinId="26"/>
    <cellStyle name="Heading 3" xfId="3" builtinId="18"/>
    <cellStyle name="Neutral" xfId="5" builtinId="28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CRS015B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CRS015B!$C$6:$C$21</c:f>
              <c:numCache>
                <c:formatCode>General</c:formatCode>
                <c:ptCount val="16"/>
                <c:pt idx="0">
                  <c:v>0.51068962132563378</c:v>
                </c:pt>
                <c:pt idx="1">
                  <c:v>0.51121564579166445</c:v>
                </c:pt>
                <c:pt idx="2">
                  <c:v>0.51005917113378385</c:v>
                </c:pt>
                <c:pt idx="3">
                  <c:v>0.50663871873680566</c:v>
                </c:pt>
                <c:pt idx="4">
                  <c:v>0.50490473550203874</c:v>
                </c:pt>
                <c:pt idx="5">
                  <c:v>0.50201018568446598</c:v>
                </c:pt>
                <c:pt idx="6">
                  <c:v>0.49376254709527023</c:v>
                </c:pt>
                <c:pt idx="7">
                  <c:v>0.48212618068110036</c:v>
                </c:pt>
                <c:pt idx="8">
                  <c:v>0.46463401765776202</c:v>
                </c:pt>
                <c:pt idx="9">
                  <c:v>0.44949276703960811</c:v>
                </c:pt>
                <c:pt idx="10">
                  <c:v>0.43269787723544617</c:v>
                </c:pt>
                <c:pt idx="11">
                  <c:v>0.41325786108316587</c:v>
                </c:pt>
                <c:pt idx="12">
                  <c:v>0.39840570292142613</c:v>
                </c:pt>
                <c:pt idx="13">
                  <c:v>0.3681898127633037</c:v>
                </c:pt>
                <c:pt idx="14">
                  <c:v>0.32953850787869693</c:v>
                </c:pt>
                <c:pt idx="15">
                  <c:v>0.32415490639883376</c:v>
                </c:pt>
              </c:numCache>
            </c:numRef>
          </c:xVal>
          <c:yVal>
            <c:numRef>
              <c:f>CRS015B!$H$6:$H$21</c:f>
              <c:numCache>
                <c:formatCode>General</c:formatCode>
                <c:ptCount val="16"/>
                <c:pt idx="0">
                  <c:v>-16.101494861288167</c:v>
                </c:pt>
                <c:pt idx="1">
                  <c:v>-16.272667668182116</c:v>
                </c:pt>
                <c:pt idx="2">
                  <c:v>-16.484007127219893</c:v>
                </c:pt>
                <c:pt idx="3">
                  <c:v>-16.685144453450235</c:v>
                </c:pt>
                <c:pt idx="4">
                  <c:v>-16.815914114788487</c:v>
                </c:pt>
                <c:pt idx="5">
                  <c:v>-16.91641521839939</c:v>
                </c:pt>
                <c:pt idx="6">
                  <c:v>-16.996478269847049</c:v>
                </c:pt>
                <c:pt idx="7">
                  <c:v>-17.086439407995972</c:v>
                </c:pt>
                <c:pt idx="8">
                  <c:v>-17.236532312482392</c:v>
                </c:pt>
                <c:pt idx="9">
                  <c:v>-17.316325119413044</c:v>
                </c:pt>
                <c:pt idx="10">
                  <c:v>-17.486687185853853</c:v>
                </c:pt>
                <c:pt idx="11">
                  <c:v>-17.606646615357516</c:v>
                </c:pt>
                <c:pt idx="12">
                  <c:v>-17.726842557251853</c:v>
                </c:pt>
                <c:pt idx="13">
                  <c:v>-17.97736898219534</c:v>
                </c:pt>
                <c:pt idx="14">
                  <c:v>-18.338463515547271</c:v>
                </c:pt>
                <c:pt idx="15">
                  <c:v>-18.620170621483762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2-4C4C-8229-E2BA0624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3056"/>
        <c:axId val="442005024"/>
      </c:scatterChart>
      <c:valAx>
        <c:axId val="442003056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5024"/>
        <c:crosses val="autoZero"/>
        <c:crossBetween val="midCat"/>
      </c:valAx>
      <c:valAx>
        <c:axId val="442005024"/>
        <c:scaling>
          <c:orientation val="minMax"/>
          <c:max val="-12"/>
          <c:min val="-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10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intermediate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'CRS799'!$C$40:$C$48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'CRS799'!$D$40:$D$48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0D-4E4E-800F-76F65BD0087E}"/>
            </c:ext>
          </c:extLst>
        </c:ser>
        <c:ser>
          <c:idx val="3"/>
          <c:order val="1"/>
          <c:tx>
            <c:v>smectite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'CRS799'!$A$40:$A$46</c:f>
              <c:numCache>
                <c:formatCode>General</c:formatCode>
                <c:ptCount val="7"/>
                <c:pt idx="0">
                  <c:v>0.156</c:v>
                </c:pt>
                <c:pt idx="1">
                  <c:v>0.35299999999999998</c:v>
                </c:pt>
                <c:pt idx="2">
                  <c:v>0.47899999999999998</c:v>
                </c:pt>
                <c:pt idx="3">
                  <c:v>0.56499999999999995</c:v>
                </c:pt>
                <c:pt idx="4">
                  <c:v>0.629</c:v>
                </c:pt>
                <c:pt idx="5">
                  <c:v>0.71599999999999997</c:v>
                </c:pt>
                <c:pt idx="6">
                  <c:v>0.77200000000000002</c:v>
                </c:pt>
              </c:numCache>
            </c:numRef>
          </c:xVal>
          <c:yVal>
            <c:numRef>
              <c:f>'CRS799'!$B$40:$B$46</c:f>
              <c:numCache>
                <c:formatCode>General</c:formatCode>
                <c:ptCount val="7"/>
                <c:pt idx="0">
                  <c:v>-22.88614852739811</c:v>
                </c:pt>
                <c:pt idx="1">
                  <c:v>-20.777399269449948</c:v>
                </c:pt>
                <c:pt idx="2">
                  <c:v>-19.456242276836136</c:v>
                </c:pt>
                <c:pt idx="3">
                  <c:v>-18.50969731349339</c:v>
                </c:pt>
                <c:pt idx="4">
                  <c:v>-17.904882976356959</c:v>
                </c:pt>
                <c:pt idx="5">
                  <c:v>-17.003709471552359</c:v>
                </c:pt>
                <c:pt idx="6">
                  <c:v>-16.518544221030552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0D-4E4E-800F-76F65BD0087E}"/>
            </c:ext>
          </c:extLst>
        </c:ser>
        <c:ser>
          <c:idx val="4"/>
          <c:order val="2"/>
          <c:tx>
            <c:v>kaolinite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'CRS799'!$E$40:$E$47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0.20599999999999999</c:v>
                </c:pt>
                <c:pt idx="2">
                  <c:v>0.26800000000000002</c:v>
                </c:pt>
                <c:pt idx="3">
                  <c:v>0.36799999999999999</c:v>
                </c:pt>
                <c:pt idx="4">
                  <c:v>0.48</c:v>
                </c:pt>
                <c:pt idx="5">
                  <c:v>0.58399999999999996</c:v>
                </c:pt>
                <c:pt idx="6">
                  <c:v>0.64100000000000001</c:v>
                </c:pt>
                <c:pt idx="7">
                  <c:v>0.68700000000000006</c:v>
                </c:pt>
              </c:numCache>
            </c:numRef>
          </c:xVal>
          <c:yVal>
            <c:numRef>
              <c:f>'CRS799'!$F$40:$F$47</c:f>
              <c:numCache>
                <c:formatCode>General</c:formatCode>
                <c:ptCount val="8"/>
                <c:pt idx="0">
                  <c:v>-18.198304114275153</c:v>
                </c:pt>
                <c:pt idx="1">
                  <c:v>-17.59150903073964</c:v>
                </c:pt>
                <c:pt idx="2">
                  <c:v>-17.168760697954223</c:v>
                </c:pt>
                <c:pt idx="3">
                  <c:v>-16.578987049733815</c:v>
                </c:pt>
                <c:pt idx="4">
                  <c:v>-15.991753368590173</c:v>
                </c:pt>
                <c:pt idx="5">
                  <c:v>-15.460417101735818</c:v>
                </c:pt>
                <c:pt idx="6">
                  <c:v>-15.161197488270158</c:v>
                </c:pt>
                <c:pt idx="7">
                  <c:v>-14.91434558048941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0D-4E4E-800F-76F65BD0087E}"/>
            </c:ext>
          </c:extLst>
        </c:ser>
        <c:ser>
          <c:idx val="0"/>
          <c:order val="3"/>
          <c:tx>
            <c:v>CRS015B</c:v>
          </c:tx>
          <c:spPr>
            <a:ln w="38100"/>
          </c:spPr>
          <c:marker>
            <c:symbol val="none"/>
          </c:marker>
          <c:xVal>
            <c:numRef>
              <c:f>CRS015B!$C$6:$C$21</c:f>
              <c:numCache>
                <c:formatCode>General</c:formatCode>
                <c:ptCount val="16"/>
                <c:pt idx="0">
                  <c:v>0.51068962132563378</c:v>
                </c:pt>
                <c:pt idx="1">
                  <c:v>0.51121564579166445</c:v>
                </c:pt>
                <c:pt idx="2">
                  <c:v>0.51005917113378385</c:v>
                </c:pt>
                <c:pt idx="3">
                  <c:v>0.50663871873680566</c:v>
                </c:pt>
                <c:pt idx="4">
                  <c:v>0.50490473550203874</c:v>
                </c:pt>
                <c:pt idx="5">
                  <c:v>0.50201018568446598</c:v>
                </c:pt>
                <c:pt idx="6">
                  <c:v>0.49376254709527023</c:v>
                </c:pt>
                <c:pt idx="7">
                  <c:v>0.48212618068110036</c:v>
                </c:pt>
                <c:pt idx="8">
                  <c:v>0.46463401765776202</c:v>
                </c:pt>
                <c:pt idx="9">
                  <c:v>0.44949276703960811</c:v>
                </c:pt>
                <c:pt idx="10">
                  <c:v>0.43269787723544617</c:v>
                </c:pt>
                <c:pt idx="11">
                  <c:v>0.41325786108316587</c:v>
                </c:pt>
                <c:pt idx="12">
                  <c:v>0.39840570292142613</c:v>
                </c:pt>
                <c:pt idx="13">
                  <c:v>0.3681898127633037</c:v>
                </c:pt>
                <c:pt idx="14">
                  <c:v>0.32953850787869693</c:v>
                </c:pt>
                <c:pt idx="15">
                  <c:v>0.32415490639883376</c:v>
                </c:pt>
              </c:numCache>
            </c:numRef>
          </c:xVal>
          <c:yVal>
            <c:numRef>
              <c:f>CRS015B!$H$6:$H$21</c:f>
              <c:numCache>
                <c:formatCode>General</c:formatCode>
                <c:ptCount val="16"/>
                <c:pt idx="0">
                  <c:v>-16.101494861288167</c:v>
                </c:pt>
                <c:pt idx="1">
                  <c:v>-16.272667668182116</c:v>
                </c:pt>
                <c:pt idx="2">
                  <c:v>-16.484007127219893</c:v>
                </c:pt>
                <c:pt idx="3">
                  <c:v>-16.685144453450235</c:v>
                </c:pt>
                <c:pt idx="4">
                  <c:v>-16.815914114788487</c:v>
                </c:pt>
                <c:pt idx="5">
                  <c:v>-16.91641521839939</c:v>
                </c:pt>
                <c:pt idx="6">
                  <c:v>-16.996478269847049</c:v>
                </c:pt>
                <c:pt idx="7">
                  <c:v>-17.086439407995972</c:v>
                </c:pt>
                <c:pt idx="8">
                  <c:v>-17.236532312482392</c:v>
                </c:pt>
                <c:pt idx="9">
                  <c:v>-17.316325119413044</c:v>
                </c:pt>
                <c:pt idx="10">
                  <c:v>-17.486687185853853</c:v>
                </c:pt>
                <c:pt idx="11">
                  <c:v>-17.606646615357516</c:v>
                </c:pt>
                <c:pt idx="12">
                  <c:v>-17.726842557251853</c:v>
                </c:pt>
                <c:pt idx="13">
                  <c:v>-17.97736898219534</c:v>
                </c:pt>
                <c:pt idx="14">
                  <c:v>-18.338463515547271</c:v>
                </c:pt>
                <c:pt idx="15">
                  <c:v>-18.620170621483762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8-4B7F-8C65-0680BC268F4C}"/>
            </c:ext>
          </c:extLst>
        </c:ser>
        <c:ser>
          <c:idx val="1"/>
          <c:order val="4"/>
          <c:tx>
            <c:v>CRS799</c:v>
          </c:tx>
          <c:spPr>
            <a:ln w="38100"/>
          </c:spPr>
          <c:marker>
            <c:symbol val="none"/>
          </c:marker>
          <c:xVal>
            <c:numRef>
              <c:f>'CRS799'!$C$6:$C$36</c:f>
              <c:numCache>
                <c:formatCode>General</c:formatCode>
                <c:ptCount val="31"/>
                <c:pt idx="0">
                  <c:v>0.59345673493395379</c:v>
                </c:pt>
                <c:pt idx="1">
                  <c:v>0.59305911866208905</c:v>
                </c:pt>
                <c:pt idx="2">
                  <c:v>0.59307791349397998</c:v>
                </c:pt>
                <c:pt idx="3">
                  <c:v>0.59141270446627581</c:v>
                </c:pt>
                <c:pt idx="4">
                  <c:v>0.59010849828050516</c:v>
                </c:pt>
                <c:pt idx="5">
                  <c:v>0.58965047617574273</c:v>
                </c:pt>
                <c:pt idx="6">
                  <c:v>0.58749946838993994</c:v>
                </c:pt>
                <c:pt idx="7">
                  <c:v>0.58623368007364707</c:v>
                </c:pt>
                <c:pt idx="8">
                  <c:v>0.58408051535751504</c:v>
                </c:pt>
                <c:pt idx="9">
                  <c:v>0.58143190053984817</c:v>
                </c:pt>
                <c:pt idx="10">
                  <c:v>0.57968985734883915</c:v>
                </c:pt>
                <c:pt idx="11">
                  <c:v>0.57837561024333084</c:v>
                </c:pt>
                <c:pt idx="12">
                  <c:v>0.57478628971527934</c:v>
                </c:pt>
                <c:pt idx="13">
                  <c:v>0.56830528483260467</c:v>
                </c:pt>
                <c:pt idx="14">
                  <c:v>0.56355960091191604</c:v>
                </c:pt>
                <c:pt idx="15">
                  <c:v>0.55672705699036107</c:v>
                </c:pt>
                <c:pt idx="16">
                  <c:v>0.54967507255184911</c:v>
                </c:pt>
                <c:pt idx="17">
                  <c:v>0.54240590801562527</c:v>
                </c:pt>
                <c:pt idx="18">
                  <c:v>0.53103306615505508</c:v>
                </c:pt>
                <c:pt idx="19">
                  <c:v>0.52598408311432998</c:v>
                </c:pt>
                <c:pt idx="20">
                  <c:v>0.52025847705669759</c:v>
                </c:pt>
                <c:pt idx="21">
                  <c:v>0.51615476970273422</c:v>
                </c:pt>
                <c:pt idx="22">
                  <c:v>0.50405147786956184</c:v>
                </c:pt>
                <c:pt idx="23">
                  <c:v>0.49585818510912794</c:v>
                </c:pt>
                <c:pt idx="24">
                  <c:v>0.49002673330861324</c:v>
                </c:pt>
                <c:pt idx="25">
                  <c:v>0.48472237127343298</c:v>
                </c:pt>
                <c:pt idx="26">
                  <c:v>0.47725423395319483</c:v>
                </c:pt>
                <c:pt idx="27">
                  <c:v>0.4695606025685467</c:v>
                </c:pt>
                <c:pt idx="28">
                  <c:v>0.46382253259319611</c:v>
                </c:pt>
                <c:pt idx="29">
                  <c:v>0.45943987365120587</c:v>
                </c:pt>
                <c:pt idx="30">
                  <c:v>0.45871857685422174</c:v>
                </c:pt>
              </c:numCache>
            </c:numRef>
          </c:xVal>
          <c:yVal>
            <c:numRef>
              <c:f>'CRS799'!$H$6:$H$36</c:f>
              <c:numCache>
                <c:formatCode>General</c:formatCode>
                <c:ptCount val="31"/>
                <c:pt idx="0">
                  <c:v>-16.261440907776628</c:v>
                </c:pt>
                <c:pt idx="1">
                  <c:v>-16.408427206799335</c:v>
                </c:pt>
                <c:pt idx="2">
                  <c:v>-16.543118847616192</c:v>
                </c:pt>
                <c:pt idx="3">
                  <c:v>-16.653521007008464</c:v>
                </c:pt>
                <c:pt idx="4">
                  <c:v>-16.408777053211235</c:v>
                </c:pt>
                <c:pt idx="5">
                  <c:v>-16.17617787842126</c:v>
                </c:pt>
                <c:pt idx="6">
                  <c:v>-16.090714876942563</c:v>
                </c:pt>
                <c:pt idx="7">
                  <c:v>-16.286779936361263</c:v>
                </c:pt>
                <c:pt idx="8">
                  <c:v>-16.433966155058222</c:v>
                </c:pt>
                <c:pt idx="9">
                  <c:v>-16.373042554217818</c:v>
                </c:pt>
                <c:pt idx="10">
                  <c:v>-16.618136340586279</c:v>
                </c:pt>
                <c:pt idx="11">
                  <c:v>-16.814201379735628</c:v>
                </c:pt>
                <c:pt idx="12">
                  <c:v>-17.047250370465068</c:v>
                </c:pt>
                <c:pt idx="13">
                  <c:v>-17.133662942681067</c:v>
                </c:pt>
                <c:pt idx="14">
                  <c:v>-17.232120272113288</c:v>
                </c:pt>
                <c:pt idx="15">
                  <c:v>-17.306288146059206</c:v>
                </c:pt>
                <c:pt idx="16">
                  <c:v>-17.368211304030286</c:v>
                </c:pt>
                <c:pt idx="17">
                  <c:v>-17.49135794005273</c:v>
                </c:pt>
                <c:pt idx="18">
                  <c:v>-17.578120356144289</c:v>
                </c:pt>
                <c:pt idx="19">
                  <c:v>-17.615304248311034</c:v>
                </c:pt>
                <c:pt idx="20">
                  <c:v>-17.726006252128368</c:v>
                </c:pt>
                <c:pt idx="21">
                  <c:v>-17.738600818858792</c:v>
                </c:pt>
                <c:pt idx="22">
                  <c:v>-17.862047290149707</c:v>
                </c:pt>
                <c:pt idx="23">
                  <c:v>-17.960654552212969</c:v>
                </c:pt>
                <c:pt idx="24">
                  <c:v>-18.034572556115734</c:v>
                </c:pt>
                <c:pt idx="25">
                  <c:v>-18.071706464145759</c:v>
                </c:pt>
                <c:pt idx="26">
                  <c:v>-18.157969059730824</c:v>
                </c:pt>
                <c:pt idx="27">
                  <c:v>-18.219742297019806</c:v>
                </c:pt>
                <c:pt idx="28">
                  <c:v>-18.269120909877529</c:v>
                </c:pt>
                <c:pt idx="29">
                  <c:v>-18.318399567144656</c:v>
                </c:pt>
                <c:pt idx="30">
                  <c:v>-18.391917680944005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68-4B7F-8C65-0680BC26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3056"/>
        <c:axId val="442005024"/>
      </c:scatterChart>
      <c:valAx>
        <c:axId val="442003056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5024"/>
        <c:crosses val="autoZero"/>
        <c:crossBetween val="midCat"/>
      </c:valAx>
      <c:valAx>
        <c:axId val="442005024"/>
        <c:scaling>
          <c:orientation val="minMax"/>
          <c:max val="-12"/>
          <c:min val="-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10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30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intermediate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'CRS799'!$C$40:$C$48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'CRS799'!$D$40:$D$48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6-4B2F-B85D-96537295B064}"/>
            </c:ext>
          </c:extLst>
        </c:ser>
        <c:ser>
          <c:idx val="3"/>
          <c:order val="1"/>
          <c:tx>
            <c:v>smectite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'CRS799'!$A$40:$A$46</c:f>
              <c:numCache>
                <c:formatCode>General</c:formatCode>
                <c:ptCount val="7"/>
                <c:pt idx="0">
                  <c:v>0.156</c:v>
                </c:pt>
                <c:pt idx="1">
                  <c:v>0.35299999999999998</c:v>
                </c:pt>
                <c:pt idx="2">
                  <c:v>0.47899999999999998</c:v>
                </c:pt>
                <c:pt idx="3">
                  <c:v>0.56499999999999995</c:v>
                </c:pt>
                <c:pt idx="4">
                  <c:v>0.629</c:v>
                </c:pt>
                <c:pt idx="5">
                  <c:v>0.71599999999999997</c:v>
                </c:pt>
                <c:pt idx="6">
                  <c:v>0.77200000000000002</c:v>
                </c:pt>
              </c:numCache>
            </c:numRef>
          </c:xVal>
          <c:yVal>
            <c:numRef>
              <c:f>'CRS799'!$B$40:$B$46</c:f>
              <c:numCache>
                <c:formatCode>General</c:formatCode>
                <c:ptCount val="7"/>
                <c:pt idx="0">
                  <c:v>-22.88614852739811</c:v>
                </c:pt>
                <c:pt idx="1">
                  <c:v>-20.777399269449948</c:v>
                </c:pt>
                <c:pt idx="2">
                  <c:v>-19.456242276836136</c:v>
                </c:pt>
                <c:pt idx="3">
                  <c:v>-18.50969731349339</c:v>
                </c:pt>
                <c:pt idx="4">
                  <c:v>-17.904882976356959</c:v>
                </c:pt>
                <c:pt idx="5">
                  <c:v>-17.003709471552359</c:v>
                </c:pt>
                <c:pt idx="6">
                  <c:v>-16.518544221030552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26-4B2F-B85D-96537295B064}"/>
            </c:ext>
          </c:extLst>
        </c:ser>
        <c:ser>
          <c:idx val="4"/>
          <c:order val="2"/>
          <c:tx>
            <c:v>kaolinite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'CRS799'!$E$40:$E$47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0.20599999999999999</c:v>
                </c:pt>
                <c:pt idx="2">
                  <c:v>0.26800000000000002</c:v>
                </c:pt>
                <c:pt idx="3">
                  <c:v>0.36799999999999999</c:v>
                </c:pt>
                <c:pt idx="4">
                  <c:v>0.48</c:v>
                </c:pt>
                <c:pt idx="5">
                  <c:v>0.58399999999999996</c:v>
                </c:pt>
                <c:pt idx="6">
                  <c:v>0.64100000000000001</c:v>
                </c:pt>
                <c:pt idx="7">
                  <c:v>0.68700000000000006</c:v>
                </c:pt>
              </c:numCache>
            </c:numRef>
          </c:xVal>
          <c:yVal>
            <c:numRef>
              <c:f>'CRS799'!$F$40:$F$47</c:f>
              <c:numCache>
                <c:formatCode>General</c:formatCode>
                <c:ptCount val="8"/>
                <c:pt idx="0">
                  <c:v>-18.198304114275153</c:v>
                </c:pt>
                <c:pt idx="1">
                  <c:v>-17.59150903073964</c:v>
                </c:pt>
                <c:pt idx="2">
                  <c:v>-17.168760697954223</c:v>
                </c:pt>
                <c:pt idx="3">
                  <c:v>-16.578987049733815</c:v>
                </c:pt>
                <c:pt idx="4">
                  <c:v>-15.991753368590173</c:v>
                </c:pt>
                <c:pt idx="5">
                  <c:v>-15.460417101735818</c:v>
                </c:pt>
                <c:pt idx="6">
                  <c:v>-15.161197488270158</c:v>
                </c:pt>
                <c:pt idx="7">
                  <c:v>-14.91434558048941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26-4B2F-B85D-96537295B064}"/>
            </c:ext>
          </c:extLst>
        </c:ser>
        <c:ser>
          <c:idx val="0"/>
          <c:order val="3"/>
          <c:tx>
            <c:v>CRS015B</c:v>
          </c:tx>
          <c:spPr>
            <a:ln w="38100"/>
          </c:spPr>
          <c:marker>
            <c:symbol val="none"/>
          </c:marker>
          <c:xVal>
            <c:numRef>
              <c:f>CRS015B!$C$6:$C$21</c:f>
              <c:numCache>
                <c:formatCode>General</c:formatCode>
                <c:ptCount val="16"/>
                <c:pt idx="0">
                  <c:v>0.51068962132563378</c:v>
                </c:pt>
                <c:pt idx="1">
                  <c:v>0.51121564579166445</c:v>
                </c:pt>
                <c:pt idx="2">
                  <c:v>0.51005917113378385</c:v>
                </c:pt>
                <c:pt idx="3">
                  <c:v>0.50663871873680566</c:v>
                </c:pt>
                <c:pt idx="4">
                  <c:v>0.50490473550203874</c:v>
                </c:pt>
                <c:pt idx="5">
                  <c:v>0.50201018568446598</c:v>
                </c:pt>
                <c:pt idx="6">
                  <c:v>0.49376254709527023</c:v>
                </c:pt>
                <c:pt idx="7">
                  <c:v>0.48212618068110036</c:v>
                </c:pt>
                <c:pt idx="8">
                  <c:v>0.46463401765776202</c:v>
                </c:pt>
                <c:pt idx="9">
                  <c:v>0.44949276703960811</c:v>
                </c:pt>
                <c:pt idx="10">
                  <c:v>0.43269787723544617</c:v>
                </c:pt>
                <c:pt idx="11">
                  <c:v>0.41325786108316587</c:v>
                </c:pt>
                <c:pt idx="12">
                  <c:v>0.39840570292142613</c:v>
                </c:pt>
                <c:pt idx="13">
                  <c:v>0.3681898127633037</c:v>
                </c:pt>
                <c:pt idx="14">
                  <c:v>0.32953850787869693</c:v>
                </c:pt>
                <c:pt idx="15">
                  <c:v>0.32415490639883376</c:v>
                </c:pt>
              </c:numCache>
            </c:numRef>
          </c:xVal>
          <c:yVal>
            <c:numRef>
              <c:f>CRS015B!$H$6:$H$21</c:f>
              <c:numCache>
                <c:formatCode>General</c:formatCode>
                <c:ptCount val="16"/>
                <c:pt idx="0">
                  <c:v>-16.101494861288167</c:v>
                </c:pt>
                <c:pt idx="1">
                  <c:v>-16.272667668182116</c:v>
                </c:pt>
                <c:pt idx="2">
                  <c:v>-16.484007127219893</c:v>
                </c:pt>
                <c:pt idx="3">
                  <c:v>-16.685144453450235</c:v>
                </c:pt>
                <c:pt idx="4">
                  <c:v>-16.815914114788487</c:v>
                </c:pt>
                <c:pt idx="5">
                  <c:v>-16.91641521839939</c:v>
                </c:pt>
                <c:pt idx="6">
                  <c:v>-16.996478269847049</c:v>
                </c:pt>
                <c:pt idx="7">
                  <c:v>-17.086439407995972</c:v>
                </c:pt>
                <c:pt idx="8">
                  <c:v>-17.236532312482392</c:v>
                </c:pt>
                <c:pt idx="9">
                  <c:v>-17.316325119413044</c:v>
                </c:pt>
                <c:pt idx="10">
                  <c:v>-17.486687185853853</c:v>
                </c:pt>
                <c:pt idx="11">
                  <c:v>-17.606646615357516</c:v>
                </c:pt>
                <c:pt idx="12">
                  <c:v>-17.726842557251853</c:v>
                </c:pt>
                <c:pt idx="13">
                  <c:v>-17.97736898219534</c:v>
                </c:pt>
                <c:pt idx="14">
                  <c:v>-18.338463515547271</c:v>
                </c:pt>
                <c:pt idx="15">
                  <c:v>-18.620170621483762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26-4B2F-B85D-96537295B064}"/>
            </c:ext>
          </c:extLst>
        </c:ser>
        <c:ser>
          <c:idx val="1"/>
          <c:order val="4"/>
          <c:tx>
            <c:v>CRS799</c:v>
          </c:tx>
          <c:spPr>
            <a:ln w="38100"/>
          </c:spPr>
          <c:marker>
            <c:symbol val="none"/>
          </c:marker>
          <c:xVal>
            <c:numRef>
              <c:f>'CRS799'!$C$6:$C$36</c:f>
              <c:numCache>
                <c:formatCode>General</c:formatCode>
                <c:ptCount val="31"/>
                <c:pt idx="0">
                  <c:v>0.59345673493395379</c:v>
                </c:pt>
                <c:pt idx="1">
                  <c:v>0.59305911866208905</c:v>
                </c:pt>
                <c:pt idx="2">
                  <c:v>0.59307791349397998</c:v>
                </c:pt>
                <c:pt idx="3">
                  <c:v>0.59141270446627581</c:v>
                </c:pt>
                <c:pt idx="4">
                  <c:v>0.59010849828050516</c:v>
                </c:pt>
                <c:pt idx="5">
                  <c:v>0.58965047617574273</c:v>
                </c:pt>
                <c:pt idx="6">
                  <c:v>0.58749946838993994</c:v>
                </c:pt>
                <c:pt idx="7">
                  <c:v>0.58623368007364707</c:v>
                </c:pt>
                <c:pt idx="8">
                  <c:v>0.58408051535751504</c:v>
                </c:pt>
                <c:pt idx="9">
                  <c:v>0.58143190053984817</c:v>
                </c:pt>
                <c:pt idx="10">
                  <c:v>0.57968985734883915</c:v>
                </c:pt>
                <c:pt idx="11">
                  <c:v>0.57837561024333084</c:v>
                </c:pt>
                <c:pt idx="12">
                  <c:v>0.57478628971527934</c:v>
                </c:pt>
                <c:pt idx="13">
                  <c:v>0.56830528483260467</c:v>
                </c:pt>
                <c:pt idx="14">
                  <c:v>0.56355960091191604</c:v>
                </c:pt>
                <c:pt idx="15">
                  <c:v>0.55672705699036107</c:v>
                </c:pt>
                <c:pt idx="16">
                  <c:v>0.54967507255184911</c:v>
                </c:pt>
                <c:pt idx="17">
                  <c:v>0.54240590801562527</c:v>
                </c:pt>
                <c:pt idx="18">
                  <c:v>0.53103306615505508</c:v>
                </c:pt>
                <c:pt idx="19">
                  <c:v>0.52598408311432998</c:v>
                </c:pt>
                <c:pt idx="20">
                  <c:v>0.52025847705669759</c:v>
                </c:pt>
                <c:pt idx="21">
                  <c:v>0.51615476970273422</c:v>
                </c:pt>
                <c:pt idx="22">
                  <c:v>0.50405147786956184</c:v>
                </c:pt>
                <c:pt idx="23">
                  <c:v>0.49585818510912794</c:v>
                </c:pt>
                <c:pt idx="24">
                  <c:v>0.49002673330861324</c:v>
                </c:pt>
                <c:pt idx="25">
                  <c:v>0.48472237127343298</c:v>
                </c:pt>
                <c:pt idx="26">
                  <c:v>0.47725423395319483</c:v>
                </c:pt>
                <c:pt idx="27">
                  <c:v>0.4695606025685467</c:v>
                </c:pt>
                <c:pt idx="28">
                  <c:v>0.46382253259319611</c:v>
                </c:pt>
                <c:pt idx="29">
                  <c:v>0.45943987365120587</c:v>
                </c:pt>
                <c:pt idx="30">
                  <c:v>0.45871857685422174</c:v>
                </c:pt>
              </c:numCache>
            </c:numRef>
          </c:xVal>
          <c:yVal>
            <c:numRef>
              <c:f>'CRS799'!$H$6:$H$36</c:f>
              <c:numCache>
                <c:formatCode>General</c:formatCode>
                <c:ptCount val="31"/>
                <c:pt idx="0">
                  <c:v>-16.261440907776628</c:v>
                </c:pt>
                <c:pt idx="1">
                  <c:v>-16.408427206799335</c:v>
                </c:pt>
                <c:pt idx="2">
                  <c:v>-16.543118847616192</c:v>
                </c:pt>
                <c:pt idx="3">
                  <c:v>-16.653521007008464</c:v>
                </c:pt>
                <c:pt idx="4">
                  <c:v>-16.408777053211235</c:v>
                </c:pt>
                <c:pt idx="5">
                  <c:v>-16.17617787842126</c:v>
                </c:pt>
                <c:pt idx="6">
                  <c:v>-16.090714876942563</c:v>
                </c:pt>
                <c:pt idx="7">
                  <c:v>-16.286779936361263</c:v>
                </c:pt>
                <c:pt idx="8">
                  <c:v>-16.433966155058222</c:v>
                </c:pt>
                <c:pt idx="9">
                  <c:v>-16.373042554217818</c:v>
                </c:pt>
                <c:pt idx="10">
                  <c:v>-16.618136340586279</c:v>
                </c:pt>
                <c:pt idx="11">
                  <c:v>-16.814201379735628</c:v>
                </c:pt>
                <c:pt idx="12">
                  <c:v>-17.047250370465068</c:v>
                </c:pt>
                <c:pt idx="13">
                  <c:v>-17.133662942681067</c:v>
                </c:pt>
                <c:pt idx="14">
                  <c:v>-17.232120272113288</c:v>
                </c:pt>
                <c:pt idx="15">
                  <c:v>-17.306288146059206</c:v>
                </c:pt>
                <c:pt idx="16">
                  <c:v>-17.368211304030286</c:v>
                </c:pt>
                <c:pt idx="17">
                  <c:v>-17.49135794005273</c:v>
                </c:pt>
                <c:pt idx="18">
                  <c:v>-17.578120356144289</c:v>
                </c:pt>
                <c:pt idx="19">
                  <c:v>-17.615304248311034</c:v>
                </c:pt>
                <c:pt idx="20">
                  <c:v>-17.726006252128368</c:v>
                </c:pt>
                <c:pt idx="21">
                  <c:v>-17.738600818858792</c:v>
                </c:pt>
                <c:pt idx="22">
                  <c:v>-17.862047290149707</c:v>
                </c:pt>
                <c:pt idx="23">
                  <c:v>-17.960654552212969</c:v>
                </c:pt>
                <c:pt idx="24">
                  <c:v>-18.034572556115734</c:v>
                </c:pt>
                <c:pt idx="25">
                  <c:v>-18.071706464145759</c:v>
                </c:pt>
                <c:pt idx="26">
                  <c:v>-18.157969059730824</c:v>
                </c:pt>
                <c:pt idx="27">
                  <c:v>-18.219742297019806</c:v>
                </c:pt>
                <c:pt idx="28">
                  <c:v>-18.269120909877529</c:v>
                </c:pt>
                <c:pt idx="29">
                  <c:v>-18.318399567144656</c:v>
                </c:pt>
                <c:pt idx="30">
                  <c:v>-18.391917680944005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26-4B2F-B85D-96537295B064}"/>
            </c:ext>
          </c:extLst>
        </c:ser>
        <c:ser>
          <c:idx val="5"/>
          <c:order val="5"/>
          <c:tx>
            <c:v>NM1</c:v>
          </c:tx>
          <c:marker>
            <c:symbol val="none"/>
          </c:marker>
          <c:xVal>
            <c:numRef>
              <c:f>data!$AI$2:$AI$6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0.497</c:v>
                </c:pt>
                <c:pt idx="2">
                  <c:v>0.60199999999999998</c:v>
                </c:pt>
                <c:pt idx="3">
                  <c:v>0.67100000000000004</c:v>
                </c:pt>
                <c:pt idx="4">
                  <c:v>0.72099999999999997</c:v>
                </c:pt>
              </c:numCache>
            </c:numRef>
          </c:xVal>
          <c:yVal>
            <c:numRef>
              <c:f>data!$AQ$2:$AQ$6</c:f>
              <c:numCache>
                <c:formatCode>General</c:formatCode>
                <c:ptCount val="5"/>
                <c:pt idx="0">
                  <c:v>-20.510365464819976</c:v>
                </c:pt>
                <c:pt idx="1">
                  <c:v>-19.063902655955729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26-4B2F-B85D-96537295B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3056"/>
        <c:axId val="442005024"/>
      </c:scatterChart>
      <c:valAx>
        <c:axId val="442003056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5024"/>
        <c:crosses val="autoZero"/>
        <c:crossBetween val="midCat"/>
      </c:valAx>
      <c:valAx>
        <c:axId val="442005024"/>
        <c:scaling>
          <c:orientation val="minMax"/>
          <c:max val="-12"/>
          <c:min val="-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10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30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intermediate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'CRS799'!$C$40:$C$48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'CRS799'!$D$40:$D$48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C-4765-952E-83A9F4030181}"/>
            </c:ext>
          </c:extLst>
        </c:ser>
        <c:ser>
          <c:idx val="3"/>
          <c:order val="1"/>
          <c:tx>
            <c:v>smectite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'CRS799'!$A$40:$A$46</c:f>
              <c:numCache>
                <c:formatCode>General</c:formatCode>
                <c:ptCount val="7"/>
                <c:pt idx="0">
                  <c:v>0.156</c:v>
                </c:pt>
                <c:pt idx="1">
                  <c:v>0.35299999999999998</c:v>
                </c:pt>
                <c:pt idx="2">
                  <c:v>0.47899999999999998</c:v>
                </c:pt>
                <c:pt idx="3">
                  <c:v>0.56499999999999995</c:v>
                </c:pt>
                <c:pt idx="4">
                  <c:v>0.629</c:v>
                </c:pt>
                <c:pt idx="5">
                  <c:v>0.71599999999999997</c:v>
                </c:pt>
                <c:pt idx="6">
                  <c:v>0.77200000000000002</c:v>
                </c:pt>
              </c:numCache>
            </c:numRef>
          </c:xVal>
          <c:yVal>
            <c:numRef>
              <c:f>'CRS799'!$B$40:$B$46</c:f>
              <c:numCache>
                <c:formatCode>General</c:formatCode>
                <c:ptCount val="7"/>
                <c:pt idx="0">
                  <c:v>-22.88614852739811</c:v>
                </c:pt>
                <c:pt idx="1">
                  <c:v>-20.777399269449948</c:v>
                </c:pt>
                <c:pt idx="2">
                  <c:v>-19.456242276836136</c:v>
                </c:pt>
                <c:pt idx="3">
                  <c:v>-18.50969731349339</c:v>
                </c:pt>
                <c:pt idx="4">
                  <c:v>-17.904882976356959</c:v>
                </c:pt>
                <c:pt idx="5">
                  <c:v>-17.003709471552359</c:v>
                </c:pt>
                <c:pt idx="6">
                  <c:v>-16.518544221030552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C-4765-952E-83A9F4030181}"/>
            </c:ext>
          </c:extLst>
        </c:ser>
        <c:ser>
          <c:idx val="4"/>
          <c:order val="2"/>
          <c:tx>
            <c:v>kaolinite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'CRS799'!$E$40:$E$47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0.20599999999999999</c:v>
                </c:pt>
                <c:pt idx="2">
                  <c:v>0.26800000000000002</c:v>
                </c:pt>
                <c:pt idx="3">
                  <c:v>0.36799999999999999</c:v>
                </c:pt>
                <c:pt idx="4">
                  <c:v>0.48</c:v>
                </c:pt>
                <c:pt idx="5">
                  <c:v>0.58399999999999996</c:v>
                </c:pt>
                <c:pt idx="6">
                  <c:v>0.64100000000000001</c:v>
                </c:pt>
                <c:pt idx="7">
                  <c:v>0.68700000000000006</c:v>
                </c:pt>
              </c:numCache>
            </c:numRef>
          </c:xVal>
          <c:yVal>
            <c:numRef>
              <c:f>'CRS799'!$F$40:$F$47</c:f>
              <c:numCache>
                <c:formatCode>General</c:formatCode>
                <c:ptCount val="8"/>
                <c:pt idx="0">
                  <c:v>-18.198304114275153</c:v>
                </c:pt>
                <c:pt idx="1">
                  <c:v>-17.59150903073964</c:v>
                </c:pt>
                <c:pt idx="2">
                  <c:v>-17.168760697954223</c:v>
                </c:pt>
                <c:pt idx="3">
                  <c:v>-16.578987049733815</c:v>
                </c:pt>
                <c:pt idx="4">
                  <c:v>-15.991753368590173</c:v>
                </c:pt>
                <c:pt idx="5">
                  <c:v>-15.460417101735818</c:v>
                </c:pt>
                <c:pt idx="6">
                  <c:v>-15.161197488270158</c:v>
                </c:pt>
                <c:pt idx="7">
                  <c:v>-14.91434558048941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C-4765-952E-83A9F4030181}"/>
            </c:ext>
          </c:extLst>
        </c:ser>
        <c:ser>
          <c:idx val="0"/>
          <c:order val="3"/>
          <c:tx>
            <c:v>CRS015B</c:v>
          </c:tx>
          <c:spPr>
            <a:ln w="38100"/>
          </c:spPr>
          <c:marker>
            <c:symbol val="none"/>
          </c:marker>
          <c:xVal>
            <c:numRef>
              <c:f>CRS015B!$C$6:$C$21</c:f>
              <c:numCache>
                <c:formatCode>General</c:formatCode>
                <c:ptCount val="16"/>
                <c:pt idx="0">
                  <c:v>0.51068962132563378</c:v>
                </c:pt>
                <c:pt idx="1">
                  <c:v>0.51121564579166445</c:v>
                </c:pt>
                <c:pt idx="2">
                  <c:v>0.51005917113378385</c:v>
                </c:pt>
                <c:pt idx="3">
                  <c:v>0.50663871873680566</c:v>
                </c:pt>
                <c:pt idx="4">
                  <c:v>0.50490473550203874</c:v>
                </c:pt>
                <c:pt idx="5">
                  <c:v>0.50201018568446598</c:v>
                </c:pt>
                <c:pt idx="6">
                  <c:v>0.49376254709527023</c:v>
                </c:pt>
                <c:pt idx="7">
                  <c:v>0.48212618068110036</c:v>
                </c:pt>
                <c:pt idx="8">
                  <c:v>0.46463401765776202</c:v>
                </c:pt>
                <c:pt idx="9">
                  <c:v>0.44949276703960811</c:v>
                </c:pt>
                <c:pt idx="10">
                  <c:v>0.43269787723544617</c:v>
                </c:pt>
                <c:pt idx="11">
                  <c:v>0.41325786108316587</c:v>
                </c:pt>
                <c:pt idx="12">
                  <c:v>0.39840570292142613</c:v>
                </c:pt>
                <c:pt idx="13">
                  <c:v>0.3681898127633037</c:v>
                </c:pt>
                <c:pt idx="14">
                  <c:v>0.32953850787869693</c:v>
                </c:pt>
                <c:pt idx="15">
                  <c:v>0.32415490639883376</c:v>
                </c:pt>
              </c:numCache>
            </c:numRef>
          </c:xVal>
          <c:yVal>
            <c:numRef>
              <c:f>CRS015B!$H$6:$H$21</c:f>
              <c:numCache>
                <c:formatCode>General</c:formatCode>
                <c:ptCount val="16"/>
                <c:pt idx="0">
                  <c:v>-16.101494861288167</c:v>
                </c:pt>
                <c:pt idx="1">
                  <c:v>-16.272667668182116</c:v>
                </c:pt>
                <c:pt idx="2">
                  <c:v>-16.484007127219893</c:v>
                </c:pt>
                <c:pt idx="3">
                  <c:v>-16.685144453450235</c:v>
                </c:pt>
                <c:pt idx="4">
                  <c:v>-16.815914114788487</c:v>
                </c:pt>
                <c:pt idx="5">
                  <c:v>-16.91641521839939</c:v>
                </c:pt>
                <c:pt idx="6">
                  <c:v>-16.996478269847049</c:v>
                </c:pt>
                <c:pt idx="7">
                  <c:v>-17.086439407995972</c:v>
                </c:pt>
                <c:pt idx="8">
                  <c:v>-17.236532312482392</c:v>
                </c:pt>
                <c:pt idx="9">
                  <c:v>-17.316325119413044</c:v>
                </c:pt>
                <c:pt idx="10">
                  <c:v>-17.486687185853853</c:v>
                </c:pt>
                <c:pt idx="11">
                  <c:v>-17.606646615357516</c:v>
                </c:pt>
                <c:pt idx="12">
                  <c:v>-17.726842557251853</c:v>
                </c:pt>
                <c:pt idx="13">
                  <c:v>-17.97736898219534</c:v>
                </c:pt>
                <c:pt idx="14">
                  <c:v>-18.338463515547271</c:v>
                </c:pt>
                <c:pt idx="15">
                  <c:v>-18.620170621483762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C-4765-952E-83A9F4030181}"/>
            </c:ext>
          </c:extLst>
        </c:ser>
        <c:ser>
          <c:idx val="1"/>
          <c:order val="4"/>
          <c:tx>
            <c:v>CRS799</c:v>
          </c:tx>
          <c:spPr>
            <a:ln w="38100"/>
          </c:spPr>
          <c:marker>
            <c:symbol val="none"/>
          </c:marker>
          <c:xVal>
            <c:numRef>
              <c:f>'CRS799'!$C$6:$C$36</c:f>
              <c:numCache>
                <c:formatCode>General</c:formatCode>
                <c:ptCount val="31"/>
                <c:pt idx="0">
                  <c:v>0.59345673493395379</c:v>
                </c:pt>
                <c:pt idx="1">
                  <c:v>0.59305911866208905</c:v>
                </c:pt>
                <c:pt idx="2">
                  <c:v>0.59307791349397998</c:v>
                </c:pt>
                <c:pt idx="3">
                  <c:v>0.59141270446627581</c:v>
                </c:pt>
                <c:pt idx="4">
                  <c:v>0.59010849828050516</c:v>
                </c:pt>
                <c:pt idx="5">
                  <c:v>0.58965047617574273</c:v>
                </c:pt>
                <c:pt idx="6">
                  <c:v>0.58749946838993994</c:v>
                </c:pt>
                <c:pt idx="7">
                  <c:v>0.58623368007364707</c:v>
                </c:pt>
                <c:pt idx="8">
                  <c:v>0.58408051535751504</c:v>
                </c:pt>
                <c:pt idx="9">
                  <c:v>0.58143190053984817</c:v>
                </c:pt>
                <c:pt idx="10">
                  <c:v>0.57968985734883915</c:v>
                </c:pt>
                <c:pt idx="11">
                  <c:v>0.57837561024333084</c:v>
                </c:pt>
                <c:pt idx="12">
                  <c:v>0.57478628971527934</c:v>
                </c:pt>
                <c:pt idx="13">
                  <c:v>0.56830528483260467</c:v>
                </c:pt>
                <c:pt idx="14">
                  <c:v>0.56355960091191604</c:v>
                </c:pt>
                <c:pt idx="15">
                  <c:v>0.55672705699036107</c:v>
                </c:pt>
                <c:pt idx="16">
                  <c:v>0.54967507255184911</c:v>
                </c:pt>
                <c:pt idx="17">
                  <c:v>0.54240590801562527</c:v>
                </c:pt>
                <c:pt idx="18">
                  <c:v>0.53103306615505508</c:v>
                </c:pt>
                <c:pt idx="19">
                  <c:v>0.52598408311432998</c:v>
                </c:pt>
                <c:pt idx="20">
                  <c:v>0.52025847705669759</c:v>
                </c:pt>
                <c:pt idx="21">
                  <c:v>0.51615476970273422</c:v>
                </c:pt>
                <c:pt idx="22">
                  <c:v>0.50405147786956184</c:v>
                </c:pt>
                <c:pt idx="23">
                  <c:v>0.49585818510912794</c:v>
                </c:pt>
                <c:pt idx="24">
                  <c:v>0.49002673330861324</c:v>
                </c:pt>
                <c:pt idx="25">
                  <c:v>0.48472237127343298</c:v>
                </c:pt>
                <c:pt idx="26">
                  <c:v>0.47725423395319483</c:v>
                </c:pt>
                <c:pt idx="27">
                  <c:v>0.4695606025685467</c:v>
                </c:pt>
                <c:pt idx="28">
                  <c:v>0.46382253259319611</c:v>
                </c:pt>
                <c:pt idx="29">
                  <c:v>0.45943987365120587</c:v>
                </c:pt>
                <c:pt idx="30">
                  <c:v>0.45871857685422174</c:v>
                </c:pt>
              </c:numCache>
            </c:numRef>
          </c:xVal>
          <c:yVal>
            <c:numRef>
              <c:f>'CRS799'!$H$6:$H$36</c:f>
              <c:numCache>
                <c:formatCode>General</c:formatCode>
                <c:ptCount val="31"/>
                <c:pt idx="0">
                  <c:v>-16.261440907776628</c:v>
                </c:pt>
                <c:pt idx="1">
                  <c:v>-16.408427206799335</c:v>
                </c:pt>
                <c:pt idx="2">
                  <c:v>-16.543118847616192</c:v>
                </c:pt>
                <c:pt idx="3">
                  <c:v>-16.653521007008464</c:v>
                </c:pt>
                <c:pt idx="4">
                  <c:v>-16.408777053211235</c:v>
                </c:pt>
                <c:pt idx="5">
                  <c:v>-16.17617787842126</c:v>
                </c:pt>
                <c:pt idx="6">
                  <c:v>-16.090714876942563</c:v>
                </c:pt>
                <c:pt idx="7">
                  <c:v>-16.286779936361263</c:v>
                </c:pt>
                <c:pt idx="8">
                  <c:v>-16.433966155058222</c:v>
                </c:pt>
                <c:pt idx="9">
                  <c:v>-16.373042554217818</c:v>
                </c:pt>
                <c:pt idx="10">
                  <c:v>-16.618136340586279</c:v>
                </c:pt>
                <c:pt idx="11">
                  <c:v>-16.814201379735628</c:v>
                </c:pt>
                <c:pt idx="12">
                  <c:v>-17.047250370465068</c:v>
                </c:pt>
                <c:pt idx="13">
                  <c:v>-17.133662942681067</c:v>
                </c:pt>
                <c:pt idx="14">
                  <c:v>-17.232120272113288</c:v>
                </c:pt>
                <c:pt idx="15">
                  <c:v>-17.306288146059206</c:v>
                </c:pt>
                <c:pt idx="16">
                  <c:v>-17.368211304030286</c:v>
                </c:pt>
                <c:pt idx="17">
                  <c:v>-17.49135794005273</c:v>
                </c:pt>
                <c:pt idx="18">
                  <c:v>-17.578120356144289</c:v>
                </c:pt>
                <c:pt idx="19">
                  <c:v>-17.615304248311034</c:v>
                </c:pt>
                <c:pt idx="20">
                  <c:v>-17.726006252128368</c:v>
                </c:pt>
                <c:pt idx="21">
                  <c:v>-17.738600818858792</c:v>
                </c:pt>
                <c:pt idx="22">
                  <c:v>-17.862047290149707</c:v>
                </c:pt>
                <c:pt idx="23">
                  <c:v>-17.960654552212969</c:v>
                </c:pt>
                <c:pt idx="24">
                  <c:v>-18.034572556115734</c:v>
                </c:pt>
                <c:pt idx="25">
                  <c:v>-18.071706464145759</c:v>
                </c:pt>
                <c:pt idx="26">
                  <c:v>-18.157969059730824</c:v>
                </c:pt>
                <c:pt idx="27">
                  <c:v>-18.219742297019806</c:v>
                </c:pt>
                <c:pt idx="28">
                  <c:v>-18.269120909877529</c:v>
                </c:pt>
                <c:pt idx="29">
                  <c:v>-18.318399567144656</c:v>
                </c:pt>
                <c:pt idx="30">
                  <c:v>-18.391917680944005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C-4765-952E-83A9F4030181}"/>
            </c:ext>
          </c:extLst>
        </c:ser>
        <c:ser>
          <c:idx val="5"/>
          <c:order val="5"/>
          <c:tx>
            <c:v>NM1</c:v>
          </c:tx>
          <c:trendline>
            <c:spPr>
              <a:ln w="25400"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1398422022587322"/>
                  <c:y val="-0.17654143032625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data2!$AI$2:$AI$6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0.497</c:v>
                </c:pt>
                <c:pt idx="2">
                  <c:v>0.60199999999999998</c:v>
                </c:pt>
                <c:pt idx="3">
                  <c:v>0.67100000000000004</c:v>
                </c:pt>
                <c:pt idx="4">
                  <c:v>0.72099999999999997</c:v>
                </c:pt>
              </c:numCache>
            </c:numRef>
          </c:xVal>
          <c:yVal>
            <c:numRef>
              <c:f>data2!$AQ$2:$AQ$6</c:f>
              <c:numCache>
                <c:formatCode>General</c:formatCode>
                <c:ptCount val="5"/>
                <c:pt idx="0">
                  <c:v>-20.149494918146093</c:v>
                </c:pt>
                <c:pt idx="1">
                  <c:v>-18.163475116989432</c:v>
                </c:pt>
                <c:pt idx="2">
                  <c:v>-17.027075480771675</c:v>
                </c:pt>
                <c:pt idx="3">
                  <c:v>-16.284330857599009</c:v>
                </c:pt>
                <c:pt idx="4">
                  <c:v>-15.810568082761915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C-4765-952E-83A9F4030181}"/>
            </c:ext>
          </c:extLst>
        </c:ser>
        <c:ser>
          <c:idx val="6"/>
          <c:order val="6"/>
          <c:tx>
            <c:v>NM2</c:v>
          </c:tx>
          <c:spPr>
            <a:ln w="25400"/>
          </c:spPr>
          <c:trendline>
            <c:trendlineType val="linear"/>
            <c:dispRSqr val="1"/>
            <c:dispEq val="1"/>
            <c:trendlineLbl>
              <c:layout>
                <c:manualLayout>
                  <c:x val="8.4437318012477378E-2"/>
                  <c:y val="-0.229075788589151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data2!$AI$7:$AI$11</c:f>
              <c:numCache>
                <c:formatCode>General</c:formatCode>
                <c:ptCount val="5"/>
                <c:pt idx="0">
                  <c:v>0.247</c:v>
                </c:pt>
                <c:pt idx="1">
                  <c:v>0.372</c:v>
                </c:pt>
                <c:pt idx="2">
                  <c:v>0.45</c:v>
                </c:pt>
                <c:pt idx="3">
                  <c:v>0.503</c:v>
                </c:pt>
                <c:pt idx="4">
                  <c:v>0.57499999999999996</c:v>
                </c:pt>
              </c:numCache>
            </c:numRef>
          </c:xVal>
          <c:yVal>
            <c:numRef>
              <c:f>data2!$AQ$7:$AQ$12</c:f>
              <c:numCache>
                <c:formatCode>General</c:formatCode>
                <c:ptCount val="6"/>
                <c:pt idx="0">
                  <c:v>-19.319584982612785</c:v>
                </c:pt>
                <c:pt idx="1">
                  <c:v>-18.189554286339909</c:v>
                </c:pt>
                <c:pt idx="2">
                  <c:v>-17.562319183499554</c:v>
                </c:pt>
                <c:pt idx="3">
                  <c:v>-17.151712330904722</c:v>
                </c:pt>
                <c:pt idx="4">
                  <c:v>-16.454133980910473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0-4FB5-8B33-76F53138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3056"/>
        <c:axId val="442005024"/>
      </c:scatterChart>
      <c:valAx>
        <c:axId val="442003056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5024"/>
        <c:crosses val="autoZero"/>
        <c:crossBetween val="midCat"/>
      </c:valAx>
      <c:valAx>
        <c:axId val="442005024"/>
        <c:scaling>
          <c:orientation val="minMax"/>
          <c:max val="-12"/>
          <c:min val="-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10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30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intermediate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'CRS799'!$C$40:$C$48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xVal>
          <c:yVal>
            <c:numRef>
              <c:f>'CRS799'!$D$40:$D$48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F-439D-AC5C-FAE5DD422111}"/>
            </c:ext>
          </c:extLst>
        </c:ser>
        <c:ser>
          <c:idx val="3"/>
          <c:order val="1"/>
          <c:tx>
            <c:v>smectite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'CRS799'!$A$40:$A$46</c:f>
              <c:numCache>
                <c:formatCode>General</c:formatCode>
                <c:ptCount val="7"/>
                <c:pt idx="0">
                  <c:v>0.156</c:v>
                </c:pt>
                <c:pt idx="1">
                  <c:v>0.35299999999999998</c:v>
                </c:pt>
                <c:pt idx="2">
                  <c:v>0.47899999999999998</c:v>
                </c:pt>
                <c:pt idx="3">
                  <c:v>0.56499999999999995</c:v>
                </c:pt>
                <c:pt idx="4">
                  <c:v>0.629</c:v>
                </c:pt>
                <c:pt idx="5">
                  <c:v>0.71599999999999997</c:v>
                </c:pt>
                <c:pt idx="6">
                  <c:v>0.77200000000000002</c:v>
                </c:pt>
              </c:numCache>
            </c:numRef>
          </c:xVal>
          <c:yVal>
            <c:numRef>
              <c:f>'CRS799'!$B$40:$B$46</c:f>
              <c:numCache>
                <c:formatCode>General</c:formatCode>
                <c:ptCount val="7"/>
                <c:pt idx="0">
                  <c:v>-22.88614852739811</c:v>
                </c:pt>
                <c:pt idx="1">
                  <c:v>-20.777399269449948</c:v>
                </c:pt>
                <c:pt idx="2">
                  <c:v>-19.456242276836136</c:v>
                </c:pt>
                <c:pt idx="3">
                  <c:v>-18.50969731349339</c:v>
                </c:pt>
                <c:pt idx="4">
                  <c:v>-17.904882976356959</c:v>
                </c:pt>
                <c:pt idx="5">
                  <c:v>-17.003709471552359</c:v>
                </c:pt>
                <c:pt idx="6">
                  <c:v>-16.518544221030552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F-439D-AC5C-FAE5DD422111}"/>
            </c:ext>
          </c:extLst>
        </c:ser>
        <c:ser>
          <c:idx val="4"/>
          <c:order val="2"/>
          <c:tx>
            <c:v>kaolinite model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'CRS799'!$E$40:$E$47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0.20599999999999999</c:v>
                </c:pt>
                <c:pt idx="2">
                  <c:v>0.26800000000000002</c:v>
                </c:pt>
                <c:pt idx="3">
                  <c:v>0.36799999999999999</c:v>
                </c:pt>
                <c:pt idx="4">
                  <c:v>0.48</c:v>
                </c:pt>
                <c:pt idx="5">
                  <c:v>0.58399999999999996</c:v>
                </c:pt>
                <c:pt idx="6">
                  <c:v>0.64100000000000001</c:v>
                </c:pt>
                <c:pt idx="7">
                  <c:v>0.68700000000000006</c:v>
                </c:pt>
              </c:numCache>
            </c:numRef>
          </c:xVal>
          <c:yVal>
            <c:numRef>
              <c:f>'CRS799'!$F$40:$F$47</c:f>
              <c:numCache>
                <c:formatCode>General</c:formatCode>
                <c:ptCount val="8"/>
                <c:pt idx="0">
                  <c:v>-18.198304114275153</c:v>
                </c:pt>
                <c:pt idx="1">
                  <c:v>-17.59150903073964</c:v>
                </c:pt>
                <c:pt idx="2">
                  <c:v>-17.168760697954223</c:v>
                </c:pt>
                <c:pt idx="3">
                  <c:v>-16.578987049733815</c:v>
                </c:pt>
                <c:pt idx="4">
                  <c:v>-15.991753368590173</c:v>
                </c:pt>
                <c:pt idx="5">
                  <c:v>-15.460417101735818</c:v>
                </c:pt>
                <c:pt idx="6">
                  <c:v>-15.161197488270158</c:v>
                </c:pt>
                <c:pt idx="7">
                  <c:v>-14.91434558048941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F-439D-AC5C-FAE5DD422111}"/>
            </c:ext>
          </c:extLst>
        </c:ser>
        <c:ser>
          <c:idx val="0"/>
          <c:order val="3"/>
          <c:tx>
            <c:v>CRS015B</c:v>
          </c:tx>
          <c:spPr>
            <a:ln w="38100"/>
          </c:spPr>
          <c:marker>
            <c:symbol val="none"/>
          </c:marker>
          <c:xVal>
            <c:numRef>
              <c:f>CRS015B!$C$6:$C$21</c:f>
              <c:numCache>
                <c:formatCode>General</c:formatCode>
                <c:ptCount val="16"/>
                <c:pt idx="0">
                  <c:v>0.51068962132563378</c:v>
                </c:pt>
                <c:pt idx="1">
                  <c:v>0.51121564579166445</c:v>
                </c:pt>
                <c:pt idx="2">
                  <c:v>0.51005917113378385</c:v>
                </c:pt>
                <c:pt idx="3">
                  <c:v>0.50663871873680566</c:v>
                </c:pt>
                <c:pt idx="4">
                  <c:v>0.50490473550203874</c:v>
                </c:pt>
                <c:pt idx="5">
                  <c:v>0.50201018568446598</c:v>
                </c:pt>
                <c:pt idx="6">
                  <c:v>0.49376254709527023</c:v>
                </c:pt>
                <c:pt idx="7">
                  <c:v>0.48212618068110036</c:v>
                </c:pt>
                <c:pt idx="8">
                  <c:v>0.46463401765776202</c:v>
                </c:pt>
                <c:pt idx="9">
                  <c:v>0.44949276703960811</c:v>
                </c:pt>
                <c:pt idx="10">
                  <c:v>0.43269787723544617</c:v>
                </c:pt>
                <c:pt idx="11">
                  <c:v>0.41325786108316587</c:v>
                </c:pt>
                <c:pt idx="12">
                  <c:v>0.39840570292142613</c:v>
                </c:pt>
                <c:pt idx="13">
                  <c:v>0.3681898127633037</c:v>
                </c:pt>
                <c:pt idx="14">
                  <c:v>0.32953850787869693</c:v>
                </c:pt>
                <c:pt idx="15">
                  <c:v>0.32415490639883376</c:v>
                </c:pt>
              </c:numCache>
            </c:numRef>
          </c:xVal>
          <c:yVal>
            <c:numRef>
              <c:f>CRS015B!$H$6:$H$21</c:f>
              <c:numCache>
                <c:formatCode>General</c:formatCode>
                <c:ptCount val="16"/>
                <c:pt idx="0">
                  <c:v>-16.101494861288167</c:v>
                </c:pt>
                <c:pt idx="1">
                  <c:v>-16.272667668182116</c:v>
                </c:pt>
                <c:pt idx="2">
                  <c:v>-16.484007127219893</c:v>
                </c:pt>
                <c:pt idx="3">
                  <c:v>-16.685144453450235</c:v>
                </c:pt>
                <c:pt idx="4">
                  <c:v>-16.815914114788487</c:v>
                </c:pt>
                <c:pt idx="5">
                  <c:v>-16.91641521839939</c:v>
                </c:pt>
                <c:pt idx="6">
                  <c:v>-16.996478269847049</c:v>
                </c:pt>
                <c:pt idx="7">
                  <c:v>-17.086439407995972</c:v>
                </c:pt>
                <c:pt idx="8">
                  <c:v>-17.236532312482392</c:v>
                </c:pt>
                <c:pt idx="9">
                  <c:v>-17.316325119413044</c:v>
                </c:pt>
                <c:pt idx="10">
                  <c:v>-17.486687185853853</c:v>
                </c:pt>
                <c:pt idx="11">
                  <c:v>-17.606646615357516</c:v>
                </c:pt>
                <c:pt idx="12">
                  <c:v>-17.726842557251853</c:v>
                </c:pt>
                <c:pt idx="13">
                  <c:v>-17.97736898219534</c:v>
                </c:pt>
                <c:pt idx="14">
                  <c:v>-18.338463515547271</c:v>
                </c:pt>
                <c:pt idx="15">
                  <c:v>-18.620170621483762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8F-439D-AC5C-FAE5DD422111}"/>
            </c:ext>
          </c:extLst>
        </c:ser>
        <c:ser>
          <c:idx val="1"/>
          <c:order val="4"/>
          <c:tx>
            <c:v>CRS799</c:v>
          </c:tx>
          <c:spPr>
            <a:ln w="38100"/>
          </c:spPr>
          <c:marker>
            <c:symbol val="none"/>
          </c:marker>
          <c:xVal>
            <c:numRef>
              <c:f>'CRS799'!$C$6:$C$36</c:f>
              <c:numCache>
                <c:formatCode>General</c:formatCode>
                <c:ptCount val="31"/>
                <c:pt idx="0">
                  <c:v>0.59345673493395379</c:v>
                </c:pt>
                <c:pt idx="1">
                  <c:v>0.59305911866208905</c:v>
                </c:pt>
                <c:pt idx="2">
                  <c:v>0.59307791349397998</c:v>
                </c:pt>
                <c:pt idx="3">
                  <c:v>0.59141270446627581</c:v>
                </c:pt>
                <c:pt idx="4">
                  <c:v>0.59010849828050516</c:v>
                </c:pt>
                <c:pt idx="5">
                  <c:v>0.58965047617574273</c:v>
                </c:pt>
                <c:pt idx="6">
                  <c:v>0.58749946838993994</c:v>
                </c:pt>
                <c:pt idx="7">
                  <c:v>0.58623368007364707</c:v>
                </c:pt>
                <c:pt idx="8">
                  <c:v>0.58408051535751504</c:v>
                </c:pt>
                <c:pt idx="9">
                  <c:v>0.58143190053984817</c:v>
                </c:pt>
                <c:pt idx="10">
                  <c:v>0.57968985734883915</c:v>
                </c:pt>
                <c:pt idx="11">
                  <c:v>0.57837561024333084</c:v>
                </c:pt>
                <c:pt idx="12">
                  <c:v>0.57478628971527934</c:v>
                </c:pt>
                <c:pt idx="13">
                  <c:v>0.56830528483260467</c:v>
                </c:pt>
                <c:pt idx="14">
                  <c:v>0.56355960091191604</c:v>
                </c:pt>
                <c:pt idx="15">
                  <c:v>0.55672705699036107</c:v>
                </c:pt>
                <c:pt idx="16">
                  <c:v>0.54967507255184911</c:v>
                </c:pt>
                <c:pt idx="17">
                  <c:v>0.54240590801562527</c:v>
                </c:pt>
                <c:pt idx="18">
                  <c:v>0.53103306615505508</c:v>
                </c:pt>
                <c:pt idx="19">
                  <c:v>0.52598408311432998</c:v>
                </c:pt>
                <c:pt idx="20">
                  <c:v>0.52025847705669759</c:v>
                </c:pt>
                <c:pt idx="21">
                  <c:v>0.51615476970273422</c:v>
                </c:pt>
                <c:pt idx="22">
                  <c:v>0.50405147786956184</c:v>
                </c:pt>
                <c:pt idx="23">
                  <c:v>0.49585818510912794</c:v>
                </c:pt>
                <c:pt idx="24">
                  <c:v>0.49002673330861324</c:v>
                </c:pt>
                <c:pt idx="25">
                  <c:v>0.48472237127343298</c:v>
                </c:pt>
                <c:pt idx="26">
                  <c:v>0.47725423395319483</c:v>
                </c:pt>
                <c:pt idx="27">
                  <c:v>0.4695606025685467</c:v>
                </c:pt>
                <c:pt idx="28">
                  <c:v>0.46382253259319611</c:v>
                </c:pt>
                <c:pt idx="29">
                  <c:v>0.45943987365120587</c:v>
                </c:pt>
                <c:pt idx="30">
                  <c:v>0.45871857685422174</c:v>
                </c:pt>
              </c:numCache>
            </c:numRef>
          </c:xVal>
          <c:yVal>
            <c:numRef>
              <c:f>'CRS799'!$H$6:$H$36</c:f>
              <c:numCache>
                <c:formatCode>General</c:formatCode>
                <c:ptCount val="31"/>
                <c:pt idx="0">
                  <c:v>-16.261440907776628</c:v>
                </c:pt>
                <c:pt idx="1">
                  <c:v>-16.408427206799335</c:v>
                </c:pt>
                <c:pt idx="2">
                  <c:v>-16.543118847616192</c:v>
                </c:pt>
                <c:pt idx="3">
                  <c:v>-16.653521007008464</c:v>
                </c:pt>
                <c:pt idx="4">
                  <c:v>-16.408777053211235</c:v>
                </c:pt>
                <c:pt idx="5">
                  <c:v>-16.17617787842126</c:v>
                </c:pt>
                <c:pt idx="6">
                  <c:v>-16.090714876942563</c:v>
                </c:pt>
                <c:pt idx="7">
                  <c:v>-16.286779936361263</c:v>
                </c:pt>
                <c:pt idx="8">
                  <c:v>-16.433966155058222</c:v>
                </c:pt>
                <c:pt idx="9">
                  <c:v>-16.373042554217818</c:v>
                </c:pt>
                <c:pt idx="10">
                  <c:v>-16.618136340586279</c:v>
                </c:pt>
                <c:pt idx="11">
                  <c:v>-16.814201379735628</c:v>
                </c:pt>
                <c:pt idx="12">
                  <c:v>-17.047250370465068</c:v>
                </c:pt>
                <c:pt idx="13">
                  <c:v>-17.133662942681067</c:v>
                </c:pt>
                <c:pt idx="14">
                  <c:v>-17.232120272113288</c:v>
                </c:pt>
                <c:pt idx="15">
                  <c:v>-17.306288146059206</c:v>
                </c:pt>
                <c:pt idx="16">
                  <c:v>-17.368211304030286</c:v>
                </c:pt>
                <c:pt idx="17">
                  <c:v>-17.49135794005273</c:v>
                </c:pt>
                <c:pt idx="18">
                  <c:v>-17.578120356144289</c:v>
                </c:pt>
                <c:pt idx="19">
                  <c:v>-17.615304248311034</c:v>
                </c:pt>
                <c:pt idx="20">
                  <c:v>-17.726006252128368</c:v>
                </c:pt>
                <c:pt idx="21">
                  <c:v>-17.738600818858792</c:v>
                </c:pt>
                <c:pt idx="22">
                  <c:v>-17.862047290149707</c:v>
                </c:pt>
                <c:pt idx="23">
                  <c:v>-17.960654552212969</c:v>
                </c:pt>
                <c:pt idx="24">
                  <c:v>-18.034572556115734</c:v>
                </c:pt>
                <c:pt idx="25">
                  <c:v>-18.071706464145759</c:v>
                </c:pt>
                <c:pt idx="26">
                  <c:v>-18.157969059730824</c:v>
                </c:pt>
                <c:pt idx="27">
                  <c:v>-18.219742297019806</c:v>
                </c:pt>
                <c:pt idx="28">
                  <c:v>-18.269120909877529</c:v>
                </c:pt>
                <c:pt idx="29">
                  <c:v>-18.318399567144656</c:v>
                </c:pt>
                <c:pt idx="30">
                  <c:v>-18.391917680944005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8F-439D-AC5C-FAE5DD422111}"/>
            </c:ext>
          </c:extLst>
        </c:ser>
        <c:ser>
          <c:idx val="5"/>
          <c:order val="5"/>
          <c:tx>
            <c:v>NM1</c:v>
          </c:tx>
          <c:trendline>
            <c:spPr>
              <a:ln w="25400"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1398422022587322"/>
                  <c:y val="-0.17654143032625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data3!$AI$2:$AI$6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0.497</c:v>
                </c:pt>
                <c:pt idx="2">
                  <c:v>0.60199999999999998</c:v>
                </c:pt>
                <c:pt idx="3">
                  <c:v>0.67100000000000004</c:v>
                </c:pt>
                <c:pt idx="4">
                  <c:v>0.72099999999999997</c:v>
                </c:pt>
              </c:numCache>
            </c:numRef>
          </c:xVal>
          <c:yVal>
            <c:numRef>
              <c:f>data3!$AQ$2:$AQ$6</c:f>
              <c:numCache>
                <c:formatCode>General</c:formatCode>
                <c:ptCount val="5"/>
                <c:pt idx="0">
                  <c:v>-20.149494918146093</c:v>
                </c:pt>
                <c:pt idx="1">
                  <c:v>-18.163475116989432</c:v>
                </c:pt>
                <c:pt idx="2">
                  <c:v>-17.027075480771675</c:v>
                </c:pt>
                <c:pt idx="3">
                  <c:v>-16.284330857599009</c:v>
                </c:pt>
                <c:pt idx="4">
                  <c:v>-15.810568082761915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8F-439D-AC5C-FAE5DD422111}"/>
            </c:ext>
          </c:extLst>
        </c:ser>
        <c:ser>
          <c:idx val="6"/>
          <c:order val="6"/>
          <c:tx>
            <c:v>NM2</c:v>
          </c:tx>
          <c:spPr>
            <a:ln w="25400"/>
          </c:spPr>
          <c:trendline>
            <c:trendlineType val="linear"/>
            <c:dispRSqr val="1"/>
            <c:dispEq val="1"/>
            <c:trendlineLbl>
              <c:layout>
                <c:manualLayout>
                  <c:x val="8.4437318012477378E-2"/>
                  <c:y val="-0.229075788589151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data3!$AI$7:$AI$11</c:f>
              <c:numCache>
                <c:formatCode>General</c:formatCode>
                <c:ptCount val="5"/>
                <c:pt idx="0">
                  <c:v>0.247</c:v>
                </c:pt>
                <c:pt idx="1">
                  <c:v>0.372</c:v>
                </c:pt>
                <c:pt idx="2">
                  <c:v>0.45</c:v>
                </c:pt>
                <c:pt idx="3">
                  <c:v>0.505</c:v>
                </c:pt>
                <c:pt idx="4">
                  <c:v>0.58399999999999996</c:v>
                </c:pt>
              </c:numCache>
            </c:numRef>
          </c:xVal>
          <c:yVal>
            <c:numRef>
              <c:f>data3!$AQ$7:$AQ$12</c:f>
              <c:numCache>
                <c:formatCode>General</c:formatCode>
                <c:ptCount val="6"/>
                <c:pt idx="0">
                  <c:v>-19.319584982612785</c:v>
                </c:pt>
                <c:pt idx="1">
                  <c:v>-18.189554286339909</c:v>
                </c:pt>
                <c:pt idx="2">
                  <c:v>-17.562319183499554</c:v>
                </c:pt>
                <c:pt idx="3">
                  <c:v>-17.177073875359913</c:v>
                </c:pt>
                <c:pt idx="4">
                  <c:v>-16.506608875943556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8F-439D-AC5C-FAE5DD42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3056"/>
        <c:axId val="442005024"/>
      </c:scatterChart>
      <c:valAx>
        <c:axId val="442003056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5024"/>
        <c:crosses val="autoZero"/>
        <c:crossBetween val="midCat"/>
      </c:valAx>
      <c:valAx>
        <c:axId val="442005024"/>
        <c:scaling>
          <c:orientation val="minMax"/>
          <c:max val="-12"/>
          <c:min val="-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10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30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illlite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data2_consistency!$N$31:$N$38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0.245</c:v>
                </c:pt>
                <c:pt idx="2">
                  <c:v>0.35</c:v>
                </c:pt>
                <c:pt idx="3">
                  <c:v>0.436</c:v>
                </c:pt>
                <c:pt idx="4">
                  <c:v>0.5</c:v>
                </c:pt>
                <c:pt idx="5">
                  <c:v>0.59599999999999997</c:v>
                </c:pt>
                <c:pt idx="6">
                  <c:v>0.66400000000000003</c:v>
                </c:pt>
                <c:pt idx="7">
                  <c:v>0.73399999999999999</c:v>
                </c:pt>
              </c:numCache>
            </c:numRef>
          </c:xVal>
          <c:yVal>
            <c:numRef>
              <c:f>data2_consistency!$P$31:$P$38</c:f>
              <c:numCache>
                <c:formatCode>General</c:formatCode>
                <c:ptCount val="8"/>
                <c:pt idx="0">
                  <c:v>2.2006857090000005</c:v>
                </c:pt>
                <c:pt idx="1">
                  <c:v>1.6605862453640632</c:v>
                </c:pt>
                <c:pt idx="2">
                  <c:v>1.3883319385074102</c:v>
                </c:pt>
                <c:pt idx="3">
                  <c:v>1.2136049904681216</c:v>
                </c:pt>
                <c:pt idx="4">
                  <c:v>1.1718566465229441</c:v>
                </c:pt>
                <c:pt idx="5">
                  <c:v>1.1062736200027776</c:v>
                </c:pt>
                <c:pt idx="6">
                  <c:v>1.035383099397071</c:v>
                </c:pt>
                <c:pt idx="7">
                  <c:v>1.015745612267942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6-44A2-8980-19923B16E50E}"/>
            </c:ext>
          </c:extLst>
        </c:ser>
        <c:ser>
          <c:idx val="1"/>
          <c:order val="1"/>
          <c:tx>
            <c:v>smectite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data2_consistency!$N$22:$N$28</c:f>
              <c:numCache>
                <c:formatCode>0.00</c:formatCode>
                <c:ptCount val="7"/>
                <c:pt idx="0">
                  <c:v>0.156</c:v>
                </c:pt>
                <c:pt idx="1">
                  <c:v>0.45100000000000001</c:v>
                </c:pt>
                <c:pt idx="2">
                  <c:v>0.57899999999999996</c:v>
                </c:pt>
                <c:pt idx="3">
                  <c:v>0.66200000000000003</c:v>
                </c:pt>
                <c:pt idx="4">
                  <c:v>0.71799999999999997</c:v>
                </c:pt>
                <c:pt idx="5">
                  <c:v>0.76100000000000001</c:v>
                </c:pt>
                <c:pt idx="6">
                  <c:v>0.79500000000000004</c:v>
                </c:pt>
              </c:numCache>
            </c:numRef>
          </c:xVal>
          <c:yVal>
            <c:numRef>
              <c:f>data2_consistency!$P$22:$P$28</c:f>
              <c:numCache>
                <c:formatCode>General</c:formatCode>
                <c:ptCount val="7"/>
                <c:pt idx="0">
                  <c:v>2.5607100000000003</c:v>
                </c:pt>
                <c:pt idx="1">
                  <c:v>1.6391317148843203</c:v>
                </c:pt>
                <c:pt idx="2">
                  <c:v>1.3428696272973819</c:v>
                </c:pt>
                <c:pt idx="3">
                  <c:v>1.2035529884132095</c:v>
                </c:pt>
                <c:pt idx="4">
                  <c:v>1.1364431660752079</c:v>
                </c:pt>
                <c:pt idx="5">
                  <c:v>1.0569075410346251</c:v>
                </c:pt>
                <c:pt idx="6">
                  <c:v>1.013686409257738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6-44A2-8980-19923B16E50E}"/>
            </c:ext>
          </c:extLst>
        </c:ser>
        <c:ser>
          <c:idx val="2"/>
          <c:order val="2"/>
          <c:tx>
            <c:v>NM1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data2_consistency!$E$4:$E$8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0.497</c:v>
                </c:pt>
                <c:pt idx="2">
                  <c:v>0.60199999999999998</c:v>
                </c:pt>
                <c:pt idx="3">
                  <c:v>0.67100000000000004</c:v>
                </c:pt>
                <c:pt idx="4">
                  <c:v>0.72099999999999997</c:v>
                </c:pt>
              </c:numCache>
            </c:numRef>
          </c:xVal>
          <c:yVal>
            <c:numRef>
              <c:f>data2_consistency!$P$4:$P$8</c:f>
              <c:numCache>
                <c:formatCode>General</c:formatCode>
                <c:ptCount val="5"/>
                <c:pt idx="0">
                  <c:v>3.6967203043146135</c:v>
                </c:pt>
                <c:pt idx="1">
                  <c:v>2.9912906133444768</c:v>
                </c:pt>
                <c:pt idx="2">
                  <c:v>2.4472072876826441</c:v>
                </c:pt>
                <c:pt idx="3">
                  <c:v>2.0659113371010944</c:v>
                </c:pt>
                <c:pt idx="4">
                  <c:v>1.7432207776071647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6-44A2-8980-19923B16E50E}"/>
            </c:ext>
          </c:extLst>
        </c:ser>
        <c:ser>
          <c:idx val="3"/>
          <c:order val="3"/>
          <c:tx>
            <c:v>nm2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data2_consistency!$E$13:$E$17</c:f>
              <c:numCache>
                <c:formatCode>General</c:formatCode>
                <c:ptCount val="5"/>
                <c:pt idx="0">
                  <c:v>0.247</c:v>
                </c:pt>
                <c:pt idx="1">
                  <c:v>0.372</c:v>
                </c:pt>
                <c:pt idx="2">
                  <c:v>0.45</c:v>
                </c:pt>
                <c:pt idx="3">
                  <c:v>0.505</c:v>
                </c:pt>
                <c:pt idx="4">
                  <c:v>0.58399999999999996</c:v>
                </c:pt>
              </c:numCache>
            </c:numRef>
          </c:xVal>
          <c:yVal>
            <c:numRef>
              <c:f>data2_consistency!$P$13:$P$17</c:f>
              <c:numCache>
                <c:formatCode>General</c:formatCode>
                <c:ptCount val="5"/>
                <c:pt idx="0">
                  <c:v>3.6641536717492471</c:v>
                </c:pt>
                <c:pt idx="1">
                  <c:v>2.4720875601871852</c:v>
                </c:pt>
                <c:pt idx="2">
                  <c:v>1.898908508447122</c:v>
                </c:pt>
                <c:pt idx="3">
                  <c:v>1.554174060765775</c:v>
                </c:pt>
                <c:pt idx="4">
                  <c:v>1.2912718503216092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2-4C2F-A8E4-42DAB6C1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58840"/>
        <c:axId val="546762776"/>
      </c:scatterChart>
      <c:valAx>
        <c:axId val="54675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62776"/>
        <c:crosses val="autoZero"/>
        <c:crossBetween val="midCat"/>
      </c:valAx>
      <c:valAx>
        <c:axId val="54676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5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NM1 (Nabovati, 2007)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data2_consistency!$E$4:$E$8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0.497</c:v>
                </c:pt>
                <c:pt idx="2">
                  <c:v>0.60199999999999998</c:v>
                </c:pt>
                <c:pt idx="3">
                  <c:v>0.67100000000000004</c:v>
                </c:pt>
                <c:pt idx="4">
                  <c:v>0.72099999999999997</c:v>
                </c:pt>
              </c:numCache>
            </c:numRef>
          </c:xVal>
          <c:yVal>
            <c:numRef>
              <c:f>data2_consistency!$P$4:$P$8</c:f>
              <c:numCache>
                <c:formatCode>General</c:formatCode>
                <c:ptCount val="5"/>
                <c:pt idx="0">
                  <c:v>3.6967203043146135</c:v>
                </c:pt>
                <c:pt idx="1">
                  <c:v>2.9912906133444768</c:v>
                </c:pt>
                <c:pt idx="2">
                  <c:v>2.4472072876826441</c:v>
                </c:pt>
                <c:pt idx="3">
                  <c:v>2.0659113371010944</c:v>
                </c:pt>
                <c:pt idx="4">
                  <c:v>1.7432207776071647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4F-4AE5-B0B8-B6518FBCF7BB}"/>
            </c:ext>
          </c:extLst>
        </c:ser>
        <c:ser>
          <c:idx val="1"/>
          <c:order val="1"/>
          <c:tx>
            <c:v>NM1 (Daigle, 2011)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data2_consistency!$E$4:$E$8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0.497</c:v>
                </c:pt>
                <c:pt idx="2">
                  <c:v>0.60199999999999998</c:v>
                </c:pt>
                <c:pt idx="3">
                  <c:v>0.67100000000000004</c:v>
                </c:pt>
                <c:pt idx="4">
                  <c:v>0.72099999999999997</c:v>
                </c:pt>
              </c:numCache>
            </c:numRef>
          </c:xVal>
          <c:yVal>
            <c:numRef>
              <c:f>data2_consistency!$AG$4:$AG$8</c:f>
              <c:numCache>
                <c:formatCode>General</c:formatCode>
                <c:ptCount val="5"/>
                <c:pt idx="0">
                  <c:v>32.948161399324192</c:v>
                </c:pt>
                <c:pt idx="1">
                  <c:v>22.450993140153656</c:v>
                </c:pt>
                <c:pt idx="2">
                  <c:v>17.009989792787284</c:v>
                </c:pt>
                <c:pt idx="3">
                  <c:v>13.673304904519751</c:v>
                </c:pt>
                <c:pt idx="4">
                  <c:v>11.302479668956396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4F-4AE5-B0B8-B6518FBCF7BB}"/>
            </c:ext>
          </c:extLst>
        </c:ser>
        <c:ser>
          <c:idx val="2"/>
          <c:order val="2"/>
          <c:tx>
            <c:v>NM2 (Nabovati, 2007)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data2_consistency!$E$13:$E$17</c:f>
              <c:numCache>
                <c:formatCode>General</c:formatCode>
                <c:ptCount val="5"/>
                <c:pt idx="0">
                  <c:v>0.247</c:v>
                </c:pt>
                <c:pt idx="1">
                  <c:v>0.372</c:v>
                </c:pt>
                <c:pt idx="2">
                  <c:v>0.45</c:v>
                </c:pt>
                <c:pt idx="3">
                  <c:v>0.505</c:v>
                </c:pt>
                <c:pt idx="4">
                  <c:v>0.58399999999999996</c:v>
                </c:pt>
              </c:numCache>
            </c:numRef>
          </c:xVal>
          <c:yVal>
            <c:numRef>
              <c:f>data2_consistency!$P$13:$P$17</c:f>
              <c:numCache>
                <c:formatCode>General</c:formatCode>
                <c:ptCount val="5"/>
                <c:pt idx="0">
                  <c:v>3.6641536717492471</c:v>
                </c:pt>
                <c:pt idx="1">
                  <c:v>2.4720875601871852</c:v>
                </c:pt>
                <c:pt idx="2">
                  <c:v>1.898908508447122</c:v>
                </c:pt>
                <c:pt idx="3">
                  <c:v>1.554174060765775</c:v>
                </c:pt>
                <c:pt idx="4">
                  <c:v>1.2912718503216092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4F-4AE5-B0B8-B6518FBCF7BB}"/>
            </c:ext>
          </c:extLst>
        </c:ser>
        <c:ser>
          <c:idx val="3"/>
          <c:order val="3"/>
          <c:tx>
            <c:v>NM2 (Daigle, 2011)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data2_consistency!$E$13:$E$17</c:f>
              <c:numCache>
                <c:formatCode>General</c:formatCode>
                <c:ptCount val="5"/>
                <c:pt idx="0">
                  <c:v>0.247</c:v>
                </c:pt>
                <c:pt idx="1">
                  <c:v>0.372</c:v>
                </c:pt>
                <c:pt idx="2">
                  <c:v>0.45</c:v>
                </c:pt>
                <c:pt idx="3">
                  <c:v>0.505</c:v>
                </c:pt>
                <c:pt idx="4">
                  <c:v>0.58399999999999996</c:v>
                </c:pt>
              </c:numCache>
            </c:numRef>
          </c:xVal>
          <c:yVal>
            <c:numRef>
              <c:f>data2_consistency!$AG$13:$AG$17</c:f>
              <c:numCache>
                <c:formatCode>General</c:formatCode>
                <c:ptCount val="5"/>
                <c:pt idx="0">
                  <c:v>26.540790678318771</c:v>
                </c:pt>
                <c:pt idx="1">
                  <c:v>20.756356272644524</c:v>
                </c:pt>
                <c:pt idx="2">
                  <c:v>17.507089674812725</c:v>
                </c:pt>
                <c:pt idx="3">
                  <c:v>15.335857109375736</c:v>
                </c:pt>
                <c:pt idx="4">
                  <c:v>12.459893042685518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4F-4AE5-B0B8-B6518FBC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83600"/>
        <c:axId val="404883928"/>
      </c:scatterChart>
      <c:valAx>
        <c:axId val="4048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83928"/>
        <c:crosses val="autoZero"/>
        <c:crossBetween val="midCat"/>
      </c:valAx>
      <c:valAx>
        <c:axId val="4048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Vertical Tortuosity</a:t>
                </a:r>
                <a:r>
                  <a:rPr lang="en-US" sz="1600" baseline="0"/>
                  <a:t>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NM1 (Nabovati, 2007)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data2_consistency!$E$4:$E$8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0.497</c:v>
                </c:pt>
                <c:pt idx="2">
                  <c:v>0.60199999999999998</c:v>
                </c:pt>
                <c:pt idx="3">
                  <c:v>0.67100000000000004</c:v>
                </c:pt>
                <c:pt idx="4">
                  <c:v>0.72099999999999997</c:v>
                </c:pt>
              </c:numCache>
            </c:numRef>
          </c:xVal>
          <c:yVal>
            <c:numRef>
              <c:f>data2_consistency!$X$4:$X$8</c:f>
              <c:numCache>
                <c:formatCode>General</c:formatCode>
                <c:ptCount val="5"/>
                <c:pt idx="0">
                  <c:v>1.4689813737289854</c:v>
                </c:pt>
                <c:pt idx="1">
                  <c:v>1.5005470153745333</c:v>
                </c:pt>
                <c:pt idx="2">
                  <c:v>1.549482533747903</c:v>
                </c:pt>
                <c:pt idx="3">
                  <c:v>1.6161673928656333</c:v>
                </c:pt>
                <c:pt idx="4">
                  <c:v>1.7265457451257431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9-4896-91A7-E5487A736CC5}"/>
            </c:ext>
          </c:extLst>
        </c:ser>
        <c:ser>
          <c:idx val="1"/>
          <c:order val="1"/>
          <c:tx>
            <c:v>NM1 (Daigle, 2011)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data2_consistency!$E$4:$E$8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0.497</c:v>
                </c:pt>
                <c:pt idx="2">
                  <c:v>0.60199999999999998</c:v>
                </c:pt>
                <c:pt idx="3">
                  <c:v>0.67100000000000004</c:v>
                </c:pt>
                <c:pt idx="4">
                  <c:v>0.72099999999999997</c:v>
                </c:pt>
              </c:numCache>
            </c:numRef>
          </c:xVal>
          <c:yVal>
            <c:numRef>
              <c:f>data2_consistency!$AJ$4:$AJ$8</c:f>
              <c:numCache>
                <c:formatCode>General</c:formatCode>
                <c:ptCount val="5"/>
                <c:pt idx="0">
                  <c:v>1.5150234153344804</c:v>
                </c:pt>
                <c:pt idx="1">
                  <c:v>2.4687608417269375</c:v>
                </c:pt>
                <c:pt idx="2">
                  <c:v>2.9375254847899206</c:v>
                </c:pt>
                <c:pt idx="3">
                  <c:v>3.4320337762136566</c:v>
                </c:pt>
                <c:pt idx="4">
                  <c:v>3.9140360429257162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A9-4896-91A7-E5487A736CC5}"/>
            </c:ext>
          </c:extLst>
        </c:ser>
        <c:ser>
          <c:idx val="2"/>
          <c:order val="2"/>
          <c:tx>
            <c:v>NM2 (Nabovati, 2007)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data2_consistency!$E$13:$E$17</c:f>
              <c:numCache>
                <c:formatCode>General</c:formatCode>
                <c:ptCount val="5"/>
                <c:pt idx="0">
                  <c:v>0.247</c:v>
                </c:pt>
                <c:pt idx="1">
                  <c:v>0.372</c:v>
                </c:pt>
                <c:pt idx="2">
                  <c:v>0.45</c:v>
                </c:pt>
                <c:pt idx="3">
                  <c:v>0.505</c:v>
                </c:pt>
                <c:pt idx="4">
                  <c:v>0.58399999999999996</c:v>
                </c:pt>
              </c:numCache>
            </c:numRef>
          </c:xVal>
          <c:yVal>
            <c:numRef>
              <c:f>data2_consistency!$X$13:$X$17</c:f>
              <c:numCache>
                <c:formatCode>General</c:formatCode>
                <c:ptCount val="5"/>
                <c:pt idx="0">
                  <c:v>1.4700178754585878</c:v>
                </c:pt>
                <c:pt idx="1">
                  <c:v>1.5463816632525813</c:v>
                </c:pt>
                <c:pt idx="2">
                  <c:v>1.6635813318630828</c:v>
                </c:pt>
                <c:pt idx="3">
                  <c:v>1.8474228552045788</c:v>
                </c:pt>
                <c:pt idx="4">
                  <c:v>2.2353478472939901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9-4896-91A7-E5487A736CC5}"/>
            </c:ext>
          </c:extLst>
        </c:ser>
        <c:ser>
          <c:idx val="3"/>
          <c:order val="3"/>
          <c:tx>
            <c:v>NM2 (Daigle, 2011)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data2_consistency!$E$13:$E$17</c:f>
              <c:numCache>
                <c:formatCode>General</c:formatCode>
                <c:ptCount val="5"/>
                <c:pt idx="0">
                  <c:v>0.247</c:v>
                </c:pt>
                <c:pt idx="1">
                  <c:v>0.372</c:v>
                </c:pt>
                <c:pt idx="2">
                  <c:v>0.45</c:v>
                </c:pt>
                <c:pt idx="3">
                  <c:v>0.505</c:v>
                </c:pt>
                <c:pt idx="4">
                  <c:v>0.58399999999999996</c:v>
                </c:pt>
              </c:numCache>
            </c:numRef>
          </c:xVal>
          <c:yVal>
            <c:numRef>
              <c:f>data2_consistency!$AJ$13:$AJ$17</c:f>
              <c:numCache>
                <c:formatCode>General</c:formatCode>
                <c:ptCount val="5"/>
                <c:pt idx="0">
                  <c:v>1.5987738257114912</c:v>
                </c:pt>
                <c:pt idx="1">
                  <c:v>2.4967123981221042</c:v>
                </c:pt>
                <c:pt idx="2">
                  <c:v>3.116738617653203</c:v>
                </c:pt>
                <c:pt idx="3">
                  <c:v>3.5970209346363053</c:v>
                </c:pt>
                <c:pt idx="4">
                  <c:v>3.6911289196832722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A9-4896-91A7-E5487A73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83600"/>
        <c:axId val="404883928"/>
      </c:scatterChart>
      <c:valAx>
        <c:axId val="4048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83928"/>
        <c:crosses val="autoZero"/>
        <c:crossBetween val="midCat"/>
      </c:valAx>
      <c:valAx>
        <c:axId val="4048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Horizontal Tortuosity</a:t>
                </a:r>
                <a:r>
                  <a:rPr lang="en-US" sz="1600" baseline="0"/>
                  <a:t>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9</xdr:row>
      <xdr:rowOff>71436</xdr:rowOff>
    </xdr:from>
    <xdr:to>
      <xdr:col>13</xdr:col>
      <xdr:colOff>381000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1A2F1-DC99-4A6F-9432-1AAA5D51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3</xdr:row>
      <xdr:rowOff>166686</xdr:rowOff>
    </xdr:from>
    <xdr:to>
      <xdr:col>18</xdr:col>
      <xdr:colOff>723899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E8116-18D6-40CC-9D13-53FAAB880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17</xdr:row>
      <xdr:rowOff>0</xdr:rowOff>
    </xdr:from>
    <xdr:to>
      <xdr:col>45</xdr:col>
      <xdr:colOff>238125</xdr:colOff>
      <xdr:row>42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53C4A-D524-434B-92FD-DAA2DC252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1112794</xdr:colOff>
      <xdr:row>13</xdr:row>
      <xdr:rowOff>38487</xdr:rowOff>
    </xdr:from>
    <xdr:to>
      <xdr:col>40</xdr:col>
      <xdr:colOff>969919</xdr:colOff>
      <xdr:row>38</xdr:row>
      <xdr:rowOff>138500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75D7B-A82E-4B84-8F9C-90C0F592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1112794</xdr:colOff>
      <xdr:row>13</xdr:row>
      <xdr:rowOff>38487</xdr:rowOff>
    </xdr:from>
    <xdr:to>
      <xdr:col>40</xdr:col>
      <xdr:colOff>969919</xdr:colOff>
      <xdr:row>38</xdr:row>
      <xdr:rowOff>138500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6703B-D9CD-4F95-944E-322CD06B0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119062</xdr:colOff>
      <xdr:row>18</xdr:row>
      <xdr:rowOff>195262</xdr:rowOff>
    </xdr:from>
    <xdr:to>
      <xdr:col>24</xdr:col>
      <xdr:colOff>123825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5F227-E54B-4DCA-885D-1ED1B628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552450</xdr:colOff>
      <xdr:row>2</xdr:row>
      <xdr:rowOff>152400</xdr:rowOff>
    </xdr:from>
    <xdr:to>
      <xdr:col>62</xdr:col>
      <xdr:colOff>459892</xdr:colOff>
      <xdr:row>29</xdr:row>
      <xdr:rowOff>1241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7ABD6-A3A9-44BA-BBBD-739D6106B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27</xdr:row>
      <xdr:rowOff>0</xdr:rowOff>
    </xdr:from>
    <xdr:to>
      <xdr:col>50</xdr:col>
      <xdr:colOff>517042</xdr:colOff>
      <xdr:row>53</xdr:row>
      <xdr:rowOff>93770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11FD67-8E6B-4984-920C-848D919F3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002F-E813-4312-90F5-7E98A1F73073}">
  <dimension ref="A1:T36"/>
  <sheetViews>
    <sheetView topLeftCell="C1" workbookViewId="0">
      <selection activeCell="M8" sqref="M8"/>
    </sheetView>
  </sheetViews>
  <sheetFormatPr defaultRowHeight="15" x14ac:dyDescent="0.25"/>
  <cols>
    <col min="1" max="1" width="20.28515625" bestFit="1" customWidth="1"/>
    <col min="2" max="2" width="11" bestFit="1" customWidth="1"/>
    <col min="3" max="3" width="17.7109375" bestFit="1" customWidth="1"/>
    <col min="4" max="4" width="8.7109375" bestFit="1" customWidth="1"/>
    <col min="5" max="5" width="22.28515625" bestFit="1" customWidth="1"/>
    <col min="6" max="6" width="20.28515625" bestFit="1" customWidth="1"/>
    <col min="7" max="7" width="25.140625" bestFit="1" customWidth="1"/>
    <col min="8" max="8" width="12" bestFit="1" customWidth="1"/>
    <col min="9" max="9" width="20.85546875" bestFit="1" customWidth="1"/>
    <col min="10" max="10" width="22.28515625" bestFit="1" customWidth="1"/>
    <col min="11" max="11" width="14.28515625" bestFit="1" customWidth="1"/>
    <col min="12" max="12" width="15.140625" bestFit="1" customWidth="1"/>
    <col min="13" max="13" width="12.7109375" bestFit="1" customWidth="1"/>
    <col min="18" max="18" width="16.140625" bestFit="1" customWidth="1"/>
    <col min="19" max="19" width="14.28515625" bestFit="1" customWidth="1"/>
    <col min="20" max="20" width="15.140625" bestFit="1" customWidth="1"/>
  </cols>
  <sheetData>
    <row r="1" spans="1:20" x14ac:dyDescent="0.25">
      <c r="A1" s="2"/>
      <c r="B1" s="3"/>
      <c r="C1" s="4" t="s">
        <v>0</v>
      </c>
      <c r="D1" s="2"/>
      <c r="E1" s="5"/>
      <c r="F1" s="6"/>
      <c r="G1" s="7" t="s">
        <v>1</v>
      </c>
      <c r="H1" s="7"/>
      <c r="I1" s="7"/>
      <c r="J1" s="34" t="s">
        <v>0</v>
      </c>
      <c r="K1" s="32"/>
      <c r="L1" s="32"/>
      <c r="M1" s="33"/>
      <c r="N1" s="35" t="s">
        <v>15</v>
      </c>
      <c r="O1" s="32"/>
      <c r="P1" s="32"/>
      <c r="Q1" s="33"/>
      <c r="R1" s="29" t="s">
        <v>2</v>
      </c>
      <c r="S1" s="29" t="s">
        <v>3</v>
      </c>
      <c r="T1" s="29" t="s">
        <v>4</v>
      </c>
    </row>
    <row r="2" spans="1:20" x14ac:dyDescent="0.25">
      <c r="A2" s="9" t="s">
        <v>5</v>
      </c>
      <c r="B2" s="7" t="s">
        <v>6</v>
      </c>
      <c r="C2" s="7" t="s">
        <v>7</v>
      </c>
      <c r="D2" s="7" t="s">
        <v>8</v>
      </c>
      <c r="E2" s="8" t="s">
        <v>9</v>
      </c>
      <c r="F2" s="7" t="s">
        <v>6</v>
      </c>
      <c r="G2" s="7" t="s">
        <v>7</v>
      </c>
      <c r="H2" s="7" t="s">
        <v>8</v>
      </c>
      <c r="I2" s="7" t="s">
        <v>9</v>
      </c>
      <c r="J2" s="30" t="s">
        <v>16</v>
      </c>
      <c r="K2" s="30" t="s">
        <v>17</v>
      </c>
      <c r="L2" s="30" t="s">
        <v>18</v>
      </c>
      <c r="M2" s="31" t="s">
        <v>7</v>
      </c>
      <c r="N2" s="30" t="s">
        <v>16</v>
      </c>
      <c r="O2" s="30" t="s">
        <v>17</v>
      </c>
      <c r="P2" s="30" t="s">
        <v>18</v>
      </c>
      <c r="Q2" s="31" t="s">
        <v>7</v>
      </c>
      <c r="R2" s="29"/>
      <c r="S2" s="29"/>
      <c r="T2" s="29"/>
    </row>
    <row r="3" spans="1:20" x14ac:dyDescent="0.25">
      <c r="A3" s="19" t="s">
        <v>10</v>
      </c>
      <c r="B3" s="20">
        <v>2144</v>
      </c>
      <c r="C3" s="20">
        <v>9949</v>
      </c>
      <c r="D3" s="20">
        <v>2149</v>
      </c>
      <c r="E3" s="21">
        <v>2448</v>
      </c>
      <c r="F3" s="22">
        <v>68.908917092565332</v>
      </c>
      <c r="G3" s="22">
        <v>17.101639880788703</v>
      </c>
      <c r="H3" s="22">
        <v>9.1687204943476832</v>
      </c>
      <c r="I3" s="22">
        <v>4.8207225322982685</v>
      </c>
      <c r="J3" s="37">
        <v>13857</v>
      </c>
      <c r="K3" s="37">
        <v>10978</v>
      </c>
      <c r="L3" s="37">
        <v>12410</v>
      </c>
      <c r="M3" s="36">
        <v>826</v>
      </c>
      <c r="N3" s="38">
        <v>27.331214529831911</v>
      </c>
      <c r="O3" s="38">
        <v>38.796577601788272</v>
      </c>
      <c r="P3" s="38">
        <v>25.039956744241582</v>
      </c>
      <c r="Q3" s="39">
        <v>8.8322511241382369</v>
      </c>
      <c r="R3" s="23" t="s">
        <v>11</v>
      </c>
      <c r="S3" s="23">
        <v>60.31</v>
      </c>
      <c r="T3" s="23">
        <v>60.62</v>
      </c>
    </row>
    <row r="5" spans="1:20" x14ac:dyDescent="0.25">
      <c r="A5" s="42" t="s">
        <v>20</v>
      </c>
      <c r="B5" t="s">
        <v>19</v>
      </c>
      <c r="C5" s="43" t="s">
        <v>21</v>
      </c>
      <c r="D5" t="s">
        <v>24</v>
      </c>
      <c r="E5" t="s">
        <v>25</v>
      </c>
      <c r="F5" t="s">
        <v>26</v>
      </c>
      <c r="G5" s="43" t="s">
        <v>22</v>
      </c>
      <c r="H5" s="43" t="s">
        <v>23</v>
      </c>
      <c r="N5">
        <f>N3*1.08</f>
        <v>29.517711692218466</v>
      </c>
      <c r="O5">
        <f>O3*1.08</f>
        <v>41.900303809931337</v>
      </c>
      <c r="P5">
        <f>P3*1.08</f>
        <v>27.04315328378091</v>
      </c>
      <c r="Q5">
        <f>100/92</f>
        <v>1.0869565217391304</v>
      </c>
    </row>
    <row r="6" spans="1:20" x14ac:dyDescent="0.25">
      <c r="A6" s="41">
        <v>8.7164813999999997E-10</v>
      </c>
      <c r="B6">
        <v>1.0436926</v>
      </c>
      <c r="C6">
        <f>B6/(1+B6)</f>
        <v>0.51068962132563378</v>
      </c>
      <c r="D6">
        <v>1000</v>
      </c>
      <c r="E6">
        <f>8.9*(10^-4)</f>
        <v>8.9000000000000006E-4</v>
      </c>
      <c r="F6">
        <v>9.8000000000000007</v>
      </c>
      <c r="G6">
        <f>(A6*E6)/(D6*F6)</f>
        <v>7.9159882102040822E-17</v>
      </c>
      <c r="H6">
        <f>LOG10(G6)</f>
        <v>-16.101494861288167</v>
      </c>
    </row>
    <row r="7" spans="1:20" x14ac:dyDescent="0.25">
      <c r="A7" s="41">
        <v>5.8771720000000005E-10</v>
      </c>
      <c r="B7">
        <v>1.045892</v>
      </c>
      <c r="C7">
        <f t="shared" ref="C7:C21" si="0">B7/(1+B7)</f>
        <v>0.51121564579166445</v>
      </c>
      <c r="D7">
        <v>1000</v>
      </c>
      <c r="E7">
        <f t="shared" ref="E7:E21" si="1">8.9*(10^-4)</f>
        <v>8.9000000000000006E-4</v>
      </c>
      <c r="F7">
        <v>9.8000000000000007</v>
      </c>
      <c r="G7">
        <f t="shared" ref="G7:G21" si="2">(A7*E7)/(D7*F7)</f>
        <v>5.3374317142857151E-17</v>
      </c>
      <c r="H7">
        <f t="shared" ref="H7:H21" si="3">LOG10(G7)</f>
        <v>-16.272667668182116</v>
      </c>
    </row>
    <row r="8" spans="1:20" x14ac:dyDescent="0.25">
      <c r="A8" s="41">
        <v>3.6126753999999999E-10</v>
      </c>
      <c r="B8">
        <v>1.0410628</v>
      </c>
      <c r="C8">
        <f t="shared" si="0"/>
        <v>0.51005917113378385</v>
      </c>
      <c r="D8">
        <v>1000</v>
      </c>
      <c r="E8">
        <f t="shared" si="1"/>
        <v>8.9000000000000006E-4</v>
      </c>
      <c r="F8">
        <v>9.8000000000000007</v>
      </c>
      <c r="G8">
        <f t="shared" si="2"/>
        <v>3.2808990877551021E-17</v>
      </c>
      <c r="H8">
        <f t="shared" si="3"/>
        <v>-16.484007127219893</v>
      </c>
    </row>
    <row r="9" spans="1:20" x14ac:dyDescent="0.25">
      <c r="A9" s="41">
        <v>2.2734825000000001E-10</v>
      </c>
      <c r="B9">
        <v>1.0269121999999999</v>
      </c>
      <c r="C9">
        <f t="shared" si="0"/>
        <v>0.50663871873680566</v>
      </c>
      <c r="D9">
        <v>1000</v>
      </c>
      <c r="E9">
        <f t="shared" si="1"/>
        <v>8.9000000000000006E-4</v>
      </c>
      <c r="F9">
        <v>9.8000000000000007</v>
      </c>
      <c r="G9">
        <f t="shared" si="2"/>
        <v>2.0646932908163265E-17</v>
      </c>
      <c r="H9">
        <f t="shared" si="3"/>
        <v>-16.685144453450235</v>
      </c>
    </row>
    <row r="10" spans="1:20" x14ac:dyDescent="0.25">
      <c r="A10" s="41">
        <v>1.6823716999999999E-10</v>
      </c>
      <c r="B10">
        <v>1.0198133</v>
      </c>
      <c r="C10">
        <f t="shared" si="0"/>
        <v>0.50490473550203874</v>
      </c>
      <c r="D10">
        <v>1000</v>
      </c>
      <c r="E10">
        <f t="shared" si="1"/>
        <v>8.9000000000000006E-4</v>
      </c>
      <c r="F10">
        <v>9.8000000000000007</v>
      </c>
      <c r="G10">
        <f t="shared" si="2"/>
        <v>1.5278681765306123E-17</v>
      </c>
      <c r="H10">
        <f t="shared" si="3"/>
        <v>-16.815914114788487</v>
      </c>
    </row>
    <row r="11" spans="1:20" x14ac:dyDescent="0.25">
      <c r="A11" s="41">
        <v>1.3348143E-10</v>
      </c>
      <c r="B11">
        <v>1.0080731999999999</v>
      </c>
      <c r="C11">
        <f t="shared" si="0"/>
        <v>0.50201018568446598</v>
      </c>
      <c r="D11">
        <v>1000</v>
      </c>
      <c r="E11">
        <f t="shared" si="1"/>
        <v>8.9000000000000006E-4</v>
      </c>
      <c r="F11">
        <v>9.8000000000000007</v>
      </c>
      <c r="G11">
        <f t="shared" si="2"/>
        <v>1.2122293132653062E-17</v>
      </c>
      <c r="H11">
        <f t="shared" si="3"/>
        <v>-16.91641521839939</v>
      </c>
    </row>
    <row r="12" spans="1:20" x14ac:dyDescent="0.25">
      <c r="A12" s="41">
        <v>1.110089E-10</v>
      </c>
      <c r="B12">
        <v>0.97535760000000005</v>
      </c>
      <c r="C12">
        <f t="shared" si="0"/>
        <v>0.49376254709527023</v>
      </c>
      <c r="D12">
        <v>1000</v>
      </c>
      <c r="E12">
        <f t="shared" si="1"/>
        <v>8.9000000000000006E-4</v>
      </c>
      <c r="F12">
        <v>9.8000000000000007</v>
      </c>
      <c r="G12">
        <f t="shared" si="2"/>
        <v>1.0081420510204083E-17</v>
      </c>
      <c r="H12">
        <f t="shared" si="3"/>
        <v>-16.996478269847049</v>
      </c>
    </row>
    <row r="13" spans="1:20" x14ac:dyDescent="0.25">
      <c r="A13" s="41">
        <v>9.0239495999999997E-11</v>
      </c>
      <c r="B13">
        <v>0.93097229999999997</v>
      </c>
      <c r="C13">
        <f t="shared" si="0"/>
        <v>0.48212618068110036</v>
      </c>
      <c r="D13">
        <v>1000</v>
      </c>
      <c r="E13">
        <f t="shared" si="1"/>
        <v>8.9000000000000006E-4</v>
      </c>
      <c r="F13">
        <v>9.8000000000000007</v>
      </c>
      <c r="G13">
        <f t="shared" si="2"/>
        <v>8.1952195346938775E-18</v>
      </c>
      <c r="H13">
        <f t="shared" si="3"/>
        <v>-17.086439407995972</v>
      </c>
    </row>
    <row r="14" spans="1:20" x14ac:dyDescent="0.25">
      <c r="A14" s="41">
        <v>6.3871005999999994E-11</v>
      </c>
      <c r="B14">
        <v>0.86788109999999996</v>
      </c>
      <c r="C14">
        <f t="shared" si="0"/>
        <v>0.46463401765776202</v>
      </c>
      <c r="D14">
        <v>1000</v>
      </c>
      <c r="E14">
        <f t="shared" si="1"/>
        <v>8.9000000000000006E-4</v>
      </c>
      <c r="F14">
        <v>9.8000000000000007</v>
      </c>
      <c r="G14">
        <f t="shared" si="2"/>
        <v>5.8005301367346944E-18</v>
      </c>
      <c r="H14">
        <f t="shared" si="3"/>
        <v>-17.236532312482392</v>
      </c>
    </row>
    <row r="15" spans="1:20" x14ac:dyDescent="0.25">
      <c r="A15" s="41">
        <v>5.3150939999999998E-11</v>
      </c>
      <c r="B15">
        <v>0.81650655999999999</v>
      </c>
      <c r="C15">
        <f t="shared" si="0"/>
        <v>0.44949276703960811</v>
      </c>
      <c r="D15">
        <v>1000</v>
      </c>
      <c r="E15">
        <f t="shared" si="1"/>
        <v>8.9000000000000006E-4</v>
      </c>
      <c r="F15">
        <v>9.8000000000000007</v>
      </c>
      <c r="G15">
        <f t="shared" si="2"/>
        <v>4.8269731224489795E-18</v>
      </c>
      <c r="H15">
        <f t="shared" si="3"/>
        <v>-17.316325119413044</v>
      </c>
    </row>
    <row r="16" spans="1:20" x14ac:dyDescent="0.25">
      <c r="A16" s="41">
        <v>3.59045E-11</v>
      </c>
      <c r="B16">
        <v>0.76272916999999996</v>
      </c>
      <c r="C16">
        <f t="shared" si="0"/>
        <v>0.43269787723544617</v>
      </c>
      <c r="D16">
        <v>1000</v>
      </c>
      <c r="E16">
        <f t="shared" si="1"/>
        <v>8.9000000000000006E-4</v>
      </c>
      <c r="F16">
        <v>9.8000000000000007</v>
      </c>
      <c r="G16">
        <f t="shared" si="2"/>
        <v>3.2607147959183673E-18</v>
      </c>
      <c r="H16">
        <f t="shared" si="3"/>
        <v>-17.486687185853853</v>
      </c>
    </row>
    <row r="17" spans="1:8" x14ac:dyDescent="0.25">
      <c r="A17" s="41">
        <v>2.7238892999999999E-11</v>
      </c>
      <c r="B17">
        <v>0.70432620000000001</v>
      </c>
      <c r="C17">
        <f t="shared" si="0"/>
        <v>0.41325786108316587</v>
      </c>
      <c r="D17">
        <v>1000</v>
      </c>
      <c r="E17">
        <f t="shared" si="1"/>
        <v>8.9000000000000006E-4</v>
      </c>
      <c r="F17">
        <v>9.8000000000000007</v>
      </c>
      <c r="G17">
        <f t="shared" si="2"/>
        <v>2.4737362010204081E-18</v>
      </c>
      <c r="H17">
        <f t="shared" si="3"/>
        <v>-17.606646615357516</v>
      </c>
    </row>
    <row r="18" spans="1:8" x14ac:dyDescent="0.25">
      <c r="A18" s="41">
        <v>2.0653493000000001E-11</v>
      </c>
      <c r="B18">
        <v>0.6622498</v>
      </c>
      <c r="C18">
        <f t="shared" si="0"/>
        <v>0.39840570292142613</v>
      </c>
      <c r="D18">
        <v>1000</v>
      </c>
      <c r="E18">
        <f t="shared" si="1"/>
        <v>8.9000000000000006E-4</v>
      </c>
      <c r="F18">
        <v>9.8000000000000007</v>
      </c>
      <c r="G18">
        <f t="shared" si="2"/>
        <v>1.8756743642857146E-18</v>
      </c>
      <c r="H18">
        <f t="shared" si="3"/>
        <v>-17.726842557251853</v>
      </c>
    </row>
    <row r="19" spans="1:8" x14ac:dyDescent="0.25">
      <c r="A19" s="41">
        <v>1.1600243E-11</v>
      </c>
      <c r="B19">
        <v>0.58275383999999997</v>
      </c>
      <c r="C19">
        <f t="shared" si="0"/>
        <v>0.3681898127633037</v>
      </c>
      <c r="D19">
        <v>1000</v>
      </c>
      <c r="E19">
        <f t="shared" si="1"/>
        <v>8.9000000000000006E-4</v>
      </c>
      <c r="F19">
        <v>9.8000000000000007</v>
      </c>
      <c r="G19">
        <f t="shared" si="2"/>
        <v>1.053491456122449E-18</v>
      </c>
      <c r="H19">
        <f t="shared" si="3"/>
        <v>-17.97736898219534</v>
      </c>
    </row>
    <row r="20" spans="1:8" x14ac:dyDescent="0.25">
      <c r="A20" s="41">
        <v>5.0509440000000002E-12</v>
      </c>
      <c r="B20">
        <v>0.49150997000000002</v>
      </c>
      <c r="C20">
        <f t="shared" si="0"/>
        <v>0.32953850787869693</v>
      </c>
      <c r="D20">
        <v>1000</v>
      </c>
      <c r="E20">
        <f t="shared" si="1"/>
        <v>8.9000000000000006E-4</v>
      </c>
      <c r="F20">
        <v>9.8000000000000007</v>
      </c>
      <c r="G20">
        <f t="shared" si="2"/>
        <v>4.5870817959183675E-19</v>
      </c>
      <c r="H20">
        <f t="shared" si="3"/>
        <v>-18.338463515547271</v>
      </c>
    </row>
    <row r="21" spans="1:8" x14ac:dyDescent="0.25">
      <c r="A21" s="41">
        <v>2.6403739999999999E-12</v>
      </c>
      <c r="B21">
        <v>0.47962900000000003</v>
      </c>
      <c r="C21">
        <f t="shared" si="0"/>
        <v>0.32415490639883376</v>
      </c>
      <c r="D21">
        <v>1000</v>
      </c>
      <c r="E21">
        <f t="shared" si="1"/>
        <v>8.9000000000000006E-4</v>
      </c>
      <c r="F21">
        <v>9.8000000000000007</v>
      </c>
      <c r="G21">
        <f t="shared" si="2"/>
        <v>2.3978906734693879E-19</v>
      </c>
      <c r="H21">
        <f t="shared" si="3"/>
        <v>-18.620170621483762</v>
      </c>
    </row>
    <row r="22" spans="1:8" x14ac:dyDescent="0.25">
      <c r="A22" s="41"/>
    </row>
    <row r="23" spans="1:8" x14ac:dyDescent="0.25">
      <c r="A23" s="41"/>
    </row>
    <row r="24" spans="1:8" x14ac:dyDescent="0.25">
      <c r="A24" s="41"/>
    </row>
    <row r="25" spans="1:8" x14ac:dyDescent="0.25">
      <c r="A25" s="41"/>
    </row>
    <row r="26" spans="1:8" x14ac:dyDescent="0.25">
      <c r="A26" s="41"/>
    </row>
    <row r="27" spans="1:8" x14ac:dyDescent="0.25">
      <c r="A27" s="41"/>
    </row>
    <row r="28" spans="1:8" x14ac:dyDescent="0.25">
      <c r="A28" s="41"/>
    </row>
    <row r="29" spans="1:8" x14ac:dyDescent="0.25">
      <c r="A29" s="41"/>
    </row>
    <row r="30" spans="1:8" x14ac:dyDescent="0.25">
      <c r="A30" s="41"/>
    </row>
    <row r="31" spans="1:8" x14ac:dyDescent="0.25">
      <c r="A31" s="41"/>
    </row>
    <row r="32" spans="1:8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2344-F3E0-408D-9B37-C429931024CE}">
  <dimension ref="A1:D7"/>
  <sheetViews>
    <sheetView workbookViewId="0">
      <selection sqref="A1:D7"/>
    </sheetView>
  </sheetViews>
  <sheetFormatPr defaultRowHeight="15" x14ac:dyDescent="0.25"/>
  <sheetData>
    <row r="1" spans="1:4" ht="15.75" thickBot="1" x14ac:dyDescent="0.3">
      <c r="A1" t="s">
        <v>178</v>
      </c>
      <c r="C1" t="s">
        <v>179</v>
      </c>
    </row>
    <row r="2" spans="1:4" x14ac:dyDescent="0.25">
      <c r="A2" s="50" t="s">
        <v>42</v>
      </c>
      <c r="B2" s="51" t="s">
        <v>180</v>
      </c>
      <c r="C2" s="50" t="s">
        <v>42</v>
      </c>
      <c r="D2" s="51" t="s">
        <v>180</v>
      </c>
    </row>
    <row r="3" spans="1:4" x14ac:dyDescent="0.25">
      <c r="A3" s="71">
        <v>0.32200000000000001</v>
      </c>
      <c r="B3" s="56">
        <v>-20.149494918146093</v>
      </c>
      <c r="C3" s="71">
        <v>0.247</v>
      </c>
      <c r="D3" s="56">
        <v>-19.319584982612785</v>
      </c>
    </row>
    <row r="4" spans="1:4" x14ac:dyDescent="0.25">
      <c r="A4" s="71">
        <v>0.497</v>
      </c>
      <c r="B4" s="56">
        <v>-18.163475116989432</v>
      </c>
      <c r="C4" s="71">
        <v>0.372</v>
      </c>
      <c r="D4" s="56">
        <v>-18.189554286339909</v>
      </c>
    </row>
    <row r="5" spans="1:4" x14ac:dyDescent="0.25">
      <c r="A5" s="71">
        <v>0.60199999999999998</v>
      </c>
      <c r="B5" s="56">
        <v>-17.027075480771675</v>
      </c>
      <c r="C5" s="71">
        <v>0.45</v>
      </c>
      <c r="D5" s="56">
        <v>-17.562319183499554</v>
      </c>
    </row>
    <row r="6" spans="1:4" x14ac:dyDescent="0.25">
      <c r="A6" s="71">
        <v>0.67100000000000004</v>
      </c>
      <c r="B6" s="56">
        <v>-16.284330857599009</v>
      </c>
      <c r="C6" s="1">
        <v>0.505</v>
      </c>
      <c r="D6">
        <v>-17.177073875359913</v>
      </c>
    </row>
    <row r="7" spans="1:4" ht="15.75" thickBot="1" x14ac:dyDescent="0.3">
      <c r="A7" s="72">
        <v>0.72099999999999997</v>
      </c>
      <c r="B7" s="57">
        <v>-15.810568082761915</v>
      </c>
      <c r="C7" s="73">
        <v>0.58399999999999996</v>
      </c>
      <c r="D7">
        <v>-16.506608875943556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A1B4-1005-474A-86CD-761DD66EA83C}">
  <dimension ref="A1:D7"/>
  <sheetViews>
    <sheetView workbookViewId="0">
      <selection activeCell="G8" sqref="G8"/>
    </sheetView>
  </sheetViews>
  <sheetFormatPr defaultRowHeight="15" x14ac:dyDescent="0.25"/>
  <sheetData>
    <row r="1" spans="1:4" ht="15.75" thickBot="1" x14ac:dyDescent="0.3">
      <c r="A1" t="s">
        <v>178</v>
      </c>
      <c r="C1" t="s">
        <v>179</v>
      </c>
    </row>
    <row r="2" spans="1:4" x14ac:dyDescent="0.25">
      <c r="A2" s="50" t="s">
        <v>42</v>
      </c>
      <c r="B2" s="51" t="s">
        <v>190</v>
      </c>
      <c r="C2" s="50" t="s">
        <v>42</v>
      </c>
      <c r="D2" s="51" t="s">
        <v>190</v>
      </c>
    </row>
    <row r="3" spans="1:4" x14ac:dyDescent="0.25">
      <c r="A3" s="71">
        <v>0.32200000000000001</v>
      </c>
      <c r="B3" s="56">
        <v>37.597999999999999</v>
      </c>
      <c r="C3" s="71">
        <v>0.247</v>
      </c>
      <c r="D3" s="56">
        <v>31.598000000000003</v>
      </c>
    </row>
    <row r="4" spans="1:4" x14ac:dyDescent="0.25">
      <c r="A4" s="71">
        <v>0.497</v>
      </c>
      <c r="B4" s="56">
        <v>25.244000000000003</v>
      </c>
      <c r="C4" s="71">
        <v>0.372</v>
      </c>
      <c r="D4" s="56">
        <v>20.244</v>
      </c>
    </row>
    <row r="5" spans="1:4" x14ac:dyDescent="0.25">
      <c r="A5" s="71">
        <v>0.60199999999999998</v>
      </c>
      <c r="B5" s="56">
        <v>17.440000000000001</v>
      </c>
      <c r="C5" s="71">
        <v>0.45</v>
      </c>
      <c r="D5" s="56">
        <v>14.44</v>
      </c>
    </row>
    <row r="6" spans="1:4" x14ac:dyDescent="0.25">
      <c r="A6" s="71">
        <v>0.67100000000000004</v>
      </c>
      <c r="B6" s="56">
        <v>12.565</v>
      </c>
      <c r="C6" s="1">
        <v>0.505</v>
      </c>
      <c r="D6">
        <v>10.632</v>
      </c>
    </row>
    <row r="7" spans="1:4" ht="15.75" thickBot="1" x14ac:dyDescent="0.3">
      <c r="A7" s="72">
        <v>0.72099999999999997</v>
      </c>
      <c r="B7" s="57">
        <v>8.9740000000000002</v>
      </c>
      <c r="C7" s="73">
        <v>0.58399999999999996</v>
      </c>
      <c r="D7">
        <v>7.2869999999999999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4B85-0C50-4C2D-BFAC-C2BD5A4390F2}">
  <dimension ref="A1:D7"/>
  <sheetViews>
    <sheetView tabSelected="1" workbookViewId="0">
      <selection activeCell="C3" sqref="C3:D7"/>
    </sheetView>
  </sheetViews>
  <sheetFormatPr defaultRowHeight="15" x14ac:dyDescent="0.25"/>
  <sheetData>
    <row r="1" spans="1:4" ht="15.75" thickBot="1" x14ac:dyDescent="0.3">
      <c r="A1" t="s">
        <v>178</v>
      </c>
      <c r="C1" t="s">
        <v>179</v>
      </c>
    </row>
    <row r="2" spans="1:4" x14ac:dyDescent="0.25">
      <c r="A2" s="50" t="s">
        <v>42</v>
      </c>
      <c r="B2" s="51" t="s">
        <v>166</v>
      </c>
      <c r="C2" s="50" t="s">
        <v>42</v>
      </c>
      <c r="D2" s="51" t="s">
        <v>166</v>
      </c>
    </row>
    <row r="3" spans="1:4" x14ac:dyDescent="0.25">
      <c r="A3" s="71">
        <v>0.72099999999999997</v>
      </c>
      <c r="B3" s="56">
        <v>11.302479668956396</v>
      </c>
      <c r="C3" s="71">
        <v>0.58399999999999996</v>
      </c>
      <c r="D3" s="56">
        <v>12.459893042685518</v>
      </c>
    </row>
    <row r="4" spans="1:4" x14ac:dyDescent="0.25">
      <c r="A4" s="71">
        <v>0.67100000000000004</v>
      </c>
      <c r="B4" s="56">
        <v>13.673304904519751</v>
      </c>
      <c r="C4" s="71">
        <v>0.505</v>
      </c>
      <c r="D4" s="56">
        <v>15.335857109375736</v>
      </c>
    </row>
    <row r="5" spans="1:4" x14ac:dyDescent="0.25">
      <c r="A5" s="71">
        <v>0.60199999999999998</v>
      </c>
      <c r="B5" s="56">
        <v>17.009989792787284</v>
      </c>
      <c r="C5" s="71">
        <v>0.45</v>
      </c>
      <c r="D5" s="56">
        <v>17.507089674812725</v>
      </c>
    </row>
    <row r="6" spans="1:4" x14ac:dyDescent="0.25">
      <c r="A6" s="71">
        <v>0.497</v>
      </c>
      <c r="B6" s="56">
        <v>22.450993140153656</v>
      </c>
      <c r="C6" s="1">
        <v>0.372</v>
      </c>
      <c r="D6">
        <v>20.756356272644524</v>
      </c>
    </row>
    <row r="7" spans="1:4" ht="15.75" thickBot="1" x14ac:dyDescent="0.3">
      <c r="A7" s="72">
        <v>0.32200000000000001</v>
      </c>
      <c r="B7" s="57">
        <v>32.948161399324192</v>
      </c>
      <c r="C7" s="73">
        <v>0.247</v>
      </c>
      <c r="D7">
        <v>26.540790678318771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393C-DA77-4541-AC06-F00C0BFEFE24}">
  <dimension ref="A1:T48"/>
  <sheetViews>
    <sheetView workbookViewId="0">
      <selection activeCell="D3" sqref="D3"/>
    </sheetView>
  </sheetViews>
  <sheetFormatPr defaultRowHeight="15" x14ac:dyDescent="0.25"/>
  <cols>
    <col min="1" max="1" width="26.28515625" bestFit="1" customWidth="1"/>
    <col min="2" max="2" width="20.28515625" bestFit="1" customWidth="1"/>
    <col min="3" max="3" width="17.7109375" bestFit="1" customWidth="1"/>
    <col min="4" max="4" width="20.85546875" bestFit="1" customWidth="1"/>
    <col min="5" max="5" width="22.28515625" bestFit="1" customWidth="1"/>
    <col min="6" max="6" width="12.7109375" bestFit="1" customWidth="1"/>
    <col min="7" max="7" width="25.140625" bestFit="1" customWidth="1"/>
    <col min="8" max="8" width="8.7109375" bestFit="1" customWidth="1"/>
    <col min="9" max="9" width="5.5703125" bestFit="1" customWidth="1"/>
    <col min="10" max="10" width="17.7109375" bestFit="1" customWidth="1"/>
    <col min="11" max="11" width="14.28515625" bestFit="1" customWidth="1"/>
    <col min="12" max="12" width="15.140625" bestFit="1" customWidth="1"/>
    <col min="18" max="18" width="16.140625" bestFit="1" customWidth="1"/>
    <col min="19" max="19" width="14.28515625" bestFit="1" customWidth="1"/>
    <col min="20" max="20" width="15.140625" bestFit="1" customWidth="1"/>
  </cols>
  <sheetData>
    <row r="1" spans="1:20" x14ac:dyDescent="0.25">
      <c r="A1" s="11"/>
      <c r="B1" s="12"/>
      <c r="C1" s="13" t="s">
        <v>0</v>
      </c>
      <c r="D1" s="11"/>
      <c r="E1" s="14"/>
      <c r="F1" s="15"/>
      <c r="G1" s="16" t="s">
        <v>1</v>
      </c>
      <c r="H1" s="16"/>
      <c r="I1" s="16"/>
      <c r="J1" s="34" t="s">
        <v>0</v>
      </c>
      <c r="K1" s="32"/>
      <c r="L1" s="32"/>
      <c r="M1" s="33"/>
      <c r="N1" s="35" t="s">
        <v>15</v>
      </c>
      <c r="O1" s="32"/>
      <c r="P1" s="32"/>
      <c r="Q1" s="33"/>
      <c r="R1" s="10" t="s">
        <v>2</v>
      </c>
      <c r="S1" s="10" t="s">
        <v>3</v>
      </c>
      <c r="T1" s="10" t="s">
        <v>4</v>
      </c>
    </row>
    <row r="2" spans="1:20" x14ac:dyDescent="0.25">
      <c r="A2" s="18" t="s">
        <v>5</v>
      </c>
      <c r="B2" s="16" t="s">
        <v>6</v>
      </c>
      <c r="C2" s="16" t="s">
        <v>7</v>
      </c>
      <c r="D2" s="16" t="s">
        <v>8</v>
      </c>
      <c r="E2" s="17" t="s">
        <v>9</v>
      </c>
      <c r="F2" s="16" t="s">
        <v>6</v>
      </c>
      <c r="G2" s="16" t="s">
        <v>7</v>
      </c>
      <c r="H2" s="16" t="s">
        <v>8</v>
      </c>
      <c r="I2" s="16" t="s">
        <v>9</v>
      </c>
      <c r="J2" s="30" t="s">
        <v>16</v>
      </c>
      <c r="K2" s="30" t="s">
        <v>17</v>
      </c>
      <c r="L2" s="30" t="s">
        <v>18</v>
      </c>
      <c r="M2" s="31" t="s">
        <v>7</v>
      </c>
      <c r="N2" s="30" t="s">
        <v>16</v>
      </c>
      <c r="O2" s="30" t="s">
        <v>17</v>
      </c>
      <c r="P2" s="30" t="s">
        <v>18</v>
      </c>
      <c r="Q2" s="31" t="s">
        <v>7</v>
      </c>
      <c r="R2" s="10"/>
      <c r="S2" s="10"/>
      <c r="T2" s="10"/>
    </row>
    <row r="3" spans="1:20" x14ac:dyDescent="0.25">
      <c r="A3" s="28" t="s">
        <v>12</v>
      </c>
      <c r="B3" s="24">
        <v>2288</v>
      </c>
      <c r="C3" s="24">
        <v>9161</v>
      </c>
      <c r="D3" s="24">
        <v>2050</v>
      </c>
      <c r="E3" s="25">
        <v>2855</v>
      </c>
      <c r="F3" s="26">
        <v>70.440005025378682</v>
      </c>
      <c r="G3" s="26">
        <v>14.955685325373386</v>
      </c>
      <c r="H3" s="26">
        <v>8.5827906118869706</v>
      </c>
      <c r="I3" s="26">
        <v>6.0215190373609815</v>
      </c>
      <c r="J3" s="45">
        <v>85102</v>
      </c>
      <c r="K3" s="45">
        <v>10044</v>
      </c>
      <c r="L3" s="45">
        <v>8880</v>
      </c>
      <c r="M3" s="44">
        <v>1069</v>
      </c>
      <c r="N3" s="46">
        <v>82.144660332321948</v>
      </c>
      <c r="O3" s="46">
        <v>17.855339667678045</v>
      </c>
      <c r="P3" s="46" t="s">
        <v>13</v>
      </c>
      <c r="Q3" s="47" t="s">
        <v>13</v>
      </c>
      <c r="R3" s="27" t="s">
        <v>14</v>
      </c>
      <c r="S3" s="27">
        <v>51.1</v>
      </c>
      <c r="T3" s="27">
        <v>51.31</v>
      </c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0" x14ac:dyDescent="0.25">
      <c r="A5" t="s">
        <v>20</v>
      </c>
      <c r="B5" t="s">
        <v>19</v>
      </c>
      <c r="C5" t="s">
        <v>21</v>
      </c>
      <c r="D5" t="s">
        <v>24</v>
      </c>
      <c r="E5" t="s">
        <v>25</v>
      </c>
      <c r="F5" t="s">
        <v>26</v>
      </c>
      <c r="G5" s="43" t="s">
        <v>22</v>
      </c>
      <c r="H5" s="43" t="s">
        <v>23</v>
      </c>
      <c r="O5" s="40"/>
      <c r="P5" s="1"/>
      <c r="Q5" s="1"/>
    </row>
    <row r="6" spans="1:20" x14ac:dyDescent="0.25">
      <c r="A6" s="41">
        <v>6.0310810000000001E-10</v>
      </c>
      <c r="B6">
        <v>1.4597628</v>
      </c>
      <c r="C6">
        <f>B6/(1+B6)</f>
        <v>0.59345673493395379</v>
      </c>
      <c r="D6">
        <v>1000</v>
      </c>
      <c r="E6">
        <f>8.9*(10^-4)</f>
        <v>8.9000000000000006E-4</v>
      </c>
      <c r="F6">
        <v>9.8000000000000007</v>
      </c>
      <c r="G6">
        <f>(A6*E6)/(D6*F6)</f>
        <v>5.4772062142857152E-17</v>
      </c>
      <c r="H6">
        <f>LOG10(G6)</f>
        <v>-16.261440907776628</v>
      </c>
      <c r="O6" s="40"/>
      <c r="P6" s="1"/>
      <c r="Q6" s="1"/>
    </row>
    <row r="7" spans="1:20" x14ac:dyDescent="0.25">
      <c r="A7" s="41">
        <v>4.2994100000000003E-10</v>
      </c>
      <c r="B7">
        <v>1.4573594000000001</v>
      </c>
      <c r="C7">
        <f t="shared" ref="C7:C36" si="0">B7/(1+B7)</f>
        <v>0.59305911866208905</v>
      </c>
      <c r="D7">
        <v>1000</v>
      </c>
      <c r="E7">
        <f t="shared" ref="E7:E36" si="1">8.9*(10^-4)</f>
        <v>8.9000000000000006E-4</v>
      </c>
      <c r="F7">
        <v>9.8000000000000007</v>
      </c>
      <c r="G7">
        <f t="shared" ref="G7:G36" si="2">(A7*E7)/(D7*F7)</f>
        <v>3.9045662244897962E-17</v>
      </c>
      <c r="H7">
        <f t="shared" ref="H7:H36" si="3">LOG10(G7)</f>
        <v>-16.408427206799335</v>
      </c>
      <c r="O7" s="1"/>
      <c r="P7" s="1"/>
      <c r="Q7" s="1"/>
    </row>
    <row r="8" spans="1:20" x14ac:dyDescent="0.25">
      <c r="A8" s="41">
        <v>3.1529509999999998E-10</v>
      </c>
      <c r="B8">
        <v>1.4574729</v>
      </c>
      <c r="C8">
        <f t="shared" si="0"/>
        <v>0.59307791349397998</v>
      </c>
      <c r="D8">
        <v>1000</v>
      </c>
      <c r="E8">
        <f t="shared" si="1"/>
        <v>8.9000000000000006E-4</v>
      </c>
      <c r="F8">
        <v>9.8000000000000007</v>
      </c>
      <c r="G8">
        <f t="shared" si="2"/>
        <v>2.8633942755102044E-17</v>
      </c>
      <c r="H8">
        <f t="shared" si="3"/>
        <v>-16.543118847616192</v>
      </c>
      <c r="O8" s="1"/>
      <c r="P8" s="1"/>
      <c r="Q8" s="1"/>
    </row>
    <row r="9" spans="1:20" x14ac:dyDescent="0.25">
      <c r="A9" s="41">
        <v>2.4452037999999999E-10</v>
      </c>
      <c r="B9">
        <v>1.4474574</v>
      </c>
      <c r="C9">
        <f t="shared" si="0"/>
        <v>0.59141270446627581</v>
      </c>
      <c r="D9">
        <v>1000</v>
      </c>
      <c r="E9">
        <f t="shared" si="1"/>
        <v>8.9000000000000006E-4</v>
      </c>
      <c r="F9">
        <v>9.8000000000000007</v>
      </c>
      <c r="G9">
        <f t="shared" si="2"/>
        <v>2.2206442673469389E-17</v>
      </c>
      <c r="H9">
        <f t="shared" si="3"/>
        <v>-16.653521007008464</v>
      </c>
      <c r="O9" s="1"/>
      <c r="P9" s="1"/>
      <c r="Q9" s="1"/>
    </row>
    <row r="10" spans="1:20" x14ac:dyDescent="0.25">
      <c r="A10" s="41">
        <v>4.2959479999999999E-10</v>
      </c>
      <c r="B10">
        <v>1.43967</v>
      </c>
      <c r="C10">
        <f t="shared" si="0"/>
        <v>0.59010849828050516</v>
      </c>
      <c r="D10">
        <v>1000</v>
      </c>
      <c r="E10">
        <f t="shared" si="1"/>
        <v>8.9000000000000006E-4</v>
      </c>
      <c r="F10">
        <v>9.8000000000000007</v>
      </c>
      <c r="G10">
        <f t="shared" si="2"/>
        <v>3.9014221632653064E-17</v>
      </c>
      <c r="H10">
        <f t="shared" si="3"/>
        <v>-16.408777053211235</v>
      </c>
      <c r="O10" s="1"/>
      <c r="P10" s="1"/>
      <c r="Q10" s="1"/>
    </row>
    <row r="11" spans="1:20" x14ac:dyDescent="0.25">
      <c r="A11" s="41">
        <v>7.3393600000000002E-10</v>
      </c>
      <c r="B11">
        <v>1.4369468999999999</v>
      </c>
      <c r="C11">
        <f t="shared" si="0"/>
        <v>0.58965047617574273</v>
      </c>
      <c r="D11">
        <v>1000</v>
      </c>
      <c r="E11">
        <f t="shared" si="1"/>
        <v>8.9000000000000006E-4</v>
      </c>
      <c r="F11">
        <v>9.8000000000000007</v>
      </c>
      <c r="G11">
        <f t="shared" si="2"/>
        <v>6.6653371428571428E-17</v>
      </c>
      <c r="H11">
        <f t="shared" si="3"/>
        <v>-16.17617787842126</v>
      </c>
      <c r="O11" s="1"/>
      <c r="P11" s="1"/>
      <c r="Q11" s="1"/>
    </row>
    <row r="12" spans="1:20" x14ac:dyDescent="0.25">
      <c r="A12" s="41">
        <v>8.9355479999999996E-10</v>
      </c>
      <c r="B12">
        <v>1.4242393</v>
      </c>
      <c r="C12">
        <f t="shared" si="0"/>
        <v>0.58749946838993994</v>
      </c>
      <c r="D12">
        <v>1000</v>
      </c>
      <c r="E12">
        <f t="shared" si="1"/>
        <v>8.9000000000000006E-4</v>
      </c>
      <c r="F12">
        <v>9.8000000000000007</v>
      </c>
      <c r="G12">
        <f t="shared" si="2"/>
        <v>8.1149364489795927E-17</v>
      </c>
      <c r="H12">
        <f t="shared" si="3"/>
        <v>-16.090714876942563</v>
      </c>
    </row>
    <row r="13" spans="1:20" x14ac:dyDescent="0.25">
      <c r="A13" s="41">
        <v>5.6892645999999997E-10</v>
      </c>
      <c r="B13">
        <v>1.4168231</v>
      </c>
      <c r="C13">
        <f t="shared" si="0"/>
        <v>0.58623368007364707</v>
      </c>
      <c r="D13">
        <v>1000</v>
      </c>
      <c r="E13">
        <f t="shared" si="1"/>
        <v>8.9000000000000006E-4</v>
      </c>
      <c r="F13">
        <v>9.8000000000000007</v>
      </c>
      <c r="G13">
        <f t="shared" si="2"/>
        <v>5.1667811163265301E-17</v>
      </c>
      <c r="H13">
        <f t="shared" si="3"/>
        <v>-16.286779936361263</v>
      </c>
    </row>
    <row r="14" spans="1:20" x14ac:dyDescent="0.25">
      <c r="A14" s="41">
        <v>4.0538709E-10</v>
      </c>
      <c r="B14">
        <v>1.4043114999999999</v>
      </c>
      <c r="C14">
        <f t="shared" si="0"/>
        <v>0.58408051535751504</v>
      </c>
      <c r="D14">
        <v>1000</v>
      </c>
      <c r="E14">
        <f t="shared" si="1"/>
        <v>8.9000000000000006E-4</v>
      </c>
      <c r="F14">
        <v>9.8000000000000007</v>
      </c>
      <c r="G14">
        <f t="shared" si="2"/>
        <v>3.6815766336734693E-17</v>
      </c>
      <c r="H14">
        <f t="shared" si="3"/>
        <v>-16.433966155058222</v>
      </c>
    </row>
    <row r="15" spans="1:20" x14ac:dyDescent="0.25">
      <c r="A15" s="41">
        <v>4.6643755999999998E-10</v>
      </c>
      <c r="B15">
        <v>1.3890975000000001</v>
      </c>
      <c r="C15">
        <f t="shared" si="0"/>
        <v>0.58143190053984817</v>
      </c>
      <c r="D15">
        <v>1000</v>
      </c>
      <c r="E15">
        <f t="shared" si="1"/>
        <v>8.9000000000000006E-4</v>
      </c>
      <c r="F15">
        <v>9.8000000000000007</v>
      </c>
      <c r="G15">
        <f t="shared" si="2"/>
        <v>4.2360145755102045E-17</v>
      </c>
      <c r="H15">
        <f t="shared" si="3"/>
        <v>-16.373042554217818</v>
      </c>
    </row>
    <row r="16" spans="1:20" x14ac:dyDescent="0.25">
      <c r="A16" s="41">
        <v>2.6527708000000001E-10</v>
      </c>
      <c r="B16">
        <v>1.3791955</v>
      </c>
      <c r="C16">
        <f t="shared" si="0"/>
        <v>0.57968985734883915</v>
      </c>
      <c r="D16">
        <v>1000</v>
      </c>
      <c r="E16">
        <f t="shared" si="1"/>
        <v>8.9000000000000006E-4</v>
      </c>
      <c r="F16">
        <v>9.8000000000000007</v>
      </c>
      <c r="G16">
        <f t="shared" si="2"/>
        <v>2.4091489918367352E-17</v>
      </c>
      <c r="H16">
        <f t="shared" si="3"/>
        <v>-16.618136340586279</v>
      </c>
    </row>
    <row r="17" spans="1:8" x14ac:dyDescent="0.25">
      <c r="A17" s="41">
        <v>1.6890196E-10</v>
      </c>
      <c r="B17">
        <v>1.3717793</v>
      </c>
      <c r="C17">
        <f t="shared" si="0"/>
        <v>0.57837561024333084</v>
      </c>
      <c r="D17">
        <v>1000</v>
      </c>
      <c r="E17">
        <f t="shared" si="1"/>
        <v>8.9000000000000006E-4</v>
      </c>
      <c r="F17">
        <v>9.8000000000000007</v>
      </c>
      <c r="G17">
        <f t="shared" si="2"/>
        <v>1.5339055551020409E-17</v>
      </c>
      <c r="H17">
        <f t="shared" si="3"/>
        <v>-16.814201379735628</v>
      </c>
    </row>
    <row r="18" spans="1:8" x14ac:dyDescent="0.25">
      <c r="A18" s="41">
        <v>9.8761050000000002E-11</v>
      </c>
      <c r="B18">
        <v>1.3517585999999999</v>
      </c>
      <c r="C18">
        <f t="shared" si="0"/>
        <v>0.57478628971527934</v>
      </c>
      <c r="D18">
        <v>1000</v>
      </c>
      <c r="E18">
        <f t="shared" si="1"/>
        <v>8.9000000000000006E-4</v>
      </c>
      <c r="F18">
        <v>9.8000000000000007</v>
      </c>
      <c r="G18">
        <f t="shared" si="2"/>
        <v>8.9691157653061225E-18</v>
      </c>
      <c r="H18">
        <f t="shared" si="3"/>
        <v>-17.047250370465068</v>
      </c>
    </row>
    <row r="19" spans="1:8" x14ac:dyDescent="0.25">
      <c r="A19" s="41">
        <v>8.0941850000000002E-11</v>
      </c>
      <c r="B19">
        <v>1.3164518000000001</v>
      </c>
      <c r="C19">
        <f t="shared" si="0"/>
        <v>0.56830528483260467</v>
      </c>
      <c r="D19">
        <v>1000</v>
      </c>
      <c r="E19">
        <f t="shared" si="1"/>
        <v>8.9000000000000006E-4</v>
      </c>
      <c r="F19">
        <v>9.8000000000000007</v>
      </c>
      <c r="G19">
        <f t="shared" si="2"/>
        <v>7.3508414795918386E-18</v>
      </c>
      <c r="H19">
        <f t="shared" si="3"/>
        <v>-17.133662942681067</v>
      </c>
    </row>
    <row r="20" spans="1:8" x14ac:dyDescent="0.25">
      <c r="A20" s="41">
        <v>6.4523184999999997E-11</v>
      </c>
      <c r="B20">
        <v>1.2912636</v>
      </c>
      <c r="C20">
        <f t="shared" si="0"/>
        <v>0.56355960091191604</v>
      </c>
      <c r="D20">
        <v>1000</v>
      </c>
      <c r="E20">
        <f t="shared" si="1"/>
        <v>8.9000000000000006E-4</v>
      </c>
      <c r="F20">
        <v>9.8000000000000007</v>
      </c>
      <c r="G20">
        <f t="shared" si="2"/>
        <v>5.8597586377551018E-18</v>
      </c>
      <c r="H20">
        <f t="shared" si="3"/>
        <v>-17.232120272113288</v>
      </c>
    </row>
    <row r="21" spans="1:8" x14ac:dyDescent="0.25">
      <c r="A21" s="41">
        <v>5.4393614999999999E-11</v>
      </c>
      <c r="B21">
        <v>1.2559464</v>
      </c>
      <c r="C21">
        <f t="shared" si="0"/>
        <v>0.55672705699036107</v>
      </c>
      <c r="D21">
        <v>1000</v>
      </c>
      <c r="E21">
        <f t="shared" si="1"/>
        <v>8.9000000000000006E-4</v>
      </c>
      <c r="F21">
        <v>9.8000000000000007</v>
      </c>
      <c r="G21">
        <f t="shared" si="2"/>
        <v>4.9398283010204081E-18</v>
      </c>
      <c r="H21">
        <f t="shared" si="3"/>
        <v>-17.306288146059206</v>
      </c>
    </row>
    <row r="22" spans="1:8" x14ac:dyDescent="0.25">
      <c r="A22" s="41">
        <v>4.7165534999999998E-11</v>
      </c>
      <c r="B22">
        <v>1.2206188</v>
      </c>
      <c r="C22">
        <f t="shared" si="0"/>
        <v>0.54967507255184911</v>
      </c>
      <c r="D22">
        <v>1000</v>
      </c>
      <c r="E22">
        <f t="shared" si="1"/>
        <v>8.9000000000000006E-4</v>
      </c>
      <c r="F22">
        <v>9.8000000000000007</v>
      </c>
      <c r="G22">
        <f t="shared" si="2"/>
        <v>4.2834006275510203E-18</v>
      </c>
      <c r="H22">
        <f t="shared" si="3"/>
        <v>-17.368211304030286</v>
      </c>
    </row>
    <row r="23" spans="1:8" x14ac:dyDescent="0.25">
      <c r="A23" s="41">
        <v>3.5520423000000002E-11</v>
      </c>
      <c r="B23">
        <v>1.1853429</v>
      </c>
      <c r="C23">
        <f t="shared" si="0"/>
        <v>0.54240590801562527</v>
      </c>
      <c r="D23">
        <v>1000</v>
      </c>
      <c r="E23">
        <f t="shared" si="1"/>
        <v>8.9000000000000006E-4</v>
      </c>
      <c r="F23">
        <v>9.8000000000000007</v>
      </c>
      <c r="G23">
        <f t="shared" si="2"/>
        <v>3.2258343336734694E-18</v>
      </c>
      <c r="H23">
        <f t="shared" si="3"/>
        <v>-17.49135794005273</v>
      </c>
    </row>
    <row r="24" spans="1:8" x14ac:dyDescent="0.25">
      <c r="A24" s="41">
        <v>2.9088123999999999E-11</v>
      </c>
      <c r="B24">
        <v>1.1323464999999999</v>
      </c>
      <c r="C24">
        <f t="shared" si="0"/>
        <v>0.53103306615505508</v>
      </c>
      <c r="D24">
        <v>1000</v>
      </c>
      <c r="E24">
        <f t="shared" si="1"/>
        <v>8.9000000000000006E-4</v>
      </c>
      <c r="F24">
        <v>9.8000000000000007</v>
      </c>
      <c r="G24">
        <f t="shared" si="2"/>
        <v>2.6416765673469389E-18</v>
      </c>
      <c r="H24">
        <f t="shared" si="3"/>
        <v>-17.578120356144289</v>
      </c>
    </row>
    <row r="25" spans="1:8" x14ac:dyDescent="0.25">
      <c r="A25" s="41">
        <v>2.6701264000000002E-11</v>
      </c>
      <c r="B25">
        <v>1.1096337999999999</v>
      </c>
      <c r="C25">
        <f t="shared" si="0"/>
        <v>0.52598408311432998</v>
      </c>
      <c r="D25">
        <v>1000</v>
      </c>
      <c r="E25">
        <f t="shared" si="1"/>
        <v>8.9000000000000006E-4</v>
      </c>
      <c r="F25">
        <v>9.8000000000000007</v>
      </c>
      <c r="G25">
        <f t="shared" si="2"/>
        <v>2.4249107102040819E-18</v>
      </c>
      <c r="H25">
        <f t="shared" si="3"/>
        <v>-17.615304248311034</v>
      </c>
    </row>
    <row r="26" spans="1:8" x14ac:dyDescent="0.25">
      <c r="A26" s="41">
        <v>2.0693302999999999E-11</v>
      </c>
      <c r="B26">
        <v>1.0844558</v>
      </c>
      <c r="C26">
        <f t="shared" si="0"/>
        <v>0.52025847705669759</v>
      </c>
      <c r="D26">
        <v>1000</v>
      </c>
      <c r="E26">
        <f t="shared" si="1"/>
        <v>8.9000000000000006E-4</v>
      </c>
      <c r="F26">
        <v>9.8000000000000007</v>
      </c>
      <c r="G26">
        <f t="shared" si="2"/>
        <v>1.8792897622448978E-18</v>
      </c>
      <c r="H26">
        <f t="shared" si="3"/>
        <v>-17.726006252128368</v>
      </c>
    </row>
    <row r="27" spans="1:8" x14ac:dyDescent="0.25">
      <c r="A27" s="41">
        <v>2.0101814000000001E-11</v>
      </c>
      <c r="B27">
        <v>1.0667766000000001</v>
      </c>
      <c r="C27">
        <f t="shared" si="0"/>
        <v>0.51615476970273422</v>
      </c>
      <c r="D27">
        <v>1000</v>
      </c>
      <c r="E27">
        <f t="shared" si="1"/>
        <v>8.9000000000000006E-4</v>
      </c>
      <c r="F27">
        <v>9.8000000000000007</v>
      </c>
      <c r="G27">
        <f t="shared" si="2"/>
        <v>1.8255729040816331E-18</v>
      </c>
      <c r="H27">
        <f t="shared" si="3"/>
        <v>-17.738600818858792</v>
      </c>
    </row>
    <row r="28" spans="1:8" x14ac:dyDescent="0.25">
      <c r="A28" s="41">
        <v>1.5128253E-11</v>
      </c>
      <c r="B28">
        <v>1.0163382999999999</v>
      </c>
      <c r="C28">
        <f t="shared" si="0"/>
        <v>0.50405147786956184</v>
      </c>
      <c r="D28">
        <v>1000</v>
      </c>
      <c r="E28">
        <f t="shared" si="1"/>
        <v>8.9000000000000006E-4</v>
      </c>
      <c r="F28">
        <v>9.8000000000000007</v>
      </c>
      <c r="G28">
        <f t="shared" si="2"/>
        <v>1.3738923642857142E-18</v>
      </c>
      <c r="H28">
        <f t="shared" si="3"/>
        <v>-17.862047290149707</v>
      </c>
    </row>
    <row r="29" spans="1:8" x14ac:dyDescent="0.25">
      <c r="A29" s="41">
        <v>1.2055397E-11</v>
      </c>
      <c r="B29">
        <v>0.98356885000000005</v>
      </c>
      <c r="C29">
        <f t="shared" si="0"/>
        <v>0.49585818510912794</v>
      </c>
      <c r="D29">
        <v>1000</v>
      </c>
      <c r="E29">
        <f t="shared" si="1"/>
        <v>8.9000000000000006E-4</v>
      </c>
      <c r="F29">
        <v>9.8000000000000007</v>
      </c>
      <c r="G29">
        <f t="shared" si="2"/>
        <v>1.0948268704081635E-18</v>
      </c>
      <c r="H29">
        <f t="shared" si="3"/>
        <v>-17.960654552212969</v>
      </c>
    </row>
    <row r="30" spans="1:8" x14ac:dyDescent="0.25">
      <c r="A30" s="41">
        <v>1.0168655E-11</v>
      </c>
      <c r="B30">
        <v>0.96088709999999999</v>
      </c>
      <c r="C30">
        <f t="shared" si="0"/>
        <v>0.49002673330861324</v>
      </c>
      <c r="D30">
        <v>1000</v>
      </c>
      <c r="E30">
        <f t="shared" si="1"/>
        <v>8.9000000000000006E-4</v>
      </c>
      <c r="F30">
        <v>9.8000000000000007</v>
      </c>
      <c r="G30">
        <f t="shared" si="2"/>
        <v>9.2347989285714285E-19</v>
      </c>
      <c r="H30">
        <f t="shared" si="3"/>
        <v>-18.034572556115734</v>
      </c>
    </row>
    <row r="31" spans="1:8" x14ac:dyDescent="0.25">
      <c r="A31" s="41">
        <v>9.3353284999999999E-12</v>
      </c>
      <c r="B31">
        <v>0.94070136999999998</v>
      </c>
      <c r="C31">
        <f t="shared" si="0"/>
        <v>0.48472237127343298</v>
      </c>
      <c r="D31">
        <v>1000</v>
      </c>
      <c r="E31">
        <f t="shared" si="1"/>
        <v>8.9000000000000006E-4</v>
      </c>
      <c r="F31">
        <v>9.8000000000000007</v>
      </c>
      <c r="G31">
        <f t="shared" si="2"/>
        <v>8.4780024132653058E-19</v>
      </c>
      <c r="H31">
        <f t="shared" si="3"/>
        <v>-18.071706464145759</v>
      </c>
    </row>
    <row r="32" spans="1:8" x14ac:dyDescent="0.25">
      <c r="A32" s="41">
        <v>7.6536219999999994E-12</v>
      </c>
      <c r="B32">
        <v>0.9129758</v>
      </c>
      <c r="C32">
        <f t="shared" si="0"/>
        <v>0.47725423395319483</v>
      </c>
      <c r="D32">
        <v>1000</v>
      </c>
      <c r="E32">
        <f t="shared" si="1"/>
        <v>8.9000000000000006E-4</v>
      </c>
      <c r="F32">
        <v>9.8000000000000007</v>
      </c>
      <c r="G32">
        <f t="shared" si="2"/>
        <v>6.9507383469387746E-19</v>
      </c>
      <c r="H32">
        <f t="shared" si="3"/>
        <v>-18.157969059730824</v>
      </c>
    </row>
    <row r="33" spans="1:8" x14ac:dyDescent="0.25">
      <c r="A33" s="41">
        <v>6.6388640000000001E-12</v>
      </c>
      <c r="B33">
        <v>0.8852295</v>
      </c>
      <c r="C33">
        <f t="shared" si="0"/>
        <v>0.4695606025685467</v>
      </c>
      <c r="D33">
        <v>1000</v>
      </c>
      <c r="E33">
        <f t="shared" si="1"/>
        <v>8.9000000000000006E-4</v>
      </c>
      <c r="F33">
        <v>9.8000000000000007</v>
      </c>
      <c r="G33">
        <f t="shared" si="2"/>
        <v>6.0291724081632655E-19</v>
      </c>
      <c r="H33">
        <f t="shared" si="3"/>
        <v>-18.219742297019806</v>
      </c>
    </row>
    <row r="34" spans="1:8" x14ac:dyDescent="0.25">
      <c r="A34" s="41">
        <v>5.9253657000000002E-12</v>
      </c>
      <c r="B34">
        <v>0.86505412999999998</v>
      </c>
      <c r="C34">
        <f t="shared" si="0"/>
        <v>0.46382253259319611</v>
      </c>
      <c r="D34">
        <v>1000</v>
      </c>
      <c r="E34">
        <f t="shared" si="1"/>
        <v>8.9000000000000006E-4</v>
      </c>
      <c r="F34">
        <v>9.8000000000000007</v>
      </c>
      <c r="G34">
        <f t="shared" si="2"/>
        <v>5.3811994622448985E-19</v>
      </c>
      <c r="H34">
        <f t="shared" si="3"/>
        <v>-18.269120909877529</v>
      </c>
    </row>
    <row r="35" spans="1:8" x14ac:dyDescent="0.25">
      <c r="A35" s="41">
        <v>5.2897665000000004E-12</v>
      </c>
      <c r="B35">
        <v>0.84993297000000001</v>
      </c>
      <c r="C35">
        <f t="shared" si="0"/>
        <v>0.45943987365120587</v>
      </c>
      <c r="D35">
        <v>1000</v>
      </c>
      <c r="E35">
        <f t="shared" si="1"/>
        <v>8.9000000000000006E-4</v>
      </c>
      <c r="F35">
        <v>9.8000000000000007</v>
      </c>
      <c r="G35">
        <f t="shared" si="2"/>
        <v>4.8039716173469397E-19</v>
      </c>
      <c r="H35">
        <f t="shared" si="3"/>
        <v>-18.318399567144656</v>
      </c>
    </row>
    <row r="36" spans="1:8" x14ac:dyDescent="0.25">
      <c r="A36" s="41">
        <v>4.4659966000000002E-12</v>
      </c>
      <c r="B36">
        <v>0.84746779999999999</v>
      </c>
      <c r="C36">
        <f t="shared" si="0"/>
        <v>0.45871857685422174</v>
      </c>
      <c r="D36">
        <v>1000</v>
      </c>
      <c r="E36">
        <f t="shared" si="1"/>
        <v>8.9000000000000006E-4</v>
      </c>
      <c r="F36">
        <v>9.8000000000000007</v>
      </c>
      <c r="G36">
        <f t="shared" si="2"/>
        <v>4.0558540551020416E-19</v>
      </c>
      <c r="H36">
        <f t="shared" si="3"/>
        <v>-18.391917680944005</v>
      </c>
    </row>
    <row r="38" spans="1:8" x14ac:dyDescent="0.25">
      <c r="A38" t="s">
        <v>16</v>
      </c>
      <c r="C38" t="s">
        <v>44</v>
      </c>
      <c r="E38" t="s">
        <v>35</v>
      </c>
    </row>
    <row r="39" spans="1:8" x14ac:dyDescent="0.25">
      <c r="A39" t="s">
        <v>42</v>
      </c>
      <c r="B39" t="s">
        <v>43</v>
      </c>
      <c r="C39" t="s">
        <v>42</v>
      </c>
      <c r="D39" t="s">
        <v>43</v>
      </c>
      <c r="E39" t="s">
        <v>42</v>
      </c>
      <c r="F39" t="s">
        <v>43</v>
      </c>
    </row>
    <row r="40" spans="1:8" x14ac:dyDescent="0.25">
      <c r="A40">
        <v>0.156</v>
      </c>
      <c r="B40">
        <v>-22.88614852739811</v>
      </c>
      <c r="C40">
        <v>7.0000000000000007E-2</v>
      </c>
      <c r="D40">
        <v>-19.989514510736544</v>
      </c>
      <c r="E40">
        <v>0.13500000000000001</v>
      </c>
      <c r="F40">
        <v>-18.198304114275153</v>
      </c>
    </row>
    <row r="41" spans="1:8" x14ac:dyDescent="0.25">
      <c r="A41">
        <v>0.35299999999999998</v>
      </c>
      <c r="B41">
        <v>-20.777399269449948</v>
      </c>
      <c r="C41">
        <v>0.18099999999999999</v>
      </c>
      <c r="D41">
        <v>-18.889078975422589</v>
      </c>
      <c r="E41">
        <v>0.20599999999999999</v>
      </c>
      <c r="F41">
        <v>-17.59150903073964</v>
      </c>
    </row>
    <row r="42" spans="1:8" x14ac:dyDescent="0.25">
      <c r="A42">
        <v>0.47899999999999998</v>
      </c>
      <c r="B42">
        <v>-19.456242276836136</v>
      </c>
      <c r="C42">
        <v>0.26900000000000002</v>
      </c>
      <c r="D42">
        <v>-18.264800125426838</v>
      </c>
      <c r="E42">
        <v>0.26800000000000002</v>
      </c>
      <c r="F42">
        <v>-17.168760697954223</v>
      </c>
    </row>
    <row r="43" spans="1:8" x14ac:dyDescent="0.25">
      <c r="A43">
        <v>0.56499999999999995</v>
      </c>
      <c r="B43">
        <v>-18.50969731349339</v>
      </c>
      <c r="C43">
        <v>0.34100000000000003</v>
      </c>
      <c r="D43">
        <v>-17.829428903119158</v>
      </c>
      <c r="E43">
        <v>0.36799999999999999</v>
      </c>
      <c r="F43">
        <v>-16.578987049733815</v>
      </c>
    </row>
    <row r="44" spans="1:8" x14ac:dyDescent="0.25">
      <c r="A44">
        <v>0.629</v>
      </c>
      <c r="B44">
        <v>-17.904882976356959</v>
      </c>
      <c r="C44">
        <v>0.40100000000000002</v>
      </c>
      <c r="D44">
        <v>-17.494360165702997</v>
      </c>
      <c r="E44">
        <v>0.48</v>
      </c>
      <c r="F44">
        <v>-15.991753368590173</v>
      </c>
    </row>
    <row r="45" spans="1:8" x14ac:dyDescent="0.25">
      <c r="A45">
        <v>0.71599999999999997</v>
      </c>
      <c r="B45">
        <v>-17.003709471552359</v>
      </c>
      <c r="C45">
        <v>0.496</v>
      </c>
      <c r="D45">
        <v>-16.991629288091204</v>
      </c>
      <c r="E45">
        <v>0.58399999999999996</v>
      </c>
      <c r="F45">
        <v>-15.460417101735818</v>
      </c>
    </row>
    <row r="46" spans="1:8" x14ac:dyDescent="0.25">
      <c r="A46">
        <v>0.77200000000000002</v>
      </c>
      <c r="B46">
        <v>-16.518544221030552</v>
      </c>
      <c r="C46">
        <v>0.56599999999999995</v>
      </c>
      <c r="D46">
        <v>-16.616982317387592</v>
      </c>
      <c r="E46">
        <v>0.64100000000000001</v>
      </c>
      <c r="F46">
        <v>-15.161197488270158</v>
      </c>
    </row>
    <row r="47" spans="1:8" x14ac:dyDescent="0.25">
      <c r="C47">
        <v>0.64400000000000002</v>
      </c>
      <c r="D47">
        <v>-16.189244240203546</v>
      </c>
      <c r="E47">
        <v>0.68700000000000006</v>
      </c>
      <c r="F47">
        <v>-14.91434558048941</v>
      </c>
    </row>
    <row r="48" spans="1:8" x14ac:dyDescent="0.25">
      <c r="C48">
        <v>0.71599999999999997</v>
      </c>
      <c r="D48">
        <v>-15.763493174533663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CFB5-1919-430A-A370-23A86EA01E6F}">
  <dimension ref="A1:L32"/>
  <sheetViews>
    <sheetView workbookViewId="0">
      <selection activeCell="A23" sqref="A23"/>
    </sheetView>
  </sheetViews>
  <sheetFormatPr defaultRowHeight="15" x14ac:dyDescent="0.25"/>
  <cols>
    <col min="1" max="1" width="13.85546875" bestFit="1" customWidth="1"/>
    <col min="2" max="2" width="18.85546875" bestFit="1" customWidth="1"/>
    <col min="3" max="3" width="10" bestFit="1" customWidth="1"/>
    <col min="4" max="4" width="16.42578125" bestFit="1" customWidth="1"/>
    <col min="5" max="5" width="16.42578125" customWidth="1"/>
    <col min="7" max="7" width="12" bestFit="1" customWidth="1"/>
    <col min="9" max="9" width="11" bestFit="1" customWidth="1"/>
    <col min="10" max="10" width="11" customWidth="1"/>
    <col min="11" max="11" width="16.42578125" bestFit="1" customWidth="1"/>
    <col min="12" max="12" width="19.140625" bestFit="1" customWidth="1"/>
  </cols>
  <sheetData>
    <row r="1" spans="1:12" x14ac:dyDescent="0.25">
      <c r="A1" t="s">
        <v>27</v>
      </c>
      <c r="B1" t="s">
        <v>28</v>
      </c>
      <c r="C1" t="s">
        <v>28</v>
      </c>
      <c r="D1" t="s">
        <v>32</v>
      </c>
      <c r="E1" t="s">
        <v>47</v>
      </c>
      <c r="F1" t="s">
        <v>29</v>
      </c>
      <c r="G1" t="s">
        <v>29</v>
      </c>
      <c r="H1" t="s">
        <v>30</v>
      </c>
      <c r="I1" s="50" t="s">
        <v>28</v>
      </c>
      <c r="J1" s="51" t="s">
        <v>29</v>
      </c>
      <c r="K1" t="s">
        <v>40</v>
      </c>
      <c r="L1" t="s">
        <v>41</v>
      </c>
    </row>
    <row r="2" spans="1:12" x14ac:dyDescent="0.25">
      <c r="A2" s="48"/>
      <c r="B2" s="48" t="s">
        <v>31</v>
      </c>
      <c r="C2" s="48" t="s">
        <v>38</v>
      </c>
      <c r="D2" s="48"/>
      <c r="E2" s="48"/>
      <c r="F2" s="48" t="s">
        <v>31</v>
      </c>
      <c r="G2" s="48" t="s">
        <v>38</v>
      </c>
      <c r="H2" s="49" t="s">
        <v>39</v>
      </c>
      <c r="I2" s="52" t="s">
        <v>32</v>
      </c>
      <c r="J2" s="53" t="s">
        <v>32</v>
      </c>
    </row>
    <row r="3" spans="1:12" x14ac:dyDescent="0.25">
      <c r="A3" t="s">
        <v>33</v>
      </c>
      <c r="B3">
        <v>100</v>
      </c>
      <c r="C3">
        <f>B3*10^-9</f>
        <v>1.0000000000000001E-7</v>
      </c>
      <c r="D3">
        <v>50</v>
      </c>
      <c r="E3">
        <f>C3/G3</f>
        <v>50</v>
      </c>
      <c r="F3">
        <v>2</v>
      </c>
      <c r="G3">
        <f>F3*10^-9</f>
        <v>2.0000000000000001E-9</v>
      </c>
      <c r="H3" s="41">
        <v>1.0000000000000001E-9</v>
      </c>
      <c r="I3" s="54">
        <f>C3/H3</f>
        <v>100</v>
      </c>
      <c r="J3" s="56">
        <f>G3/H3</f>
        <v>2</v>
      </c>
      <c r="K3">
        <f>I3/10</f>
        <v>10</v>
      </c>
      <c r="L3">
        <v>2</v>
      </c>
    </row>
    <row r="4" spans="1:12" x14ac:dyDescent="0.25">
      <c r="A4" t="s">
        <v>34</v>
      </c>
      <c r="B4">
        <v>2000</v>
      </c>
      <c r="C4">
        <f>B4*10^-9</f>
        <v>2.0000000000000003E-6</v>
      </c>
      <c r="D4">
        <v>1200</v>
      </c>
      <c r="E4">
        <v>20</v>
      </c>
      <c r="F4">
        <v>100</v>
      </c>
      <c r="G4">
        <f>F4*10^-9</f>
        <v>1.0000000000000001E-7</v>
      </c>
      <c r="H4" s="41">
        <v>1.0000000000000001E-9</v>
      </c>
      <c r="I4" s="54">
        <f>C4/H4</f>
        <v>2000.0000000000002</v>
      </c>
      <c r="J4" s="56">
        <f>G4/H4</f>
        <v>100</v>
      </c>
      <c r="K4">
        <f>I4/10</f>
        <v>200.00000000000003</v>
      </c>
      <c r="L4">
        <v>6</v>
      </c>
    </row>
    <row r="5" spans="1:12" x14ac:dyDescent="0.25">
      <c r="A5" t="s">
        <v>35</v>
      </c>
      <c r="B5">
        <v>3000</v>
      </c>
      <c r="C5">
        <f>B5*10^-9</f>
        <v>3.0000000000000001E-6</v>
      </c>
      <c r="D5">
        <v>1500</v>
      </c>
      <c r="E5">
        <f>C5/G5</f>
        <v>19.999999999999996</v>
      </c>
      <c r="F5">
        <v>150</v>
      </c>
      <c r="G5">
        <f>F5*10^-9</f>
        <v>1.5000000000000002E-7</v>
      </c>
      <c r="H5" s="41">
        <v>1.0000000000000001E-9</v>
      </c>
      <c r="I5" s="54">
        <f>C5/H5</f>
        <v>3000</v>
      </c>
      <c r="J5" s="56">
        <f>G5/H5</f>
        <v>150</v>
      </c>
      <c r="K5">
        <f>I5/10</f>
        <v>300</v>
      </c>
      <c r="L5">
        <v>15</v>
      </c>
    </row>
    <row r="6" spans="1:12" s="48" customFormat="1" ht="15.75" thickBot="1" x14ac:dyDescent="0.3">
      <c r="A6" s="48" t="s">
        <v>36</v>
      </c>
      <c r="B6" s="48">
        <v>2000</v>
      </c>
      <c r="C6">
        <f>B6*10^-9</f>
        <v>2.0000000000000003E-6</v>
      </c>
      <c r="D6">
        <v>500</v>
      </c>
      <c r="E6">
        <v>25</v>
      </c>
      <c r="F6" s="48">
        <v>80</v>
      </c>
      <c r="G6">
        <f>F6*10^-9</f>
        <v>8.0000000000000002E-8</v>
      </c>
      <c r="H6" s="41">
        <v>1.0000000000000001E-9</v>
      </c>
      <c r="I6" s="55">
        <f>C6/H6</f>
        <v>2000.0000000000002</v>
      </c>
      <c r="J6" s="57">
        <f>G6/H6</f>
        <v>80</v>
      </c>
      <c r="K6">
        <v>250</v>
      </c>
      <c r="L6" s="48">
        <v>10</v>
      </c>
    </row>
    <row r="7" spans="1:12" x14ac:dyDescent="0.25">
      <c r="A7" s="49" t="s">
        <v>37</v>
      </c>
      <c r="F7" s="49"/>
      <c r="G7">
        <f>F7*10^-9</f>
        <v>0</v>
      </c>
      <c r="J7" t="e">
        <f>G7/H7</f>
        <v>#DIV/0!</v>
      </c>
    </row>
    <row r="12" spans="1:12" x14ac:dyDescent="0.25">
      <c r="B12" t="s">
        <v>45</v>
      </c>
      <c r="C12">
        <v>25</v>
      </c>
      <c r="D12" t="s">
        <v>46</v>
      </c>
      <c r="G12">
        <f>1500/20</f>
        <v>75</v>
      </c>
      <c r="H12">
        <f>2000/25</f>
        <v>80</v>
      </c>
    </row>
    <row r="19" spans="1:3" x14ac:dyDescent="0.25">
      <c r="A19" t="s">
        <v>49</v>
      </c>
      <c r="B19" s="41">
        <v>2.0000000000000001E-9</v>
      </c>
      <c r="C19" t="s">
        <v>38</v>
      </c>
    </row>
    <row r="20" spans="1:3" x14ac:dyDescent="0.25">
      <c r="A20" t="s">
        <v>90</v>
      </c>
      <c r="B20">
        <v>1</v>
      </c>
      <c r="C20" t="s">
        <v>91</v>
      </c>
    </row>
    <row r="21" spans="1:3" x14ac:dyDescent="0.25">
      <c r="A21" t="s">
        <v>92</v>
      </c>
      <c r="B21" s="41">
        <f>B19/B20</f>
        <v>2.0000000000000001E-9</v>
      </c>
      <c r="C21" t="s">
        <v>38</v>
      </c>
    </row>
    <row r="23" spans="1:3" x14ac:dyDescent="0.25">
      <c r="A23" t="s">
        <v>93</v>
      </c>
      <c r="B23">
        <v>1000</v>
      </c>
      <c r="C23" t="s">
        <v>94</v>
      </c>
    </row>
    <row r="24" spans="1:3" x14ac:dyDescent="0.25">
      <c r="A24" t="s">
        <v>95</v>
      </c>
      <c r="B24">
        <v>1</v>
      </c>
      <c r="C24" t="s">
        <v>96</v>
      </c>
    </row>
    <row r="25" spans="1:3" x14ac:dyDescent="0.25">
      <c r="A25" t="s">
        <v>97</v>
      </c>
      <c r="B25">
        <f>B23/B24</f>
        <v>1000</v>
      </c>
      <c r="C25" t="s">
        <v>98</v>
      </c>
    </row>
    <row r="27" spans="1:3" x14ac:dyDescent="0.25">
      <c r="A27" t="s">
        <v>99</v>
      </c>
      <c r="B27">
        <f>0.8 *10^-6</f>
        <v>7.9999999999999996E-7</v>
      </c>
      <c r="C27" t="s">
        <v>100</v>
      </c>
    </row>
    <row r="28" spans="1:3" x14ac:dyDescent="0.25">
      <c r="A28" t="s">
        <v>101</v>
      </c>
      <c r="B28">
        <v>0.6</v>
      </c>
    </row>
    <row r="29" spans="1:3" x14ac:dyDescent="0.25">
      <c r="A29" t="s">
        <v>102</v>
      </c>
      <c r="B29">
        <f>(B28-0.5)/3</f>
        <v>3.3333333333333326E-2</v>
      </c>
    </row>
    <row r="30" spans="1:3" x14ac:dyDescent="0.25">
      <c r="A30" t="s">
        <v>103</v>
      </c>
      <c r="B30">
        <f>(B29/B27)*B21^2</f>
        <v>1.6666666666666665E-13</v>
      </c>
      <c r="C30" t="s">
        <v>104</v>
      </c>
    </row>
    <row r="32" spans="1:3" x14ac:dyDescent="0.25">
      <c r="A32" t="s">
        <v>105</v>
      </c>
      <c r="B32">
        <f>B21/B30</f>
        <v>12000.000000000002</v>
      </c>
      <c r="C32" t="s">
        <v>106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7FEE-4DC5-4E3E-AC2E-D70AB5518C2F}">
  <dimension ref="A1:L32"/>
  <sheetViews>
    <sheetView workbookViewId="0">
      <selection activeCell="E14" sqref="E14"/>
    </sheetView>
  </sheetViews>
  <sheetFormatPr defaultRowHeight="15" x14ac:dyDescent="0.25"/>
  <cols>
    <col min="1" max="1" width="13.85546875" bestFit="1" customWidth="1"/>
    <col min="2" max="2" width="18.85546875" bestFit="1" customWidth="1"/>
    <col min="3" max="3" width="10" bestFit="1" customWidth="1"/>
    <col min="4" max="4" width="16.42578125" bestFit="1" customWidth="1"/>
    <col min="5" max="5" width="16.42578125" customWidth="1"/>
    <col min="7" max="7" width="12" bestFit="1" customWidth="1"/>
    <col min="9" max="9" width="11" bestFit="1" customWidth="1"/>
    <col min="10" max="10" width="11" customWidth="1"/>
    <col min="11" max="11" width="16.42578125" bestFit="1" customWidth="1"/>
    <col min="12" max="12" width="19.140625" bestFit="1" customWidth="1"/>
  </cols>
  <sheetData>
    <row r="1" spans="1:12" x14ac:dyDescent="0.25">
      <c r="A1" t="s">
        <v>27</v>
      </c>
      <c r="B1" t="s">
        <v>28</v>
      </c>
      <c r="C1" t="s">
        <v>28</v>
      </c>
      <c r="D1" t="s">
        <v>32</v>
      </c>
      <c r="E1" t="s">
        <v>47</v>
      </c>
      <c r="F1" t="s">
        <v>29</v>
      </c>
      <c r="G1" t="s">
        <v>29</v>
      </c>
      <c r="H1" t="s">
        <v>30</v>
      </c>
      <c r="I1" s="50" t="s">
        <v>28</v>
      </c>
      <c r="J1" s="51" t="s">
        <v>29</v>
      </c>
      <c r="K1" t="s">
        <v>40</v>
      </c>
      <c r="L1" t="s">
        <v>41</v>
      </c>
    </row>
    <row r="2" spans="1:12" x14ac:dyDescent="0.25">
      <c r="A2" s="48"/>
      <c r="B2" s="48" t="s">
        <v>31</v>
      </c>
      <c r="C2" s="48" t="s">
        <v>38</v>
      </c>
      <c r="D2" s="48"/>
      <c r="E2" s="48"/>
      <c r="F2" s="48" t="s">
        <v>31</v>
      </c>
      <c r="G2" s="48" t="s">
        <v>38</v>
      </c>
      <c r="H2" s="49" t="s">
        <v>39</v>
      </c>
      <c r="I2" s="52" t="s">
        <v>32</v>
      </c>
      <c r="J2" s="53" t="s">
        <v>32</v>
      </c>
    </row>
    <row r="3" spans="1:12" x14ac:dyDescent="0.25">
      <c r="A3" t="s">
        <v>33</v>
      </c>
      <c r="B3">
        <v>100</v>
      </c>
      <c r="C3">
        <f>B3*10^-9</f>
        <v>1.0000000000000001E-7</v>
      </c>
      <c r="D3">
        <v>50</v>
      </c>
      <c r="E3">
        <f>C3/G3</f>
        <v>50</v>
      </c>
      <c r="F3">
        <v>2</v>
      </c>
      <c r="G3">
        <f>F3*10^-9</f>
        <v>2.0000000000000001E-9</v>
      </c>
      <c r="H3" s="41">
        <v>1.0000000000000001E-9</v>
      </c>
      <c r="I3" s="54">
        <f>C3/H3</f>
        <v>100</v>
      </c>
      <c r="J3" s="56">
        <f>G3/H3</f>
        <v>2</v>
      </c>
      <c r="K3">
        <f>I3/10</f>
        <v>10</v>
      </c>
      <c r="L3">
        <v>2</v>
      </c>
    </row>
    <row r="4" spans="1:12" x14ac:dyDescent="0.25">
      <c r="A4" t="s">
        <v>34</v>
      </c>
      <c r="B4">
        <v>1500</v>
      </c>
      <c r="C4">
        <f>B4*10^-9</f>
        <v>1.5E-6</v>
      </c>
      <c r="D4">
        <v>1000</v>
      </c>
      <c r="E4">
        <v>20</v>
      </c>
      <c r="F4">
        <v>50</v>
      </c>
      <c r="G4">
        <f>F4*10^-9</f>
        <v>5.0000000000000004E-8</v>
      </c>
      <c r="H4" s="41">
        <v>1.0000000000000001E-9</v>
      </c>
      <c r="I4" s="54">
        <f>C4/H4</f>
        <v>1500</v>
      </c>
      <c r="J4" s="56">
        <f>G4/H4</f>
        <v>50</v>
      </c>
      <c r="K4">
        <f>I4/10</f>
        <v>150</v>
      </c>
      <c r="L4">
        <v>6</v>
      </c>
    </row>
    <row r="5" spans="1:12" x14ac:dyDescent="0.25">
      <c r="A5" t="s">
        <v>35</v>
      </c>
      <c r="B5">
        <v>3000</v>
      </c>
      <c r="C5">
        <f>B5*10^-9</f>
        <v>3.0000000000000001E-6</v>
      </c>
      <c r="D5">
        <v>1500</v>
      </c>
      <c r="E5">
        <f>C5/G5</f>
        <v>19.999999999999996</v>
      </c>
      <c r="F5">
        <v>150</v>
      </c>
      <c r="G5">
        <f>F5*10^-9</f>
        <v>1.5000000000000002E-7</v>
      </c>
      <c r="H5" s="41">
        <v>1.0000000000000001E-9</v>
      </c>
      <c r="I5" s="54">
        <f>C5/H5</f>
        <v>3000</v>
      </c>
      <c r="J5" s="56">
        <f>G5/H5</f>
        <v>150</v>
      </c>
      <c r="K5">
        <f>I5/10</f>
        <v>300</v>
      </c>
      <c r="L5">
        <v>15</v>
      </c>
    </row>
    <row r="6" spans="1:12" s="48" customFormat="1" ht="15.75" thickBot="1" x14ac:dyDescent="0.3">
      <c r="A6" s="48" t="s">
        <v>36</v>
      </c>
      <c r="B6" s="48">
        <v>1500</v>
      </c>
      <c r="C6">
        <f>B6*10^-9</f>
        <v>1.5E-6</v>
      </c>
      <c r="D6">
        <v>850</v>
      </c>
      <c r="E6">
        <v>25</v>
      </c>
      <c r="F6" s="48">
        <v>45</v>
      </c>
      <c r="G6">
        <f>F6*10^-9</f>
        <v>4.5000000000000006E-8</v>
      </c>
      <c r="H6" s="41">
        <v>1.0000000000000001E-9</v>
      </c>
      <c r="I6" s="55">
        <f>C6/H6</f>
        <v>1500</v>
      </c>
      <c r="J6" s="57">
        <f>G6/H6</f>
        <v>45</v>
      </c>
      <c r="K6">
        <v>250</v>
      </c>
      <c r="L6" s="48">
        <v>10</v>
      </c>
    </row>
    <row r="7" spans="1:12" x14ac:dyDescent="0.25">
      <c r="A7" s="49" t="s">
        <v>37</v>
      </c>
      <c r="F7" s="49"/>
      <c r="G7">
        <f>F7*10^-9</f>
        <v>0</v>
      </c>
      <c r="J7" t="e">
        <f>G7/H7</f>
        <v>#DIV/0!</v>
      </c>
    </row>
    <row r="8" spans="1:12" ht="15.75" thickBot="1" x14ac:dyDescent="0.3"/>
    <row r="9" spans="1:12" x14ac:dyDescent="0.25">
      <c r="H9" s="50" t="s">
        <v>30</v>
      </c>
      <c r="I9" s="70">
        <v>2.0000000000000001E-9</v>
      </c>
      <c r="J9" s="51"/>
    </row>
    <row r="10" spans="1:12" x14ac:dyDescent="0.25">
      <c r="H10" s="71" t="s">
        <v>33</v>
      </c>
      <c r="I10" s="1">
        <v>50</v>
      </c>
      <c r="J10" s="56">
        <v>1</v>
      </c>
    </row>
    <row r="11" spans="1:12" x14ac:dyDescent="0.25">
      <c r="H11" s="71" t="s">
        <v>34</v>
      </c>
      <c r="I11" s="1">
        <v>750</v>
      </c>
      <c r="J11" s="56">
        <v>19</v>
      </c>
    </row>
    <row r="12" spans="1:12" x14ac:dyDescent="0.25">
      <c r="B12" t="s">
        <v>45</v>
      </c>
      <c r="C12">
        <v>25</v>
      </c>
      <c r="D12" t="s">
        <v>46</v>
      </c>
      <c r="H12" s="71" t="s">
        <v>35</v>
      </c>
      <c r="I12" s="1">
        <v>1500</v>
      </c>
      <c r="J12" s="56">
        <v>75</v>
      </c>
    </row>
    <row r="13" spans="1:12" ht="15.75" thickBot="1" x14ac:dyDescent="0.3">
      <c r="H13" s="72" t="s">
        <v>36</v>
      </c>
      <c r="I13" s="73">
        <v>750</v>
      </c>
      <c r="J13" s="57">
        <v>30</v>
      </c>
    </row>
    <row r="14" spans="1:12" x14ac:dyDescent="0.25">
      <c r="H14" s="74"/>
      <c r="I14" s="70"/>
      <c r="J14" s="51"/>
    </row>
    <row r="15" spans="1:12" x14ac:dyDescent="0.25">
      <c r="H15" s="71"/>
      <c r="I15" s="1"/>
      <c r="J15" s="56"/>
    </row>
    <row r="16" spans="1:12" x14ac:dyDescent="0.25">
      <c r="H16" s="71"/>
      <c r="I16" s="1"/>
      <c r="J16" s="56"/>
    </row>
    <row r="17" spans="1:10" x14ac:dyDescent="0.25">
      <c r="H17" s="71"/>
      <c r="I17" s="1"/>
      <c r="J17" s="56"/>
    </row>
    <row r="18" spans="1:10" ht="15.75" thickBot="1" x14ac:dyDescent="0.3">
      <c r="H18" s="72"/>
      <c r="I18" s="73"/>
      <c r="J18" s="57"/>
    </row>
    <row r="19" spans="1:10" x14ac:dyDescent="0.25">
      <c r="A19" t="s">
        <v>49</v>
      </c>
      <c r="B19" s="41">
        <v>2.0000000000000001E-9</v>
      </c>
      <c r="C19" t="s">
        <v>38</v>
      </c>
    </row>
    <row r="20" spans="1:10" x14ac:dyDescent="0.25">
      <c r="A20" t="s">
        <v>90</v>
      </c>
      <c r="B20">
        <v>1</v>
      </c>
      <c r="C20" t="s">
        <v>91</v>
      </c>
    </row>
    <row r="21" spans="1:10" x14ac:dyDescent="0.25">
      <c r="A21" t="s">
        <v>92</v>
      </c>
      <c r="B21" s="41">
        <f>B19/B20</f>
        <v>2.0000000000000001E-9</v>
      </c>
      <c r="C21" t="s">
        <v>38</v>
      </c>
    </row>
    <row r="23" spans="1:10" x14ac:dyDescent="0.25">
      <c r="A23" t="s">
        <v>93</v>
      </c>
      <c r="B23">
        <v>1000</v>
      </c>
      <c r="C23" t="s">
        <v>94</v>
      </c>
    </row>
    <row r="24" spans="1:10" x14ac:dyDescent="0.25">
      <c r="A24" t="s">
        <v>95</v>
      </c>
      <c r="B24">
        <v>1</v>
      </c>
      <c r="C24" t="s">
        <v>96</v>
      </c>
    </row>
    <row r="25" spans="1:10" x14ac:dyDescent="0.25">
      <c r="A25" t="s">
        <v>97</v>
      </c>
      <c r="B25">
        <f>B23/B24</f>
        <v>1000</v>
      </c>
      <c r="C25" t="s">
        <v>98</v>
      </c>
    </row>
    <row r="27" spans="1:10" x14ac:dyDescent="0.25">
      <c r="A27" t="s">
        <v>99</v>
      </c>
      <c r="B27">
        <f>0.8 *10^-6</f>
        <v>7.9999999999999996E-7</v>
      </c>
      <c r="C27" t="s">
        <v>100</v>
      </c>
    </row>
    <row r="28" spans="1:10" x14ac:dyDescent="0.25">
      <c r="A28" t="s">
        <v>101</v>
      </c>
      <c r="B28">
        <v>0.6</v>
      </c>
    </row>
    <row r="29" spans="1:10" x14ac:dyDescent="0.25">
      <c r="A29" t="s">
        <v>102</v>
      </c>
      <c r="B29">
        <f>(B28-0.5)/3</f>
        <v>3.3333333333333326E-2</v>
      </c>
    </row>
    <row r="30" spans="1:10" x14ac:dyDescent="0.25">
      <c r="A30" t="s">
        <v>103</v>
      </c>
      <c r="B30">
        <f>(B29/B27)*B21^2</f>
        <v>1.6666666666666665E-13</v>
      </c>
      <c r="C30" t="s">
        <v>104</v>
      </c>
    </row>
    <row r="32" spans="1:10" x14ac:dyDescent="0.25">
      <c r="A32" t="s">
        <v>105</v>
      </c>
      <c r="B32">
        <f>B21/B30</f>
        <v>12000.000000000002</v>
      </c>
      <c r="C32" t="s">
        <v>106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A69D-3642-4E1D-917F-450AE90925DF}">
  <dimension ref="A1:S19"/>
  <sheetViews>
    <sheetView workbookViewId="0">
      <selection activeCell="I15" sqref="I15"/>
    </sheetView>
  </sheetViews>
  <sheetFormatPr defaultRowHeight="15" x14ac:dyDescent="0.25"/>
  <cols>
    <col min="1" max="1" width="19.140625" bestFit="1" customWidth="1"/>
    <col min="2" max="2" width="19.140625" customWidth="1"/>
    <col min="7" max="7" width="13.28515625" bestFit="1" customWidth="1"/>
    <col min="8" max="8" width="13.28515625" customWidth="1"/>
    <col min="9" max="9" width="20.85546875" bestFit="1" customWidth="1"/>
    <col min="10" max="10" width="9.5703125" bestFit="1" customWidth="1"/>
    <col min="11" max="11" width="9.5703125" customWidth="1"/>
    <col min="12" max="12" width="16.140625" bestFit="1" customWidth="1"/>
    <col min="13" max="13" width="9.5703125" style="75" customWidth="1"/>
    <col min="17" max="17" width="10" bestFit="1" customWidth="1"/>
    <col min="18" max="18" width="11" bestFit="1" customWidth="1"/>
    <col min="19" max="19" width="20" bestFit="1" customWidth="1"/>
  </cols>
  <sheetData>
    <row r="1" spans="1:19" x14ac:dyDescent="0.25">
      <c r="A1" t="s">
        <v>115</v>
      </c>
      <c r="C1" t="s">
        <v>108</v>
      </c>
      <c r="D1" t="s">
        <v>109</v>
      </c>
      <c r="E1" t="s">
        <v>110</v>
      </c>
      <c r="F1" t="s">
        <v>111</v>
      </c>
      <c r="G1" t="s">
        <v>117</v>
      </c>
      <c r="H1" t="s">
        <v>119</v>
      </c>
      <c r="I1" t="s">
        <v>120</v>
      </c>
      <c r="J1" t="s">
        <v>118</v>
      </c>
      <c r="K1" t="s">
        <v>121</v>
      </c>
      <c r="L1" t="s">
        <v>122</v>
      </c>
      <c r="M1" s="75" t="s">
        <v>42</v>
      </c>
      <c r="N1" t="s">
        <v>112</v>
      </c>
      <c r="O1" t="s">
        <v>113</v>
      </c>
      <c r="P1" t="s">
        <v>114</v>
      </c>
      <c r="Q1" t="s">
        <v>32</v>
      </c>
      <c r="R1" t="s">
        <v>123</v>
      </c>
      <c r="S1" t="s">
        <v>124</v>
      </c>
    </row>
    <row r="2" spans="1:19" x14ac:dyDescent="0.25">
      <c r="A2" t="s">
        <v>126</v>
      </c>
      <c r="B2" t="s">
        <v>127</v>
      </c>
      <c r="C2">
        <v>50</v>
      </c>
      <c r="D2">
        <v>1</v>
      </c>
      <c r="E2">
        <v>750</v>
      </c>
      <c r="F2">
        <v>19</v>
      </c>
      <c r="G2">
        <v>5</v>
      </c>
      <c r="H2">
        <v>3</v>
      </c>
      <c r="I2">
        <v>9</v>
      </c>
      <c r="J2">
        <f>H2+I2</f>
        <v>12</v>
      </c>
      <c r="K2">
        <v>0</v>
      </c>
      <c r="L2">
        <v>0.81200000000000006</v>
      </c>
      <c r="M2" s="75">
        <v>0.38</v>
      </c>
      <c r="N2">
        <v>958</v>
      </c>
      <c r="O2">
        <v>958</v>
      </c>
      <c r="P2">
        <v>41</v>
      </c>
      <c r="Q2">
        <f>N2*O2*P2</f>
        <v>37628324</v>
      </c>
      <c r="R2">
        <v>5</v>
      </c>
      <c r="S2">
        <v>0.41</v>
      </c>
    </row>
    <row r="3" spans="1:19" x14ac:dyDescent="0.25">
      <c r="K3">
        <v>1</v>
      </c>
      <c r="L3">
        <v>0.54</v>
      </c>
      <c r="M3" s="75">
        <v>0.54</v>
      </c>
      <c r="N3">
        <v>976</v>
      </c>
      <c r="O3">
        <v>976</v>
      </c>
      <c r="P3">
        <v>52</v>
      </c>
      <c r="Q3">
        <f t="shared" ref="Q3:Q8" si="0">N3*O3*P3</f>
        <v>49533952</v>
      </c>
      <c r="R3">
        <v>5</v>
      </c>
      <c r="S3">
        <v>0.57999999999999996</v>
      </c>
    </row>
    <row r="4" spans="1:19" x14ac:dyDescent="0.25">
      <c r="K4">
        <v>2</v>
      </c>
      <c r="L4">
        <v>0.69</v>
      </c>
      <c r="M4" s="75">
        <v>0.64</v>
      </c>
      <c r="Q4">
        <f t="shared" si="0"/>
        <v>0</v>
      </c>
    </row>
    <row r="5" spans="1:19" s="48" customFormat="1" x14ac:dyDescent="0.25">
      <c r="M5" s="76"/>
      <c r="Q5" s="48">
        <f t="shared" si="0"/>
        <v>0</v>
      </c>
    </row>
    <row r="6" spans="1:19" x14ac:dyDescent="0.25">
      <c r="A6" t="s">
        <v>126</v>
      </c>
      <c r="B6" t="s">
        <v>128</v>
      </c>
      <c r="C6">
        <v>50</v>
      </c>
      <c r="D6">
        <v>1</v>
      </c>
      <c r="E6">
        <v>750</v>
      </c>
      <c r="F6">
        <v>19</v>
      </c>
      <c r="G6">
        <v>10</v>
      </c>
      <c r="H6">
        <v>3</v>
      </c>
      <c r="I6">
        <v>7</v>
      </c>
      <c r="J6">
        <f>H6+I6</f>
        <v>10</v>
      </c>
      <c r="K6">
        <v>0</v>
      </c>
      <c r="L6">
        <v>0.83</v>
      </c>
      <c r="M6" s="75">
        <v>0.43</v>
      </c>
      <c r="N6">
        <v>1218</v>
      </c>
      <c r="O6">
        <v>1218</v>
      </c>
      <c r="P6">
        <v>37</v>
      </c>
      <c r="Q6">
        <f t="shared" si="0"/>
        <v>54890388</v>
      </c>
      <c r="R6">
        <v>5</v>
      </c>
      <c r="S6">
        <v>0.45</v>
      </c>
    </row>
    <row r="7" spans="1:19" x14ac:dyDescent="0.25">
      <c r="K7">
        <v>1</v>
      </c>
      <c r="L7">
        <v>0.64</v>
      </c>
      <c r="M7" s="75">
        <v>0.57999999999999996</v>
      </c>
      <c r="N7">
        <v>1125</v>
      </c>
      <c r="O7">
        <v>1125</v>
      </c>
      <c r="P7">
        <v>110</v>
      </c>
      <c r="Q7">
        <f t="shared" si="0"/>
        <v>139218750</v>
      </c>
      <c r="R7">
        <v>0</v>
      </c>
      <c r="S7" t="s">
        <v>125</v>
      </c>
    </row>
    <row r="8" spans="1:19" s="48" customFormat="1" x14ac:dyDescent="0.25">
      <c r="M8" s="76"/>
      <c r="N8" s="48">
        <v>1146</v>
      </c>
      <c r="O8" s="48">
        <v>1146</v>
      </c>
      <c r="P8" s="48">
        <v>130</v>
      </c>
      <c r="Q8" s="48">
        <f t="shared" si="0"/>
        <v>170731080</v>
      </c>
      <c r="R8" s="48">
        <v>2</v>
      </c>
      <c r="S8" s="48">
        <v>0.56000000000000005</v>
      </c>
    </row>
    <row r="9" spans="1:19" x14ac:dyDescent="0.25">
      <c r="A9" t="s">
        <v>116</v>
      </c>
      <c r="B9" t="s">
        <v>127</v>
      </c>
      <c r="C9">
        <v>50</v>
      </c>
      <c r="D9">
        <v>1</v>
      </c>
      <c r="E9">
        <v>1000</v>
      </c>
      <c r="F9">
        <v>50</v>
      </c>
      <c r="G9">
        <v>4</v>
      </c>
      <c r="H9">
        <v>3</v>
      </c>
      <c r="I9">
        <v>17</v>
      </c>
      <c r="J9">
        <f>H9+I9</f>
        <v>20</v>
      </c>
      <c r="K9">
        <v>0</v>
      </c>
      <c r="L9">
        <v>0.81100000000000005</v>
      </c>
      <c r="M9" s="75">
        <v>0.31</v>
      </c>
      <c r="N9">
        <v>1156</v>
      </c>
      <c r="O9">
        <v>1156</v>
      </c>
      <c r="P9">
        <v>88</v>
      </c>
      <c r="Q9">
        <f t="shared" ref="Q9:Q10" si="1">N9*O9*P9</f>
        <v>117597568</v>
      </c>
      <c r="R9">
        <v>5</v>
      </c>
      <c r="S9">
        <v>0.32</v>
      </c>
    </row>
    <row r="10" spans="1:19" s="48" customFormat="1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>
        <v>1</v>
      </c>
      <c r="L10" s="1">
        <v>0.39</v>
      </c>
      <c r="M10" s="77">
        <v>0.46</v>
      </c>
      <c r="N10" s="1">
        <v>1178</v>
      </c>
      <c r="O10" s="1">
        <v>1178</v>
      </c>
      <c r="P10" s="1">
        <v>107</v>
      </c>
      <c r="Q10" s="1">
        <f t="shared" si="1"/>
        <v>148482188</v>
      </c>
      <c r="R10" s="1">
        <v>0</v>
      </c>
      <c r="S10" s="1"/>
    </row>
    <row r="11" spans="1:19" x14ac:dyDescent="0.25">
      <c r="A11" s="50" t="s">
        <v>130</v>
      </c>
      <c r="B11" s="78" t="s">
        <v>129</v>
      </c>
      <c r="C11" s="78">
        <v>50</v>
      </c>
      <c r="D11" s="78">
        <v>1</v>
      </c>
      <c r="E11" s="78">
        <v>1000</v>
      </c>
      <c r="F11" s="78">
        <v>50</v>
      </c>
      <c r="G11" s="78">
        <v>3</v>
      </c>
      <c r="H11" s="78">
        <v>3</v>
      </c>
      <c r="I11" s="78">
        <v>18</v>
      </c>
      <c r="J11" s="78">
        <f>H11+I11</f>
        <v>21</v>
      </c>
      <c r="K11" s="78">
        <v>0</v>
      </c>
      <c r="L11" s="78">
        <v>0.81100000000000005</v>
      </c>
      <c r="M11" s="79">
        <v>0.28000000000000003</v>
      </c>
      <c r="N11" s="78">
        <v>1102</v>
      </c>
      <c r="O11" s="78">
        <v>1102</v>
      </c>
      <c r="P11" s="78">
        <v>90</v>
      </c>
      <c r="Q11" s="78">
        <f t="shared" ref="Q11:Q14" si="2">N11*O11*P11</f>
        <v>109296360</v>
      </c>
      <c r="R11" s="78">
        <v>5</v>
      </c>
      <c r="S11" s="51">
        <v>0.3</v>
      </c>
    </row>
    <row r="12" spans="1:19" x14ac:dyDescent="0.25">
      <c r="A12" s="71"/>
      <c r="B12" s="1"/>
      <c r="C12" s="1"/>
      <c r="D12" s="1"/>
      <c r="E12" s="1"/>
      <c r="F12" s="1"/>
      <c r="G12" s="1"/>
      <c r="H12" s="1"/>
      <c r="I12" s="1"/>
      <c r="J12" s="1"/>
      <c r="K12" s="1">
        <v>1</v>
      </c>
      <c r="L12" s="1">
        <v>0.36</v>
      </c>
      <c r="M12" s="77">
        <v>0.44</v>
      </c>
      <c r="N12" s="1">
        <v>1123</v>
      </c>
      <c r="O12" s="1">
        <v>1123</v>
      </c>
      <c r="P12" s="1">
        <v>110</v>
      </c>
      <c r="Q12" s="1">
        <f t="shared" si="2"/>
        <v>138724190</v>
      </c>
      <c r="R12" s="1">
        <v>5</v>
      </c>
      <c r="S12" s="56">
        <v>0.46</v>
      </c>
    </row>
    <row r="13" spans="1:19" s="48" customFormat="1" x14ac:dyDescent="0.25">
      <c r="A13" s="80"/>
      <c r="K13" s="48">
        <v>2</v>
      </c>
      <c r="L13" s="48">
        <v>0.53</v>
      </c>
      <c r="M13" s="76">
        <v>0.54</v>
      </c>
      <c r="N13" s="48">
        <v>1114</v>
      </c>
      <c r="O13" s="48">
        <v>1114</v>
      </c>
      <c r="P13" s="48">
        <v>130</v>
      </c>
      <c r="Q13" s="48">
        <f t="shared" si="2"/>
        <v>161329480</v>
      </c>
      <c r="R13" s="48">
        <v>10</v>
      </c>
      <c r="S13" s="81">
        <v>0.56999999999999995</v>
      </c>
    </row>
    <row r="14" spans="1:19" x14ac:dyDescent="0.25">
      <c r="A14" s="83" t="s">
        <v>130</v>
      </c>
      <c r="B14" s="84" t="s">
        <v>127</v>
      </c>
      <c r="C14" s="84">
        <v>50</v>
      </c>
      <c r="D14" s="84">
        <v>1</v>
      </c>
      <c r="E14" s="84">
        <v>1000</v>
      </c>
      <c r="F14" s="1">
        <v>50</v>
      </c>
      <c r="G14" s="1">
        <v>6</v>
      </c>
      <c r="H14" s="1">
        <v>3</v>
      </c>
      <c r="I14" s="1">
        <v>15</v>
      </c>
      <c r="J14" s="1">
        <f>H14+I14</f>
        <v>18</v>
      </c>
      <c r="K14" s="1">
        <v>0</v>
      </c>
      <c r="L14" s="49">
        <v>0.80400000000000005</v>
      </c>
      <c r="M14" s="77">
        <v>0.32</v>
      </c>
      <c r="N14" s="49">
        <v>1255</v>
      </c>
      <c r="O14" s="49">
        <v>1255</v>
      </c>
      <c r="P14" s="49">
        <v>84</v>
      </c>
      <c r="Q14" s="49">
        <f t="shared" si="2"/>
        <v>132302100</v>
      </c>
      <c r="R14" s="49">
        <v>0</v>
      </c>
      <c r="S14" s="56"/>
    </row>
    <row r="15" spans="1:19" x14ac:dyDescent="0.25">
      <c r="A15" s="71"/>
      <c r="B15" s="1"/>
      <c r="C15" s="1"/>
      <c r="D15" s="1"/>
      <c r="E15" s="1"/>
      <c r="F15" s="1"/>
      <c r="G15" s="1"/>
      <c r="H15" s="1"/>
      <c r="I15" s="1"/>
      <c r="J15" s="1"/>
      <c r="K15" s="1">
        <v>1</v>
      </c>
      <c r="L15" s="49">
        <v>0.42699999999999999</v>
      </c>
      <c r="M15" s="77">
        <v>0.48</v>
      </c>
      <c r="N15" s="1"/>
      <c r="O15" s="1"/>
      <c r="P15" s="1"/>
      <c r="Q15" s="1"/>
      <c r="R15" s="49">
        <v>5</v>
      </c>
      <c r="S15" s="56"/>
    </row>
    <row r="16" spans="1:19" s="48" customFormat="1" x14ac:dyDescent="0.25">
      <c r="A16" s="80"/>
      <c r="K16" s="48">
        <v>2</v>
      </c>
      <c r="L16" s="48">
        <v>0.59199999999999997</v>
      </c>
      <c r="M16" s="76">
        <v>0.57999999999999996</v>
      </c>
      <c r="R16" s="48">
        <v>10</v>
      </c>
      <c r="S16" s="81"/>
    </row>
    <row r="17" spans="1:19" x14ac:dyDescent="0.25">
      <c r="A17" s="71" t="s">
        <v>130</v>
      </c>
      <c r="B17" s="1" t="s">
        <v>131</v>
      </c>
      <c r="C17" s="1">
        <v>50</v>
      </c>
      <c r="D17" s="1">
        <v>1</v>
      </c>
      <c r="E17" s="1">
        <v>1000</v>
      </c>
      <c r="F17" s="1">
        <v>50</v>
      </c>
      <c r="G17" s="1">
        <v>9</v>
      </c>
      <c r="H17" s="1">
        <v>3</v>
      </c>
      <c r="I17" s="49">
        <v>13</v>
      </c>
      <c r="J17" s="1">
        <f>H17+I17</f>
        <v>16</v>
      </c>
      <c r="K17" s="1">
        <v>0</v>
      </c>
      <c r="L17" s="49">
        <v>0.80500000000000005</v>
      </c>
      <c r="M17" s="77">
        <v>0.35</v>
      </c>
      <c r="N17" s="49">
        <v>1408</v>
      </c>
      <c r="O17" s="49">
        <v>1408</v>
      </c>
      <c r="P17" s="49">
        <v>80</v>
      </c>
      <c r="Q17" s="1"/>
      <c r="R17" s="1"/>
      <c r="S17" s="56"/>
    </row>
    <row r="18" spans="1:19" x14ac:dyDescent="0.25">
      <c r="A18" s="7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77"/>
      <c r="N18" s="1"/>
      <c r="O18" s="1"/>
      <c r="P18" s="1"/>
      <c r="Q18" s="1"/>
      <c r="R18" s="1"/>
      <c r="S18" s="56"/>
    </row>
    <row r="19" spans="1:19" ht="15.75" thickBot="1" x14ac:dyDescent="0.3">
      <c r="A19" s="72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82"/>
      <c r="N19" s="73"/>
      <c r="O19" s="73"/>
      <c r="P19" s="73"/>
      <c r="Q19" s="73"/>
      <c r="R19" s="73"/>
      <c r="S19" s="5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D928-2189-4598-86E7-CC083DDA3B16}">
  <dimension ref="A1:AX11"/>
  <sheetViews>
    <sheetView topLeftCell="K1" zoomScale="115" zoomScaleNormal="115" workbookViewId="0">
      <selection activeCell="P16" sqref="P16"/>
    </sheetView>
  </sheetViews>
  <sheetFormatPr defaultRowHeight="15" x14ac:dyDescent="0.25"/>
  <cols>
    <col min="1" max="1" width="7.28515625" style="65" bestFit="1" customWidth="1"/>
    <col min="2" max="2" width="16.42578125" bestFit="1" customWidth="1"/>
    <col min="3" max="3" width="14.140625" style="65" bestFit="1" customWidth="1"/>
    <col min="4" max="4" width="16.28515625" bestFit="1" customWidth="1"/>
    <col min="5" max="5" width="12.42578125" bestFit="1" customWidth="1"/>
    <col min="6" max="6" width="15.85546875" bestFit="1" customWidth="1"/>
    <col min="7" max="7" width="16.42578125" style="65" bestFit="1" customWidth="1"/>
    <col min="8" max="8" width="28.5703125" customWidth="1"/>
    <col min="9" max="9" width="25.28515625" bestFit="1" customWidth="1"/>
    <col min="10" max="10" width="9.85546875" style="65" customWidth="1"/>
    <col min="11" max="11" width="15.42578125" bestFit="1" customWidth="1"/>
    <col min="12" max="12" width="8.28515625" style="65" bestFit="1" customWidth="1"/>
    <col min="13" max="13" width="11.85546875" bestFit="1" customWidth="1"/>
    <col min="14" max="15" width="11.85546875" customWidth="1"/>
    <col min="16" max="16" width="22.7109375" bestFit="1" customWidth="1"/>
    <col min="17" max="17" width="28.5703125" style="65" bestFit="1" customWidth="1"/>
    <col min="18" max="18" width="28.5703125" style="66" customWidth="1"/>
    <col min="19" max="19" width="8.42578125" customWidth="1"/>
    <col min="20" max="20" width="6.140625" customWidth="1"/>
    <col min="21" max="21" width="8.140625" customWidth="1"/>
    <col min="22" max="22" width="27.7109375" bestFit="1" customWidth="1"/>
    <col min="23" max="23" width="9" bestFit="1" customWidth="1"/>
    <col min="24" max="24" width="13.85546875" bestFit="1" customWidth="1"/>
    <col min="25" max="25" width="19.28515625" bestFit="1" customWidth="1"/>
    <col min="26" max="26" width="17.42578125" bestFit="1" customWidth="1"/>
    <col min="27" max="27" width="14.42578125" bestFit="1" customWidth="1"/>
    <col min="28" max="28" width="12.42578125" style="65" bestFit="1" customWidth="1"/>
    <col min="29" max="29" width="14.5703125" bestFit="1" customWidth="1"/>
    <col min="30" max="30" width="14.5703125" style="65" bestFit="1" customWidth="1"/>
    <col min="31" max="31" width="12" bestFit="1" customWidth="1"/>
    <col min="32" max="32" width="17.28515625" bestFit="1" customWidth="1"/>
    <col min="33" max="33" width="12" style="65" bestFit="1" customWidth="1"/>
    <col min="34" max="34" width="11.28515625" style="66" bestFit="1" customWidth="1"/>
    <col min="35" max="35" width="12" style="66" bestFit="1" customWidth="1"/>
    <col min="36" max="36" width="30.42578125" bestFit="1" customWidth="1"/>
    <col min="37" max="37" width="19.42578125" bestFit="1" customWidth="1"/>
    <col min="38" max="38" width="24.5703125" bestFit="1" customWidth="1"/>
    <col min="39" max="39" width="19.5703125" bestFit="1" customWidth="1"/>
    <col min="40" max="40" width="24.5703125" bestFit="1" customWidth="1"/>
    <col min="41" max="41" width="19.5703125" style="65" bestFit="1" customWidth="1"/>
    <col min="42" max="42" width="27" bestFit="1" customWidth="1"/>
    <col min="43" max="43" width="30.28515625" bestFit="1" customWidth="1"/>
    <col min="44" max="44" width="30.5703125" customWidth="1"/>
    <col min="45" max="45" width="24.85546875" bestFit="1" customWidth="1"/>
    <col min="46" max="46" width="23.140625" bestFit="1" customWidth="1"/>
    <col min="47" max="47" width="24.85546875" style="65" bestFit="1" customWidth="1"/>
    <col min="48" max="48" width="37.42578125" bestFit="1" customWidth="1"/>
    <col min="49" max="49" width="33.28515625" style="65" bestFit="1" customWidth="1"/>
    <col min="50" max="50" width="11.7109375" style="66" bestFit="1" customWidth="1"/>
  </cols>
  <sheetData>
    <row r="1" spans="1:50" ht="15.75" thickBot="1" x14ac:dyDescent="0.3">
      <c r="A1" s="59" t="s">
        <v>48</v>
      </c>
      <c r="B1" s="58">
        <v>0</v>
      </c>
      <c r="C1" s="59" t="s">
        <v>89</v>
      </c>
      <c r="D1" s="61" t="s">
        <v>81</v>
      </c>
      <c r="E1" s="61" t="s">
        <v>82</v>
      </c>
      <c r="F1" s="61" t="s">
        <v>83</v>
      </c>
      <c r="G1" s="59" t="s">
        <v>84</v>
      </c>
      <c r="H1" s="59" t="s">
        <v>88</v>
      </c>
      <c r="I1" s="59" t="s">
        <v>65</v>
      </c>
      <c r="J1" s="59" t="s">
        <v>50</v>
      </c>
      <c r="K1" s="59" t="s">
        <v>56</v>
      </c>
      <c r="L1" s="59" t="s">
        <v>57</v>
      </c>
      <c r="M1" s="58" t="s">
        <v>85</v>
      </c>
      <c r="N1" s="58" t="s">
        <v>86</v>
      </c>
      <c r="O1" s="58" t="s">
        <v>87</v>
      </c>
      <c r="P1" s="58" t="s">
        <v>53</v>
      </c>
      <c r="Q1" s="59" t="s">
        <v>54</v>
      </c>
      <c r="R1" s="68" t="s">
        <v>50</v>
      </c>
      <c r="S1" s="48" t="s">
        <v>30</v>
      </c>
      <c r="T1" s="48" t="s">
        <v>71</v>
      </c>
      <c r="U1" s="48" t="s">
        <v>72</v>
      </c>
      <c r="V1" s="48" t="s">
        <v>73</v>
      </c>
      <c r="W1" s="48" t="s">
        <v>74</v>
      </c>
      <c r="X1" s="63" t="s">
        <v>75</v>
      </c>
      <c r="Y1" s="48" t="s">
        <v>76</v>
      </c>
      <c r="Z1" s="48" t="s">
        <v>77</v>
      </c>
      <c r="AA1" s="48" t="s">
        <v>78</v>
      </c>
      <c r="AB1" s="64" t="s">
        <v>79</v>
      </c>
      <c r="AC1" s="59" t="s">
        <v>107</v>
      </c>
      <c r="AD1" s="59" t="s">
        <v>55</v>
      </c>
      <c r="AE1" s="58" t="s">
        <v>50</v>
      </c>
      <c r="AF1" s="58" t="s">
        <v>51</v>
      </c>
      <c r="AG1" s="59" t="s">
        <v>52</v>
      </c>
      <c r="AH1" s="60" t="s">
        <v>64</v>
      </c>
      <c r="AI1" s="60" t="s">
        <v>57</v>
      </c>
      <c r="AJ1" s="58" t="s">
        <v>66</v>
      </c>
      <c r="AK1" s="58" t="s">
        <v>59</v>
      </c>
      <c r="AL1" s="58" t="s">
        <v>67</v>
      </c>
      <c r="AM1" s="58" t="s">
        <v>68</v>
      </c>
      <c r="AN1" s="62" t="s">
        <v>69</v>
      </c>
      <c r="AO1" s="59" t="s">
        <v>58</v>
      </c>
      <c r="AP1" s="58" t="s">
        <v>60</v>
      </c>
      <c r="AQ1" s="58" t="s">
        <v>61</v>
      </c>
      <c r="AR1" s="58" t="s">
        <v>142</v>
      </c>
      <c r="AS1" s="58" t="s">
        <v>145</v>
      </c>
      <c r="AT1" s="58" t="s">
        <v>143</v>
      </c>
      <c r="AU1" s="59" t="s">
        <v>144</v>
      </c>
      <c r="AV1" s="58" t="s">
        <v>62</v>
      </c>
      <c r="AW1" s="59" t="s">
        <v>63</v>
      </c>
      <c r="AX1" s="60" t="s">
        <v>70</v>
      </c>
    </row>
    <row r="2" spans="1:50" ht="15.75" thickBot="1" x14ac:dyDescent="0.3">
      <c r="A2" s="65" t="s">
        <v>80</v>
      </c>
      <c r="B2" s="89" t="s">
        <v>134</v>
      </c>
      <c r="C2" s="65">
        <v>15</v>
      </c>
      <c r="D2">
        <v>0.80400000000000005</v>
      </c>
      <c r="E2">
        <v>0.19500000000000001</v>
      </c>
      <c r="F2">
        <v>0</v>
      </c>
      <c r="G2" s="65">
        <v>0</v>
      </c>
      <c r="H2" s="49">
        <v>0</v>
      </c>
      <c r="I2">
        <f>H2*J2</f>
        <v>0</v>
      </c>
      <c r="J2" s="69">
        <v>2.0000000000000001E-9</v>
      </c>
      <c r="K2" t="s">
        <v>132</v>
      </c>
      <c r="L2" s="65">
        <v>0.32200000000000001</v>
      </c>
      <c r="M2">
        <v>1255</v>
      </c>
      <c r="N2">
        <v>1255</v>
      </c>
      <c r="O2">
        <v>84</v>
      </c>
      <c r="P2">
        <v>1</v>
      </c>
      <c r="Q2" s="65">
        <v>1</v>
      </c>
      <c r="R2" s="66">
        <f>J2</f>
        <v>2.0000000000000001E-9</v>
      </c>
      <c r="S2" s="49">
        <f>M2</f>
        <v>1255</v>
      </c>
      <c r="T2">
        <f>N2</f>
        <v>1255</v>
      </c>
      <c r="U2">
        <f>O2</f>
        <v>84</v>
      </c>
      <c r="V2">
        <v>1250</v>
      </c>
      <c r="W2">
        <f t="shared" ref="W2:W7" si="0">(S2-V2)/4</f>
        <v>1.25</v>
      </c>
      <c r="X2">
        <f t="shared" ref="X2:X7" si="1">W2*J2</f>
        <v>2.5000000000000001E-9</v>
      </c>
      <c r="Y2">
        <f>U2*R2</f>
        <v>1.6800000000000002E-7</v>
      </c>
      <c r="Z2">
        <f>S2*T2*R2^2</f>
        <v>6.3001000000000006E-12</v>
      </c>
      <c r="AA2">
        <f>T2*R2</f>
        <v>2.5100000000000001E-6</v>
      </c>
      <c r="AB2" s="65">
        <f>T2*S2*R2^2</f>
        <v>6.3001000000000006E-12</v>
      </c>
      <c r="AC2">
        <f>88000</f>
        <v>88000</v>
      </c>
      <c r="AD2" s="65">
        <f>(AC2*AG2^2)/(AE2^2*AF2)</f>
        <v>3.8194444444444435E-8</v>
      </c>
      <c r="AE2" s="41">
        <v>2.0000000000000001E-9</v>
      </c>
      <c r="AF2">
        <v>1000</v>
      </c>
      <c r="AG2" s="65">
        <v>4.1666666666666662E-14</v>
      </c>
      <c r="AH2" s="66">
        <v>0</v>
      </c>
      <c r="AI2" s="66">
        <f>L2</f>
        <v>0.32200000000000001</v>
      </c>
      <c r="AJ2" s="49">
        <v>9.1985799999999996E-4</v>
      </c>
      <c r="AK2" s="41">
        <v>1.6812699999999999E-11</v>
      </c>
      <c r="AL2" s="49">
        <v>5.5345100000000001E-2</v>
      </c>
      <c r="AM2" s="41">
        <v>1.0115700000000001E-9</v>
      </c>
      <c r="AN2" s="49">
        <v>7.71924E-4</v>
      </c>
      <c r="AO2" s="69">
        <v>2.1316299999999999E-10</v>
      </c>
      <c r="AP2" s="41">
        <f>AN2*AE2^2</f>
        <v>3.0876960000000003E-21</v>
      </c>
      <c r="AQ2">
        <f>LOG10(AP2)</f>
        <v>-20.510365464819976</v>
      </c>
      <c r="AR2" s="41">
        <f>AJ2*AE2^2</f>
        <v>3.6794320000000003E-21</v>
      </c>
      <c r="AS2">
        <f>LOG10(AR2)</f>
        <v>-20.43421921890933</v>
      </c>
      <c r="AT2" s="41">
        <f>AL2*AE2^2</f>
        <v>2.2138040000000004E-19</v>
      </c>
      <c r="AU2" s="65">
        <f>LOG10(AT2)</f>
        <v>-18.654860832186511</v>
      </c>
      <c r="AV2" s="41">
        <f>SQRT(2*AM2^2+AO2^2)/AO2</f>
        <v>6.7852770229303925</v>
      </c>
      <c r="AW2" s="69">
        <f>SQRT(2*AM2^2+AO2^2)/AM2</f>
        <v>1.429826908705192</v>
      </c>
      <c r="AX2" s="67">
        <f>AL2/AN2</f>
        <v>71.697602354635947</v>
      </c>
    </row>
    <row r="3" spans="1:50" ht="15.75" thickBot="1" x14ac:dyDescent="0.3">
      <c r="B3" s="89" t="s">
        <v>135</v>
      </c>
      <c r="C3" s="65">
        <v>15</v>
      </c>
      <c r="D3">
        <v>0.42699999999999999</v>
      </c>
      <c r="E3">
        <v>0.57199999999999995</v>
      </c>
      <c r="F3">
        <v>0</v>
      </c>
      <c r="G3" s="65">
        <v>0</v>
      </c>
      <c r="H3" s="49">
        <v>1</v>
      </c>
      <c r="I3" s="41">
        <f>H3*J3</f>
        <v>2.0000000000000001E-9</v>
      </c>
      <c r="J3" s="69">
        <v>2.0000000000000001E-9</v>
      </c>
      <c r="K3" t="s">
        <v>133</v>
      </c>
      <c r="L3" s="65">
        <v>0.48099999999999998</v>
      </c>
      <c r="M3" s="49">
        <v>1279</v>
      </c>
      <c r="N3" s="49">
        <v>1279</v>
      </c>
      <c r="O3" s="49">
        <v>101</v>
      </c>
      <c r="P3">
        <v>1</v>
      </c>
      <c r="Q3" s="65">
        <v>1</v>
      </c>
      <c r="R3" s="66">
        <f>J3</f>
        <v>2.0000000000000001E-9</v>
      </c>
      <c r="S3" s="49">
        <f t="shared" ref="S3:S4" si="2">M3</f>
        <v>1279</v>
      </c>
      <c r="T3">
        <f t="shared" ref="T3:T4" si="3">N3</f>
        <v>1279</v>
      </c>
      <c r="U3">
        <f t="shared" ref="U3:U4" si="4">O3</f>
        <v>101</v>
      </c>
      <c r="V3">
        <v>1250</v>
      </c>
      <c r="W3">
        <f t="shared" si="0"/>
        <v>7.25</v>
      </c>
      <c r="X3">
        <f t="shared" si="1"/>
        <v>1.4500000000000001E-8</v>
      </c>
      <c r="Y3">
        <f t="shared" ref="Y3:Y10" si="5">U3*R3</f>
        <v>2.0200000000000001E-7</v>
      </c>
      <c r="Z3">
        <f t="shared" ref="Z3:Z10" si="6">S3*T3*R3^2</f>
        <v>6.5433640000000008E-12</v>
      </c>
      <c r="AA3">
        <f t="shared" ref="AA3:AA10" si="7">T3*R3</f>
        <v>2.5580000000000003E-6</v>
      </c>
      <c r="AB3" s="65">
        <f t="shared" ref="AB3:AB10" si="8">T3*S3*R3^2</f>
        <v>6.5433640000000008E-12</v>
      </c>
      <c r="AC3">
        <f t="shared" ref="AC3:AC10" si="9">88000</f>
        <v>88000</v>
      </c>
      <c r="AD3" s="65">
        <f t="shared" ref="AD3:AD10" si="10">(AC3*AG3^2)/(AE3^2*AF3)</f>
        <v>3.8194444444444435E-8</v>
      </c>
      <c r="AE3" s="41">
        <v>2.0000000000000001E-9</v>
      </c>
      <c r="AF3">
        <v>1000</v>
      </c>
      <c r="AG3" s="65">
        <v>4.1666666666666662E-14</v>
      </c>
      <c r="AH3" s="66">
        <v>3</v>
      </c>
      <c r="AI3" s="66">
        <v>0.497</v>
      </c>
      <c r="AJ3" s="91">
        <v>0.21423</v>
      </c>
      <c r="AK3" s="93">
        <v>3.84205E-9</v>
      </c>
      <c r="AL3" s="91">
        <v>0.214508</v>
      </c>
      <c r="AM3" s="93">
        <v>3.84704E-9</v>
      </c>
      <c r="AN3" s="91">
        <v>2.1579299999999999E-2</v>
      </c>
      <c r="AO3" s="94">
        <v>4.9459699999999996E-9</v>
      </c>
      <c r="AP3" s="41">
        <f t="shared" ref="AP3:AP10" si="11">AN3*AE3^2</f>
        <v>8.6317200000000003E-20</v>
      </c>
      <c r="AQ3">
        <f t="shared" ref="AQ3:AQ10" si="12">LOG10(AP3)</f>
        <v>-19.063902655955729</v>
      </c>
      <c r="AR3" s="41">
        <f t="shared" ref="AR3:AR10" si="13">AJ3*AE3^2</f>
        <v>8.569200000000001E-19</v>
      </c>
      <c r="AS3">
        <f t="shared" ref="AS3:AS10" si="14">LOG10(AR3)</f>
        <v>-18.067059720877605</v>
      </c>
      <c r="AT3" s="41">
        <f t="shared" ref="AT3:AT10" si="15">AL3*AE3^2</f>
        <v>8.5803200000000005E-19</v>
      </c>
      <c r="AU3" s="65">
        <f t="shared" ref="AU3:AU10" si="16">LOG10(AT3)</f>
        <v>-18.066496514990142</v>
      </c>
      <c r="AV3" s="41">
        <f t="shared" ref="AV3:AV10" si="17">SQRT(2*AM3^2+AO3^2)/AO3</f>
        <v>1.4866022583860943</v>
      </c>
      <c r="AW3" s="69">
        <f t="shared" ref="AW3:AW10" si="18">SQRT(2*AM3^2+AO3^2)/AM3</f>
        <v>1.9112590906020916</v>
      </c>
      <c r="AX3" s="67">
        <f t="shared" ref="AX3:AX10" si="19">AL3/AN3</f>
        <v>9.9404521926105112</v>
      </c>
    </row>
    <row r="4" spans="1:50" ht="15.75" thickBot="1" x14ac:dyDescent="0.3">
      <c r="B4" s="89" t="s">
        <v>136</v>
      </c>
      <c r="C4" s="65">
        <v>15</v>
      </c>
      <c r="D4">
        <v>0.59199999999999997</v>
      </c>
      <c r="E4">
        <v>0.40699999999999997</v>
      </c>
      <c r="F4">
        <v>0</v>
      </c>
      <c r="G4" s="65">
        <v>0</v>
      </c>
      <c r="H4" s="49">
        <v>2</v>
      </c>
      <c r="I4" s="41">
        <f t="shared" ref="I4:I10" si="20">H4*J4</f>
        <v>4.0000000000000002E-9</v>
      </c>
      <c r="J4" s="69">
        <v>2.0000000000000001E-9</v>
      </c>
      <c r="K4" t="s">
        <v>137</v>
      </c>
      <c r="L4" s="65">
        <v>0.58099999999999996</v>
      </c>
      <c r="M4" s="49">
        <v>1303</v>
      </c>
      <c r="N4" s="49">
        <v>1303</v>
      </c>
      <c r="O4" s="49">
        <v>118</v>
      </c>
      <c r="P4" s="49">
        <v>1</v>
      </c>
      <c r="Q4" s="65">
        <v>1</v>
      </c>
      <c r="R4" s="66">
        <f t="shared" ref="R4:R10" si="21">J4</f>
        <v>2.0000000000000001E-9</v>
      </c>
      <c r="S4" s="49">
        <f t="shared" si="2"/>
        <v>1303</v>
      </c>
      <c r="T4">
        <f t="shared" si="3"/>
        <v>1303</v>
      </c>
      <c r="U4">
        <f t="shared" si="4"/>
        <v>118</v>
      </c>
      <c r="V4">
        <v>1250</v>
      </c>
      <c r="W4">
        <f t="shared" si="0"/>
        <v>13.25</v>
      </c>
      <c r="X4">
        <f t="shared" si="1"/>
        <v>2.6500000000000002E-8</v>
      </c>
      <c r="Y4">
        <f t="shared" si="5"/>
        <v>2.3600000000000002E-7</v>
      </c>
      <c r="Z4">
        <f t="shared" si="6"/>
        <v>6.7912360000000002E-12</v>
      </c>
      <c r="AA4">
        <f t="shared" si="7"/>
        <v>2.6060000000000001E-6</v>
      </c>
      <c r="AB4" s="65">
        <f t="shared" si="8"/>
        <v>6.7912360000000002E-12</v>
      </c>
      <c r="AC4">
        <f t="shared" si="9"/>
        <v>88000</v>
      </c>
      <c r="AD4" s="65">
        <f t="shared" si="10"/>
        <v>3.8194444444444435E-8</v>
      </c>
      <c r="AE4" s="41">
        <v>2.0000000000000001E-9</v>
      </c>
      <c r="AF4">
        <v>1000</v>
      </c>
      <c r="AG4" s="65">
        <v>4.1666666666666662E-14</v>
      </c>
      <c r="AH4" s="66">
        <v>6</v>
      </c>
      <c r="AI4" s="66">
        <v>0.60199999999999998</v>
      </c>
      <c r="AJ4" s="89"/>
      <c r="AK4" s="89"/>
      <c r="AL4" s="96"/>
      <c r="AM4" s="96"/>
      <c r="AN4" s="89"/>
      <c r="AO4" s="90"/>
      <c r="AP4" s="41">
        <f t="shared" si="11"/>
        <v>0</v>
      </c>
      <c r="AQ4" t="e">
        <f t="shared" si="12"/>
        <v>#NUM!</v>
      </c>
      <c r="AR4" s="41">
        <f t="shared" si="13"/>
        <v>0</v>
      </c>
      <c r="AS4" t="e">
        <f t="shared" si="14"/>
        <v>#NUM!</v>
      </c>
      <c r="AT4" s="41">
        <f t="shared" si="15"/>
        <v>0</v>
      </c>
      <c r="AU4" s="65" t="e">
        <f t="shared" si="16"/>
        <v>#NUM!</v>
      </c>
      <c r="AV4" s="41" t="e">
        <f t="shared" si="17"/>
        <v>#DIV/0!</v>
      </c>
      <c r="AW4" s="69" t="e">
        <f t="shared" si="18"/>
        <v>#DIV/0!</v>
      </c>
      <c r="AX4" s="67" t="e">
        <f t="shared" si="19"/>
        <v>#DIV/0!</v>
      </c>
    </row>
    <row r="5" spans="1:50" ht="15.75" thickBot="1" x14ac:dyDescent="0.3">
      <c r="B5" s="89" t="s">
        <v>138</v>
      </c>
      <c r="C5" s="65">
        <v>15</v>
      </c>
      <c r="D5">
        <v>0.81200000000000006</v>
      </c>
      <c r="E5">
        <v>0.187</v>
      </c>
      <c r="F5">
        <v>0</v>
      </c>
      <c r="G5" s="65">
        <v>0</v>
      </c>
      <c r="H5" s="49">
        <v>3</v>
      </c>
      <c r="I5" s="41">
        <f t="shared" si="20"/>
        <v>6.0000000000000008E-9</v>
      </c>
      <c r="J5" s="69">
        <v>2.0000000000000001E-9</v>
      </c>
      <c r="K5" s="49" t="s">
        <v>139</v>
      </c>
      <c r="L5" s="65">
        <v>0.65300000000000002</v>
      </c>
      <c r="M5" s="49">
        <v>1327</v>
      </c>
      <c r="N5" s="49">
        <v>1327</v>
      </c>
      <c r="O5" s="49">
        <v>135</v>
      </c>
      <c r="P5" s="49">
        <v>1</v>
      </c>
      <c r="Q5" s="65">
        <v>1</v>
      </c>
      <c r="R5" s="66">
        <f t="shared" si="21"/>
        <v>2.0000000000000001E-9</v>
      </c>
      <c r="S5" s="49">
        <f t="shared" ref="S5:S10" si="22">M5</f>
        <v>1327</v>
      </c>
      <c r="T5">
        <f t="shared" ref="T5:T10" si="23">N5</f>
        <v>1327</v>
      </c>
      <c r="U5">
        <f t="shared" ref="U5:U10" si="24">O5</f>
        <v>135</v>
      </c>
      <c r="V5">
        <v>1250</v>
      </c>
      <c r="W5">
        <f t="shared" si="0"/>
        <v>19.25</v>
      </c>
      <c r="X5">
        <f t="shared" si="1"/>
        <v>3.8500000000000001E-8</v>
      </c>
      <c r="Y5">
        <f t="shared" si="5"/>
        <v>2.7000000000000001E-7</v>
      </c>
      <c r="Z5">
        <f t="shared" si="6"/>
        <v>7.0437160000000003E-12</v>
      </c>
      <c r="AA5">
        <f t="shared" si="7"/>
        <v>2.6540000000000003E-6</v>
      </c>
      <c r="AB5" s="65">
        <f t="shared" si="8"/>
        <v>7.0437160000000003E-12</v>
      </c>
      <c r="AC5">
        <f t="shared" si="9"/>
        <v>88000</v>
      </c>
      <c r="AD5" s="65">
        <f t="shared" si="10"/>
        <v>3.8194444444444435E-8</v>
      </c>
      <c r="AE5" s="41">
        <v>2.0000000000000001E-9</v>
      </c>
      <c r="AF5">
        <v>1000</v>
      </c>
      <c r="AG5" s="65">
        <v>4.1666666666666662E-14</v>
      </c>
      <c r="AH5" s="66">
        <v>10</v>
      </c>
      <c r="AI5" s="66">
        <v>0.67100000000000004</v>
      </c>
      <c r="AJ5" s="89"/>
      <c r="AK5" s="89"/>
      <c r="AL5" s="95"/>
      <c r="AM5" s="95"/>
      <c r="AN5" s="97"/>
      <c r="AO5" s="98"/>
      <c r="AP5" s="41">
        <f t="shared" si="11"/>
        <v>0</v>
      </c>
      <c r="AQ5" t="e">
        <f t="shared" si="12"/>
        <v>#NUM!</v>
      </c>
      <c r="AR5" s="41">
        <f t="shared" si="13"/>
        <v>0</v>
      </c>
      <c r="AS5" t="e">
        <f t="shared" si="14"/>
        <v>#NUM!</v>
      </c>
      <c r="AT5" s="41">
        <f t="shared" si="15"/>
        <v>0</v>
      </c>
      <c r="AU5" s="65" t="e">
        <f t="shared" si="16"/>
        <v>#NUM!</v>
      </c>
      <c r="AV5" s="41" t="e">
        <f t="shared" si="17"/>
        <v>#DIV/0!</v>
      </c>
      <c r="AW5" s="69" t="e">
        <f t="shared" si="18"/>
        <v>#DIV/0!</v>
      </c>
      <c r="AX5" s="67" t="e">
        <f t="shared" si="19"/>
        <v>#DIV/0!</v>
      </c>
    </row>
    <row r="6" spans="1:50" s="48" customFormat="1" ht="15.75" thickBot="1" x14ac:dyDescent="0.3">
      <c r="A6" s="64"/>
      <c r="B6" s="48" t="s">
        <v>140</v>
      </c>
      <c r="C6" s="64">
        <v>15</v>
      </c>
      <c r="D6" s="48">
        <v>0.57099999999999995</v>
      </c>
      <c r="E6" s="48">
        <v>0.42799999999999999</v>
      </c>
      <c r="F6" s="48">
        <v>0</v>
      </c>
      <c r="G6" s="64">
        <v>0</v>
      </c>
      <c r="H6" s="48">
        <v>1</v>
      </c>
      <c r="I6" s="85">
        <f t="shared" si="20"/>
        <v>2.0000000000000001E-9</v>
      </c>
      <c r="J6" s="86">
        <v>2.0000000000000001E-9</v>
      </c>
      <c r="K6" s="48" t="s">
        <v>141</v>
      </c>
      <c r="L6" s="64">
        <v>0.70399999999999996</v>
      </c>
      <c r="M6" s="48">
        <v>1351</v>
      </c>
      <c r="N6" s="48">
        <v>1351</v>
      </c>
      <c r="O6" s="48">
        <v>152</v>
      </c>
      <c r="P6" s="48">
        <v>1</v>
      </c>
      <c r="Q6" s="64">
        <v>1</v>
      </c>
      <c r="R6" s="87">
        <f t="shared" si="21"/>
        <v>2.0000000000000001E-9</v>
      </c>
      <c r="S6" s="88">
        <f t="shared" si="22"/>
        <v>1351</v>
      </c>
      <c r="T6" s="48">
        <f t="shared" si="23"/>
        <v>1351</v>
      </c>
      <c r="U6" s="48">
        <f t="shared" si="24"/>
        <v>152</v>
      </c>
      <c r="V6" s="48">
        <v>1250</v>
      </c>
      <c r="W6" s="48">
        <f t="shared" si="0"/>
        <v>25.25</v>
      </c>
      <c r="X6" s="48">
        <f t="shared" si="1"/>
        <v>5.0500000000000002E-8</v>
      </c>
      <c r="Y6" s="48">
        <f t="shared" si="5"/>
        <v>3.0400000000000002E-7</v>
      </c>
      <c r="Z6" s="48">
        <f t="shared" si="6"/>
        <v>7.3008040000000004E-12</v>
      </c>
      <c r="AA6" s="48">
        <f t="shared" si="7"/>
        <v>2.7020000000000001E-6</v>
      </c>
      <c r="AB6" s="64">
        <f t="shared" si="8"/>
        <v>7.3008040000000004E-12</v>
      </c>
      <c r="AC6" s="48">
        <f t="shared" si="9"/>
        <v>88000</v>
      </c>
      <c r="AD6" s="64">
        <f t="shared" si="10"/>
        <v>3.8194444444444435E-8</v>
      </c>
      <c r="AE6" s="41">
        <v>2.0000000000000001E-9</v>
      </c>
      <c r="AF6">
        <v>1000</v>
      </c>
      <c r="AG6" s="65">
        <v>4.1666666666666662E-14</v>
      </c>
      <c r="AH6" s="87">
        <v>15</v>
      </c>
      <c r="AI6" s="87">
        <v>0.72099999999999997</v>
      </c>
      <c r="AO6" s="64"/>
      <c r="AP6" s="41">
        <f t="shared" si="11"/>
        <v>0</v>
      </c>
      <c r="AQ6" t="e">
        <f t="shared" si="12"/>
        <v>#NUM!</v>
      </c>
      <c r="AR6" s="41">
        <f t="shared" si="13"/>
        <v>0</v>
      </c>
      <c r="AS6" t="e">
        <f t="shared" si="14"/>
        <v>#NUM!</v>
      </c>
      <c r="AT6" s="41">
        <f t="shared" si="15"/>
        <v>0</v>
      </c>
      <c r="AU6" s="65" t="e">
        <f t="shared" si="16"/>
        <v>#NUM!</v>
      </c>
      <c r="AV6" s="41" t="e">
        <f t="shared" si="17"/>
        <v>#DIV/0!</v>
      </c>
      <c r="AW6" s="69" t="e">
        <f t="shared" si="18"/>
        <v>#DIV/0!</v>
      </c>
      <c r="AX6" s="67" t="e">
        <f t="shared" si="19"/>
        <v>#DIV/0!</v>
      </c>
    </row>
    <row r="7" spans="1:50" ht="15.75" thickBot="1" x14ac:dyDescent="0.3">
      <c r="A7" s="65" t="s">
        <v>146</v>
      </c>
      <c r="B7" s="92" t="s">
        <v>148</v>
      </c>
      <c r="C7" s="65">
        <v>0</v>
      </c>
      <c r="D7" s="49">
        <v>0.30499999999999999</v>
      </c>
      <c r="E7" s="49">
        <v>0.41699999999999998</v>
      </c>
      <c r="F7" s="49">
        <v>0.27700000000000002</v>
      </c>
      <c r="G7" s="65">
        <v>0</v>
      </c>
      <c r="H7" s="49">
        <v>0</v>
      </c>
      <c r="I7" s="41">
        <f t="shared" si="20"/>
        <v>0</v>
      </c>
      <c r="J7" s="69">
        <v>2.0000000000000001E-9</v>
      </c>
      <c r="K7" s="49" t="s">
        <v>147</v>
      </c>
      <c r="L7" s="65">
        <v>0.247</v>
      </c>
      <c r="M7" s="49">
        <v>1255</v>
      </c>
      <c r="N7" s="49">
        <v>1255</v>
      </c>
      <c r="O7" s="49">
        <v>99</v>
      </c>
      <c r="P7" s="49">
        <v>1</v>
      </c>
      <c r="Q7" s="65">
        <v>1</v>
      </c>
      <c r="R7" s="66">
        <f t="shared" si="21"/>
        <v>2.0000000000000001E-9</v>
      </c>
      <c r="S7" s="49">
        <f t="shared" si="22"/>
        <v>1255</v>
      </c>
      <c r="T7">
        <f t="shared" si="23"/>
        <v>1255</v>
      </c>
      <c r="U7">
        <f t="shared" si="24"/>
        <v>99</v>
      </c>
      <c r="V7" s="49">
        <v>1250</v>
      </c>
      <c r="W7" s="49">
        <f t="shared" si="0"/>
        <v>1.25</v>
      </c>
      <c r="X7" s="49">
        <f t="shared" si="1"/>
        <v>2.5000000000000001E-9</v>
      </c>
      <c r="Y7">
        <f t="shared" si="5"/>
        <v>1.98E-7</v>
      </c>
      <c r="Z7">
        <f t="shared" si="6"/>
        <v>6.3001000000000006E-12</v>
      </c>
      <c r="AA7">
        <f t="shared" si="7"/>
        <v>2.5100000000000001E-6</v>
      </c>
      <c r="AB7" s="65">
        <f t="shared" si="8"/>
        <v>6.3001000000000006E-12</v>
      </c>
      <c r="AC7">
        <f t="shared" si="9"/>
        <v>88000</v>
      </c>
      <c r="AD7" s="65">
        <f t="shared" si="10"/>
        <v>3.8194444444444435E-8</v>
      </c>
      <c r="AE7" s="41">
        <v>2.0000000000000001E-9</v>
      </c>
      <c r="AF7">
        <v>1000</v>
      </c>
      <c r="AG7" s="65">
        <v>4.1666666666666662E-14</v>
      </c>
      <c r="AH7" s="66">
        <v>0</v>
      </c>
      <c r="AI7" s="66">
        <v>0.247</v>
      </c>
      <c r="AP7" s="41">
        <f t="shared" si="11"/>
        <v>0</v>
      </c>
      <c r="AQ7" t="e">
        <f t="shared" si="12"/>
        <v>#NUM!</v>
      </c>
      <c r="AR7" s="41">
        <f t="shared" si="13"/>
        <v>0</v>
      </c>
      <c r="AS7" t="e">
        <f t="shared" si="14"/>
        <v>#NUM!</v>
      </c>
      <c r="AT7" s="41">
        <f t="shared" si="15"/>
        <v>0</v>
      </c>
      <c r="AU7" s="65" t="e">
        <f t="shared" si="16"/>
        <v>#NUM!</v>
      </c>
      <c r="AV7" s="41" t="e">
        <f t="shared" si="17"/>
        <v>#DIV/0!</v>
      </c>
      <c r="AW7" s="69" t="e">
        <f t="shared" si="18"/>
        <v>#DIV/0!</v>
      </c>
      <c r="AX7" s="67" t="e">
        <f t="shared" si="19"/>
        <v>#DIV/0!</v>
      </c>
    </row>
    <row r="8" spans="1:50" ht="15.75" thickBot="1" x14ac:dyDescent="0.3">
      <c r="B8" s="92" t="s">
        <v>149</v>
      </c>
      <c r="C8" s="65">
        <v>0</v>
      </c>
      <c r="D8" s="49">
        <v>0.24299999999999999</v>
      </c>
      <c r="E8" s="49">
        <v>0.45400000000000001</v>
      </c>
      <c r="F8" s="49">
        <v>0.30199999999999999</v>
      </c>
      <c r="G8" s="65">
        <v>0</v>
      </c>
      <c r="H8" s="49">
        <v>1</v>
      </c>
      <c r="I8" s="41">
        <f t="shared" si="20"/>
        <v>2.0000000000000001E-9</v>
      </c>
      <c r="J8" s="69">
        <v>2.0000000000000001E-9</v>
      </c>
      <c r="K8" s="49" t="s">
        <v>150</v>
      </c>
      <c r="L8" s="65">
        <v>0.34399999999999997</v>
      </c>
      <c r="M8" s="49">
        <v>1279</v>
      </c>
      <c r="N8" s="49">
        <v>1279</v>
      </c>
      <c r="O8" s="49">
        <v>101</v>
      </c>
      <c r="P8" s="49">
        <v>1</v>
      </c>
      <c r="Q8" s="65">
        <v>1</v>
      </c>
      <c r="R8" s="66">
        <f t="shared" si="21"/>
        <v>2.0000000000000001E-9</v>
      </c>
      <c r="S8" s="49">
        <f t="shared" si="22"/>
        <v>1279</v>
      </c>
      <c r="T8">
        <f t="shared" si="23"/>
        <v>1279</v>
      </c>
      <c r="U8">
        <f t="shared" si="24"/>
        <v>101</v>
      </c>
      <c r="V8" s="49">
        <v>1250</v>
      </c>
      <c r="W8" s="49">
        <f t="shared" ref="W8:W10" si="25">(S8-V8)/4</f>
        <v>7.25</v>
      </c>
      <c r="X8" s="49">
        <f t="shared" ref="X8:X10" si="26">W8*J8</f>
        <v>1.4500000000000001E-8</v>
      </c>
      <c r="Y8">
        <f t="shared" si="5"/>
        <v>2.0200000000000001E-7</v>
      </c>
      <c r="Z8">
        <f t="shared" si="6"/>
        <v>6.5433640000000008E-12</v>
      </c>
      <c r="AA8">
        <f t="shared" si="7"/>
        <v>2.5580000000000003E-6</v>
      </c>
      <c r="AB8" s="65">
        <f t="shared" si="8"/>
        <v>6.5433640000000008E-12</v>
      </c>
      <c r="AC8">
        <f t="shared" si="9"/>
        <v>88000</v>
      </c>
      <c r="AD8" s="65">
        <f t="shared" si="10"/>
        <v>3.8194444444444435E-8</v>
      </c>
      <c r="AE8" s="41">
        <v>2.0000000000000001E-9</v>
      </c>
      <c r="AF8">
        <v>1000</v>
      </c>
      <c r="AG8" s="65">
        <v>4.1666666666666662E-14</v>
      </c>
      <c r="AH8" s="66">
        <v>3</v>
      </c>
      <c r="AI8" s="66">
        <v>0.372</v>
      </c>
      <c r="AP8" s="41">
        <f t="shared" si="11"/>
        <v>0</v>
      </c>
      <c r="AQ8" t="e">
        <f t="shared" si="12"/>
        <v>#NUM!</v>
      </c>
      <c r="AR8" s="41">
        <f t="shared" si="13"/>
        <v>0</v>
      </c>
      <c r="AS8" t="e">
        <f t="shared" si="14"/>
        <v>#NUM!</v>
      </c>
      <c r="AT8" s="41">
        <f t="shared" si="15"/>
        <v>0</v>
      </c>
      <c r="AU8" s="65" t="e">
        <f t="shared" si="16"/>
        <v>#NUM!</v>
      </c>
      <c r="AV8" s="41" t="e">
        <f t="shared" si="17"/>
        <v>#DIV/0!</v>
      </c>
      <c r="AW8" s="69" t="e">
        <f t="shared" si="18"/>
        <v>#DIV/0!</v>
      </c>
      <c r="AX8" s="67" t="e">
        <f t="shared" si="19"/>
        <v>#DIV/0!</v>
      </c>
    </row>
    <row r="9" spans="1:50" ht="15.75" thickBot="1" x14ac:dyDescent="0.3">
      <c r="B9" s="92" t="s">
        <v>151</v>
      </c>
      <c r="C9" s="65">
        <v>0</v>
      </c>
      <c r="D9" s="49">
        <v>0.36599999999999999</v>
      </c>
      <c r="E9" s="49">
        <v>0.38</v>
      </c>
      <c r="F9" s="49">
        <v>0.253</v>
      </c>
      <c r="G9" s="65">
        <v>0</v>
      </c>
      <c r="H9" s="49">
        <v>2</v>
      </c>
      <c r="I9" s="41">
        <f t="shared" si="20"/>
        <v>4.0000000000000002E-9</v>
      </c>
      <c r="J9" s="69">
        <v>2.0000000000000001E-9</v>
      </c>
      <c r="K9" s="49" t="s">
        <v>152</v>
      </c>
      <c r="L9" s="65">
        <v>0.40899999999999997</v>
      </c>
      <c r="M9" s="49">
        <v>1303</v>
      </c>
      <c r="N9" s="49">
        <v>1303</v>
      </c>
      <c r="O9" s="49">
        <v>103</v>
      </c>
      <c r="P9" s="49">
        <v>1</v>
      </c>
      <c r="Q9" s="65">
        <v>1</v>
      </c>
      <c r="R9" s="66">
        <f t="shared" si="21"/>
        <v>2.0000000000000001E-9</v>
      </c>
      <c r="S9" s="49">
        <f t="shared" si="22"/>
        <v>1303</v>
      </c>
      <c r="T9">
        <f t="shared" si="23"/>
        <v>1303</v>
      </c>
      <c r="U9">
        <f t="shared" si="24"/>
        <v>103</v>
      </c>
      <c r="V9" s="49">
        <v>1250</v>
      </c>
      <c r="W9" s="49">
        <f t="shared" si="25"/>
        <v>13.25</v>
      </c>
      <c r="X9" s="49">
        <f t="shared" si="26"/>
        <v>2.6500000000000002E-8</v>
      </c>
      <c r="Y9">
        <f t="shared" si="5"/>
        <v>2.0600000000000002E-7</v>
      </c>
      <c r="Z9">
        <f t="shared" si="6"/>
        <v>6.7912360000000002E-12</v>
      </c>
      <c r="AA9">
        <f t="shared" si="7"/>
        <v>2.6060000000000001E-6</v>
      </c>
      <c r="AB9" s="65">
        <f t="shared" si="8"/>
        <v>6.7912360000000002E-12</v>
      </c>
      <c r="AC9">
        <f t="shared" si="9"/>
        <v>88000</v>
      </c>
      <c r="AD9" s="65">
        <f t="shared" si="10"/>
        <v>3.8194444444444435E-8</v>
      </c>
      <c r="AE9" s="41">
        <v>2.0000000000000001E-9</v>
      </c>
      <c r="AF9">
        <v>1000</v>
      </c>
      <c r="AG9" s="65">
        <v>4.1666666666666662E-14</v>
      </c>
      <c r="AH9" s="66">
        <v>6</v>
      </c>
      <c r="AI9" s="66">
        <v>0.45</v>
      </c>
      <c r="AP9" s="41">
        <f t="shared" si="11"/>
        <v>0</v>
      </c>
      <c r="AQ9" t="e">
        <f t="shared" si="12"/>
        <v>#NUM!</v>
      </c>
      <c r="AR9" s="41">
        <f t="shared" si="13"/>
        <v>0</v>
      </c>
      <c r="AS9" t="e">
        <f t="shared" si="14"/>
        <v>#NUM!</v>
      </c>
      <c r="AT9" s="41">
        <f t="shared" si="15"/>
        <v>0</v>
      </c>
      <c r="AU9" s="65" t="e">
        <f t="shared" si="16"/>
        <v>#NUM!</v>
      </c>
      <c r="AV9" s="41" t="e">
        <f t="shared" si="17"/>
        <v>#DIV/0!</v>
      </c>
      <c r="AW9" s="69" t="e">
        <f t="shared" si="18"/>
        <v>#DIV/0!</v>
      </c>
      <c r="AX9" s="67" t="e">
        <f t="shared" si="19"/>
        <v>#DIV/0!</v>
      </c>
    </row>
    <row r="10" spans="1:50" x14ac:dyDescent="0.25">
      <c r="B10" s="92"/>
      <c r="I10" s="41">
        <f t="shared" si="20"/>
        <v>0</v>
      </c>
      <c r="J10" s="69">
        <v>2.0000000000000001E-9</v>
      </c>
      <c r="R10" s="66">
        <f t="shared" si="21"/>
        <v>2.0000000000000001E-9</v>
      </c>
      <c r="S10" s="49">
        <f t="shared" si="22"/>
        <v>0</v>
      </c>
      <c r="T10">
        <f t="shared" si="23"/>
        <v>0</v>
      </c>
      <c r="U10">
        <f t="shared" si="24"/>
        <v>0</v>
      </c>
      <c r="V10" s="49">
        <v>1250</v>
      </c>
      <c r="W10" s="49">
        <f t="shared" si="25"/>
        <v>-312.5</v>
      </c>
      <c r="X10" s="49">
        <f t="shared" si="26"/>
        <v>-6.2500000000000005E-7</v>
      </c>
      <c r="Y10">
        <f t="shared" si="5"/>
        <v>0</v>
      </c>
      <c r="Z10">
        <f t="shared" si="6"/>
        <v>0</v>
      </c>
      <c r="AA10">
        <f t="shared" si="7"/>
        <v>0</v>
      </c>
      <c r="AB10" s="65">
        <f t="shared" si="8"/>
        <v>0</v>
      </c>
      <c r="AC10">
        <f t="shared" si="9"/>
        <v>88000</v>
      </c>
      <c r="AD10" s="65">
        <f t="shared" si="10"/>
        <v>3.8194444444444435E-8</v>
      </c>
      <c r="AE10" s="41">
        <v>2.0000000000000001E-9</v>
      </c>
      <c r="AF10">
        <v>1000</v>
      </c>
      <c r="AG10" s="65">
        <v>4.1666666666666662E-14</v>
      </c>
      <c r="AH10" s="66">
        <v>10</v>
      </c>
      <c r="AP10" s="41">
        <f t="shared" si="11"/>
        <v>0</v>
      </c>
      <c r="AQ10" t="e">
        <f t="shared" si="12"/>
        <v>#NUM!</v>
      </c>
      <c r="AR10" s="41">
        <f t="shared" si="13"/>
        <v>0</v>
      </c>
      <c r="AS10" t="e">
        <f t="shared" si="14"/>
        <v>#NUM!</v>
      </c>
      <c r="AT10" s="41">
        <f t="shared" si="15"/>
        <v>0</v>
      </c>
      <c r="AU10" s="65" t="e">
        <f t="shared" si="16"/>
        <v>#NUM!</v>
      </c>
      <c r="AV10" s="41" t="e">
        <f t="shared" si="17"/>
        <v>#DIV/0!</v>
      </c>
      <c r="AW10" s="69" t="e">
        <f t="shared" si="18"/>
        <v>#DIV/0!</v>
      </c>
      <c r="AX10" s="67" t="e">
        <f t="shared" si="19"/>
        <v>#DIV/0!</v>
      </c>
    </row>
    <row r="11" spans="1:50" x14ac:dyDescent="0.25">
      <c r="B11" s="92"/>
      <c r="AH11" s="66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F812-9F0A-4182-A77E-0EF5F7F5A5B1}">
  <dimension ref="A1:AX17"/>
  <sheetViews>
    <sheetView topLeftCell="X1" zoomScale="115" zoomScaleNormal="115" workbookViewId="0">
      <selection activeCell="AH10" sqref="AH10"/>
    </sheetView>
  </sheetViews>
  <sheetFormatPr defaultRowHeight="15" x14ac:dyDescent="0.25"/>
  <cols>
    <col min="1" max="1" width="7.28515625" style="65" bestFit="1" customWidth="1"/>
    <col min="2" max="2" width="16.42578125" bestFit="1" customWidth="1"/>
    <col min="3" max="3" width="14.140625" style="65" bestFit="1" customWidth="1"/>
    <col min="4" max="4" width="16.28515625" bestFit="1" customWidth="1"/>
    <col min="5" max="5" width="12.42578125" bestFit="1" customWidth="1"/>
    <col min="6" max="6" width="15.85546875" bestFit="1" customWidth="1"/>
    <col min="7" max="7" width="16.42578125" style="65" bestFit="1" customWidth="1"/>
    <col min="8" max="8" width="28.5703125" customWidth="1"/>
    <col min="9" max="9" width="25.28515625" bestFit="1" customWidth="1"/>
    <col min="10" max="10" width="9.85546875" style="65" customWidth="1"/>
    <col min="11" max="11" width="15.42578125" bestFit="1" customWidth="1"/>
    <col min="12" max="12" width="8.28515625" style="65" bestFit="1" customWidth="1"/>
    <col min="13" max="13" width="11.85546875" bestFit="1" customWidth="1"/>
    <col min="14" max="15" width="11.85546875" customWidth="1"/>
    <col min="16" max="16" width="22.7109375" bestFit="1" customWidth="1"/>
    <col min="17" max="17" width="28.5703125" style="65" bestFit="1" customWidth="1"/>
    <col min="18" max="18" width="28.5703125" style="66" customWidth="1"/>
    <col min="19" max="19" width="8.42578125" customWidth="1"/>
    <col min="20" max="20" width="6.140625" customWidth="1"/>
    <col min="21" max="21" width="8.140625" customWidth="1"/>
    <col min="22" max="22" width="27.7109375" bestFit="1" customWidth="1"/>
    <col min="23" max="23" width="9" bestFit="1" customWidth="1"/>
    <col min="24" max="24" width="13.85546875" bestFit="1" customWidth="1"/>
    <col min="25" max="25" width="19.28515625" bestFit="1" customWidth="1"/>
    <col min="26" max="26" width="17.42578125" bestFit="1" customWidth="1"/>
    <col min="27" max="27" width="14.42578125" bestFit="1" customWidth="1"/>
    <col min="28" max="28" width="12.42578125" style="65" bestFit="1" customWidth="1"/>
    <col min="29" max="29" width="14.5703125" bestFit="1" customWidth="1"/>
    <col min="30" max="30" width="14.5703125" style="65" bestFit="1" customWidth="1"/>
    <col min="31" max="31" width="12" bestFit="1" customWidth="1"/>
    <col min="32" max="32" width="17.28515625" bestFit="1" customWidth="1"/>
    <col min="33" max="33" width="12" style="65" bestFit="1" customWidth="1"/>
    <col min="34" max="34" width="11.28515625" style="66" bestFit="1" customWidth="1"/>
    <col min="35" max="35" width="12" style="66" bestFit="1" customWidth="1"/>
    <col min="36" max="36" width="30.42578125" bestFit="1" customWidth="1"/>
    <col min="37" max="37" width="19.42578125" bestFit="1" customWidth="1"/>
    <col min="38" max="38" width="24.5703125" bestFit="1" customWidth="1"/>
    <col min="39" max="39" width="19.5703125" bestFit="1" customWidth="1"/>
    <col min="40" max="40" width="24.5703125" bestFit="1" customWidth="1"/>
    <col min="41" max="41" width="19.5703125" style="65" bestFit="1" customWidth="1"/>
    <col min="42" max="42" width="27" bestFit="1" customWidth="1"/>
    <col min="43" max="43" width="30.28515625" bestFit="1" customWidth="1"/>
    <col min="44" max="44" width="30.5703125" customWidth="1"/>
    <col min="45" max="45" width="24.85546875" bestFit="1" customWidth="1"/>
    <col min="46" max="46" width="23.140625" bestFit="1" customWidth="1"/>
    <col min="47" max="47" width="24.85546875" style="65" bestFit="1" customWidth="1"/>
    <col min="48" max="48" width="37.42578125" bestFit="1" customWidth="1"/>
    <col min="49" max="49" width="33.28515625" style="65" bestFit="1" customWidth="1"/>
    <col min="50" max="50" width="11.7109375" style="66" bestFit="1" customWidth="1"/>
  </cols>
  <sheetData>
    <row r="1" spans="1:50" ht="15.75" thickBot="1" x14ac:dyDescent="0.3">
      <c r="A1" s="59" t="s">
        <v>48</v>
      </c>
      <c r="B1" s="58">
        <v>0</v>
      </c>
      <c r="C1" s="59" t="s">
        <v>89</v>
      </c>
      <c r="D1" s="61" t="s">
        <v>81</v>
      </c>
      <c r="E1" s="61" t="s">
        <v>82</v>
      </c>
      <c r="F1" s="61" t="s">
        <v>83</v>
      </c>
      <c r="G1" s="59" t="s">
        <v>84</v>
      </c>
      <c r="H1" s="59" t="s">
        <v>88</v>
      </c>
      <c r="I1" s="59" t="s">
        <v>65</v>
      </c>
      <c r="J1" s="59" t="s">
        <v>50</v>
      </c>
      <c r="K1" s="59" t="s">
        <v>56</v>
      </c>
      <c r="L1" s="59" t="s">
        <v>57</v>
      </c>
      <c r="M1" s="58" t="s">
        <v>85</v>
      </c>
      <c r="N1" s="58" t="s">
        <v>86</v>
      </c>
      <c r="O1" s="58" t="s">
        <v>87</v>
      </c>
      <c r="P1" s="58" t="s">
        <v>53</v>
      </c>
      <c r="Q1" s="59" t="s">
        <v>54</v>
      </c>
      <c r="R1" s="68" t="s">
        <v>50</v>
      </c>
      <c r="S1" s="48" t="s">
        <v>30</v>
      </c>
      <c r="T1" s="48" t="s">
        <v>71</v>
      </c>
      <c r="U1" s="48" t="s">
        <v>72</v>
      </c>
      <c r="V1" s="48" t="s">
        <v>73</v>
      </c>
      <c r="W1" s="48" t="s">
        <v>74</v>
      </c>
      <c r="X1" s="63" t="s">
        <v>75</v>
      </c>
      <c r="Y1" s="48" t="s">
        <v>76</v>
      </c>
      <c r="Z1" s="48" t="s">
        <v>77</v>
      </c>
      <c r="AA1" s="48" t="s">
        <v>78</v>
      </c>
      <c r="AB1" s="64" t="s">
        <v>79</v>
      </c>
      <c r="AC1" s="59" t="s">
        <v>107</v>
      </c>
      <c r="AD1" s="59" t="s">
        <v>55</v>
      </c>
      <c r="AE1" s="58" t="s">
        <v>50</v>
      </c>
      <c r="AF1" s="58" t="s">
        <v>51</v>
      </c>
      <c r="AG1" s="59" t="s">
        <v>52</v>
      </c>
      <c r="AH1" s="60" t="s">
        <v>64</v>
      </c>
      <c r="AI1" s="60" t="s">
        <v>57</v>
      </c>
      <c r="AJ1" s="58" t="s">
        <v>66</v>
      </c>
      <c r="AK1" s="58" t="s">
        <v>59</v>
      </c>
      <c r="AL1" s="58" t="s">
        <v>67</v>
      </c>
      <c r="AM1" s="58" t="s">
        <v>68</v>
      </c>
      <c r="AN1" s="62" t="s">
        <v>69</v>
      </c>
      <c r="AO1" s="59" t="s">
        <v>58</v>
      </c>
      <c r="AP1" s="58" t="s">
        <v>60</v>
      </c>
      <c r="AQ1" s="58" t="s">
        <v>61</v>
      </c>
      <c r="AR1" s="58" t="s">
        <v>142</v>
      </c>
      <c r="AS1" s="58" t="s">
        <v>145</v>
      </c>
      <c r="AT1" s="58" t="s">
        <v>143</v>
      </c>
      <c r="AU1" s="59" t="s">
        <v>144</v>
      </c>
      <c r="AV1" s="58" t="s">
        <v>62</v>
      </c>
      <c r="AW1" s="59" t="s">
        <v>63</v>
      </c>
      <c r="AX1" s="60" t="s">
        <v>70</v>
      </c>
    </row>
    <row r="2" spans="1:50" ht="15.75" thickBot="1" x14ac:dyDescent="0.3">
      <c r="A2" s="65" t="s">
        <v>80</v>
      </c>
      <c r="B2" s="89" t="s">
        <v>134</v>
      </c>
      <c r="C2" s="65">
        <v>15</v>
      </c>
      <c r="D2">
        <v>0.80400000000000005</v>
      </c>
      <c r="E2">
        <v>0.19500000000000001</v>
      </c>
      <c r="F2">
        <v>0</v>
      </c>
      <c r="G2" s="65">
        <v>0</v>
      </c>
      <c r="H2" s="49">
        <v>0</v>
      </c>
      <c r="I2">
        <f>H2*J2</f>
        <v>0</v>
      </c>
      <c r="J2" s="69">
        <v>2.0000000000000001E-9</v>
      </c>
      <c r="K2" t="s">
        <v>132</v>
      </c>
      <c r="L2" s="65">
        <v>0.32200000000000001</v>
      </c>
      <c r="M2">
        <v>1255</v>
      </c>
      <c r="N2">
        <v>1255</v>
      </c>
      <c r="O2">
        <v>84</v>
      </c>
      <c r="P2">
        <v>1</v>
      </c>
      <c r="Q2" s="65">
        <v>1</v>
      </c>
      <c r="R2" s="66">
        <f>J2</f>
        <v>2.0000000000000001E-9</v>
      </c>
      <c r="S2" s="49">
        <f>M2</f>
        <v>1255</v>
      </c>
      <c r="T2">
        <f>N2</f>
        <v>1255</v>
      </c>
      <c r="U2">
        <f>O2</f>
        <v>84</v>
      </c>
      <c r="V2">
        <v>1250</v>
      </c>
      <c r="W2">
        <f t="shared" ref="W2:W10" si="0">(S2-V2)/4</f>
        <v>1.25</v>
      </c>
      <c r="X2" s="41">
        <f>W2*J2*10^9</f>
        <v>2.5</v>
      </c>
      <c r="Y2">
        <f>U2*R2</f>
        <v>1.6800000000000002E-7</v>
      </c>
      <c r="Z2">
        <f>S2*T2*R2^2</f>
        <v>6.3001000000000006E-12</v>
      </c>
      <c r="AA2">
        <f>T2*R2</f>
        <v>2.5100000000000001E-6</v>
      </c>
      <c r="AB2" s="65">
        <f>T2*S2*R2^2</f>
        <v>6.3001000000000006E-12</v>
      </c>
      <c r="AC2">
        <f>88000</f>
        <v>88000</v>
      </c>
      <c r="AD2" s="65">
        <f>(AC2*AG2^2)/(AE2^2*AF2)</f>
        <v>3.8194444444444435E-8</v>
      </c>
      <c r="AE2" s="41">
        <v>2.0000000000000001E-9</v>
      </c>
      <c r="AF2">
        <v>1000</v>
      </c>
      <c r="AG2" s="65">
        <v>4.1666666666666662E-14</v>
      </c>
      <c r="AH2" s="66">
        <v>0</v>
      </c>
      <c r="AI2" s="66">
        <f>L2</f>
        <v>0.32200000000000001</v>
      </c>
      <c r="AJ2" s="49">
        <v>9.1985799999999996E-4</v>
      </c>
      <c r="AK2" s="41">
        <v>1.6812699999999999E-11</v>
      </c>
      <c r="AL2" s="49">
        <v>5.5345100000000001E-2</v>
      </c>
      <c r="AM2" s="41">
        <v>1.0115700000000001E-9</v>
      </c>
      <c r="AN2" s="49">
        <v>1.771924E-3</v>
      </c>
      <c r="AO2" s="69">
        <v>2.1316299999999999E-10</v>
      </c>
      <c r="AP2" s="41">
        <f>AN2*AE2^2</f>
        <v>7.0876960000000007E-21</v>
      </c>
      <c r="AQ2">
        <f>LOG10(AP2)</f>
        <v>-20.149494918146093</v>
      </c>
      <c r="AR2" s="41">
        <f>AJ2*AE2^2</f>
        <v>3.6794320000000003E-21</v>
      </c>
      <c r="AS2">
        <f>LOG10(AR2)</f>
        <v>-20.43421921890933</v>
      </c>
      <c r="AT2" s="41">
        <f>AL2*AE2^2</f>
        <v>2.2138040000000004E-19</v>
      </c>
      <c r="AU2" s="65">
        <f>LOG10(AT2)</f>
        <v>-18.654860832186511</v>
      </c>
      <c r="AV2" s="41">
        <f>SQRT(2*AM2^2+AO2^2)/AO2</f>
        <v>6.7852770229303925</v>
      </c>
      <c r="AW2" s="69">
        <f>SQRT(2*AM2^2+AO2^2)/AM2</f>
        <v>1.429826908705192</v>
      </c>
      <c r="AX2" s="67">
        <f>AL2/AN2</f>
        <v>31.234466038046779</v>
      </c>
    </row>
    <row r="3" spans="1:50" ht="15.75" thickBot="1" x14ac:dyDescent="0.3">
      <c r="B3" s="89" t="s">
        <v>135</v>
      </c>
      <c r="C3" s="65">
        <v>15</v>
      </c>
      <c r="D3">
        <v>0.42699999999999999</v>
      </c>
      <c r="E3">
        <v>0.57199999999999995</v>
      </c>
      <c r="F3">
        <v>0</v>
      </c>
      <c r="G3" s="65">
        <v>0</v>
      </c>
      <c r="H3" s="49">
        <v>1</v>
      </c>
      <c r="I3" s="41">
        <f>H3*J3</f>
        <v>2.0000000000000001E-9</v>
      </c>
      <c r="J3" s="69">
        <v>2.0000000000000001E-9</v>
      </c>
      <c r="K3" t="s">
        <v>133</v>
      </c>
      <c r="L3" s="65">
        <v>0.48099999999999998</v>
      </c>
      <c r="M3" s="49">
        <v>1279</v>
      </c>
      <c r="N3" s="49">
        <v>1279</v>
      </c>
      <c r="O3" s="49">
        <v>101</v>
      </c>
      <c r="P3">
        <v>1</v>
      </c>
      <c r="Q3" s="65">
        <v>1</v>
      </c>
      <c r="R3" s="66">
        <f>J3</f>
        <v>2.0000000000000001E-9</v>
      </c>
      <c r="S3" s="49">
        <f t="shared" ref="S3:U11" si="1">M3</f>
        <v>1279</v>
      </c>
      <c r="T3">
        <f t="shared" si="1"/>
        <v>1279</v>
      </c>
      <c r="U3">
        <f t="shared" si="1"/>
        <v>101</v>
      </c>
      <c r="V3">
        <v>1250</v>
      </c>
      <c r="W3">
        <f t="shared" si="0"/>
        <v>7.25</v>
      </c>
      <c r="X3" s="41">
        <f t="shared" ref="X3:X11" si="2">W3*J3*10^9</f>
        <v>14.5</v>
      </c>
      <c r="Y3">
        <f t="shared" ref="Y3:Y10" si="3">U3*R3</f>
        <v>2.0200000000000001E-7</v>
      </c>
      <c r="Z3">
        <f t="shared" ref="Z3:Z10" si="4">S3*T3*R3^2</f>
        <v>6.5433640000000008E-12</v>
      </c>
      <c r="AA3">
        <f t="shared" ref="AA3:AA10" si="5">T3*R3</f>
        <v>2.5580000000000003E-6</v>
      </c>
      <c r="AB3" s="65">
        <f t="shared" ref="AB3:AB10" si="6">T3*S3*R3^2</f>
        <v>6.5433640000000008E-12</v>
      </c>
      <c r="AC3">
        <f t="shared" ref="AC3:AC11" si="7">88000</f>
        <v>88000</v>
      </c>
      <c r="AD3" s="65">
        <f t="shared" ref="AD3:AD10" si="8">(AC3*AG3^2)/(AE3^2*AF3)</f>
        <v>3.8194444444444435E-8</v>
      </c>
      <c r="AE3" s="41">
        <v>2.0000000000000001E-9</v>
      </c>
      <c r="AF3">
        <v>1000</v>
      </c>
      <c r="AG3" s="65">
        <v>4.1666666666666662E-14</v>
      </c>
      <c r="AH3" s="66">
        <v>3</v>
      </c>
      <c r="AI3" s="66">
        <v>0.497</v>
      </c>
      <c r="AJ3" s="91">
        <v>0.21423</v>
      </c>
      <c r="AK3" s="93">
        <v>3.84205E-9</v>
      </c>
      <c r="AL3" s="91">
        <v>0.214508</v>
      </c>
      <c r="AM3" s="93">
        <v>3.84704E-9</v>
      </c>
      <c r="AN3" s="91">
        <v>0.17157929999999999</v>
      </c>
      <c r="AO3" s="94">
        <v>4.9459699999999996E-9</v>
      </c>
      <c r="AP3" s="41">
        <f t="shared" ref="AP3:AP9" si="9">AN3*AE3^2</f>
        <v>6.863172E-19</v>
      </c>
      <c r="AQ3">
        <f t="shared" ref="AQ3:AQ11" si="10">LOG10(AP3)</f>
        <v>-18.163475116989432</v>
      </c>
      <c r="AR3" s="41">
        <f t="shared" ref="AR3:AR10" si="11">AJ3*AE3^2</f>
        <v>8.569200000000001E-19</v>
      </c>
      <c r="AS3">
        <f t="shared" ref="AS3:AS10" si="12">LOG10(AR3)</f>
        <v>-18.067059720877605</v>
      </c>
      <c r="AT3" s="41">
        <f t="shared" ref="AT3:AT10" si="13">AL3*AE3^2</f>
        <v>8.5803200000000005E-19</v>
      </c>
      <c r="AU3" s="65">
        <f t="shared" ref="AU3:AU10" si="14">LOG10(AT3)</f>
        <v>-18.066496514990142</v>
      </c>
      <c r="AV3" s="41">
        <f t="shared" ref="AV3:AV10" si="15">SQRT(2*AM3^2+AO3^2)/AO3</f>
        <v>1.4866022583860943</v>
      </c>
      <c r="AW3" s="69">
        <f t="shared" ref="AW3:AW10" si="16">SQRT(2*AM3^2+AO3^2)/AM3</f>
        <v>1.9112590906020916</v>
      </c>
      <c r="AX3" s="67">
        <f t="shared" ref="AX3:AX9" si="17">AL3/AN3</f>
        <v>1.250197430575833</v>
      </c>
    </row>
    <row r="4" spans="1:50" ht="15.75" thickBot="1" x14ac:dyDescent="0.3">
      <c r="B4" s="89" t="s">
        <v>136</v>
      </c>
      <c r="C4" s="65">
        <v>15</v>
      </c>
      <c r="D4">
        <v>0.59199999999999997</v>
      </c>
      <c r="E4">
        <v>0.40699999999999997</v>
      </c>
      <c r="F4">
        <v>0</v>
      </c>
      <c r="G4" s="65">
        <v>0</v>
      </c>
      <c r="H4" s="49">
        <v>2</v>
      </c>
      <c r="I4" s="41">
        <f t="shared" ref="I4:I11" si="18">H4*J4</f>
        <v>4.0000000000000002E-9</v>
      </c>
      <c r="J4" s="69">
        <v>2.0000000000000001E-9</v>
      </c>
      <c r="K4" t="s">
        <v>137</v>
      </c>
      <c r="L4" s="65">
        <v>0.58099999999999996</v>
      </c>
      <c r="M4" s="49">
        <v>1303</v>
      </c>
      <c r="N4" s="49">
        <v>1303</v>
      </c>
      <c r="O4" s="49">
        <v>118</v>
      </c>
      <c r="P4" s="49">
        <v>1</v>
      </c>
      <c r="Q4" s="65">
        <v>1</v>
      </c>
      <c r="R4" s="66">
        <f t="shared" ref="R4:R11" si="19">J4</f>
        <v>2.0000000000000001E-9</v>
      </c>
      <c r="S4" s="49">
        <f t="shared" si="1"/>
        <v>1303</v>
      </c>
      <c r="T4">
        <f t="shared" si="1"/>
        <v>1303</v>
      </c>
      <c r="U4">
        <f t="shared" si="1"/>
        <v>118</v>
      </c>
      <c r="V4">
        <v>1250</v>
      </c>
      <c r="W4">
        <f t="shared" si="0"/>
        <v>13.25</v>
      </c>
      <c r="X4" s="41">
        <f t="shared" si="2"/>
        <v>26.500000000000004</v>
      </c>
      <c r="Y4">
        <f t="shared" si="3"/>
        <v>2.3600000000000002E-7</v>
      </c>
      <c r="Z4">
        <f t="shared" si="4"/>
        <v>6.7912360000000002E-12</v>
      </c>
      <c r="AA4">
        <f t="shared" si="5"/>
        <v>2.6060000000000001E-6</v>
      </c>
      <c r="AB4" s="65">
        <f t="shared" si="6"/>
        <v>6.7912360000000002E-12</v>
      </c>
      <c r="AC4">
        <f t="shared" si="7"/>
        <v>88000</v>
      </c>
      <c r="AD4" s="65">
        <f t="shared" si="8"/>
        <v>3.8194444444444435E-8</v>
      </c>
      <c r="AE4" s="41">
        <v>2.0000000000000001E-9</v>
      </c>
      <c r="AF4">
        <v>1000</v>
      </c>
      <c r="AG4" s="65">
        <v>4.1666666666666662E-14</v>
      </c>
      <c r="AH4" s="66">
        <v>6</v>
      </c>
      <c r="AI4" s="66">
        <v>0.60199999999999998</v>
      </c>
      <c r="AJ4" s="89"/>
      <c r="AK4" s="89"/>
      <c r="AL4" s="96"/>
      <c r="AM4" s="96"/>
      <c r="AN4" s="89">
        <v>2.3489</v>
      </c>
      <c r="AO4" s="90"/>
      <c r="AP4" s="41">
        <f t="shared" si="9"/>
        <v>9.3956000000000011E-18</v>
      </c>
      <c r="AQ4">
        <f t="shared" si="10"/>
        <v>-17.027075480771675</v>
      </c>
      <c r="AR4" s="41">
        <f t="shared" si="11"/>
        <v>0</v>
      </c>
      <c r="AS4" t="e">
        <f t="shared" si="12"/>
        <v>#NUM!</v>
      </c>
      <c r="AT4" s="41">
        <f t="shared" si="13"/>
        <v>0</v>
      </c>
      <c r="AU4" s="65" t="e">
        <f t="shared" si="14"/>
        <v>#NUM!</v>
      </c>
      <c r="AV4" s="41" t="e">
        <f t="shared" si="15"/>
        <v>#DIV/0!</v>
      </c>
      <c r="AW4" s="69" t="e">
        <f t="shared" si="16"/>
        <v>#DIV/0!</v>
      </c>
      <c r="AX4" s="67">
        <f t="shared" si="17"/>
        <v>0</v>
      </c>
    </row>
    <row r="5" spans="1:50" ht="15.75" thickBot="1" x14ac:dyDescent="0.3">
      <c r="B5" s="89" t="s">
        <v>138</v>
      </c>
      <c r="C5" s="65">
        <v>15</v>
      </c>
      <c r="D5">
        <v>0.81200000000000006</v>
      </c>
      <c r="E5">
        <v>0.187</v>
      </c>
      <c r="F5">
        <v>0</v>
      </c>
      <c r="G5" s="65">
        <v>0</v>
      </c>
      <c r="H5" s="49">
        <v>3</v>
      </c>
      <c r="I5" s="41">
        <f t="shared" si="18"/>
        <v>6.0000000000000008E-9</v>
      </c>
      <c r="J5" s="69">
        <v>2.0000000000000001E-9</v>
      </c>
      <c r="K5" s="49" t="s">
        <v>139</v>
      </c>
      <c r="L5" s="65">
        <v>0.65300000000000002</v>
      </c>
      <c r="M5" s="49">
        <v>1327</v>
      </c>
      <c r="N5" s="49">
        <v>1327</v>
      </c>
      <c r="O5" s="49">
        <v>135</v>
      </c>
      <c r="P5" s="49">
        <v>1</v>
      </c>
      <c r="Q5" s="65">
        <v>1</v>
      </c>
      <c r="R5" s="66">
        <f t="shared" si="19"/>
        <v>2.0000000000000001E-9</v>
      </c>
      <c r="S5" s="49">
        <f t="shared" si="1"/>
        <v>1327</v>
      </c>
      <c r="T5">
        <f t="shared" si="1"/>
        <v>1327</v>
      </c>
      <c r="U5">
        <f t="shared" si="1"/>
        <v>135</v>
      </c>
      <c r="V5">
        <v>1250</v>
      </c>
      <c r="W5">
        <f t="shared" si="0"/>
        <v>19.25</v>
      </c>
      <c r="X5" s="41">
        <f t="shared" si="2"/>
        <v>38.5</v>
      </c>
      <c r="Y5">
        <f t="shared" si="3"/>
        <v>2.7000000000000001E-7</v>
      </c>
      <c r="Z5">
        <f t="shared" si="4"/>
        <v>7.0437160000000003E-12</v>
      </c>
      <c r="AA5">
        <f t="shared" si="5"/>
        <v>2.6540000000000003E-6</v>
      </c>
      <c r="AB5" s="65">
        <f t="shared" si="6"/>
        <v>7.0437160000000003E-12</v>
      </c>
      <c r="AC5">
        <f t="shared" si="7"/>
        <v>88000</v>
      </c>
      <c r="AD5" s="65">
        <f t="shared" si="8"/>
        <v>3.8194444444444435E-8</v>
      </c>
      <c r="AE5" s="41">
        <v>2.0000000000000001E-9</v>
      </c>
      <c r="AF5">
        <v>1000</v>
      </c>
      <c r="AG5" s="65">
        <v>4.1666666666666662E-14</v>
      </c>
      <c r="AH5" s="66">
        <v>10</v>
      </c>
      <c r="AI5" s="66">
        <v>0.67100000000000004</v>
      </c>
      <c r="AJ5" s="89"/>
      <c r="AK5" s="89"/>
      <c r="AL5" s="95"/>
      <c r="AM5" s="95"/>
      <c r="AN5" s="97">
        <v>12.99</v>
      </c>
      <c r="AO5" s="98"/>
      <c r="AP5" s="41">
        <f t="shared" si="9"/>
        <v>5.1960000000000004E-17</v>
      </c>
      <c r="AQ5">
        <f t="shared" si="10"/>
        <v>-16.284330857599009</v>
      </c>
      <c r="AR5" s="41">
        <f t="shared" si="11"/>
        <v>0</v>
      </c>
      <c r="AS5" t="e">
        <f t="shared" si="12"/>
        <v>#NUM!</v>
      </c>
      <c r="AT5" s="41">
        <f t="shared" si="13"/>
        <v>0</v>
      </c>
      <c r="AU5" s="65" t="e">
        <f t="shared" si="14"/>
        <v>#NUM!</v>
      </c>
      <c r="AV5" s="41" t="e">
        <f t="shared" si="15"/>
        <v>#DIV/0!</v>
      </c>
      <c r="AW5" s="69" t="e">
        <f t="shared" si="16"/>
        <v>#DIV/0!</v>
      </c>
      <c r="AX5" s="67">
        <f t="shared" si="17"/>
        <v>0</v>
      </c>
    </row>
    <row r="6" spans="1:50" s="48" customFormat="1" ht="15.75" thickBot="1" x14ac:dyDescent="0.3">
      <c r="A6" s="64"/>
      <c r="B6" s="48" t="s">
        <v>140</v>
      </c>
      <c r="C6" s="64">
        <v>15</v>
      </c>
      <c r="D6" s="48">
        <v>0.57099999999999995</v>
      </c>
      <c r="E6" s="48">
        <v>0.42799999999999999</v>
      </c>
      <c r="F6" s="48">
        <v>0</v>
      </c>
      <c r="G6" s="64">
        <v>0</v>
      </c>
      <c r="H6" s="48">
        <v>4</v>
      </c>
      <c r="I6" s="85">
        <f t="shared" si="18"/>
        <v>8.0000000000000005E-9</v>
      </c>
      <c r="J6" s="86">
        <v>2.0000000000000001E-9</v>
      </c>
      <c r="K6" s="48" t="s">
        <v>141</v>
      </c>
      <c r="L6" s="64">
        <v>0.70399999999999996</v>
      </c>
      <c r="M6" s="48">
        <v>1351</v>
      </c>
      <c r="N6" s="48">
        <v>1351</v>
      </c>
      <c r="O6" s="48">
        <v>152</v>
      </c>
      <c r="P6" s="48">
        <v>1</v>
      </c>
      <c r="Q6" s="64">
        <v>1</v>
      </c>
      <c r="R6" s="87">
        <f t="shared" si="19"/>
        <v>2.0000000000000001E-9</v>
      </c>
      <c r="S6" s="88">
        <f t="shared" si="1"/>
        <v>1351</v>
      </c>
      <c r="T6" s="48">
        <f t="shared" si="1"/>
        <v>1351</v>
      </c>
      <c r="U6" s="48">
        <f t="shared" si="1"/>
        <v>152</v>
      </c>
      <c r="V6" s="48">
        <v>1250</v>
      </c>
      <c r="W6" s="48">
        <f t="shared" si="0"/>
        <v>25.25</v>
      </c>
      <c r="X6" s="41">
        <f t="shared" si="2"/>
        <v>50.5</v>
      </c>
      <c r="Y6" s="48">
        <f t="shared" si="3"/>
        <v>3.0400000000000002E-7</v>
      </c>
      <c r="Z6" s="48">
        <f t="shared" si="4"/>
        <v>7.3008040000000004E-12</v>
      </c>
      <c r="AA6" s="48">
        <f t="shared" si="5"/>
        <v>2.7020000000000001E-6</v>
      </c>
      <c r="AB6" s="64">
        <f t="shared" si="6"/>
        <v>7.3008040000000004E-12</v>
      </c>
      <c r="AC6" s="48">
        <f t="shared" si="7"/>
        <v>88000</v>
      </c>
      <c r="AD6" s="64">
        <f t="shared" si="8"/>
        <v>3.8194444444444435E-8</v>
      </c>
      <c r="AE6" s="41">
        <v>2.0000000000000001E-9</v>
      </c>
      <c r="AF6">
        <v>1000</v>
      </c>
      <c r="AG6" s="65">
        <v>4.1666666666666662E-14</v>
      </c>
      <c r="AH6" s="87">
        <v>15</v>
      </c>
      <c r="AI6" s="87">
        <v>0.72099999999999997</v>
      </c>
      <c r="AN6" s="48">
        <v>38.669800000000002</v>
      </c>
      <c r="AO6" s="64"/>
      <c r="AP6" s="41">
        <f t="shared" si="9"/>
        <v>1.5467920000000003E-16</v>
      </c>
      <c r="AQ6">
        <f t="shared" si="10"/>
        <v>-15.810568082761915</v>
      </c>
      <c r="AR6" s="41">
        <f t="shared" si="11"/>
        <v>0</v>
      </c>
      <c r="AS6" t="e">
        <f t="shared" si="12"/>
        <v>#NUM!</v>
      </c>
      <c r="AT6" s="41">
        <f t="shared" si="13"/>
        <v>0</v>
      </c>
      <c r="AU6" s="65" t="e">
        <f t="shared" si="14"/>
        <v>#NUM!</v>
      </c>
      <c r="AV6" s="41" t="e">
        <f t="shared" si="15"/>
        <v>#DIV/0!</v>
      </c>
      <c r="AW6" s="69" t="e">
        <f t="shared" si="16"/>
        <v>#DIV/0!</v>
      </c>
      <c r="AX6" s="67">
        <f t="shared" si="17"/>
        <v>0</v>
      </c>
    </row>
    <row r="7" spans="1:50" ht="15.75" thickBot="1" x14ac:dyDescent="0.3">
      <c r="A7" s="65" t="s">
        <v>146</v>
      </c>
      <c r="B7" s="92" t="s">
        <v>148</v>
      </c>
      <c r="C7" s="65">
        <v>0</v>
      </c>
      <c r="D7" s="49">
        <v>0.30499999999999999</v>
      </c>
      <c r="E7" s="49">
        <v>0.41699999999999998</v>
      </c>
      <c r="F7" s="49">
        <v>0.27700000000000002</v>
      </c>
      <c r="G7" s="65">
        <v>0</v>
      </c>
      <c r="H7" s="49">
        <v>0</v>
      </c>
      <c r="I7" s="41">
        <f t="shared" si="18"/>
        <v>0</v>
      </c>
      <c r="J7" s="69">
        <v>2.0000000000000001E-9</v>
      </c>
      <c r="K7" s="49" t="s">
        <v>147</v>
      </c>
      <c r="L7" s="65">
        <v>0.247</v>
      </c>
      <c r="M7" s="49">
        <v>1255</v>
      </c>
      <c r="N7" s="49">
        <v>1255</v>
      </c>
      <c r="O7" s="49">
        <v>99</v>
      </c>
      <c r="P7" s="49">
        <v>1</v>
      </c>
      <c r="Q7" s="65">
        <v>1</v>
      </c>
      <c r="R7" s="66">
        <f t="shared" si="19"/>
        <v>2.0000000000000001E-9</v>
      </c>
      <c r="S7" s="49">
        <f t="shared" si="1"/>
        <v>1255</v>
      </c>
      <c r="T7">
        <f t="shared" si="1"/>
        <v>1255</v>
      </c>
      <c r="U7">
        <f t="shared" si="1"/>
        <v>99</v>
      </c>
      <c r="V7" s="49">
        <v>1250</v>
      </c>
      <c r="W7" s="49">
        <f t="shared" si="0"/>
        <v>1.25</v>
      </c>
      <c r="X7" s="41">
        <f t="shared" si="2"/>
        <v>2.5</v>
      </c>
      <c r="Y7">
        <f t="shared" si="3"/>
        <v>1.98E-7</v>
      </c>
      <c r="Z7">
        <f t="shared" si="4"/>
        <v>6.3001000000000006E-12</v>
      </c>
      <c r="AA7">
        <f t="shared" si="5"/>
        <v>2.5100000000000001E-6</v>
      </c>
      <c r="AB7" s="65">
        <f t="shared" si="6"/>
        <v>6.3001000000000006E-12</v>
      </c>
      <c r="AC7">
        <f t="shared" si="7"/>
        <v>88000</v>
      </c>
      <c r="AD7" s="65">
        <f t="shared" si="8"/>
        <v>3.8194444444444435E-8</v>
      </c>
      <c r="AE7" s="41">
        <v>2.0000000000000001E-9</v>
      </c>
      <c r="AF7">
        <v>1000</v>
      </c>
      <c r="AG7" s="65">
        <v>4.1666666666666662E-14</v>
      </c>
      <c r="AH7" s="66">
        <v>0</v>
      </c>
      <c r="AI7" s="66">
        <v>0.247</v>
      </c>
      <c r="AN7">
        <v>1.1977192399999999E-2</v>
      </c>
      <c r="AP7" s="41">
        <f t="shared" si="9"/>
        <v>4.7908769599999999E-20</v>
      </c>
      <c r="AQ7">
        <f t="shared" si="10"/>
        <v>-19.319584982612785</v>
      </c>
      <c r="AR7" s="41">
        <f t="shared" si="11"/>
        <v>0</v>
      </c>
      <c r="AS7" t="e">
        <f t="shared" si="12"/>
        <v>#NUM!</v>
      </c>
      <c r="AT7" s="41">
        <f t="shared" si="13"/>
        <v>0</v>
      </c>
      <c r="AU7" s="65" t="e">
        <f t="shared" si="14"/>
        <v>#NUM!</v>
      </c>
      <c r="AV7" s="41" t="e">
        <f t="shared" si="15"/>
        <v>#DIV/0!</v>
      </c>
      <c r="AW7" s="69" t="e">
        <f t="shared" si="16"/>
        <v>#DIV/0!</v>
      </c>
      <c r="AX7" s="67">
        <f t="shared" si="17"/>
        <v>0</v>
      </c>
    </row>
    <row r="8" spans="1:50" ht="15.75" thickBot="1" x14ac:dyDescent="0.3">
      <c r="B8" s="92" t="s">
        <v>149</v>
      </c>
      <c r="C8" s="65">
        <v>0</v>
      </c>
      <c r="D8" s="49">
        <v>0.24299999999999999</v>
      </c>
      <c r="E8" s="49">
        <v>0.45400000000000001</v>
      </c>
      <c r="F8" s="49">
        <v>0.30199999999999999</v>
      </c>
      <c r="G8" s="65">
        <v>0</v>
      </c>
      <c r="H8" s="49">
        <v>1</v>
      </c>
      <c r="I8" s="41">
        <f t="shared" si="18"/>
        <v>2.0000000000000001E-9</v>
      </c>
      <c r="J8" s="69">
        <v>2.0000000000000001E-9</v>
      </c>
      <c r="K8" s="49" t="s">
        <v>150</v>
      </c>
      <c r="L8" s="65">
        <v>0.34399999999999997</v>
      </c>
      <c r="M8" s="49">
        <v>1279</v>
      </c>
      <c r="N8" s="49">
        <v>1279</v>
      </c>
      <c r="O8" s="49">
        <v>101</v>
      </c>
      <c r="P8" s="49">
        <v>1</v>
      </c>
      <c r="Q8" s="65">
        <v>1</v>
      </c>
      <c r="R8" s="66">
        <f t="shared" si="19"/>
        <v>2.0000000000000001E-9</v>
      </c>
      <c r="S8" s="49">
        <f t="shared" si="1"/>
        <v>1279</v>
      </c>
      <c r="T8">
        <f t="shared" si="1"/>
        <v>1279</v>
      </c>
      <c r="U8">
        <f t="shared" si="1"/>
        <v>101</v>
      </c>
      <c r="V8" s="49">
        <v>1250</v>
      </c>
      <c r="W8" s="49">
        <f t="shared" si="0"/>
        <v>7.25</v>
      </c>
      <c r="X8" s="41">
        <f t="shared" si="2"/>
        <v>14.5</v>
      </c>
      <c r="Y8">
        <f t="shared" si="3"/>
        <v>2.0200000000000001E-7</v>
      </c>
      <c r="Z8">
        <f t="shared" si="4"/>
        <v>6.5433640000000008E-12</v>
      </c>
      <c r="AA8">
        <f t="shared" si="5"/>
        <v>2.5580000000000003E-6</v>
      </c>
      <c r="AB8" s="65">
        <f t="shared" si="6"/>
        <v>6.5433640000000008E-12</v>
      </c>
      <c r="AC8">
        <f t="shared" si="7"/>
        <v>88000</v>
      </c>
      <c r="AD8" s="65">
        <f t="shared" si="8"/>
        <v>3.8194444444444435E-8</v>
      </c>
      <c r="AE8" s="41">
        <v>2.0000000000000001E-9</v>
      </c>
      <c r="AF8">
        <v>1000</v>
      </c>
      <c r="AG8" s="65">
        <v>4.1666666666666662E-14</v>
      </c>
      <c r="AH8" s="66">
        <v>3</v>
      </c>
      <c r="AI8" s="66">
        <v>0.372</v>
      </c>
      <c r="AN8">
        <v>0.16157930000000001</v>
      </c>
      <c r="AP8" s="41">
        <f t="shared" si="9"/>
        <v>6.4631720000000012E-19</v>
      </c>
      <c r="AQ8">
        <f t="shared" si="10"/>
        <v>-18.189554286339909</v>
      </c>
      <c r="AR8" s="41">
        <f t="shared" si="11"/>
        <v>0</v>
      </c>
      <c r="AS8" t="e">
        <f t="shared" si="12"/>
        <v>#NUM!</v>
      </c>
      <c r="AT8" s="41">
        <f t="shared" si="13"/>
        <v>0</v>
      </c>
      <c r="AU8" s="65" t="e">
        <f t="shared" si="14"/>
        <v>#NUM!</v>
      </c>
      <c r="AV8" s="41" t="e">
        <f t="shared" si="15"/>
        <v>#DIV/0!</v>
      </c>
      <c r="AW8" s="69" t="e">
        <f t="shared" si="16"/>
        <v>#DIV/0!</v>
      </c>
      <c r="AX8" s="67">
        <f t="shared" si="17"/>
        <v>0</v>
      </c>
    </row>
    <row r="9" spans="1:50" ht="15.75" thickBot="1" x14ac:dyDescent="0.3">
      <c r="B9" s="92" t="s">
        <v>151</v>
      </c>
      <c r="C9" s="65">
        <v>0</v>
      </c>
      <c r="D9" s="49">
        <v>0.36599999999999999</v>
      </c>
      <c r="E9" s="49">
        <v>0.38</v>
      </c>
      <c r="F9" s="49">
        <v>0.253</v>
      </c>
      <c r="G9" s="65">
        <v>0</v>
      </c>
      <c r="H9" s="49">
        <v>2</v>
      </c>
      <c r="I9" s="41">
        <f t="shared" si="18"/>
        <v>4.0000000000000002E-9</v>
      </c>
      <c r="J9" s="69">
        <v>2.0000000000000001E-9</v>
      </c>
      <c r="K9" s="49" t="s">
        <v>152</v>
      </c>
      <c r="L9" s="65">
        <v>0.40899999999999997</v>
      </c>
      <c r="M9" s="49">
        <v>1303</v>
      </c>
      <c r="N9" s="49">
        <v>1303</v>
      </c>
      <c r="O9" s="49">
        <v>103</v>
      </c>
      <c r="P9" s="49">
        <v>1</v>
      </c>
      <c r="Q9" s="65">
        <v>1</v>
      </c>
      <c r="R9" s="66">
        <f t="shared" si="19"/>
        <v>2.0000000000000001E-9</v>
      </c>
      <c r="S9" s="49">
        <f t="shared" si="1"/>
        <v>1303</v>
      </c>
      <c r="T9">
        <f t="shared" si="1"/>
        <v>1303</v>
      </c>
      <c r="U9">
        <f t="shared" si="1"/>
        <v>103</v>
      </c>
      <c r="V9" s="49">
        <v>1250</v>
      </c>
      <c r="W9" s="49">
        <f t="shared" si="0"/>
        <v>13.25</v>
      </c>
      <c r="X9" s="41">
        <f t="shared" si="2"/>
        <v>26.500000000000004</v>
      </c>
      <c r="Y9">
        <f t="shared" si="3"/>
        <v>2.0600000000000002E-7</v>
      </c>
      <c r="Z9">
        <f t="shared" si="4"/>
        <v>6.7912360000000002E-12</v>
      </c>
      <c r="AA9">
        <f t="shared" si="5"/>
        <v>2.6060000000000001E-6</v>
      </c>
      <c r="AB9" s="65">
        <f t="shared" si="6"/>
        <v>6.7912360000000002E-12</v>
      </c>
      <c r="AC9">
        <f t="shared" si="7"/>
        <v>88000</v>
      </c>
      <c r="AD9" s="65">
        <f t="shared" si="8"/>
        <v>3.8194444444444435E-8</v>
      </c>
      <c r="AE9" s="41">
        <v>2.0000000000000001E-9</v>
      </c>
      <c r="AF9">
        <v>1000</v>
      </c>
      <c r="AG9" s="65">
        <v>4.1666666666666662E-14</v>
      </c>
      <c r="AH9" s="66">
        <v>6</v>
      </c>
      <c r="AI9" s="66">
        <v>0.45</v>
      </c>
      <c r="AN9">
        <v>0.68489</v>
      </c>
      <c r="AP9" s="41">
        <f t="shared" si="9"/>
        <v>2.7395600000000003E-18</v>
      </c>
      <c r="AQ9">
        <f t="shared" si="10"/>
        <v>-17.562319183499554</v>
      </c>
      <c r="AR9" s="41">
        <f t="shared" si="11"/>
        <v>0</v>
      </c>
      <c r="AS9" t="e">
        <f t="shared" si="12"/>
        <v>#NUM!</v>
      </c>
      <c r="AT9" s="41">
        <f t="shared" si="13"/>
        <v>0</v>
      </c>
      <c r="AU9" s="65" t="e">
        <f t="shared" si="14"/>
        <v>#NUM!</v>
      </c>
      <c r="AV9" s="41" t="e">
        <f>SQRT(2*AM9^2+AO9^2)/AO9</f>
        <v>#DIV/0!</v>
      </c>
      <c r="AW9" s="69" t="e">
        <f>SQRT(2*AM9^2+AO9^2)/AM9</f>
        <v>#DIV/0!</v>
      </c>
      <c r="AX9" s="67">
        <f t="shared" si="17"/>
        <v>0</v>
      </c>
    </row>
    <row r="10" spans="1:50" x14ac:dyDescent="0.25">
      <c r="B10" s="108" t="s">
        <v>176</v>
      </c>
      <c r="C10" s="109">
        <v>0</v>
      </c>
      <c r="D10" s="108">
        <v>0.17799999999999999</v>
      </c>
      <c r="E10" s="108">
        <v>0.49299999999999999</v>
      </c>
      <c r="F10" s="108">
        <v>0.32800000000000001</v>
      </c>
      <c r="G10" s="109">
        <v>0</v>
      </c>
      <c r="H10" s="108">
        <v>3</v>
      </c>
      <c r="I10" s="110">
        <f t="shared" si="18"/>
        <v>6.0000000000000008E-9</v>
      </c>
      <c r="J10" s="111">
        <v>2.0000000000000001E-9</v>
      </c>
      <c r="K10" s="108" t="s">
        <v>177</v>
      </c>
      <c r="L10" s="109">
        <v>0.45800000000000002</v>
      </c>
      <c r="M10" s="112">
        <v>1327</v>
      </c>
      <c r="N10" s="112">
        <v>1327</v>
      </c>
      <c r="O10" s="112">
        <v>105</v>
      </c>
      <c r="P10" s="112">
        <v>1</v>
      </c>
      <c r="Q10" s="65">
        <v>1</v>
      </c>
      <c r="R10" s="66">
        <f t="shared" si="19"/>
        <v>2.0000000000000001E-9</v>
      </c>
      <c r="S10" s="49">
        <f t="shared" si="1"/>
        <v>1327</v>
      </c>
      <c r="T10">
        <f t="shared" si="1"/>
        <v>1327</v>
      </c>
      <c r="U10">
        <f t="shared" si="1"/>
        <v>105</v>
      </c>
      <c r="V10" s="49">
        <v>1250</v>
      </c>
      <c r="W10" s="49">
        <f t="shared" si="0"/>
        <v>19.25</v>
      </c>
      <c r="X10" s="41">
        <f t="shared" si="2"/>
        <v>38.5</v>
      </c>
      <c r="Y10">
        <f t="shared" si="3"/>
        <v>2.1E-7</v>
      </c>
      <c r="Z10">
        <f t="shared" si="4"/>
        <v>7.0437160000000003E-12</v>
      </c>
      <c r="AA10">
        <f t="shared" si="5"/>
        <v>2.6540000000000003E-6</v>
      </c>
      <c r="AB10" s="65">
        <f t="shared" si="6"/>
        <v>7.0437160000000003E-12</v>
      </c>
      <c r="AC10">
        <f t="shared" si="7"/>
        <v>88000</v>
      </c>
      <c r="AD10" s="65">
        <f t="shared" si="8"/>
        <v>3.8194444444444435E-8</v>
      </c>
      <c r="AE10" s="41">
        <v>2.0000000000000001E-9</v>
      </c>
      <c r="AF10">
        <v>1000</v>
      </c>
      <c r="AG10" s="65">
        <v>4.1666666666666662E-14</v>
      </c>
      <c r="AH10" s="66">
        <v>10</v>
      </c>
      <c r="AI10" s="66">
        <v>0.503</v>
      </c>
      <c r="AN10">
        <v>1.7628999999999999</v>
      </c>
      <c r="AP10" s="41">
        <f>AN10*AE10^2</f>
        <v>7.0516000000000003E-18</v>
      </c>
      <c r="AQ10">
        <f t="shared" si="10"/>
        <v>-17.151712330904722</v>
      </c>
      <c r="AR10" s="41">
        <f t="shared" si="11"/>
        <v>0</v>
      </c>
      <c r="AS10" t="e">
        <f t="shared" si="12"/>
        <v>#NUM!</v>
      </c>
      <c r="AT10" s="41">
        <f t="shared" si="13"/>
        <v>0</v>
      </c>
      <c r="AU10" s="65" t="e">
        <f t="shared" si="14"/>
        <v>#NUM!</v>
      </c>
      <c r="AV10" s="41" t="e">
        <f t="shared" si="15"/>
        <v>#DIV/0!</v>
      </c>
      <c r="AW10" s="69" t="e">
        <f t="shared" si="16"/>
        <v>#DIV/0!</v>
      </c>
      <c r="AX10" s="67">
        <f>AL10/AN10</f>
        <v>0</v>
      </c>
    </row>
    <row r="11" spans="1:50" x14ac:dyDescent="0.25">
      <c r="B11" s="108" t="s">
        <v>182</v>
      </c>
      <c r="C11" s="109">
        <v>0</v>
      </c>
      <c r="D11" s="108">
        <v>0.28899999999999998</v>
      </c>
      <c r="E11" s="108">
        <v>0.42599999999999999</v>
      </c>
      <c r="F11" s="108">
        <v>0.28299999999999997</v>
      </c>
      <c r="G11" s="109">
        <v>0</v>
      </c>
      <c r="H11" s="108">
        <v>5</v>
      </c>
      <c r="I11" s="110">
        <f t="shared" si="18"/>
        <v>1E-8</v>
      </c>
      <c r="J11" s="111">
        <v>2.0000000000000001E-9</v>
      </c>
      <c r="K11" s="108" t="s">
        <v>181</v>
      </c>
      <c r="L11" s="109">
        <v>0.52900000000000003</v>
      </c>
      <c r="M11" s="112">
        <v>1375</v>
      </c>
      <c r="N11" s="112">
        <v>1375</v>
      </c>
      <c r="O11" s="112">
        <v>109</v>
      </c>
      <c r="P11" s="112">
        <v>1</v>
      </c>
      <c r="Q11" s="65">
        <v>1</v>
      </c>
      <c r="R11" s="66">
        <f t="shared" si="19"/>
        <v>2.0000000000000001E-9</v>
      </c>
      <c r="S11" s="49">
        <f t="shared" si="1"/>
        <v>1375</v>
      </c>
      <c r="T11">
        <f t="shared" si="1"/>
        <v>1375</v>
      </c>
      <c r="U11">
        <f t="shared" si="1"/>
        <v>109</v>
      </c>
      <c r="V11" s="49">
        <v>1250</v>
      </c>
      <c r="W11" s="49">
        <f t="shared" ref="W11" si="20">(S11-V11)/4</f>
        <v>31.25</v>
      </c>
      <c r="X11" s="41">
        <f t="shared" si="2"/>
        <v>62.500000000000007</v>
      </c>
      <c r="Y11">
        <f t="shared" ref="Y11" si="21">U11*R11</f>
        <v>2.1800000000000002E-7</v>
      </c>
      <c r="Z11">
        <f t="shared" ref="Z11" si="22">S11*T11*R11^2</f>
        <v>7.5624999999999997E-12</v>
      </c>
      <c r="AA11">
        <f t="shared" ref="AA11" si="23">T11*R11</f>
        <v>2.7500000000000004E-6</v>
      </c>
      <c r="AB11" s="65">
        <f t="shared" ref="AB11" si="24">T11*S11*R11^2</f>
        <v>7.5624999999999997E-12</v>
      </c>
      <c r="AC11">
        <f t="shared" si="7"/>
        <v>88000</v>
      </c>
      <c r="AD11" s="65">
        <f t="shared" ref="AD11" si="25">(AC11*AG11^2)/(AE11^2*AF11)</f>
        <v>3.8194444444444435E-8</v>
      </c>
      <c r="AE11" s="41">
        <v>2.0000000000000001E-9</v>
      </c>
      <c r="AF11">
        <v>1000</v>
      </c>
      <c r="AG11" s="65">
        <v>4.1666666666666662E-14</v>
      </c>
      <c r="AH11" s="66">
        <v>15</v>
      </c>
      <c r="AI11" s="66">
        <v>0.57499999999999996</v>
      </c>
      <c r="AN11">
        <v>8.7863000000000007</v>
      </c>
      <c r="AP11" s="41">
        <f>AN11*AE11^2</f>
        <v>3.5145200000000003E-17</v>
      </c>
      <c r="AQ11">
        <f t="shared" si="10"/>
        <v>-16.454133980910473</v>
      </c>
      <c r="AX11" s="66">
        <f>AL11/AN11</f>
        <v>0</v>
      </c>
    </row>
    <row r="17" spans="10:10" x14ac:dyDescent="0.25">
      <c r="J17" s="6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B173-E427-421F-9B10-5EAD042A997F}">
  <dimension ref="A1:AX17"/>
  <sheetViews>
    <sheetView topLeftCell="AF1" zoomScale="115" zoomScaleNormal="115" workbookViewId="0">
      <selection activeCell="AI10" sqref="AI10:AI11"/>
    </sheetView>
  </sheetViews>
  <sheetFormatPr defaultRowHeight="15" x14ac:dyDescent="0.25"/>
  <cols>
    <col min="1" max="1" width="7.28515625" style="65" bestFit="1" customWidth="1"/>
    <col min="2" max="2" width="16.42578125" bestFit="1" customWidth="1"/>
    <col min="3" max="3" width="14.140625" style="65" bestFit="1" customWidth="1"/>
    <col min="4" max="4" width="16.28515625" bestFit="1" customWidth="1"/>
    <col min="5" max="5" width="12.42578125" bestFit="1" customWidth="1"/>
    <col min="6" max="6" width="15.85546875" bestFit="1" customWidth="1"/>
    <col min="7" max="7" width="16.42578125" style="65" bestFit="1" customWidth="1"/>
    <col min="8" max="8" width="28.5703125" customWidth="1"/>
    <col min="9" max="9" width="25.28515625" bestFit="1" customWidth="1"/>
    <col min="10" max="10" width="9.85546875" style="65" customWidth="1"/>
    <col min="11" max="11" width="15.42578125" bestFit="1" customWidth="1"/>
    <col min="12" max="12" width="8.28515625" style="65" bestFit="1" customWidth="1"/>
    <col min="13" max="13" width="11.85546875" bestFit="1" customWidth="1"/>
    <col min="14" max="15" width="11.85546875" customWidth="1"/>
    <col min="16" max="16" width="22.7109375" bestFit="1" customWidth="1"/>
    <col min="17" max="17" width="28.5703125" style="65" bestFit="1" customWidth="1"/>
    <col min="18" max="18" width="28.5703125" style="66" customWidth="1"/>
    <col min="19" max="19" width="8.42578125" customWidth="1"/>
    <col min="20" max="20" width="6.140625" customWidth="1"/>
    <col min="21" max="21" width="8.140625" customWidth="1"/>
    <col min="22" max="22" width="27.7109375" bestFit="1" customWidth="1"/>
    <col min="23" max="23" width="9" bestFit="1" customWidth="1"/>
    <col min="24" max="24" width="13.85546875" bestFit="1" customWidth="1"/>
    <col min="25" max="25" width="19.28515625" bestFit="1" customWidth="1"/>
    <col min="26" max="26" width="17.42578125" bestFit="1" customWidth="1"/>
    <col min="27" max="27" width="14.42578125" bestFit="1" customWidth="1"/>
    <col min="28" max="28" width="12.42578125" style="65" bestFit="1" customWidth="1"/>
    <col min="29" max="29" width="14.5703125" bestFit="1" customWidth="1"/>
    <col min="30" max="30" width="14.5703125" style="65" bestFit="1" customWidth="1"/>
    <col min="31" max="31" width="12" bestFit="1" customWidth="1"/>
    <col min="32" max="32" width="17.28515625" bestFit="1" customWidth="1"/>
    <col min="33" max="33" width="12" style="65" bestFit="1" customWidth="1"/>
    <col min="34" max="34" width="11.28515625" style="66" bestFit="1" customWidth="1"/>
    <col min="35" max="35" width="12" style="66" bestFit="1" customWidth="1"/>
    <col min="36" max="36" width="30.42578125" bestFit="1" customWidth="1"/>
    <col min="37" max="37" width="19.42578125" bestFit="1" customWidth="1"/>
    <col min="38" max="38" width="24.5703125" bestFit="1" customWidth="1"/>
    <col min="39" max="39" width="19.5703125" bestFit="1" customWidth="1"/>
    <col min="40" max="40" width="24.5703125" bestFit="1" customWidth="1"/>
    <col min="41" max="41" width="19.5703125" style="65" bestFit="1" customWidth="1"/>
    <col min="42" max="42" width="27" bestFit="1" customWidth="1"/>
    <col min="43" max="43" width="30.28515625" bestFit="1" customWidth="1"/>
    <col min="44" max="44" width="30.5703125" customWidth="1"/>
    <col min="45" max="45" width="24.85546875" bestFit="1" customWidth="1"/>
    <col min="46" max="46" width="23.140625" bestFit="1" customWidth="1"/>
    <col min="47" max="47" width="24.85546875" style="65" bestFit="1" customWidth="1"/>
    <col min="48" max="48" width="37.42578125" bestFit="1" customWidth="1"/>
    <col min="49" max="49" width="33.28515625" style="65" bestFit="1" customWidth="1"/>
    <col min="50" max="50" width="11.7109375" style="66" bestFit="1" customWidth="1"/>
  </cols>
  <sheetData>
    <row r="1" spans="1:50" ht="15.75" thickBot="1" x14ac:dyDescent="0.3">
      <c r="A1" s="59" t="s">
        <v>48</v>
      </c>
      <c r="B1" s="58">
        <v>0</v>
      </c>
      <c r="C1" s="59" t="s">
        <v>89</v>
      </c>
      <c r="D1" s="61" t="s">
        <v>81</v>
      </c>
      <c r="E1" s="61" t="s">
        <v>82</v>
      </c>
      <c r="F1" s="61" t="s">
        <v>83</v>
      </c>
      <c r="G1" s="59" t="s">
        <v>84</v>
      </c>
      <c r="H1" s="59" t="s">
        <v>88</v>
      </c>
      <c r="I1" s="59" t="s">
        <v>65</v>
      </c>
      <c r="J1" s="59" t="s">
        <v>50</v>
      </c>
      <c r="K1" s="59" t="s">
        <v>56</v>
      </c>
      <c r="L1" s="59" t="s">
        <v>57</v>
      </c>
      <c r="M1" s="58" t="s">
        <v>85</v>
      </c>
      <c r="N1" s="58" t="s">
        <v>86</v>
      </c>
      <c r="O1" s="58" t="s">
        <v>87</v>
      </c>
      <c r="P1" s="58" t="s">
        <v>53</v>
      </c>
      <c r="Q1" s="59" t="s">
        <v>54</v>
      </c>
      <c r="R1" s="68" t="s">
        <v>50</v>
      </c>
      <c r="S1" s="48" t="s">
        <v>30</v>
      </c>
      <c r="T1" s="48" t="s">
        <v>71</v>
      </c>
      <c r="U1" s="48" t="s">
        <v>72</v>
      </c>
      <c r="V1" s="48" t="s">
        <v>73</v>
      </c>
      <c r="W1" s="48" t="s">
        <v>74</v>
      </c>
      <c r="X1" s="63" t="s">
        <v>75</v>
      </c>
      <c r="Y1" s="48" t="s">
        <v>76</v>
      </c>
      <c r="Z1" s="48" t="s">
        <v>77</v>
      </c>
      <c r="AA1" s="48" t="s">
        <v>78</v>
      </c>
      <c r="AB1" s="64" t="s">
        <v>79</v>
      </c>
      <c r="AC1" s="59" t="s">
        <v>107</v>
      </c>
      <c r="AD1" s="59" t="s">
        <v>55</v>
      </c>
      <c r="AE1" s="58" t="s">
        <v>50</v>
      </c>
      <c r="AF1" s="58" t="s">
        <v>51</v>
      </c>
      <c r="AG1" s="59" t="s">
        <v>52</v>
      </c>
      <c r="AH1" s="60" t="s">
        <v>64</v>
      </c>
      <c r="AI1" s="60" t="s">
        <v>57</v>
      </c>
      <c r="AJ1" s="58" t="s">
        <v>66</v>
      </c>
      <c r="AK1" s="58" t="s">
        <v>59</v>
      </c>
      <c r="AL1" s="58" t="s">
        <v>67</v>
      </c>
      <c r="AM1" s="58" t="s">
        <v>68</v>
      </c>
      <c r="AN1" s="62" t="s">
        <v>69</v>
      </c>
      <c r="AO1" s="59" t="s">
        <v>58</v>
      </c>
      <c r="AP1" s="58" t="s">
        <v>60</v>
      </c>
      <c r="AQ1" s="58" t="s">
        <v>61</v>
      </c>
      <c r="AR1" s="58" t="s">
        <v>142</v>
      </c>
      <c r="AS1" s="58" t="s">
        <v>145</v>
      </c>
      <c r="AT1" s="58" t="s">
        <v>143</v>
      </c>
      <c r="AU1" s="59" t="s">
        <v>144</v>
      </c>
      <c r="AV1" s="58" t="s">
        <v>62</v>
      </c>
      <c r="AW1" s="59" t="s">
        <v>63</v>
      </c>
      <c r="AX1" s="60" t="s">
        <v>70</v>
      </c>
    </row>
    <row r="2" spans="1:50" ht="15.75" thickBot="1" x14ac:dyDescent="0.3">
      <c r="A2" s="65" t="s">
        <v>80</v>
      </c>
      <c r="B2" s="89" t="s">
        <v>134</v>
      </c>
      <c r="C2" s="65">
        <v>15</v>
      </c>
      <c r="D2">
        <v>0.80400000000000005</v>
      </c>
      <c r="E2">
        <v>0.19500000000000001</v>
      </c>
      <c r="F2">
        <v>0</v>
      </c>
      <c r="G2" s="65">
        <v>0</v>
      </c>
      <c r="H2" s="49">
        <v>0</v>
      </c>
      <c r="I2">
        <f>H2*J2</f>
        <v>0</v>
      </c>
      <c r="J2" s="69">
        <v>2.0000000000000001E-9</v>
      </c>
      <c r="K2" t="s">
        <v>132</v>
      </c>
      <c r="L2" s="65">
        <v>0.32200000000000001</v>
      </c>
      <c r="M2">
        <v>1255</v>
      </c>
      <c r="N2">
        <v>1255</v>
      </c>
      <c r="O2">
        <v>84</v>
      </c>
      <c r="P2">
        <v>1</v>
      </c>
      <c r="Q2" s="65">
        <v>1</v>
      </c>
      <c r="R2" s="66">
        <f>J2</f>
        <v>2.0000000000000001E-9</v>
      </c>
      <c r="S2" s="49">
        <f>M2</f>
        <v>1255</v>
      </c>
      <c r="T2">
        <f>N2</f>
        <v>1255</v>
      </c>
      <c r="U2">
        <f>O2</f>
        <v>84</v>
      </c>
      <c r="V2">
        <v>1250</v>
      </c>
      <c r="W2">
        <f t="shared" ref="W2:W11" si="0">(S2-V2)/4</f>
        <v>1.25</v>
      </c>
      <c r="X2" s="41">
        <f>W2*J2*10^9</f>
        <v>2.5</v>
      </c>
      <c r="Y2">
        <f>U2*R2</f>
        <v>1.6800000000000002E-7</v>
      </c>
      <c r="Z2">
        <f>S2*T2*R2^2</f>
        <v>6.3001000000000006E-12</v>
      </c>
      <c r="AA2">
        <f>T2*R2</f>
        <v>2.5100000000000001E-6</v>
      </c>
      <c r="AB2" s="65">
        <f>T2*S2*R2^2</f>
        <v>6.3001000000000006E-12</v>
      </c>
      <c r="AC2">
        <f>88000</f>
        <v>88000</v>
      </c>
      <c r="AD2" s="65">
        <f>(AC2*AG2^2)/(AE2^2*AF2)</f>
        <v>3.8194444444444435E-8</v>
      </c>
      <c r="AE2" s="41">
        <v>2.0000000000000001E-9</v>
      </c>
      <c r="AF2">
        <v>1000</v>
      </c>
      <c r="AG2" s="65">
        <v>4.1666666666666662E-14</v>
      </c>
      <c r="AH2" s="66">
        <v>0</v>
      </c>
      <c r="AI2" s="66">
        <f>L2</f>
        <v>0.32200000000000001</v>
      </c>
      <c r="AJ2" s="49">
        <v>9.1985799999999996E-4</v>
      </c>
      <c r="AK2" s="41">
        <v>1.6812699999999999E-11</v>
      </c>
      <c r="AL2" s="49">
        <v>5.5345100000000001E-2</v>
      </c>
      <c r="AM2" s="41">
        <v>1.0115700000000001E-9</v>
      </c>
      <c r="AN2" s="49">
        <v>1.771924E-3</v>
      </c>
      <c r="AO2" s="69">
        <v>2.1316299999999999E-10</v>
      </c>
      <c r="AP2" s="41">
        <f>AN2*AE2^2</f>
        <v>7.0876960000000007E-21</v>
      </c>
      <c r="AQ2">
        <f>LOG10(AP2)</f>
        <v>-20.149494918146093</v>
      </c>
      <c r="AR2" s="41">
        <f>AJ2*AE2^2</f>
        <v>3.6794320000000003E-21</v>
      </c>
      <c r="AS2">
        <f>LOG10(AR2)</f>
        <v>-20.43421921890933</v>
      </c>
      <c r="AT2" s="41">
        <f>AL2*AE2^2</f>
        <v>2.2138040000000004E-19</v>
      </c>
      <c r="AU2" s="65">
        <f>LOG10(AT2)</f>
        <v>-18.654860832186511</v>
      </c>
      <c r="AV2" s="41">
        <f>SQRT(2*AM2^2+AO2^2)/AO2</f>
        <v>6.7852770229303925</v>
      </c>
      <c r="AW2" s="69">
        <f>SQRT(2*AM2^2+AO2^2)/AM2</f>
        <v>1.429826908705192</v>
      </c>
      <c r="AX2" s="67">
        <f>AL2/AN2</f>
        <v>31.234466038046779</v>
      </c>
    </row>
    <row r="3" spans="1:50" ht="15.75" thickBot="1" x14ac:dyDescent="0.3">
      <c r="B3" s="89" t="s">
        <v>135</v>
      </c>
      <c r="C3" s="65">
        <v>15</v>
      </c>
      <c r="D3">
        <v>0.42699999999999999</v>
      </c>
      <c r="E3">
        <v>0.57199999999999995</v>
      </c>
      <c r="F3">
        <v>0</v>
      </c>
      <c r="G3" s="65">
        <v>0</v>
      </c>
      <c r="H3" s="49">
        <v>1</v>
      </c>
      <c r="I3" s="41">
        <f>H3*J3</f>
        <v>2.0000000000000001E-9</v>
      </c>
      <c r="J3" s="69">
        <v>2.0000000000000001E-9</v>
      </c>
      <c r="K3" t="s">
        <v>133</v>
      </c>
      <c r="L3" s="65">
        <v>0.48099999999999998</v>
      </c>
      <c r="M3" s="49">
        <v>1279</v>
      </c>
      <c r="N3" s="49">
        <v>1279</v>
      </c>
      <c r="O3" s="49">
        <v>101</v>
      </c>
      <c r="P3">
        <v>1</v>
      </c>
      <c r="Q3" s="65">
        <v>1</v>
      </c>
      <c r="R3" s="66">
        <f>J3</f>
        <v>2.0000000000000001E-9</v>
      </c>
      <c r="S3" s="49">
        <f t="shared" ref="S3:U11" si="1">M3</f>
        <v>1279</v>
      </c>
      <c r="T3">
        <f t="shared" si="1"/>
        <v>1279</v>
      </c>
      <c r="U3">
        <f t="shared" si="1"/>
        <v>101</v>
      </c>
      <c r="V3">
        <v>1250</v>
      </c>
      <c r="W3">
        <f t="shared" si="0"/>
        <v>7.25</v>
      </c>
      <c r="X3" s="41">
        <f t="shared" ref="X3:X11" si="2">W3*J3*10^9</f>
        <v>14.5</v>
      </c>
      <c r="Y3">
        <f t="shared" ref="Y3:Y11" si="3">U3*R3</f>
        <v>2.0200000000000001E-7</v>
      </c>
      <c r="Z3">
        <f t="shared" ref="Z3:Z11" si="4">S3*T3*R3^2</f>
        <v>6.5433640000000008E-12</v>
      </c>
      <c r="AA3">
        <f t="shared" ref="AA3:AA11" si="5">T3*R3</f>
        <v>2.5580000000000003E-6</v>
      </c>
      <c r="AB3" s="65">
        <f t="shared" ref="AB3:AB11" si="6">T3*S3*R3^2</f>
        <v>6.5433640000000008E-12</v>
      </c>
      <c r="AC3">
        <f t="shared" ref="AC3:AC11" si="7">88000</f>
        <v>88000</v>
      </c>
      <c r="AD3" s="65">
        <f t="shared" ref="AD3:AD11" si="8">(AC3*AG3^2)/(AE3^2*AF3)</f>
        <v>3.8194444444444435E-8</v>
      </c>
      <c r="AE3" s="41">
        <v>2.0000000000000001E-9</v>
      </c>
      <c r="AF3">
        <v>1000</v>
      </c>
      <c r="AG3" s="65">
        <v>4.1666666666666662E-14</v>
      </c>
      <c r="AH3" s="66">
        <v>3</v>
      </c>
      <c r="AI3" s="66">
        <v>0.497</v>
      </c>
      <c r="AJ3" s="91">
        <v>0.21423</v>
      </c>
      <c r="AK3" s="93">
        <v>3.84205E-9</v>
      </c>
      <c r="AL3" s="91">
        <v>0.214508</v>
      </c>
      <c r="AM3" s="93">
        <v>3.84704E-9</v>
      </c>
      <c r="AN3" s="91">
        <v>0.17157929999999999</v>
      </c>
      <c r="AO3" s="94">
        <v>4.9459699999999996E-9</v>
      </c>
      <c r="AP3" s="41">
        <f t="shared" ref="AP3:AP9" si="9">AN3*AE3^2</f>
        <v>6.863172E-19</v>
      </c>
      <c r="AQ3">
        <f t="shared" ref="AQ3:AQ11" si="10">LOG10(AP3)</f>
        <v>-18.163475116989432</v>
      </c>
      <c r="AR3" s="41">
        <f t="shared" ref="AR3:AR10" si="11">AJ3*AE3^2</f>
        <v>8.569200000000001E-19</v>
      </c>
      <c r="AS3">
        <f t="shared" ref="AS3:AS10" si="12">LOG10(AR3)</f>
        <v>-18.067059720877605</v>
      </c>
      <c r="AT3" s="41">
        <f t="shared" ref="AT3:AT10" si="13">AL3*AE3^2</f>
        <v>8.5803200000000005E-19</v>
      </c>
      <c r="AU3" s="65">
        <f t="shared" ref="AU3:AU10" si="14">LOG10(AT3)</f>
        <v>-18.066496514990142</v>
      </c>
      <c r="AV3" s="41">
        <f t="shared" ref="AV3:AV10" si="15">SQRT(2*AM3^2+AO3^2)/AO3</f>
        <v>1.4866022583860943</v>
      </c>
      <c r="AW3" s="69">
        <f t="shared" ref="AW3:AW10" si="16">SQRT(2*AM3^2+AO3^2)/AM3</f>
        <v>1.9112590906020916</v>
      </c>
      <c r="AX3" s="67">
        <f t="shared" ref="AX3:AX9" si="17">AL3/AN3</f>
        <v>1.250197430575833</v>
      </c>
    </row>
    <row r="4" spans="1:50" ht="15.75" thickBot="1" x14ac:dyDescent="0.3">
      <c r="B4" s="89" t="s">
        <v>136</v>
      </c>
      <c r="C4" s="65">
        <v>15</v>
      </c>
      <c r="D4">
        <v>0.59199999999999997</v>
      </c>
      <c r="E4">
        <v>0.40699999999999997</v>
      </c>
      <c r="F4">
        <v>0</v>
      </c>
      <c r="G4" s="65">
        <v>0</v>
      </c>
      <c r="H4" s="49">
        <v>2</v>
      </c>
      <c r="I4" s="41">
        <f t="shared" ref="I4:I11" si="18">H4*J4</f>
        <v>4.0000000000000002E-9</v>
      </c>
      <c r="J4" s="69">
        <v>2.0000000000000001E-9</v>
      </c>
      <c r="K4" t="s">
        <v>137</v>
      </c>
      <c r="L4" s="65">
        <v>0.58099999999999996</v>
      </c>
      <c r="M4" s="49">
        <v>1303</v>
      </c>
      <c r="N4" s="49">
        <v>1303</v>
      </c>
      <c r="O4" s="49">
        <v>118</v>
      </c>
      <c r="P4" s="49">
        <v>1</v>
      </c>
      <c r="Q4" s="65">
        <v>1</v>
      </c>
      <c r="R4" s="66">
        <f t="shared" ref="R4:R11" si="19">J4</f>
        <v>2.0000000000000001E-9</v>
      </c>
      <c r="S4" s="49">
        <f t="shared" si="1"/>
        <v>1303</v>
      </c>
      <c r="T4">
        <f t="shared" si="1"/>
        <v>1303</v>
      </c>
      <c r="U4">
        <f t="shared" si="1"/>
        <v>118</v>
      </c>
      <c r="V4">
        <v>1250</v>
      </c>
      <c r="W4">
        <f t="shared" si="0"/>
        <v>13.25</v>
      </c>
      <c r="X4" s="41">
        <f t="shared" si="2"/>
        <v>26.500000000000004</v>
      </c>
      <c r="Y4">
        <f t="shared" si="3"/>
        <v>2.3600000000000002E-7</v>
      </c>
      <c r="Z4">
        <f t="shared" si="4"/>
        <v>6.7912360000000002E-12</v>
      </c>
      <c r="AA4">
        <f t="shared" si="5"/>
        <v>2.6060000000000001E-6</v>
      </c>
      <c r="AB4" s="65">
        <f t="shared" si="6"/>
        <v>6.7912360000000002E-12</v>
      </c>
      <c r="AC4">
        <f t="shared" si="7"/>
        <v>88000</v>
      </c>
      <c r="AD4" s="65">
        <f t="shared" si="8"/>
        <v>3.8194444444444435E-8</v>
      </c>
      <c r="AE4" s="41">
        <v>2.0000000000000001E-9</v>
      </c>
      <c r="AF4">
        <v>1000</v>
      </c>
      <c r="AG4" s="65">
        <v>4.1666666666666662E-14</v>
      </c>
      <c r="AH4" s="66">
        <v>6</v>
      </c>
      <c r="AI4" s="66">
        <v>0.60199999999999998</v>
      </c>
      <c r="AJ4" s="89"/>
      <c r="AK4" s="89"/>
      <c r="AL4" s="96"/>
      <c r="AM4" s="96"/>
      <c r="AN4" s="89">
        <v>2.3489</v>
      </c>
      <c r="AO4" s="90"/>
      <c r="AP4" s="41">
        <f t="shared" si="9"/>
        <v>9.3956000000000011E-18</v>
      </c>
      <c r="AQ4">
        <f t="shared" si="10"/>
        <v>-17.027075480771675</v>
      </c>
      <c r="AR4" s="41">
        <f t="shared" si="11"/>
        <v>0</v>
      </c>
      <c r="AS4" t="e">
        <f t="shared" si="12"/>
        <v>#NUM!</v>
      </c>
      <c r="AT4" s="41">
        <f t="shared" si="13"/>
        <v>0</v>
      </c>
      <c r="AU4" s="65" t="e">
        <f t="shared" si="14"/>
        <v>#NUM!</v>
      </c>
      <c r="AV4" s="41" t="e">
        <f t="shared" si="15"/>
        <v>#DIV/0!</v>
      </c>
      <c r="AW4" s="69" t="e">
        <f t="shared" si="16"/>
        <v>#DIV/0!</v>
      </c>
      <c r="AX4" s="67">
        <f t="shared" si="17"/>
        <v>0</v>
      </c>
    </row>
    <row r="5" spans="1:50" ht="15.75" thickBot="1" x14ac:dyDescent="0.3">
      <c r="B5" s="89" t="s">
        <v>138</v>
      </c>
      <c r="C5" s="65">
        <v>15</v>
      </c>
      <c r="D5">
        <v>0.81200000000000006</v>
      </c>
      <c r="E5">
        <v>0.187</v>
      </c>
      <c r="F5">
        <v>0</v>
      </c>
      <c r="G5" s="65">
        <v>0</v>
      </c>
      <c r="H5" s="49">
        <v>3</v>
      </c>
      <c r="I5" s="41">
        <f t="shared" si="18"/>
        <v>6.0000000000000008E-9</v>
      </c>
      <c r="J5" s="69">
        <v>2.0000000000000001E-9</v>
      </c>
      <c r="K5" s="49" t="s">
        <v>139</v>
      </c>
      <c r="L5" s="65">
        <v>0.65300000000000002</v>
      </c>
      <c r="M5" s="49">
        <v>1327</v>
      </c>
      <c r="N5" s="49">
        <v>1327</v>
      </c>
      <c r="O5" s="49">
        <v>135</v>
      </c>
      <c r="P5" s="49">
        <v>1</v>
      </c>
      <c r="Q5" s="65">
        <v>1</v>
      </c>
      <c r="R5" s="66">
        <f t="shared" si="19"/>
        <v>2.0000000000000001E-9</v>
      </c>
      <c r="S5" s="49">
        <f t="shared" si="1"/>
        <v>1327</v>
      </c>
      <c r="T5">
        <f t="shared" si="1"/>
        <v>1327</v>
      </c>
      <c r="U5">
        <f t="shared" si="1"/>
        <v>135</v>
      </c>
      <c r="V5">
        <v>1250</v>
      </c>
      <c r="W5">
        <f t="shared" si="0"/>
        <v>19.25</v>
      </c>
      <c r="X5" s="41">
        <f t="shared" si="2"/>
        <v>38.5</v>
      </c>
      <c r="Y5">
        <f t="shared" si="3"/>
        <v>2.7000000000000001E-7</v>
      </c>
      <c r="Z5">
        <f t="shared" si="4"/>
        <v>7.0437160000000003E-12</v>
      </c>
      <c r="AA5">
        <f t="shared" si="5"/>
        <v>2.6540000000000003E-6</v>
      </c>
      <c r="AB5" s="65">
        <f t="shared" si="6"/>
        <v>7.0437160000000003E-12</v>
      </c>
      <c r="AC5">
        <f t="shared" si="7"/>
        <v>88000</v>
      </c>
      <c r="AD5" s="65">
        <f t="shared" si="8"/>
        <v>3.8194444444444435E-8</v>
      </c>
      <c r="AE5" s="41">
        <v>2.0000000000000001E-9</v>
      </c>
      <c r="AF5">
        <v>1000</v>
      </c>
      <c r="AG5" s="65">
        <v>4.1666666666666662E-14</v>
      </c>
      <c r="AH5" s="66">
        <v>10</v>
      </c>
      <c r="AI5" s="66">
        <v>0.67100000000000004</v>
      </c>
      <c r="AJ5" s="89"/>
      <c r="AK5" s="89"/>
      <c r="AL5" s="95"/>
      <c r="AM5" s="95"/>
      <c r="AN5" s="97">
        <v>12.99</v>
      </c>
      <c r="AO5" s="98"/>
      <c r="AP5" s="41">
        <f t="shared" si="9"/>
        <v>5.1960000000000004E-17</v>
      </c>
      <c r="AQ5">
        <f t="shared" si="10"/>
        <v>-16.284330857599009</v>
      </c>
      <c r="AR5" s="41">
        <f t="shared" si="11"/>
        <v>0</v>
      </c>
      <c r="AS5" t="e">
        <f t="shared" si="12"/>
        <v>#NUM!</v>
      </c>
      <c r="AT5" s="41">
        <f t="shared" si="13"/>
        <v>0</v>
      </c>
      <c r="AU5" s="65" t="e">
        <f t="shared" si="14"/>
        <v>#NUM!</v>
      </c>
      <c r="AV5" s="41" t="e">
        <f t="shared" si="15"/>
        <v>#DIV/0!</v>
      </c>
      <c r="AW5" s="69" t="e">
        <f t="shared" si="16"/>
        <v>#DIV/0!</v>
      </c>
      <c r="AX5" s="67">
        <f t="shared" si="17"/>
        <v>0</v>
      </c>
    </row>
    <row r="6" spans="1:50" s="48" customFormat="1" ht="15.75" thickBot="1" x14ac:dyDescent="0.3">
      <c r="A6" s="64"/>
      <c r="B6" s="48" t="s">
        <v>140</v>
      </c>
      <c r="C6" s="64">
        <v>15</v>
      </c>
      <c r="D6" s="48">
        <v>0.57099999999999995</v>
      </c>
      <c r="E6" s="48">
        <v>0.42799999999999999</v>
      </c>
      <c r="F6" s="48">
        <v>0</v>
      </c>
      <c r="G6" s="64">
        <v>0</v>
      </c>
      <c r="H6" s="48">
        <v>4</v>
      </c>
      <c r="I6" s="85">
        <f t="shared" si="18"/>
        <v>8.0000000000000005E-9</v>
      </c>
      <c r="J6" s="86">
        <v>2.0000000000000001E-9</v>
      </c>
      <c r="K6" s="48" t="s">
        <v>141</v>
      </c>
      <c r="L6" s="64">
        <v>0.70399999999999996</v>
      </c>
      <c r="M6" s="48">
        <v>1351</v>
      </c>
      <c r="N6" s="48">
        <v>1351</v>
      </c>
      <c r="O6" s="48">
        <v>152</v>
      </c>
      <c r="P6" s="48">
        <v>1</v>
      </c>
      <c r="Q6" s="64">
        <v>1</v>
      </c>
      <c r="R6" s="87">
        <f t="shared" si="19"/>
        <v>2.0000000000000001E-9</v>
      </c>
      <c r="S6" s="88">
        <f t="shared" si="1"/>
        <v>1351</v>
      </c>
      <c r="T6" s="48">
        <f t="shared" si="1"/>
        <v>1351</v>
      </c>
      <c r="U6" s="48">
        <f t="shared" si="1"/>
        <v>152</v>
      </c>
      <c r="V6" s="48">
        <v>1250</v>
      </c>
      <c r="W6" s="48">
        <f t="shared" si="0"/>
        <v>25.25</v>
      </c>
      <c r="X6" s="41">
        <f t="shared" si="2"/>
        <v>50.5</v>
      </c>
      <c r="Y6" s="48">
        <f t="shared" si="3"/>
        <v>3.0400000000000002E-7</v>
      </c>
      <c r="Z6" s="48">
        <f t="shared" si="4"/>
        <v>7.3008040000000004E-12</v>
      </c>
      <c r="AA6" s="48">
        <f t="shared" si="5"/>
        <v>2.7020000000000001E-6</v>
      </c>
      <c r="AB6" s="64">
        <f t="shared" si="6"/>
        <v>7.3008040000000004E-12</v>
      </c>
      <c r="AC6" s="48">
        <f t="shared" si="7"/>
        <v>88000</v>
      </c>
      <c r="AD6" s="64">
        <f t="shared" si="8"/>
        <v>3.8194444444444435E-8</v>
      </c>
      <c r="AE6" s="41">
        <v>2.0000000000000001E-9</v>
      </c>
      <c r="AF6">
        <v>1000</v>
      </c>
      <c r="AG6" s="65">
        <v>4.1666666666666662E-14</v>
      </c>
      <c r="AH6" s="87">
        <v>15</v>
      </c>
      <c r="AI6" s="87">
        <v>0.72099999999999997</v>
      </c>
      <c r="AN6" s="48">
        <v>38.669800000000002</v>
      </c>
      <c r="AO6" s="64"/>
      <c r="AP6" s="41">
        <f t="shared" si="9"/>
        <v>1.5467920000000003E-16</v>
      </c>
      <c r="AQ6">
        <f t="shared" si="10"/>
        <v>-15.810568082761915</v>
      </c>
      <c r="AR6" s="41">
        <f t="shared" si="11"/>
        <v>0</v>
      </c>
      <c r="AS6" t="e">
        <f t="shared" si="12"/>
        <v>#NUM!</v>
      </c>
      <c r="AT6" s="41">
        <f t="shared" si="13"/>
        <v>0</v>
      </c>
      <c r="AU6" s="65" t="e">
        <f t="shared" si="14"/>
        <v>#NUM!</v>
      </c>
      <c r="AV6" s="41" t="e">
        <f t="shared" si="15"/>
        <v>#DIV/0!</v>
      </c>
      <c r="AW6" s="69" t="e">
        <f t="shared" si="16"/>
        <v>#DIV/0!</v>
      </c>
      <c r="AX6" s="67">
        <f t="shared" si="17"/>
        <v>0</v>
      </c>
    </row>
    <row r="7" spans="1:50" ht="15.75" thickBot="1" x14ac:dyDescent="0.3">
      <c r="A7" s="65" t="s">
        <v>146</v>
      </c>
      <c r="B7" s="92" t="s">
        <v>148</v>
      </c>
      <c r="C7" s="65">
        <v>0</v>
      </c>
      <c r="D7" s="49">
        <v>0.30499999999999999</v>
      </c>
      <c r="E7" s="49">
        <v>0.41699999999999998</v>
      </c>
      <c r="F7" s="49">
        <v>0.27700000000000002</v>
      </c>
      <c r="G7" s="65">
        <v>0</v>
      </c>
      <c r="H7" s="49">
        <v>0</v>
      </c>
      <c r="I7" s="41">
        <f t="shared" si="18"/>
        <v>0</v>
      </c>
      <c r="J7" s="69">
        <v>2.0000000000000001E-9</v>
      </c>
      <c r="K7" s="49" t="s">
        <v>147</v>
      </c>
      <c r="L7" s="65">
        <v>0.247</v>
      </c>
      <c r="M7" s="49">
        <v>1255</v>
      </c>
      <c r="N7" s="49">
        <v>1255</v>
      </c>
      <c r="O7" s="49">
        <v>99</v>
      </c>
      <c r="P7" s="49">
        <v>1</v>
      </c>
      <c r="Q7" s="65">
        <v>1</v>
      </c>
      <c r="R7" s="66">
        <f t="shared" si="19"/>
        <v>2.0000000000000001E-9</v>
      </c>
      <c r="S7" s="49">
        <f t="shared" si="1"/>
        <v>1255</v>
      </c>
      <c r="T7">
        <f t="shared" si="1"/>
        <v>1255</v>
      </c>
      <c r="U7">
        <f t="shared" si="1"/>
        <v>99</v>
      </c>
      <c r="V7" s="49">
        <v>1250</v>
      </c>
      <c r="W7" s="49">
        <f t="shared" si="0"/>
        <v>1.25</v>
      </c>
      <c r="X7" s="41">
        <f t="shared" si="2"/>
        <v>2.5</v>
      </c>
      <c r="Y7">
        <f t="shared" si="3"/>
        <v>1.98E-7</v>
      </c>
      <c r="Z7">
        <f t="shared" si="4"/>
        <v>6.3001000000000006E-12</v>
      </c>
      <c r="AA7">
        <f t="shared" si="5"/>
        <v>2.5100000000000001E-6</v>
      </c>
      <c r="AB7" s="65">
        <f t="shared" si="6"/>
        <v>6.3001000000000006E-12</v>
      </c>
      <c r="AC7">
        <f t="shared" si="7"/>
        <v>88000</v>
      </c>
      <c r="AD7" s="65">
        <f t="shared" si="8"/>
        <v>3.8194444444444435E-8</v>
      </c>
      <c r="AE7" s="41">
        <v>2.0000000000000001E-9</v>
      </c>
      <c r="AF7">
        <v>1000</v>
      </c>
      <c r="AG7" s="65">
        <v>4.1666666666666662E-14</v>
      </c>
      <c r="AH7" s="66">
        <v>0</v>
      </c>
      <c r="AI7" s="66">
        <v>0.247</v>
      </c>
      <c r="AN7">
        <v>1.1977192399999999E-2</v>
      </c>
      <c r="AP7" s="41">
        <f t="shared" si="9"/>
        <v>4.7908769599999999E-20</v>
      </c>
      <c r="AQ7">
        <f t="shared" si="10"/>
        <v>-19.319584982612785</v>
      </c>
      <c r="AR7" s="41">
        <f t="shared" si="11"/>
        <v>0</v>
      </c>
      <c r="AS7" t="e">
        <f t="shared" si="12"/>
        <v>#NUM!</v>
      </c>
      <c r="AT7" s="41">
        <f t="shared" si="13"/>
        <v>0</v>
      </c>
      <c r="AU7" s="65" t="e">
        <f t="shared" si="14"/>
        <v>#NUM!</v>
      </c>
      <c r="AV7" s="41" t="e">
        <f t="shared" si="15"/>
        <v>#DIV/0!</v>
      </c>
      <c r="AW7" s="69" t="e">
        <f t="shared" si="16"/>
        <v>#DIV/0!</v>
      </c>
      <c r="AX7" s="67">
        <f t="shared" si="17"/>
        <v>0</v>
      </c>
    </row>
    <row r="8" spans="1:50" ht="15.75" thickBot="1" x14ac:dyDescent="0.3">
      <c r="B8" s="92" t="s">
        <v>149</v>
      </c>
      <c r="C8" s="65">
        <v>0</v>
      </c>
      <c r="D8" s="49">
        <v>0.24299999999999999</v>
      </c>
      <c r="E8" s="49">
        <v>0.45400000000000001</v>
      </c>
      <c r="F8" s="49">
        <v>0.30199999999999999</v>
      </c>
      <c r="G8" s="65">
        <v>0</v>
      </c>
      <c r="H8" s="49">
        <v>1</v>
      </c>
      <c r="I8" s="41">
        <f t="shared" si="18"/>
        <v>2.0000000000000001E-9</v>
      </c>
      <c r="J8" s="69">
        <v>2.0000000000000001E-9</v>
      </c>
      <c r="K8" s="49" t="s">
        <v>150</v>
      </c>
      <c r="L8" s="65">
        <v>0.34399999999999997</v>
      </c>
      <c r="M8" s="49">
        <v>1279</v>
      </c>
      <c r="N8" s="49">
        <v>1279</v>
      </c>
      <c r="O8" s="49">
        <v>101</v>
      </c>
      <c r="P8" s="49">
        <v>1</v>
      </c>
      <c r="Q8" s="65">
        <v>1</v>
      </c>
      <c r="R8" s="66">
        <f t="shared" si="19"/>
        <v>2.0000000000000001E-9</v>
      </c>
      <c r="S8" s="49">
        <f t="shared" si="1"/>
        <v>1279</v>
      </c>
      <c r="T8">
        <f t="shared" si="1"/>
        <v>1279</v>
      </c>
      <c r="U8">
        <f t="shared" si="1"/>
        <v>101</v>
      </c>
      <c r="V8" s="49">
        <v>1250</v>
      </c>
      <c r="W8" s="49">
        <f t="shared" si="0"/>
        <v>7.25</v>
      </c>
      <c r="X8" s="41">
        <f t="shared" si="2"/>
        <v>14.5</v>
      </c>
      <c r="Y8">
        <f t="shared" si="3"/>
        <v>2.0200000000000001E-7</v>
      </c>
      <c r="Z8">
        <f t="shared" si="4"/>
        <v>6.5433640000000008E-12</v>
      </c>
      <c r="AA8">
        <f t="shared" si="5"/>
        <v>2.5580000000000003E-6</v>
      </c>
      <c r="AB8" s="65">
        <f t="shared" si="6"/>
        <v>6.5433640000000008E-12</v>
      </c>
      <c r="AC8">
        <f t="shared" si="7"/>
        <v>88000</v>
      </c>
      <c r="AD8" s="65">
        <f t="shared" si="8"/>
        <v>3.8194444444444435E-8</v>
      </c>
      <c r="AE8" s="41">
        <v>2.0000000000000001E-9</v>
      </c>
      <c r="AF8">
        <v>1000</v>
      </c>
      <c r="AG8" s="65">
        <v>4.1666666666666662E-14</v>
      </c>
      <c r="AH8" s="66">
        <v>3</v>
      </c>
      <c r="AI8" s="66">
        <v>0.372</v>
      </c>
      <c r="AN8">
        <v>0.16157930000000001</v>
      </c>
      <c r="AP8" s="41">
        <f t="shared" si="9"/>
        <v>6.4631720000000012E-19</v>
      </c>
      <c r="AQ8">
        <f t="shared" si="10"/>
        <v>-18.189554286339909</v>
      </c>
      <c r="AR8" s="41">
        <f t="shared" si="11"/>
        <v>0</v>
      </c>
      <c r="AS8" t="e">
        <f t="shared" si="12"/>
        <v>#NUM!</v>
      </c>
      <c r="AT8" s="41">
        <f t="shared" si="13"/>
        <v>0</v>
      </c>
      <c r="AU8" s="65" t="e">
        <f t="shared" si="14"/>
        <v>#NUM!</v>
      </c>
      <c r="AV8" s="41" t="e">
        <f t="shared" si="15"/>
        <v>#DIV/0!</v>
      </c>
      <c r="AW8" s="69" t="e">
        <f t="shared" si="16"/>
        <v>#DIV/0!</v>
      </c>
      <c r="AX8" s="67">
        <f t="shared" si="17"/>
        <v>0</v>
      </c>
    </row>
    <row r="9" spans="1:50" ht="15.75" thickBot="1" x14ac:dyDescent="0.3">
      <c r="B9" s="92" t="s">
        <v>151</v>
      </c>
      <c r="C9" s="65">
        <v>0</v>
      </c>
      <c r="D9" s="49">
        <v>0.36599999999999999</v>
      </c>
      <c r="E9" s="49">
        <v>0.38</v>
      </c>
      <c r="F9" s="49">
        <v>0.253</v>
      </c>
      <c r="G9" s="65">
        <v>0</v>
      </c>
      <c r="H9" s="49">
        <v>2</v>
      </c>
      <c r="I9" s="41">
        <f t="shared" si="18"/>
        <v>4.0000000000000002E-9</v>
      </c>
      <c r="J9" s="69">
        <v>2.0000000000000001E-9</v>
      </c>
      <c r="K9" s="49" t="s">
        <v>152</v>
      </c>
      <c r="L9" s="65">
        <v>0.40899999999999997</v>
      </c>
      <c r="M9" s="49">
        <v>1303</v>
      </c>
      <c r="N9" s="49">
        <v>1303</v>
      </c>
      <c r="O9" s="49">
        <v>103</v>
      </c>
      <c r="P9" s="49">
        <v>1</v>
      </c>
      <c r="Q9" s="65">
        <v>1</v>
      </c>
      <c r="R9" s="66">
        <f t="shared" si="19"/>
        <v>2.0000000000000001E-9</v>
      </c>
      <c r="S9" s="49">
        <f t="shared" si="1"/>
        <v>1303</v>
      </c>
      <c r="T9">
        <f t="shared" si="1"/>
        <v>1303</v>
      </c>
      <c r="U9">
        <f t="shared" si="1"/>
        <v>103</v>
      </c>
      <c r="V9" s="49">
        <v>1250</v>
      </c>
      <c r="W9" s="49">
        <f t="shared" si="0"/>
        <v>13.25</v>
      </c>
      <c r="X9" s="41">
        <f t="shared" si="2"/>
        <v>26.500000000000004</v>
      </c>
      <c r="Y9">
        <f t="shared" si="3"/>
        <v>2.0600000000000002E-7</v>
      </c>
      <c r="Z9">
        <f t="shared" si="4"/>
        <v>6.7912360000000002E-12</v>
      </c>
      <c r="AA9">
        <f t="shared" si="5"/>
        <v>2.6060000000000001E-6</v>
      </c>
      <c r="AB9" s="65">
        <f t="shared" si="6"/>
        <v>6.7912360000000002E-12</v>
      </c>
      <c r="AC9">
        <f t="shared" si="7"/>
        <v>88000</v>
      </c>
      <c r="AD9" s="65">
        <f t="shared" si="8"/>
        <v>3.8194444444444435E-8</v>
      </c>
      <c r="AE9" s="41">
        <v>2.0000000000000001E-9</v>
      </c>
      <c r="AF9">
        <v>1000</v>
      </c>
      <c r="AG9" s="65">
        <v>4.1666666666666662E-14</v>
      </c>
      <c r="AH9" s="66">
        <v>6</v>
      </c>
      <c r="AI9" s="66">
        <v>0.45</v>
      </c>
      <c r="AN9">
        <v>0.68489</v>
      </c>
      <c r="AP9" s="41">
        <f t="shared" si="9"/>
        <v>2.7395600000000003E-18</v>
      </c>
      <c r="AQ9">
        <f t="shared" si="10"/>
        <v>-17.562319183499554</v>
      </c>
      <c r="AR9" s="41">
        <f t="shared" si="11"/>
        <v>0</v>
      </c>
      <c r="AS9" t="e">
        <f t="shared" si="12"/>
        <v>#NUM!</v>
      </c>
      <c r="AT9" s="41">
        <f t="shared" si="13"/>
        <v>0</v>
      </c>
      <c r="AU9" s="65" t="e">
        <f t="shared" si="14"/>
        <v>#NUM!</v>
      </c>
      <c r="AV9" s="41" t="e">
        <f>SQRT(2*AM9^2+AO9^2)/AO9</f>
        <v>#DIV/0!</v>
      </c>
      <c r="AW9" s="69" t="e">
        <f>SQRT(2*AM9^2+AO9^2)/AM9</f>
        <v>#DIV/0!</v>
      </c>
      <c r="AX9" s="67">
        <f t="shared" si="17"/>
        <v>0</v>
      </c>
    </row>
    <row r="10" spans="1:50" x14ac:dyDescent="0.25">
      <c r="B10" s="108" t="s">
        <v>176</v>
      </c>
      <c r="C10" s="109">
        <v>0</v>
      </c>
      <c r="D10" s="108">
        <v>0.17799999999999999</v>
      </c>
      <c r="E10" s="108">
        <v>0.49299999999999999</v>
      </c>
      <c r="F10" s="108">
        <v>0.32800000000000001</v>
      </c>
      <c r="G10" s="109">
        <v>0</v>
      </c>
      <c r="H10" s="108">
        <v>3</v>
      </c>
      <c r="I10" s="110">
        <f t="shared" si="18"/>
        <v>6.0000000000000008E-9</v>
      </c>
      <c r="J10" s="111">
        <v>2.0000000000000001E-9</v>
      </c>
      <c r="K10" s="108" t="s">
        <v>177</v>
      </c>
      <c r="L10" s="109">
        <v>0.45800000000000002</v>
      </c>
      <c r="M10" s="112">
        <v>1327</v>
      </c>
      <c r="N10" s="112">
        <v>1327</v>
      </c>
      <c r="O10" s="112">
        <v>105</v>
      </c>
      <c r="P10" s="112">
        <v>1</v>
      </c>
      <c r="Q10" s="65">
        <v>1</v>
      </c>
      <c r="R10" s="66">
        <f t="shared" si="19"/>
        <v>2.0000000000000001E-9</v>
      </c>
      <c r="S10" s="49">
        <f t="shared" si="1"/>
        <v>1327</v>
      </c>
      <c r="T10">
        <f t="shared" si="1"/>
        <v>1327</v>
      </c>
      <c r="U10">
        <f t="shared" si="1"/>
        <v>105</v>
      </c>
      <c r="V10" s="49">
        <v>1250</v>
      </c>
      <c r="W10" s="49">
        <f t="shared" si="0"/>
        <v>19.25</v>
      </c>
      <c r="X10" s="41">
        <f t="shared" si="2"/>
        <v>38.5</v>
      </c>
      <c r="Y10">
        <f t="shared" si="3"/>
        <v>2.1E-7</v>
      </c>
      <c r="Z10">
        <f t="shared" si="4"/>
        <v>7.0437160000000003E-12</v>
      </c>
      <c r="AA10">
        <f t="shared" si="5"/>
        <v>2.6540000000000003E-6</v>
      </c>
      <c r="AB10" s="65">
        <f t="shared" si="6"/>
        <v>7.0437160000000003E-12</v>
      </c>
      <c r="AC10">
        <f t="shared" si="7"/>
        <v>88000</v>
      </c>
      <c r="AD10" s="65">
        <f t="shared" si="8"/>
        <v>3.8194444444444435E-8</v>
      </c>
      <c r="AE10" s="41">
        <v>2.0000000000000001E-9</v>
      </c>
      <c r="AF10">
        <v>1000</v>
      </c>
      <c r="AG10" s="65">
        <v>4.1666666666666662E-14</v>
      </c>
      <c r="AH10" s="66">
        <v>9</v>
      </c>
      <c r="AI10" s="66">
        <v>0.505</v>
      </c>
      <c r="AN10">
        <v>1.6629</v>
      </c>
      <c r="AP10" s="41">
        <f>AN10*AE10^2</f>
        <v>6.6516000000000009E-18</v>
      </c>
      <c r="AQ10">
        <f t="shared" si="10"/>
        <v>-17.177073875359913</v>
      </c>
      <c r="AR10" s="41">
        <f t="shared" si="11"/>
        <v>0</v>
      </c>
      <c r="AS10" t="e">
        <f t="shared" si="12"/>
        <v>#NUM!</v>
      </c>
      <c r="AT10" s="41">
        <f t="shared" si="13"/>
        <v>0</v>
      </c>
      <c r="AU10" s="65" t="e">
        <f t="shared" si="14"/>
        <v>#NUM!</v>
      </c>
      <c r="AV10" s="41" t="e">
        <f t="shared" si="15"/>
        <v>#DIV/0!</v>
      </c>
      <c r="AW10" s="69" t="e">
        <f t="shared" si="16"/>
        <v>#DIV/0!</v>
      </c>
      <c r="AX10" s="67">
        <f>AL10/AN10</f>
        <v>0</v>
      </c>
    </row>
    <row r="11" spans="1:50" x14ac:dyDescent="0.25">
      <c r="B11" s="108" t="s">
        <v>182</v>
      </c>
      <c r="C11" s="109">
        <v>0</v>
      </c>
      <c r="D11" s="108">
        <v>0.28899999999999998</v>
      </c>
      <c r="E11" s="108">
        <v>0.42599999999999999</v>
      </c>
      <c r="F11" s="108">
        <v>0.28299999999999997</v>
      </c>
      <c r="G11" s="109">
        <v>0</v>
      </c>
      <c r="H11" s="108">
        <v>5</v>
      </c>
      <c r="I11" s="110">
        <f t="shared" si="18"/>
        <v>1E-8</v>
      </c>
      <c r="J11" s="111">
        <v>2.0000000000000001E-9</v>
      </c>
      <c r="K11" s="108" t="s">
        <v>181</v>
      </c>
      <c r="L11" s="109">
        <v>0.52900000000000003</v>
      </c>
      <c r="M11" s="112">
        <v>1375</v>
      </c>
      <c r="N11" s="112">
        <v>1375</v>
      </c>
      <c r="O11" s="112">
        <v>109</v>
      </c>
      <c r="P11" s="112">
        <v>1</v>
      </c>
      <c r="Q11" s="65">
        <v>1</v>
      </c>
      <c r="R11" s="66">
        <f t="shared" si="19"/>
        <v>2.0000000000000001E-9</v>
      </c>
      <c r="S11" s="49">
        <f t="shared" si="1"/>
        <v>1375</v>
      </c>
      <c r="T11">
        <f t="shared" si="1"/>
        <v>1375</v>
      </c>
      <c r="U11">
        <f t="shared" si="1"/>
        <v>109</v>
      </c>
      <c r="V11" s="49">
        <v>1250</v>
      </c>
      <c r="W11" s="49">
        <f t="shared" si="0"/>
        <v>31.25</v>
      </c>
      <c r="X11" s="41">
        <f t="shared" si="2"/>
        <v>62.500000000000007</v>
      </c>
      <c r="Y11">
        <f t="shared" si="3"/>
        <v>2.1800000000000002E-7</v>
      </c>
      <c r="Z11">
        <f t="shared" si="4"/>
        <v>7.5624999999999997E-12</v>
      </c>
      <c r="AA11">
        <f t="shared" si="5"/>
        <v>2.7500000000000004E-6</v>
      </c>
      <c r="AB11" s="65">
        <f t="shared" si="6"/>
        <v>7.5624999999999997E-12</v>
      </c>
      <c r="AC11">
        <f t="shared" si="7"/>
        <v>88000</v>
      </c>
      <c r="AD11" s="65">
        <f t="shared" si="8"/>
        <v>3.8194444444444435E-8</v>
      </c>
      <c r="AE11" s="41">
        <v>2.0000000000000001E-9</v>
      </c>
      <c r="AF11">
        <v>1000</v>
      </c>
      <c r="AG11" s="65">
        <v>4.1666666666666662E-14</v>
      </c>
      <c r="AH11" s="66">
        <v>12</v>
      </c>
      <c r="AI11" s="66">
        <v>0.58399999999999996</v>
      </c>
      <c r="AN11">
        <v>7.7862999999999998</v>
      </c>
      <c r="AP11" s="41">
        <f>AN11*AE11^2</f>
        <v>3.11452E-17</v>
      </c>
      <c r="AQ11">
        <f t="shared" si="10"/>
        <v>-16.506608875943556</v>
      </c>
      <c r="AX11" s="66">
        <f>AL11/AN11</f>
        <v>0</v>
      </c>
    </row>
    <row r="17" spans="10:10" x14ac:dyDescent="0.25">
      <c r="J17" s="6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48F9-1718-4EB2-85C6-D6BCA66DC3B9}">
  <dimension ref="A1:AO38"/>
  <sheetViews>
    <sheetView topLeftCell="AF1" zoomScaleNormal="100" workbookViewId="0">
      <selection activeCell="AO13" sqref="AO13:AO17"/>
    </sheetView>
  </sheetViews>
  <sheetFormatPr defaultRowHeight="15" x14ac:dyDescent="0.25"/>
  <cols>
    <col min="1" max="1" width="12" bestFit="1" customWidth="1"/>
    <col min="2" max="2" width="11" bestFit="1" customWidth="1"/>
    <col min="3" max="3" width="20.28515625" bestFit="1" customWidth="1"/>
    <col min="4" max="4" width="20.5703125" bestFit="1" customWidth="1"/>
    <col min="5" max="5" width="8.28515625" bestFit="1" customWidth="1"/>
    <col min="6" max="6" width="11.28515625" bestFit="1" customWidth="1"/>
    <col min="7" max="7" width="12" bestFit="1" customWidth="1"/>
    <col min="8" max="8" width="12.7109375" bestFit="1" customWidth="1"/>
    <col min="9" max="9" width="9.7109375" bestFit="1" customWidth="1"/>
    <col min="10" max="10" width="12.7109375" bestFit="1" customWidth="1"/>
    <col min="11" max="11" width="12.28515625" bestFit="1" customWidth="1"/>
    <col min="12" max="12" width="12" bestFit="1" customWidth="1"/>
    <col min="13" max="13" width="15.42578125" bestFit="1" customWidth="1"/>
    <col min="14" max="14" width="15.140625" bestFit="1" customWidth="1"/>
    <col min="15" max="16" width="12" bestFit="1" customWidth="1"/>
    <col min="17" max="17" width="12.140625" bestFit="1" customWidth="1"/>
    <col min="18" max="18" width="12.42578125" bestFit="1" customWidth="1"/>
    <col min="19" max="20" width="12" bestFit="1" customWidth="1"/>
    <col min="21" max="21" width="10" bestFit="1" customWidth="1"/>
    <col min="22" max="22" width="15.42578125" bestFit="1" customWidth="1"/>
    <col min="23" max="27" width="12" bestFit="1" customWidth="1"/>
    <col min="29" max="29" width="13.7109375" bestFit="1" customWidth="1"/>
  </cols>
  <sheetData>
    <row r="1" spans="1:41" x14ac:dyDescent="0.25">
      <c r="A1" s="75" t="s">
        <v>80</v>
      </c>
      <c r="B1" s="75" t="s">
        <v>174</v>
      </c>
      <c r="AA1" s="29"/>
      <c r="AB1" s="29"/>
      <c r="AC1" s="29"/>
      <c r="AD1" s="29"/>
      <c r="AE1" s="29"/>
    </row>
    <row r="2" spans="1:41" ht="15.75" thickBot="1" x14ac:dyDescent="0.3">
      <c r="A2" s="99"/>
      <c r="B2" s="99"/>
      <c r="C2" s="99"/>
      <c r="D2" s="99"/>
      <c r="E2" s="100"/>
      <c r="F2" s="100"/>
      <c r="G2" s="101"/>
      <c r="H2" s="102"/>
      <c r="I2" s="103"/>
      <c r="J2" s="103"/>
      <c r="K2" s="104"/>
      <c r="L2" s="104"/>
      <c r="M2" s="103"/>
      <c r="N2" s="103"/>
      <c r="O2" s="104"/>
      <c r="P2" s="102"/>
      <c r="Q2" s="102"/>
      <c r="R2" s="104"/>
      <c r="T2" s="99"/>
      <c r="U2" s="99"/>
      <c r="W2" s="104"/>
      <c r="X2" s="100"/>
      <c r="Y2" s="104"/>
      <c r="AA2" s="29"/>
      <c r="AB2" s="29"/>
      <c r="AC2" s="29"/>
      <c r="AD2" s="29"/>
      <c r="AE2" s="29"/>
    </row>
    <row r="3" spans="1:41" x14ac:dyDescent="0.25">
      <c r="A3" s="50" t="s">
        <v>153</v>
      </c>
      <c r="B3" s="78" t="s">
        <v>154</v>
      </c>
      <c r="C3" s="78" t="s">
        <v>155</v>
      </c>
      <c r="D3" s="78" t="s">
        <v>156</v>
      </c>
      <c r="E3" s="78" t="s">
        <v>42</v>
      </c>
      <c r="F3" s="78" t="s">
        <v>64</v>
      </c>
      <c r="G3" s="78" t="s">
        <v>157</v>
      </c>
      <c r="H3" s="78" t="s">
        <v>158</v>
      </c>
      <c r="I3" s="78" t="s">
        <v>159</v>
      </c>
      <c r="J3" s="51" t="s">
        <v>160</v>
      </c>
      <c r="K3" t="s">
        <v>161</v>
      </c>
      <c r="L3" t="s">
        <v>162</v>
      </c>
      <c r="M3" t="s">
        <v>163</v>
      </c>
      <c r="N3" t="s">
        <v>164</v>
      </c>
      <c r="O3" t="s">
        <v>165</v>
      </c>
      <c r="P3" t="s">
        <v>166</v>
      </c>
      <c r="Q3" t="s">
        <v>167</v>
      </c>
      <c r="R3" t="s">
        <v>168</v>
      </c>
      <c r="S3" t="s">
        <v>169</v>
      </c>
      <c r="T3" t="s">
        <v>153</v>
      </c>
      <c r="U3" t="s">
        <v>154</v>
      </c>
      <c r="V3" t="s">
        <v>163</v>
      </c>
      <c r="W3" t="s">
        <v>170</v>
      </c>
      <c r="X3" t="s">
        <v>171</v>
      </c>
      <c r="Y3" t="s">
        <v>172</v>
      </c>
      <c r="Z3" t="s">
        <v>173</v>
      </c>
      <c r="AB3" t="s">
        <v>38</v>
      </c>
      <c r="AC3" t="s">
        <v>189</v>
      </c>
      <c r="AD3" s="49" t="s">
        <v>183</v>
      </c>
      <c r="AE3" s="49" t="s">
        <v>184</v>
      </c>
      <c r="AF3" s="49" t="s">
        <v>185</v>
      </c>
      <c r="AG3" s="49" t="s">
        <v>166</v>
      </c>
      <c r="AH3" s="49" t="s">
        <v>186</v>
      </c>
      <c r="AI3" s="49" t="s">
        <v>187</v>
      </c>
      <c r="AJ3" s="49" t="s">
        <v>188</v>
      </c>
      <c r="AM3" t="s">
        <v>42</v>
      </c>
      <c r="AN3" t="s">
        <v>166</v>
      </c>
      <c r="AO3" t="s">
        <v>188</v>
      </c>
    </row>
    <row r="4" spans="1:41" x14ac:dyDescent="0.25">
      <c r="A4" s="71">
        <v>1.6800000000000002E-7</v>
      </c>
      <c r="B4" s="1">
        <v>6.3001000000000006E-12</v>
      </c>
      <c r="C4" s="1">
        <f>0.8*0.0000001+0.2*0.000002</f>
        <v>4.7999999999999996E-7</v>
      </c>
      <c r="D4" s="1">
        <f>0.8*0.000000002+0.2*0.000000057</f>
        <v>1.3000000000000001E-8</v>
      </c>
      <c r="E4" s="1">
        <v>0.32200000000000001</v>
      </c>
      <c r="F4" s="1">
        <v>0</v>
      </c>
      <c r="G4" s="1">
        <v>7.0876960000000007E-21</v>
      </c>
      <c r="H4" s="1">
        <f>LOG10(G4)</f>
        <v>-20.149494918146093</v>
      </c>
      <c r="I4" s="1">
        <v>8.8999999999999995E-4</v>
      </c>
      <c r="J4" s="56">
        <v>88000</v>
      </c>
      <c r="K4" s="41">
        <f>(G4*J4)/(A4*I4)</f>
        <v>4.1714636704119853E-6</v>
      </c>
      <c r="L4">
        <f>(K4*A4*I4)/J4</f>
        <v>7.0876960000000007E-21</v>
      </c>
      <c r="M4">
        <f>K4*B4</f>
        <v>2.6280638269962551E-17</v>
      </c>
      <c r="N4">
        <v>1000</v>
      </c>
      <c r="O4" s="41">
        <f>(N4*K4*C4)/I4</f>
        <v>2.2497781593233181E-6</v>
      </c>
      <c r="P4">
        <f>SQRT((K4^2+2*R4^2))/K4</f>
        <v>3.6967203043146135</v>
      </c>
      <c r="Q4">
        <v>37.597999999999999</v>
      </c>
      <c r="R4" s="41">
        <f>(Y4*J4)/(I4*T4)</f>
        <v>1.0497569761539907E-5</v>
      </c>
      <c r="S4">
        <f>(R4*I4*T4)/J4</f>
        <v>2.66483194208E-19</v>
      </c>
      <c r="T4">
        <v>2.5100000000000001E-6</v>
      </c>
      <c r="U4">
        <v>6.3001000000000006E-12</v>
      </c>
      <c r="V4">
        <f t="shared" ref="V4:V8" si="0">R4*U4</f>
        <v>6.6135739254677577E-17</v>
      </c>
      <c r="W4" s="41">
        <f>(N4*R4*D4)/I4</f>
        <v>1.5333528865170652E-7</v>
      </c>
      <c r="X4">
        <f>SQRT((2*R4^2+K4^2))/R4</f>
        <v>1.4689813737289854</v>
      </c>
      <c r="Y4">
        <f>Q4*G4</f>
        <v>2.66483194208E-19</v>
      </c>
      <c r="Z4">
        <f>Y4/G4</f>
        <v>37.597999999999999</v>
      </c>
      <c r="AB4">
        <f>0.815*50+0.185*20</f>
        <v>44.45</v>
      </c>
      <c r="AC4">
        <f>RADIANS(F4)</f>
        <v>0</v>
      </c>
      <c r="AD4">
        <f>(8*AB4*COS(AC4))/9</f>
        <v>39.511111111111113</v>
      </c>
      <c r="AE4">
        <f>2*SIN(AC4)/3.14</f>
        <v>0</v>
      </c>
      <c r="AF4">
        <f>((3*3.14)/(8*(1-E4)))-0.5</f>
        <v>1.2367256637168142</v>
      </c>
      <c r="AG4">
        <f>1+(AD4+AE4)/AF4</f>
        <v>32.948161399324192</v>
      </c>
      <c r="AH4">
        <f>(8*AB4*SIN(AC4))/9</f>
        <v>0</v>
      </c>
      <c r="AI4">
        <f>2*COS(AC4)/3.14</f>
        <v>0.63694267515923564</v>
      </c>
      <c r="AJ4">
        <f>1+(AH4+AI4)/AF4</f>
        <v>1.5150234153344804</v>
      </c>
      <c r="AM4">
        <v>0.72099999999999997</v>
      </c>
      <c r="AN4" s="117">
        <v>11.302479668956396</v>
      </c>
      <c r="AO4" s="117">
        <v>3.9140360429257162</v>
      </c>
    </row>
    <row r="5" spans="1:41" x14ac:dyDescent="0.25">
      <c r="A5" s="71">
        <v>2.0200000000000001E-7</v>
      </c>
      <c r="B5" s="1">
        <v>6.5433640000000008E-12</v>
      </c>
      <c r="C5" s="1">
        <f t="shared" ref="C5:C8" si="1">0.8*0.0000001+0.2*0.000002</f>
        <v>4.7999999999999996E-7</v>
      </c>
      <c r="D5" s="1">
        <f t="shared" ref="D5:D8" si="2">0.8*0.000000002+0.2*0.000000057</f>
        <v>1.3000000000000001E-8</v>
      </c>
      <c r="E5" s="1">
        <v>0.497</v>
      </c>
      <c r="F5" s="1">
        <v>3</v>
      </c>
      <c r="G5" s="1">
        <v>6.863172E-19</v>
      </c>
      <c r="H5" s="1">
        <f t="shared" ref="H5:H8" si="3">LOG10(G5)</f>
        <v>-18.163475116989432</v>
      </c>
      <c r="I5" s="1">
        <v>8.8999999999999995E-4</v>
      </c>
      <c r="J5" s="56">
        <v>88000</v>
      </c>
      <c r="K5" s="41">
        <f>(G5*J5)/(A5*I5)</f>
        <v>3.3594345088441428E-4</v>
      </c>
      <c r="L5">
        <f>(K5*A5*I5)/J5</f>
        <v>6.863171999999999E-19</v>
      </c>
      <c r="M5">
        <f>K5*B5</f>
        <v>2.1982002825528447E-15</v>
      </c>
      <c r="N5">
        <v>1000</v>
      </c>
      <c r="O5" s="41">
        <f>(N5*K5*C5)/I5</f>
        <v>1.8118298474665041E-4</v>
      </c>
      <c r="P5">
        <f>SQRT((K5^2+2*R5^2))/K5</f>
        <v>2.9912906133444768</v>
      </c>
      <c r="Q5">
        <v>25.244</v>
      </c>
      <c r="R5" s="41">
        <f>(Y5*J5)/(I5*T5)</f>
        <v>6.6969210624452029E-4</v>
      </c>
      <c r="S5">
        <f>(R5*I5*T5)/J5</f>
        <v>1.7325391396800001E-17</v>
      </c>
      <c r="T5">
        <v>2.5580000000000003E-6</v>
      </c>
      <c r="U5">
        <v>6.5433640000000008E-12</v>
      </c>
      <c r="V5">
        <f t="shared" si="0"/>
        <v>4.3820392190845702E-15</v>
      </c>
      <c r="W5" s="41">
        <f>(N5*R5*D5)/I5</f>
        <v>9.7820195294143411E-6</v>
      </c>
      <c r="X5">
        <f>SQRT((2*R5^2+K5^2))/R5</f>
        <v>1.5005470153745333</v>
      </c>
      <c r="Y5">
        <f>Q5*G5</f>
        <v>1.7325391396800001E-17</v>
      </c>
      <c r="Z5">
        <f>Y5/G5</f>
        <v>25.244000000000003</v>
      </c>
      <c r="AB5">
        <f t="shared" ref="AB5:AB8" si="4">0.815*50+0.185*20</f>
        <v>44.45</v>
      </c>
      <c r="AC5">
        <f t="shared" ref="AC5:AC8" si="5">RADIANS(F5)</f>
        <v>5.235987755982989E-2</v>
      </c>
      <c r="AD5">
        <f t="shared" ref="AD5:AD8" si="6">(8*AB5*COS(AC5))/9</f>
        <v>39.456962506525166</v>
      </c>
      <c r="AE5">
        <f t="shared" ref="AE5:AE8" si="7">2*SIN(AC5)/3.14</f>
        <v>3.3335003976397347E-2</v>
      </c>
      <c r="AF5">
        <f t="shared" ref="AF5:AF8" si="8">((3*3.14)/(8*(1-E5)))-0.5</f>
        <v>1.8409542743538769</v>
      </c>
      <c r="AG5">
        <f t="shared" ref="AG5:AG8" si="9">1+(AD5+AE5)/AF5</f>
        <v>22.450993140153656</v>
      </c>
      <c r="AH5">
        <f t="shared" ref="AH5:AH8" si="10">(8*AB5*SIN(AC5))/9</f>
        <v>2.067851782221203</v>
      </c>
      <c r="AI5">
        <f t="shared" ref="AI5:AI8" si="11">2*COS(AC5)/3.14</f>
        <v>0.63606976735960119</v>
      </c>
      <c r="AJ5">
        <f t="shared" ref="AJ5:AJ8" si="12">1+(AH5+AI5)/AF5</f>
        <v>2.4687608417269375</v>
      </c>
      <c r="AM5">
        <v>0.67100000000000004</v>
      </c>
      <c r="AN5" s="117">
        <v>13.673304904519751</v>
      </c>
      <c r="AO5" s="117">
        <v>3.4320337762136566</v>
      </c>
    </row>
    <row r="6" spans="1:41" x14ac:dyDescent="0.25">
      <c r="A6" s="71">
        <v>2.3600000000000002E-7</v>
      </c>
      <c r="B6" s="1">
        <v>6.7912360000000002E-12</v>
      </c>
      <c r="C6" s="1">
        <f t="shared" si="1"/>
        <v>4.7999999999999996E-7</v>
      </c>
      <c r="D6" s="1">
        <f t="shared" si="2"/>
        <v>1.3000000000000001E-8</v>
      </c>
      <c r="E6" s="1">
        <v>0.60199999999999998</v>
      </c>
      <c r="F6" s="1">
        <v>6</v>
      </c>
      <c r="G6" s="1">
        <v>9.3956000000000011E-18</v>
      </c>
      <c r="H6" s="1">
        <f t="shared" si="3"/>
        <v>-17.027075480771675</v>
      </c>
      <c r="I6" s="1">
        <v>8.8999999999999995E-4</v>
      </c>
      <c r="J6" s="56">
        <v>88000</v>
      </c>
      <c r="K6" s="41">
        <f>(G6*J6)/(A6*I6)</f>
        <v>3.9364540087602363E-3</v>
      </c>
      <c r="L6">
        <f>(K6*A6*I6)/J6</f>
        <v>9.3956000000000011E-18</v>
      </c>
      <c r="M6">
        <f>K6*B6</f>
        <v>2.6733388176636833E-14</v>
      </c>
      <c r="N6">
        <v>1000</v>
      </c>
      <c r="O6" s="41">
        <f>(N6*K6*C6)/I6</f>
        <v>2.1230313755111387E-3</v>
      </c>
      <c r="P6">
        <f>SQRT((K6^2+2*R6^2))/K6</f>
        <v>2.4472072876826441</v>
      </c>
      <c r="Q6">
        <v>17.440000000000001</v>
      </c>
      <c r="R6" s="41">
        <f>(Y6*J6)/(I6*T6)</f>
        <v>6.2171200565678177E-3</v>
      </c>
      <c r="S6">
        <f>(R6*I6*T6)/J6</f>
        <v>1.6385926400000003E-16</v>
      </c>
      <c r="T6">
        <v>2.6060000000000001E-6</v>
      </c>
      <c r="U6">
        <v>6.7912360000000002E-12</v>
      </c>
      <c r="V6">
        <f t="shared" si="0"/>
        <v>4.2221929544485399E-14</v>
      </c>
      <c r="W6" s="41">
        <f>(N6*R6*D6)/I6</f>
        <v>9.0811865994810823E-5</v>
      </c>
      <c r="X6">
        <f>SQRT((2*R6^2+K6^2))/R6</f>
        <v>1.549482533747903</v>
      </c>
      <c r="Y6">
        <f>Q6*G6</f>
        <v>1.6385926400000003E-16</v>
      </c>
      <c r="Z6">
        <f>Y6/G6</f>
        <v>17.440000000000001</v>
      </c>
      <c r="AB6">
        <f t="shared" si="4"/>
        <v>44.45</v>
      </c>
      <c r="AC6">
        <f t="shared" si="5"/>
        <v>0.10471975511965978</v>
      </c>
      <c r="AD6">
        <f t="shared" si="6"/>
        <v>39.294665110328673</v>
      </c>
      <c r="AE6">
        <f t="shared" si="7"/>
        <v>6.6578639023983102E-2</v>
      </c>
      <c r="AF6">
        <f t="shared" si="8"/>
        <v>2.458542713567839</v>
      </c>
      <c r="AG6">
        <f t="shared" si="9"/>
        <v>17.009989792787284</v>
      </c>
      <c r="AH6">
        <f t="shared" si="10"/>
        <v>4.1300357264419532</v>
      </c>
      <c r="AI6">
        <f t="shared" si="11"/>
        <v>0.6334534365403014</v>
      </c>
      <c r="AJ6">
        <f t="shared" si="12"/>
        <v>2.9375254847899206</v>
      </c>
      <c r="AM6">
        <v>0.60199999999999998</v>
      </c>
      <c r="AN6" s="117">
        <v>17.009989792787284</v>
      </c>
      <c r="AO6" s="117">
        <v>2.9375254847899206</v>
      </c>
    </row>
    <row r="7" spans="1:41" x14ac:dyDescent="0.25">
      <c r="A7" s="71">
        <v>2.7000000000000001E-7</v>
      </c>
      <c r="B7" s="1">
        <v>7.0437160000000003E-12</v>
      </c>
      <c r="C7" s="1">
        <f t="shared" si="1"/>
        <v>4.7999999999999996E-7</v>
      </c>
      <c r="D7" s="1">
        <f t="shared" si="2"/>
        <v>1.3000000000000001E-8</v>
      </c>
      <c r="E7" s="1">
        <v>0.67100000000000004</v>
      </c>
      <c r="F7" s="1">
        <v>10</v>
      </c>
      <c r="G7" s="1">
        <v>5.1960000000000004E-17</v>
      </c>
      <c r="H7" s="1">
        <f t="shared" si="3"/>
        <v>-16.284330857599009</v>
      </c>
      <c r="I7" s="1">
        <v>8.8999999999999995E-4</v>
      </c>
      <c r="J7" s="56">
        <v>88000</v>
      </c>
      <c r="K7" s="41">
        <f>(G7*J7)/(A7*I7)</f>
        <v>1.9028214731585519E-2</v>
      </c>
      <c r="L7">
        <f>(K7*A7*I7)/J7</f>
        <v>5.1960000000000004E-17</v>
      </c>
      <c r="M7">
        <f>K7*B7</f>
        <v>1.3402934055630464E-13</v>
      </c>
      <c r="N7">
        <v>1000</v>
      </c>
      <c r="O7" s="41">
        <f>(N7*K7*C7)/I7</f>
        <v>1.0262407945124775E-2</v>
      </c>
      <c r="P7">
        <f>SQRT((K7^2+2*R7^2))/K7</f>
        <v>2.0659113371010944</v>
      </c>
      <c r="Q7">
        <v>12.565</v>
      </c>
      <c r="R7" s="41">
        <f>(Y7*J7)/(I7*T7)</f>
        <v>2.43233496185533E-2</v>
      </c>
      <c r="S7">
        <f>(R7*I7*T7)/J7</f>
        <v>6.5287740000000014E-16</v>
      </c>
      <c r="T7">
        <v>2.6540000000000003E-6</v>
      </c>
      <c r="U7">
        <v>7.0437160000000003E-12</v>
      </c>
      <c r="V7">
        <f t="shared" si="0"/>
        <v>1.7132676688179778E-13</v>
      </c>
      <c r="W7" s="41">
        <f>(N7*R7*D7)/I7</f>
        <v>3.5528488206875613E-4</v>
      </c>
      <c r="X7">
        <f>SQRT((2*R7^2+K7^2))/R7</f>
        <v>1.6161673928656333</v>
      </c>
      <c r="Y7">
        <f>Q7*G7</f>
        <v>6.5287740000000004E-16</v>
      </c>
      <c r="Z7">
        <f>Y7/G7</f>
        <v>12.565</v>
      </c>
      <c r="AB7">
        <f t="shared" si="4"/>
        <v>44.45</v>
      </c>
      <c r="AC7">
        <f t="shared" si="5"/>
        <v>0.17453292519943295</v>
      </c>
      <c r="AD7">
        <f t="shared" si="6"/>
        <v>38.910848552349023</v>
      </c>
      <c r="AE7">
        <f t="shared" si="7"/>
        <v>0.11060393481970085</v>
      </c>
      <c r="AF7">
        <f t="shared" si="8"/>
        <v>3.0790273556231007</v>
      </c>
      <c r="AG7">
        <f t="shared" si="9"/>
        <v>13.673304904519751</v>
      </c>
      <c r="AH7">
        <f t="shared" si="10"/>
        <v>6.8610324420400479</v>
      </c>
      <c r="AI7">
        <f t="shared" si="11"/>
        <v>0.62726608472115153</v>
      </c>
      <c r="AJ7">
        <f t="shared" si="12"/>
        <v>3.4320337762136566</v>
      </c>
      <c r="AM7">
        <v>0.497</v>
      </c>
      <c r="AN7" s="117">
        <v>22.450993140153656</v>
      </c>
      <c r="AO7" s="117">
        <v>2.4687608417269375</v>
      </c>
    </row>
    <row r="8" spans="1:41" ht="15.75" thickBot="1" x14ac:dyDescent="0.3">
      <c r="A8" s="72">
        <v>3.0400000000000002E-7</v>
      </c>
      <c r="B8" s="73">
        <v>7.3008040000000004E-12</v>
      </c>
      <c r="C8" s="1">
        <f t="shared" si="1"/>
        <v>4.7999999999999996E-7</v>
      </c>
      <c r="D8" s="1">
        <f t="shared" si="2"/>
        <v>1.3000000000000001E-8</v>
      </c>
      <c r="E8" s="73">
        <v>0.72099999999999997</v>
      </c>
      <c r="F8" s="73">
        <v>15</v>
      </c>
      <c r="G8" s="73">
        <v>1.5467920000000003E-16</v>
      </c>
      <c r="H8" s="73">
        <f t="shared" si="3"/>
        <v>-15.810568082761915</v>
      </c>
      <c r="I8" s="73">
        <v>8.8999999999999995E-4</v>
      </c>
      <c r="J8" s="57">
        <v>88000</v>
      </c>
      <c r="K8" s="41">
        <f>(G8*J8)/(A8*I8)</f>
        <v>5.0309615612063881E-2</v>
      </c>
      <c r="L8">
        <f>(K8*A8*I8)/J8</f>
        <v>1.5467920000000005E-16</v>
      </c>
      <c r="M8">
        <f>K8*B8</f>
        <v>3.6730064289901843E-13</v>
      </c>
      <c r="N8">
        <v>1000</v>
      </c>
      <c r="O8" s="41">
        <f>(N8*K8*C8)/I8</f>
        <v>2.7133275835719842E-2</v>
      </c>
      <c r="P8">
        <f>SQRT((K8^2+2*R8^2))/K8</f>
        <v>1.7432207776071647</v>
      </c>
      <c r="Q8">
        <v>8.9740000000000002</v>
      </c>
      <c r="R8" s="41">
        <f>(Y8*J8)/(I8*T8)</f>
        <v>5.0795507443674691E-2</v>
      </c>
      <c r="S8">
        <f>(R8*I8*T8)/J8</f>
        <v>1.3880911408000002E-15</v>
      </c>
      <c r="T8">
        <v>2.7020000000000001E-6</v>
      </c>
      <c r="U8">
        <v>7.3008040000000004E-12</v>
      </c>
      <c r="V8">
        <f t="shared" si="0"/>
        <v>3.7084804392680997E-13</v>
      </c>
      <c r="W8" s="41">
        <f>(N8*R8*D8)/I8</f>
        <v>7.4195685030086639E-4</v>
      </c>
      <c r="X8">
        <f>SQRT((2*R8^2+K8^2))/R8</f>
        <v>1.7265457451257431</v>
      </c>
      <c r="Y8">
        <f>Q8*G8</f>
        <v>1.3880911408000002E-15</v>
      </c>
      <c r="Z8">
        <f>Y8/G8</f>
        <v>8.9740000000000002</v>
      </c>
      <c r="AB8">
        <f t="shared" si="4"/>
        <v>44.45</v>
      </c>
      <c r="AC8">
        <f t="shared" si="5"/>
        <v>0.26179938779914941</v>
      </c>
      <c r="AD8">
        <f t="shared" si="6"/>
        <v>38.164802647599195</v>
      </c>
      <c r="AE8">
        <f t="shared" si="7"/>
        <v>0.16485289496975844</v>
      </c>
      <c r="AF8">
        <f t="shared" si="8"/>
        <v>3.7204301075268811</v>
      </c>
      <c r="AG8">
        <f t="shared" si="9"/>
        <v>11.302479668956396</v>
      </c>
      <c r="AH8">
        <f t="shared" si="10"/>
        <v>10.226228048717376</v>
      </c>
      <c r="AI8">
        <f t="shared" si="11"/>
        <v>0.61523937980195431</v>
      </c>
      <c r="AJ8">
        <f t="shared" si="12"/>
        <v>3.9140360429257162</v>
      </c>
      <c r="AM8">
        <v>0.32200000000000001</v>
      </c>
      <c r="AN8" s="117">
        <v>32.948161399324192</v>
      </c>
      <c r="AO8" s="117">
        <v>1.5150234153344804</v>
      </c>
    </row>
    <row r="9" spans="1:41" x14ac:dyDescent="0.25">
      <c r="AO9" s="117"/>
    </row>
    <row r="10" spans="1:41" x14ac:dyDescent="0.25">
      <c r="A10" s="75" t="s">
        <v>80</v>
      </c>
      <c r="B10" s="75" t="s">
        <v>175</v>
      </c>
      <c r="AA10" s="29"/>
      <c r="AB10" s="29"/>
      <c r="AC10" s="29"/>
      <c r="AD10" s="29"/>
      <c r="AE10" s="29"/>
      <c r="AO10" s="117"/>
    </row>
    <row r="11" spans="1:41" ht="15.75" thickBot="1" x14ac:dyDescent="0.3">
      <c r="A11" s="99"/>
      <c r="B11" s="99"/>
      <c r="C11" s="99"/>
      <c r="D11" s="99"/>
      <c r="E11" s="100"/>
      <c r="F11" s="100"/>
      <c r="G11" s="101"/>
      <c r="H11" s="102"/>
      <c r="I11" s="103"/>
      <c r="J11" s="103"/>
      <c r="K11" s="104"/>
      <c r="L11" s="104"/>
      <c r="M11" s="103"/>
      <c r="N11" s="103"/>
      <c r="O11" s="104"/>
      <c r="P11" s="102"/>
      <c r="Q11" s="102"/>
      <c r="R11" s="104"/>
      <c r="T11" s="99"/>
      <c r="U11" s="99"/>
      <c r="W11" s="104"/>
      <c r="X11" s="100"/>
      <c r="Y11" s="104"/>
      <c r="AA11" s="29"/>
      <c r="AB11" s="29"/>
      <c r="AC11" s="29"/>
      <c r="AD11" s="29"/>
      <c r="AE11" s="29"/>
      <c r="AO11" s="117"/>
    </row>
    <row r="12" spans="1:41" x14ac:dyDescent="0.25">
      <c r="A12" s="50" t="s">
        <v>153</v>
      </c>
      <c r="B12" s="78" t="s">
        <v>154</v>
      </c>
      <c r="C12" s="78" t="s">
        <v>155</v>
      </c>
      <c r="D12" s="78" t="s">
        <v>156</v>
      </c>
      <c r="E12" s="78" t="s">
        <v>42</v>
      </c>
      <c r="F12" s="78" t="s">
        <v>64</v>
      </c>
      <c r="G12" s="78" t="s">
        <v>157</v>
      </c>
      <c r="H12" s="78" t="s">
        <v>158</v>
      </c>
      <c r="I12" s="78" t="s">
        <v>159</v>
      </c>
      <c r="J12" s="51" t="s">
        <v>160</v>
      </c>
      <c r="K12" s="50" t="s">
        <v>161</v>
      </c>
      <c r="L12" s="78" t="s">
        <v>162</v>
      </c>
      <c r="M12" s="78" t="s">
        <v>163</v>
      </c>
      <c r="N12" s="78" t="s">
        <v>164</v>
      </c>
      <c r="O12" s="78" t="s">
        <v>165</v>
      </c>
      <c r="P12" s="78" t="s">
        <v>166</v>
      </c>
      <c r="Q12" s="78" t="s">
        <v>167</v>
      </c>
      <c r="R12" s="78" t="s">
        <v>168</v>
      </c>
      <c r="S12" s="78" t="s">
        <v>169</v>
      </c>
      <c r="T12" s="78" t="s">
        <v>153</v>
      </c>
      <c r="U12" s="78" t="s">
        <v>154</v>
      </c>
      <c r="V12" s="78" t="s">
        <v>163</v>
      </c>
      <c r="W12" s="78" t="s">
        <v>170</v>
      </c>
      <c r="X12" s="78" t="s">
        <v>171</v>
      </c>
      <c r="Y12" s="78" t="s">
        <v>172</v>
      </c>
      <c r="Z12" s="51" t="s">
        <v>173</v>
      </c>
      <c r="AB12" t="s">
        <v>38</v>
      </c>
      <c r="AC12" t="s">
        <v>189</v>
      </c>
      <c r="AD12" t="s">
        <v>183</v>
      </c>
      <c r="AE12" t="s">
        <v>184</v>
      </c>
      <c r="AF12" t="s">
        <v>185</v>
      </c>
      <c r="AG12" t="s">
        <v>166</v>
      </c>
      <c r="AH12" t="s">
        <v>186</v>
      </c>
      <c r="AI12" t="s">
        <v>187</v>
      </c>
      <c r="AJ12" t="s">
        <v>188</v>
      </c>
      <c r="AM12" t="s">
        <v>42</v>
      </c>
      <c r="AN12" t="s">
        <v>166</v>
      </c>
      <c r="AO12" s="117" t="s">
        <v>188</v>
      </c>
    </row>
    <row r="13" spans="1:41" x14ac:dyDescent="0.25">
      <c r="A13" s="71">
        <v>1.98E-7</v>
      </c>
      <c r="B13" s="1">
        <v>6.3001000000000006E-12</v>
      </c>
      <c r="C13" s="1">
        <f>0.8*0.0000001+0.2*0.000002</f>
        <v>4.7999999999999996E-7</v>
      </c>
      <c r="D13" s="1">
        <f>0.8*0.000000002+0.2*0.000000057</f>
        <v>1.3000000000000001E-8</v>
      </c>
      <c r="E13" s="1">
        <v>0.247</v>
      </c>
      <c r="F13" s="1">
        <v>0</v>
      </c>
      <c r="G13" s="1">
        <v>4.7908769599999999E-20</v>
      </c>
      <c r="H13" s="1">
        <f>LOG10(G13)</f>
        <v>-19.319584982612785</v>
      </c>
      <c r="I13" s="1">
        <v>8.8999999999999995E-4</v>
      </c>
      <c r="J13" s="56">
        <v>88000</v>
      </c>
      <c r="K13" s="113">
        <f>(G13*J13)/(A13*I13)</f>
        <v>2.392447920099875E-5</v>
      </c>
      <c r="L13" s="1">
        <f>(K13*A13*I13)/J13</f>
        <v>4.7908769599999993E-20</v>
      </c>
      <c r="M13" s="1">
        <f>K13*B13</f>
        <v>1.5072661141421225E-16</v>
      </c>
      <c r="N13" s="1">
        <v>1000</v>
      </c>
      <c r="O13" s="114">
        <f>(N13*K13*C13)/I13</f>
        <v>1.290308990615663E-5</v>
      </c>
      <c r="P13" s="1">
        <f>SQRT((K13^2+2*R13^2))/K13</f>
        <v>3.6641536717492471</v>
      </c>
      <c r="Q13" s="1">
        <v>31.597999999999999</v>
      </c>
      <c r="R13" s="114">
        <f>(Y13*J13)/(I13*T13)</f>
        <v>5.9633947159779044E-5</v>
      </c>
      <c r="S13" s="1">
        <f>(R13*I13*T13)/J13</f>
        <v>1.5138213018208E-18</v>
      </c>
      <c r="T13" s="1">
        <v>2.5100000000000001E-6</v>
      </c>
      <c r="U13" s="1">
        <v>6.3001000000000006E-12</v>
      </c>
      <c r="V13" s="1">
        <f t="shared" ref="V13:V15" si="13">R13*U13</f>
        <v>3.7569983050132397E-16</v>
      </c>
      <c r="W13" s="114">
        <f>(N13*R13*D13)/I13</f>
        <v>8.7105765514284007E-7</v>
      </c>
      <c r="X13" s="1">
        <f>SQRT((2*R13^2+K13^2))/R13</f>
        <v>1.4700178754585878</v>
      </c>
      <c r="Y13" s="1">
        <f>Q13*G13</f>
        <v>1.5138213018208E-18</v>
      </c>
      <c r="Z13" s="56">
        <f>Y13/G13</f>
        <v>31.598000000000003</v>
      </c>
      <c r="AB13">
        <f>0.306*50+0.417*20+0.277*25</f>
        <v>30.565000000000001</v>
      </c>
      <c r="AC13">
        <f>RADIANS(F13)</f>
        <v>0</v>
      </c>
      <c r="AD13">
        <f>(8*AB13*COS(AC13))/9</f>
        <v>27.16888888888889</v>
      </c>
      <c r="AE13">
        <f>2*SIN(AC13)/3.14</f>
        <v>0</v>
      </c>
      <c r="AF13">
        <f>((3*3.14)/(8*(1-E13)))-0.5</f>
        <v>1.0637450199203187</v>
      </c>
      <c r="AG13">
        <f>1+(AD13+AE13)/AF13</f>
        <v>26.540790678318771</v>
      </c>
      <c r="AH13">
        <f>(8*AB13*SIN(AC13))/9</f>
        <v>0</v>
      </c>
      <c r="AI13">
        <f>2*COS(AC13)/3.14</f>
        <v>0.63694267515923564</v>
      </c>
      <c r="AJ13">
        <f>1+(AH13+AI13)/AF13</f>
        <v>1.5987738257114912</v>
      </c>
      <c r="AM13">
        <v>0.58399999999999996</v>
      </c>
      <c r="AN13" s="117">
        <v>12.459893042685518</v>
      </c>
      <c r="AO13" s="117">
        <v>3.6911289196832722</v>
      </c>
    </row>
    <row r="14" spans="1:41" x14ac:dyDescent="0.25">
      <c r="A14" s="71">
        <v>2.0200000000000001E-7</v>
      </c>
      <c r="B14" s="1">
        <v>6.5433640000000008E-12</v>
      </c>
      <c r="C14" s="1">
        <f t="shared" ref="C14:C17" si="14">0.8*0.0000001+0.2*0.000002</f>
        <v>4.7999999999999996E-7</v>
      </c>
      <c r="D14" s="1">
        <f t="shared" ref="D14:D17" si="15">0.8*0.000000002+0.2*0.000000057</f>
        <v>1.3000000000000001E-8</v>
      </c>
      <c r="E14" s="1">
        <v>0.372</v>
      </c>
      <c r="F14" s="1">
        <v>3</v>
      </c>
      <c r="G14" s="1">
        <v>6.4631720000000012E-19</v>
      </c>
      <c r="H14" s="1">
        <f t="shared" ref="H14:H17" si="16">LOG10(G14)</f>
        <v>-18.189554286339909</v>
      </c>
      <c r="I14" s="1">
        <v>8.8999999999999995E-4</v>
      </c>
      <c r="J14" s="56">
        <v>88000</v>
      </c>
      <c r="K14" s="113">
        <f>(G14*J14)/(A14*I14)</f>
        <v>3.1636396484592284E-4</v>
      </c>
      <c r="L14" s="1">
        <f>(K14*A14*I14)/J14</f>
        <v>6.4631720000000012E-19</v>
      </c>
      <c r="M14" s="1">
        <f>K14*B14</f>
        <v>2.0700845784700771E-15</v>
      </c>
      <c r="N14" s="1">
        <v>1000</v>
      </c>
      <c r="O14" s="114">
        <f>(N14*K14*C14)/I14</f>
        <v>1.7062326193937409E-4</v>
      </c>
      <c r="P14" s="1">
        <f>SQRT((K14^2+2*R14^2))/K14</f>
        <v>2.4720875601871852</v>
      </c>
      <c r="Q14" s="1">
        <v>20.244</v>
      </c>
      <c r="R14" s="114">
        <f>(Y14*J14)/(I14*T14)</f>
        <v>5.0574799260236659E-4</v>
      </c>
      <c r="S14" s="1">
        <f>(R14*I14*T14)/J14</f>
        <v>1.3084045396799998E-17</v>
      </c>
      <c r="T14" s="1">
        <v>2.5580000000000003E-6</v>
      </c>
      <c r="U14" s="1">
        <v>6.5433640000000008E-12</v>
      </c>
      <c r="V14" s="1">
        <f t="shared" si="13"/>
        <v>3.3092932078665923E-15</v>
      </c>
      <c r="W14" s="114">
        <f>(N14*R14*D14)/I14</f>
        <v>7.3873302290233331E-6</v>
      </c>
      <c r="X14" s="1">
        <f>SQRT((2*R14^2+K14^2))/R14</f>
        <v>1.5463816632525813</v>
      </c>
      <c r="Y14" s="1">
        <f>Q14*G14</f>
        <v>1.3084045396800001E-17</v>
      </c>
      <c r="Z14" s="56">
        <f>Y14/G14</f>
        <v>20.244</v>
      </c>
      <c r="AB14">
        <f t="shared" ref="AB14:AB17" si="17">0.306*50+0.417*20+0.277*25</f>
        <v>30.565000000000001</v>
      </c>
      <c r="AC14">
        <f t="shared" ref="AC14:AC17" si="18">RADIANS(F14)</f>
        <v>5.235987755982989E-2</v>
      </c>
      <c r="AD14">
        <f t="shared" ref="AD14:AD17" si="19">(8*AB14*COS(AC14))/9</f>
        <v>27.131654870909824</v>
      </c>
      <c r="AE14">
        <f t="shared" ref="AE14:AE17" si="20">2*SIN(AC14)/3.14</f>
        <v>3.3335003976397347E-2</v>
      </c>
      <c r="AF14">
        <f t="shared" ref="AF14:AF17" si="21">((3*3.14)/(8*(1-E14)))-0.5</f>
        <v>1.375</v>
      </c>
      <c r="AG14">
        <f t="shared" ref="AG14:AG17" si="22">1+(AD14+AE14)/AF14</f>
        <v>20.756356272644524</v>
      </c>
      <c r="AH14">
        <f t="shared" ref="AH14:AH17" si="23">(8*AB14*SIN(AC14))/9</f>
        <v>1.421909780058292</v>
      </c>
      <c r="AI14">
        <f t="shared" ref="AI14:AI17" si="24">2*COS(AC14)/3.14</f>
        <v>0.63606976735960119</v>
      </c>
      <c r="AJ14">
        <f t="shared" ref="AJ14:AJ17" si="25">1+(AH14+AI14)/AF14</f>
        <v>2.4967123981221042</v>
      </c>
      <c r="AM14">
        <v>0.505</v>
      </c>
      <c r="AN14" s="117">
        <v>15.335857109375736</v>
      </c>
      <c r="AO14" s="117">
        <v>3.5970209346363053</v>
      </c>
    </row>
    <row r="15" spans="1:41" x14ac:dyDescent="0.25">
      <c r="A15" s="71">
        <v>2.0600000000000002E-7</v>
      </c>
      <c r="B15" s="1">
        <v>6.7912360000000002E-12</v>
      </c>
      <c r="C15" s="1">
        <f t="shared" si="14"/>
        <v>4.7999999999999996E-7</v>
      </c>
      <c r="D15" s="1">
        <f t="shared" si="15"/>
        <v>1.3000000000000001E-8</v>
      </c>
      <c r="E15" s="1">
        <v>0.45</v>
      </c>
      <c r="F15" s="1">
        <v>6</v>
      </c>
      <c r="G15" s="1">
        <v>2.7395600000000003E-18</v>
      </c>
      <c r="H15" s="1">
        <f t="shared" si="16"/>
        <v>-17.562319183499554</v>
      </c>
      <c r="I15" s="1">
        <v>8.8999999999999995E-4</v>
      </c>
      <c r="J15" s="56">
        <v>88000</v>
      </c>
      <c r="K15" s="113">
        <f>(G15*J15)/(A15*I15)</f>
        <v>1.3149409839642197E-3</v>
      </c>
      <c r="L15" s="1">
        <f>(K15*A15*I15)/J15</f>
        <v>2.7395600000000003E-18</v>
      </c>
      <c r="M15" s="1">
        <f>K15*B15</f>
        <v>8.930074548173232E-15</v>
      </c>
      <c r="N15" s="1">
        <v>1000</v>
      </c>
      <c r="O15" s="114">
        <f>(N15*K15*C15)/I15</f>
        <v>7.0918165427283754E-4</v>
      </c>
      <c r="P15" s="1">
        <f>SQRT((K15^2+2*R15^2))/K15</f>
        <v>1.898908508447122</v>
      </c>
      <c r="Q15" s="1">
        <v>14.44</v>
      </c>
      <c r="R15" s="114">
        <f>(Y15*J15)/(I15*T15)</f>
        <v>1.5009501337449448E-3</v>
      </c>
      <c r="S15" s="1">
        <f>(R15*I15*T15)/J15</f>
        <v>3.9559246399999999E-17</v>
      </c>
      <c r="T15" s="1">
        <v>2.6060000000000001E-6</v>
      </c>
      <c r="U15" s="1">
        <v>6.7912360000000002E-12</v>
      </c>
      <c r="V15" s="1">
        <f t="shared" si="13"/>
        <v>1.0193306582493485E-14</v>
      </c>
      <c r="W15" s="114">
        <f>(N15*R15*D15)/I15</f>
        <v>2.1923990717622791E-5</v>
      </c>
      <c r="X15" s="1">
        <f>SQRT((2*R15^2+K15^2))/R15</f>
        <v>1.6635813318630828</v>
      </c>
      <c r="Y15" s="1">
        <f>Q15*G15</f>
        <v>3.9559246400000005E-17</v>
      </c>
      <c r="Z15" s="56">
        <f>Y15/G15</f>
        <v>14.44</v>
      </c>
      <c r="AB15">
        <f t="shared" si="17"/>
        <v>30.565000000000001</v>
      </c>
      <c r="AC15">
        <f t="shared" si="18"/>
        <v>0.10471975511965978</v>
      </c>
      <c r="AD15">
        <f t="shared" si="19"/>
        <v>27.020054872827799</v>
      </c>
      <c r="AE15">
        <f t="shared" si="20"/>
        <v>6.6578639023983102E-2</v>
      </c>
      <c r="AF15">
        <f t="shared" si="21"/>
        <v>1.6409090909090907</v>
      </c>
      <c r="AG15">
        <f t="shared" si="22"/>
        <v>17.507089674812725</v>
      </c>
      <c r="AH15">
        <f t="shared" si="23"/>
        <v>2.8399222042451808</v>
      </c>
      <c r="AI15">
        <f t="shared" si="24"/>
        <v>0.6334534365403014</v>
      </c>
      <c r="AJ15">
        <f t="shared" si="25"/>
        <v>3.116738617653203</v>
      </c>
      <c r="AM15">
        <v>0.45</v>
      </c>
      <c r="AN15" s="117">
        <v>17.507089674812725</v>
      </c>
      <c r="AO15" s="117">
        <v>3.116738617653203</v>
      </c>
    </row>
    <row r="16" spans="1:41" x14ac:dyDescent="0.25">
      <c r="A16" s="71">
        <v>2.1E-7</v>
      </c>
      <c r="B16" s="1">
        <v>7.0437160000000003E-12</v>
      </c>
      <c r="C16" s="1">
        <f t="shared" si="14"/>
        <v>4.7999999999999996E-7</v>
      </c>
      <c r="D16" s="1">
        <f t="shared" si="15"/>
        <v>1.3000000000000001E-8</v>
      </c>
      <c r="E16" s="1">
        <v>0.505</v>
      </c>
      <c r="F16" s="49">
        <v>9</v>
      </c>
      <c r="G16" s="1">
        <v>6.6516000000000009E-18</v>
      </c>
      <c r="H16" s="1">
        <f t="shared" si="16"/>
        <v>-17.177073875359913</v>
      </c>
      <c r="I16" s="1">
        <v>8.8999999999999995E-4</v>
      </c>
      <c r="J16" s="56">
        <v>88000</v>
      </c>
      <c r="K16" s="113">
        <f t="shared" ref="K16:K17" si="26">(G16*J16)/(A16*I16)</f>
        <v>3.1318394863563406E-3</v>
      </c>
      <c r="L16" s="1">
        <f t="shared" ref="L16:L17" si="27">(K16*A16*I16)/J16</f>
        <v>6.6515999999999993E-18</v>
      </c>
      <c r="M16" s="1">
        <f t="shared" ref="M16:M17" si="28">K16*B16</f>
        <v>2.2059787899479939E-14</v>
      </c>
      <c r="N16" s="1">
        <v>1000</v>
      </c>
      <c r="O16" s="114">
        <f t="shared" ref="O16:O17" si="29">(N16*K16*C16)/I16</f>
        <v>1.689081970169712E-3</v>
      </c>
      <c r="P16" s="1">
        <f t="shared" ref="P16:P17" si="30">SQRT((K16^2+2*R16^2))/K16</f>
        <v>1.554174060765775</v>
      </c>
      <c r="Q16" s="1">
        <v>10.632</v>
      </c>
      <c r="R16" s="114">
        <f t="shared" ref="R16:R17" si="31">(Y16*J16)/(I16*T16)</f>
        <v>2.6347101198106737E-3</v>
      </c>
      <c r="S16" s="1">
        <f t="shared" ref="S16:S17" si="32">(R16*I16*T16)/J16</f>
        <v>7.071981119999999E-17</v>
      </c>
      <c r="T16" s="1">
        <v>2.6540000000000003E-6</v>
      </c>
      <c r="U16" s="1">
        <v>7.0437160000000003E-12</v>
      </c>
      <c r="V16" s="1">
        <f t="shared" ref="V16:V17" si="33">R16*U16</f>
        <v>1.855814982627236E-14</v>
      </c>
      <c r="W16" s="114">
        <f t="shared" ref="W16:W17" si="34">(N16*R16*D16)/I16</f>
        <v>3.8484529839931186E-5</v>
      </c>
      <c r="X16" s="1">
        <f t="shared" ref="X16:X17" si="35">SQRT((2*R16^2+K16^2))/R16</f>
        <v>1.8474228552045788</v>
      </c>
      <c r="Y16" s="1">
        <f t="shared" ref="Y16:Y17" si="36">Q16*G16</f>
        <v>7.0719811200000002E-17</v>
      </c>
      <c r="Z16" s="56">
        <f t="shared" ref="Z16:Z17" si="37">Y16/G16</f>
        <v>10.632</v>
      </c>
      <c r="AB16">
        <f t="shared" si="17"/>
        <v>30.565000000000001</v>
      </c>
      <c r="AC16">
        <f t="shared" si="18"/>
        <v>0.15707963267948966</v>
      </c>
      <c r="AD16">
        <f t="shared" si="19"/>
        <v>26.834394782480345</v>
      </c>
      <c r="AE16">
        <f t="shared" si="20"/>
        <v>9.9639786649828574E-2</v>
      </c>
      <c r="AF16">
        <f t="shared" si="21"/>
        <v>1.8787878787878789</v>
      </c>
      <c r="AG16">
        <f t="shared" si="22"/>
        <v>15.335857109375736</v>
      </c>
      <c r="AH16">
        <f t="shared" si="23"/>
        <v>4.2501505990708059</v>
      </c>
      <c r="AI16">
        <f t="shared" si="24"/>
        <v>0.62910085388225334</v>
      </c>
      <c r="AJ16">
        <f t="shared" si="25"/>
        <v>3.5970209346363053</v>
      </c>
      <c r="AM16">
        <v>0.372</v>
      </c>
      <c r="AN16" s="117">
        <v>20.756356272644524</v>
      </c>
      <c r="AO16" s="117">
        <v>2.4967123981221042</v>
      </c>
    </row>
    <row r="17" spans="1:41" ht="15.75" thickBot="1" x14ac:dyDescent="0.3">
      <c r="A17" s="72">
        <v>2.1800000000000002E-7</v>
      </c>
      <c r="B17" s="73">
        <v>7.5624999999999997E-12</v>
      </c>
      <c r="C17" s="73">
        <f t="shared" si="14"/>
        <v>4.7999999999999996E-7</v>
      </c>
      <c r="D17" s="73">
        <f t="shared" si="15"/>
        <v>1.3000000000000001E-8</v>
      </c>
      <c r="E17" s="73">
        <v>0.58399999999999996</v>
      </c>
      <c r="F17" s="73">
        <v>12</v>
      </c>
      <c r="G17" s="73">
        <v>3.11452E-17</v>
      </c>
      <c r="H17" s="73">
        <f t="shared" si="16"/>
        <v>-16.506608875943556</v>
      </c>
      <c r="I17" s="73">
        <v>8.8999999999999995E-4</v>
      </c>
      <c r="J17" s="57">
        <v>88000</v>
      </c>
      <c r="K17" s="115">
        <f t="shared" si="26"/>
        <v>1.4126263271827644E-2</v>
      </c>
      <c r="L17" s="73">
        <f t="shared" si="27"/>
        <v>3.1145199999999994E-17</v>
      </c>
      <c r="M17" s="73">
        <f t="shared" si="28"/>
        <v>1.0682986599319656E-13</v>
      </c>
      <c r="N17" s="73">
        <v>1000</v>
      </c>
      <c r="O17" s="116">
        <f t="shared" si="29"/>
        <v>7.6186588432328858E-3</v>
      </c>
      <c r="P17" s="73">
        <f t="shared" si="30"/>
        <v>1.2912718503216092</v>
      </c>
      <c r="Q17" s="73">
        <v>7.2869999999999999</v>
      </c>
      <c r="R17" s="116">
        <f t="shared" si="31"/>
        <v>8.1601823784269653E-3</v>
      </c>
      <c r="S17" s="73">
        <f t="shared" si="32"/>
        <v>2.2695507239999999E-16</v>
      </c>
      <c r="T17" s="73">
        <v>2.7500000000000004E-6</v>
      </c>
      <c r="U17" s="73">
        <v>7.5624999999999997E-12</v>
      </c>
      <c r="V17" s="73">
        <f t="shared" si="33"/>
        <v>6.1711379236853929E-14</v>
      </c>
      <c r="W17" s="116">
        <f t="shared" si="34"/>
        <v>1.1919367519050624E-4</v>
      </c>
      <c r="X17" s="73">
        <f t="shared" si="35"/>
        <v>2.2353478472939901</v>
      </c>
      <c r="Y17" s="73">
        <f t="shared" si="36"/>
        <v>2.2695507239999999E-16</v>
      </c>
      <c r="Z17" s="57">
        <f t="shared" si="37"/>
        <v>7.2869999999999999</v>
      </c>
      <c r="AB17">
        <f t="shared" si="17"/>
        <v>30.565000000000001</v>
      </c>
      <c r="AC17">
        <f t="shared" si="18"/>
        <v>0.20943951023931956</v>
      </c>
      <c r="AD17">
        <f t="shared" si="19"/>
        <v>26.57518348127002</v>
      </c>
      <c r="AE17">
        <f t="shared" si="20"/>
        <v>0.13242782854634352</v>
      </c>
      <c r="AF17">
        <f t="shared" si="21"/>
        <v>2.3305288461538458</v>
      </c>
      <c r="AG17">
        <f t="shared" si="22"/>
        <v>12.459893042685518</v>
      </c>
      <c r="AH17">
        <f t="shared" si="23"/>
        <v>5.6487296265287235</v>
      </c>
      <c r="AI17">
        <f t="shared" si="24"/>
        <v>0.62302394951197815</v>
      </c>
      <c r="AJ17">
        <f t="shared" si="25"/>
        <v>3.6911289196832722</v>
      </c>
      <c r="AM17">
        <v>0.247</v>
      </c>
      <c r="AN17" s="117">
        <v>26.540790678318771</v>
      </c>
      <c r="AO17" s="117">
        <v>1.5987738257114912</v>
      </c>
    </row>
    <row r="19" spans="1:41" ht="15.75" thickBot="1" x14ac:dyDescent="0.3"/>
    <row r="20" spans="1:41" ht="15.75" thickBot="1" x14ac:dyDescent="0.3">
      <c r="N20" s="50" t="s">
        <v>16</v>
      </c>
      <c r="O20" s="78"/>
      <c r="P20" s="51"/>
    </row>
    <row r="21" spans="1:41" x14ac:dyDescent="0.25">
      <c r="N21" s="105" t="s">
        <v>42</v>
      </c>
      <c r="O21" s="51" t="s">
        <v>173</v>
      </c>
      <c r="P21" s="56" t="s">
        <v>166</v>
      </c>
    </row>
    <row r="22" spans="1:41" x14ac:dyDescent="0.25">
      <c r="N22" s="106">
        <v>0.156</v>
      </c>
      <c r="O22" s="56">
        <v>71.915634044112394</v>
      </c>
      <c r="P22" s="56">
        <v>2.5607100000000003</v>
      </c>
    </row>
    <row r="23" spans="1:41" x14ac:dyDescent="0.25">
      <c r="N23" s="106">
        <v>0.45100000000000001</v>
      </c>
      <c r="O23" s="56">
        <v>50.903187769804127</v>
      </c>
      <c r="P23" s="56">
        <v>1.6391317148843203</v>
      </c>
    </row>
    <row r="24" spans="1:41" x14ac:dyDescent="0.25">
      <c r="N24" s="106">
        <v>0.57899999999999996</v>
      </c>
      <c r="O24" s="56">
        <v>38.937813682301659</v>
      </c>
      <c r="P24" s="56">
        <v>1.3428696272973819</v>
      </c>
    </row>
    <row r="25" spans="1:41" x14ac:dyDescent="0.25">
      <c r="N25" s="106">
        <v>0.66200000000000003</v>
      </c>
      <c r="O25" s="56">
        <v>31.807375917085832</v>
      </c>
      <c r="P25" s="56">
        <v>1.2035529884132095</v>
      </c>
    </row>
    <row r="26" spans="1:41" x14ac:dyDescent="0.25">
      <c r="N26" s="106">
        <v>0.71799999999999997</v>
      </c>
      <c r="O26" s="56">
        <v>25.277639851149956</v>
      </c>
      <c r="P26" s="56">
        <v>1.1364431660752079</v>
      </c>
    </row>
    <row r="27" spans="1:41" x14ac:dyDescent="0.25">
      <c r="N27" s="106">
        <v>0.76100000000000001</v>
      </c>
      <c r="O27" s="56">
        <v>18.829606429458643</v>
      </c>
      <c r="P27" s="56">
        <v>1.0569075410346251</v>
      </c>
    </row>
    <row r="28" spans="1:41" ht="15.75" thickBot="1" x14ac:dyDescent="0.3">
      <c r="N28" s="107">
        <v>0.79500000000000004</v>
      </c>
      <c r="O28" s="57">
        <v>14.312419060183052</v>
      </c>
      <c r="P28" s="56">
        <v>1.013686409257738</v>
      </c>
    </row>
    <row r="29" spans="1:41" x14ac:dyDescent="0.25">
      <c r="N29" s="71" t="s">
        <v>17</v>
      </c>
      <c r="O29" s="1"/>
      <c r="P29" s="56"/>
    </row>
    <row r="30" spans="1:41" x14ac:dyDescent="0.25">
      <c r="N30" s="71" t="s">
        <v>42</v>
      </c>
      <c r="O30" s="1" t="s">
        <v>173</v>
      </c>
      <c r="P30" s="56" t="s">
        <v>166</v>
      </c>
    </row>
    <row r="31" spans="1:41" x14ac:dyDescent="0.25">
      <c r="N31" s="71">
        <v>7.0000000000000007E-2</v>
      </c>
      <c r="O31" s="1">
        <v>45.657467732662859</v>
      </c>
      <c r="P31" s="56">
        <v>2.2006857090000005</v>
      </c>
    </row>
    <row r="32" spans="1:41" x14ac:dyDescent="0.25">
      <c r="N32" s="71">
        <v>0.245</v>
      </c>
      <c r="O32" s="1">
        <v>27.549999999999997</v>
      </c>
      <c r="P32" s="56">
        <v>1.6605862453640632</v>
      </c>
    </row>
    <row r="33" spans="14:16" x14ac:dyDescent="0.25">
      <c r="N33" s="71">
        <v>0.35</v>
      </c>
      <c r="O33" s="1">
        <v>18.079999999999998</v>
      </c>
      <c r="P33" s="56">
        <v>1.3883319385074102</v>
      </c>
    </row>
    <row r="34" spans="14:16" x14ac:dyDescent="0.25">
      <c r="N34" s="71">
        <v>0.436</v>
      </c>
      <c r="O34" s="1">
        <v>11.78</v>
      </c>
      <c r="P34" s="56">
        <v>1.2136049904681216</v>
      </c>
    </row>
    <row r="35" spans="14:16" x14ac:dyDescent="0.25">
      <c r="N35" s="71">
        <v>0.5</v>
      </c>
      <c r="O35" s="1">
        <v>9.6300000000000008</v>
      </c>
      <c r="P35" s="56">
        <v>1.1718566465229441</v>
      </c>
    </row>
    <row r="36" spans="14:16" x14ac:dyDescent="0.25">
      <c r="N36" s="71">
        <v>0.59599999999999997</v>
      </c>
      <c r="O36" s="1">
        <v>6.44</v>
      </c>
      <c r="P36" s="56">
        <v>1.1062736200027776</v>
      </c>
    </row>
    <row r="37" spans="14:16" x14ac:dyDescent="0.25">
      <c r="N37" s="71">
        <v>0.66400000000000003</v>
      </c>
      <c r="O37" s="1">
        <v>3.22</v>
      </c>
      <c r="P37" s="56">
        <v>1.035383099397071</v>
      </c>
    </row>
    <row r="38" spans="14:16" ht="15.75" thickBot="1" x14ac:dyDescent="0.3">
      <c r="N38" s="72">
        <v>0.73399999999999999</v>
      </c>
      <c r="O38" s="73">
        <v>1.8200000000000003</v>
      </c>
      <c r="P38" s="57">
        <v>1.015745612267942</v>
      </c>
    </row>
  </sheetData>
  <sortState ref="AM13:AO17">
    <sortCondition descending="1" ref="AM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CRS015B</vt:lpstr>
      <vt:lpstr>CRS799</vt:lpstr>
      <vt:lpstr>min_sizes</vt:lpstr>
      <vt:lpstr>min_sizes _sims</vt:lpstr>
      <vt:lpstr>crs799_calibration</vt:lpstr>
      <vt:lpstr>data</vt:lpstr>
      <vt:lpstr>data2</vt:lpstr>
      <vt:lpstr>data3</vt:lpstr>
      <vt:lpstr>data2_consistency</vt:lpstr>
      <vt:lpstr>PLOT_DATA</vt:lpstr>
      <vt:lpstr>PLOT_DATA2</vt:lpstr>
      <vt:lpstr>PLOT_DATA3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2018-11-29T16:10:32Z</dcterms:created>
  <dcterms:modified xsi:type="dcterms:W3CDTF">2019-04-20T18:54:53Z</dcterms:modified>
</cp:coreProperties>
</file>