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cybage-my.sharepoint.com/personal/avinashj_cybage_com/Documents/Microsoft Teams Chat Files/"/>
    </mc:Choice>
  </mc:AlternateContent>
  <bookViews>
    <workbookView xWindow="0" yWindow="0" windowWidth="19200" windowHeight="11460" tabRatio="564" firstSheet="1" activeTab="1"/>
  </bookViews>
  <sheets>
    <sheet name="Estimated Efforts" sheetId="3" r:id="rId1"/>
    <sheet name="RoI - UiPath" sheetId="1" r:id="rId2"/>
  </sheets>
  <definedNames>
    <definedName name="_xlnm._FilterDatabase" localSheetId="0" hidden="1">'Estimated Efforts'!$A$1:$C$75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3" l="1"/>
  <c r="I28" i="3" l="1"/>
  <c r="I29" i="3" s="1"/>
  <c r="K38" i="3" s="1"/>
  <c r="K37" i="3"/>
  <c r="L37" i="3"/>
  <c r="O25" i="3"/>
  <c r="I25" i="3"/>
  <c r="K23" i="3" s="1"/>
  <c r="K24" i="3" s="1"/>
  <c r="I24" i="3"/>
  <c r="P25" i="3" s="1"/>
  <c r="K39" i="3" l="1"/>
  <c r="L23" i="3"/>
  <c r="M23" i="3" s="1"/>
  <c r="N18" i="3"/>
  <c r="L19" i="3"/>
  <c r="K19" i="3"/>
  <c r="J19" i="3"/>
  <c r="K11" i="3"/>
  <c r="J11" i="3"/>
  <c r="C69" i="3"/>
  <c r="C7" i="3"/>
  <c r="L12" i="3" l="1"/>
  <c r="L13" i="3" s="1"/>
  <c r="M12" i="3"/>
  <c r="M13" i="3" s="1"/>
  <c r="C74" i="3"/>
  <c r="C70" i="3"/>
  <c r="C71" i="3" s="1"/>
  <c r="N19" i="3"/>
  <c r="N20" i="3" s="1"/>
  <c r="L35" i="3" s="1"/>
  <c r="L24" i="3"/>
  <c r="M24" i="3" s="1"/>
  <c r="M28" i="3" s="1"/>
  <c r="M29" i="3" s="1"/>
  <c r="K12" i="3"/>
  <c r="K13" i="3" s="1"/>
  <c r="J12" i="3"/>
  <c r="J13" i="3" s="1"/>
  <c r="B19" i="1"/>
  <c r="B20" i="1" s="1"/>
  <c r="C75" i="3" l="1"/>
  <c r="M30" i="3"/>
  <c r="L38" i="3"/>
  <c r="L39" i="3" s="1"/>
  <c r="K40" i="3" s="1"/>
  <c r="L41" i="3"/>
  <c r="P21" i="1"/>
  <c r="P20" i="1"/>
  <c r="P19" i="1"/>
  <c r="P18" i="1"/>
  <c r="P17" i="1"/>
  <c r="P16" i="1"/>
  <c r="P15" i="1"/>
  <c r="P14" i="1"/>
  <c r="P13" i="1"/>
  <c r="P12" i="1"/>
  <c r="P11" i="1"/>
  <c r="P10" i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B10" i="1"/>
  <c r="J5" i="1"/>
  <c r="J4" i="1"/>
  <c r="H25" i="1"/>
  <c r="H24" i="1"/>
  <c r="H23" i="1"/>
  <c r="H22" i="1"/>
  <c r="H21" i="1"/>
  <c r="H20" i="1"/>
  <c r="H19" i="1"/>
  <c r="H18" i="1"/>
  <c r="H17" i="1"/>
  <c r="H16" i="1"/>
  <c r="H15" i="1"/>
  <c r="H14" i="1"/>
  <c r="B15" i="1"/>
  <c r="E15" i="1"/>
  <c r="E16" i="1"/>
  <c r="E17" i="1"/>
  <c r="E18" i="1"/>
  <c r="E19" i="1"/>
  <c r="E20" i="1"/>
  <c r="E21" i="1"/>
  <c r="E22" i="1"/>
  <c r="E23" i="1"/>
  <c r="E24" i="1"/>
  <c r="E25" i="1"/>
  <c r="E14" i="1"/>
  <c r="J6" i="1"/>
  <c r="J3" i="1"/>
  <c r="I9" i="1"/>
  <c r="F9" i="1"/>
  <c r="K42" i="3" l="1"/>
  <c r="F12" i="1"/>
  <c r="L14" i="1"/>
  <c r="E10" i="1"/>
  <c r="H10" i="1"/>
  <c r="I16" i="1"/>
  <c r="J2" i="1"/>
  <c r="L15" i="1" l="1"/>
  <c r="S10" i="1"/>
  <c r="Q14" i="1"/>
  <c r="Q21" i="1"/>
  <c r="Q13" i="1"/>
  <c r="Q20" i="1"/>
  <c r="Q12" i="1"/>
  <c r="Q19" i="1"/>
  <c r="Q11" i="1"/>
  <c r="Q18" i="1"/>
  <c r="Q17" i="1"/>
  <c r="Q16" i="1"/>
  <c r="Q15" i="1"/>
  <c r="Q10" i="1"/>
  <c r="I14" i="1"/>
  <c r="F22" i="1"/>
  <c r="I24" i="1"/>
  <c r="F21" i="1"/>
  <c r="I17" i="1"/>
  <c r="I18" i="1"/>
  <c r="F17" i="1"/>
  <c r="F24" i="1"/>
  <c r="I19" i="1"/>
  <c r="F18" i="1"/>
  <c r="F25" i="1"/>
  <c r="F16" i="1"/>
  <c r="I15" i="1"/>
  <c r="I25" i="1"/>
  <c r="F20" i="1"/>
  <c r="I22" i="1"/>
  <c r="F19" i="1"/>
  <c r="F23" i="1"/>
  <c r="I20" i="1"/>
  <c r="F14" i="1"/>
  <c r="F15" i="1"/>
  <c r="I21" i="1"/>
  <c r="I23" i="1"/>
  <c r="F11" i="1"/>
  <c r="I11" i="1"/>
  <c r="B13" i="1"/>
  <c r="L16" i="1" l="1"/>
  <c r="S11" i="1"/>
  <c r="B12" i="1"/>
  <c r="F10" i="1"/>
  <c r="I10" i="1"/>
  <c r="L17" i="1" l="1"/>
  <c r="S12" i="1"/>
  <c r="L18" i="1" l="1"/>
  <c r="S13" i="1"/>
  <c r="L19" i="1" l="1"/>
  <c r="S14" i="1"/>
  <c r="L20" i="1" l="1"/>
  <c r="S15" i="1"/>
  <c r="L21" i="1" l="1"/>
  <c r="S16" i="1"/>
  <c r="L22" i="1" l="1"/>
  <c r="S17" i="1"/>
  <c r="L23" i="1" l="1"/>
  <c r="S18" i="1"/>
  <c r="L24" i="1" l="1"/>
  <c r="S19" i="1"/>
  <c r="L25" i="1" l="1"/>
  <c r="S21" i="1" s="1"/>
  <c r="S20" i="1"/>
</calcChain>
</file>

<file path=xl/sharedStrings.xml><?xml version="1.0" encoding="utf-8"?>
<sst xmlns="http://schemas.openxmlformats.org/spreadsheetml/2006/main" count="377" uniqueCount="258">
  <si>
    <t>Activities</t>
  </si>
  <si>
    <t>Steps / Actions</t>
  </si>
  <si>
    <t xml:space="preserve">Estimated Time (Hours) </t>
  </si>
  <si>
    <t>Comments</t>
  </si>
  <si>
    <t>Internal referencse</t>
  </si>
  <si>
    <t>Complexity parameters</t>
  </si>
  <si>
    <t>Requirement Understanding and setup</t>
  </si>
  <si>
    <t>Number of UI Element</t>
  </si>
  <si>
    <t>Understanding the manual flow of the process</t>
  </si>
  <si>
    <t>Manual walk through of application</t>
  </si>
  <si>
    <t>Selector options available</t>
  </si>
  <si>
    <t xml:space="preserve">Documentation </t>
  </si>
  <si>
    <t>Basic documentation of process understanding  and PDD and SDD</t>
  </si>
  <si>
    <t>Web responsiveness</t>
  </si>
  <si>
    <t>Environment setup</t>
  </si>
  <si>
    <t>Required hardware, software &amp; code repo setup</t>
  </si>
  <si>
    <t>Data preprocessing involved</t>
  </si>
  <si>
    <t>Installation of all required application</t>
  </si>
  <si>
    <t>Number of field validation</t>
  </si>
  <si>
    <t>Total Efforts for requirement and setup</t>
  </si>
  <si>
    <t>Number of Pop-Ups</t>
  </si>
  <si>
    <t>Tramada build basics - Add Debtor</t>
  </si>
  <si>
    <t>Start Date</t>
  </si>
  <si>
    <t>TBD</t>
  </si>
  <si>
    <t>Debtor Flags - General Flags</t>
  </si>
  <si>
    <t>Set up</t>
  </si>
  <si>
    <t>Resources</t>
  </si>
  <si>
    <t>Initial setup</t>
  </si>
  <si>
    <t>Development</t>
  </si>
  <si>
    <t>Deployment</t>
  </si>
  <si>
    <t>Monitoring</t>
  </si>
  <si>
    <t>Payment Gateway - PG</t>
  </si>
  <si>
    <t>Architect</t>
  </si>
  <si>
    <t>Charge Back</t>
  </si>
  <si>
    <t>RPA Engineer</t>
  </si>
  <si>
    <t>Client Profile</t>
  </si>
  <si>
    <t>Man Days</t>
  </si>
  <si>
    <t>depend on time for 4000 records processing + 15%</t>
  </si>
  <si>
    <t>Client Profile- Set mandatory fields</t>
  </si>
  <si>
    <t>Working days</t>
  </si>
  <si>
    <t>Department Levels</t>
  </si>
  <si>
    <t>Client Email Address Validation</t>
  </si>
  <si>
    <t>Booking Upload</t>
  </si>
  <si>
    <t>Rate</t>
  </si>
  <si>
    <t>Total</t>
  </si>
  <si>
    <t>SSO for New Clients</t>
  </si>
  <si>
    <t>Duration (weeks)</t>
  </si>
  <si>
    <t>Airhelp</t>
  </si>
  <si>
    <t>Manual Booking Documents from Email Address Default</t>
  </si>
  <si>
    <t>Debtor Flags -Booking Defaults</t>
  </si>
  <si>
    <t>Defaults</t>
  </si>
  <si>
    <t>Debtor Flags -Debtor Invoice Defaults</t>
  </si>
  <si>
    <t>Mins (Manually)</t>
  </si>
  <si>
    <t>Mins (RPA)</t>
  </si>
  <si>
    <t>Total hrs (RPA)</t>
  </si>
  <si>
    <t>Auto Invoice Email Resolve Order</t>
  </si>
  <si>
    <t>Total transactions</t>
  </si>
  <si>
    <t>Auto Invoice Email CC</t>
  </si>
  <si>
    <t>Time per transaction (with inbuilt automation)</t>
  </si>
  <si>
    <t>mins</t>
  </si>
  <si>
    <t>Debtor Flags - Corporate Savings Defaults</t>
  </si>
  <si>
    <t>Time per transaction (manually)</t>
  </si>
  <si>
    <t>Debtor Flags - Auto Invoice Configuration</t>
  </si>
  <si>
    <t>Booking Selection Criteria</t>
  </si>
  <si>
    <t>% of transactions with inbuilt automation</t>
  </si>
  <si>
    <t>Ticket Segment Checks</t>
  </si>
  <si>
    <t>Transactions per person per day</t>
  </si>
  <si>
    <t>Ticket Type</t>
  </si>
  <si>
    <t>Manual resources team size</t>
  </si>
  <si>
    <t>Email Notification</t>
  </si>
  <si>
    <t>Duration of processing manually</t>
  </si>
  <si>
    <t>days</t>
  </si>
  <si>
    <t>Error Notification</t>
  </si>
  <si>
    <t>months</t>
  </si>
  <si>
    <t>Invoice Format</t>
  </si>
  <si>
    <t>Online/Offline  Set up -Defaults</t>
  </si>
  <si>
    <t>Online/Offline  Set up - Document Email Configs</t>
  </si>
  <si>
    <t>Add Email configuration</t>
  </si>
  <si>
    <t>Debtor Interfaces - Company Access</t>
  </si>
  <si>
    <t>Access</t>
  </si>
  <si>
    <t>Considerations:</t>
  </si>
  <si>
    <t>CPI Setup</t>
  </si>
  <si>
    <t xml:space="preserve"> - Need of rerun for any failed scenarios</t>
  </si>
  <si>
    <t>Manual</t>
  </si>
  <si>
    <t>RPA</t>
  </si>
  <si>
    <t>OneTime cost</t>
  </si>
  <si>
    <t>Code Review</t>
  </si>
  <si>
    <t>Review the code</t>
  </si>
  <si>
    <t>Add manual steps for the additional work done manually (+55 mins)</t>
  </si>
  <si>
    <t>Resources (#)</t>
  </si>
  <si>
    <t>Code fix after review</t>
  </si>
  <si>
    <t xml:space="preserve">Fix the changes </t>
  </si>
  <si>
    <t>Based on number of UiPath licenses - efforts/timelines may vary</t>
  </si>
  <si>
    <t>Resource ($)</t>
  </si>
  <si>
    <t xml:space="preserve">Testing </t>
  </si>
  <si>
    <t>Testing code with few samples</t>
  </si>
  <si>
    <t>Salesforce and any other applications of our interest are up 24x7</t>
  </si>
  <si>
    <t>Duration</t>
  </si>
  <si>
    <t>Bug fix after testing</t>
  </si>
  <si>
    <t>Bug fixes if requried</t>
  </si>
  <si>
    <t>&lt;- hrs (Bot run time per day)</t>
  </si>
  <si>
    <t>Cost</t>
  </si>
  <si>
    <t>SERKO</t>
  </si>
  <si>
    <t> </t>
  </si>
  <si>
    <t>Saving</t>
  </si>
  <si>
    <t>Login-Serko</t>
  </si>
  <si>
    <t>Login to Serko App</t>
  </si>
  <si>
    <t>Dev Duration</t>
  </si>
  <si>
    <t>Admin</t>
  </si>
  <si>
    <t>RoI in time saved</t>
  </si>
  <si>
    <t>Corporate site</t>
  </si>
  <si>
    <t>Corporate Structure</t>
  </si>
  <si>
    <t>Search --&gt; CT_Connection -Master Profile***</t>
  </si>
  <si>
    <t>Navigate to Master</t>
  </si>
  <si>
    <t>Click 'Clone'</t>
  </si>
  <si>
    <t>Goes to Corporate clone page</t>
  </si>
  <si>
    <t>Enter code and Name, check 'do you want to be master corporate'</t>
  </si>
  <si>
    <t>Save and Reload</t>
  </si>
  <si>
    <t>Changes to be done on cloned page has not shown</t>
  </si>
  <si>
    <t>Redirect to Home page -&gt; go to Hotel Policy</t>
  </si>
  <si>
    <t>Go to Car Policy</t>
  </si>
  <si>
    <t>Go to Air Policy</t>
  </si>
  <si>
    <t>Admin -&gt; Global settings</t>
  </si>
  <si>
    <t>Role Group -&gt; Search Master</t>
  </si>
  <si>
    <t>Clone -&gt;
Master Authorizer,
Master travel booker,
Master Traveller -Mandatory</t>
  </si>
  <si>
    <t>Admin -&gt; Traveller profile</t>
  </si>
  <si>
    <t>Create new profile</t>
  </si>
  <si>
    <t>Personal info</t>
  </si>
  <si>
    <t>Role Groups</t>
  </si>
  <si>
    <t>Profile custom fields</t>
  </si>
  <si>
    <t>After save, page lands on Profile administration page</t>
  </si>
  <si>
    <t xml:space="preserve">Repeat steps for Authoriser and semi authoriser [Traveler booker ?] </t>
  </si>
  <si>
    <t>Admin -&gt; Template builder</t>
  </si>
  <si>
    <t>Templates</t>
  </si>
  <si>
    <t>Admin -&gt; Corporate structure</t>
  </si>
  <si>
    <t>Search created profile</t>
  </si>
  <si>
    <t>Update fields which has 'Team Queue' and 'Ops email address text' associated with profile</t>
  </si>
  <si>
    <t>Integration of Code</t>
  </si>
  <si>
    <t>Total of process development</t>
  </si>
  <si>
    <t xml:space="preserve">Deployment </t>
  </si>
  <si>
    <t xml:space="preserve">Deploy on production </t>
  </si>
  <si>
    <t>Testing on Prod</t>
  </si>
  <si>
    <t xml:space="preserve">Test on production </t>
  </si>
  <si>
    <t xml:space="preserve">Total of deployment </t>
  </si>
  <si>
    <t>Buffer (% of total efforts)</t>
  </si>
  <si>
    <t>Total - Implementation time</t>
  </si>
  <si>
    <t>Working hrs per day</t>
  </si>
  <si>
    <t>Team Size</t>
  </si>
  <si>
    <t>Requirement understanding &amp; Set up</t>
  </si>
  <si>
    <t>Number of days</t>
  </si>
  <si>
    <t>Access to Staging or Sandbox environment</t>
  </si>
  <si>
    <t>Sample Input file is ready before development</t>
  </si>
  <si>
    <t>Actual details of the data entry will be shared before the actual work. Based on the same, timelines may vary</t>
  </si>
  <si>
    <t>General Queries</t>
  </si>
  <si>
    <t>1. Do we have any acknowledgement on saving/submission of each page/form</t>
  </si>
  <si>
    <t>2. Debtor Add - Overview Section - Purpose of Edit button</t>
  </si>
  <si>
    <t>3. Debtor Employee Types - Add Type - Is it pop-up or adding entry in table directly?</t>
  </si>
  <si>
    <t>4. In Global setting,  after cloning - Master Authorizer,
Master travel booker, will it go to traveller profile page for amendment to do as per required data</t>
  </si>
  <si>
    <t>5. In Hotel policy section : How to configure this policy, either just by cloning and adding it
OR
Configuring manually, if need to configure manually, what is the procedure</t>
  </si>
  <si>
    <t>6. In Car policy section : How to configure this policy, either just by cloning and adding it
OR
Configuring manually, if need to configure manually, what is the procedure</t>
  </si>
  <si>
    <t>7. In Air policy section :How to configure this policy, either just by cloning and adding it
OR
Configuring manually, if need to configure manually, what is the procedure</t>
  </si>
  <si>
    <t>8. What needs to be done in create PNR template?</t>
  </si>
  <si>
    <t>9. How to link Air policy with car and hotel policy? Will it get automatically linked?</t>
  </si>
  <si>
    <t>Number of days in a month</t>
  </si>
  <si>
    <t>Design</t>
  </si>
  <si>
    <t>Total Cost</t>
  </si>
  <si>
    <t>Customer onboarding resource Rate</t>
  </si>
  <si>
    <t>Allocation</t>
  </si>
  <si>
    <t>Months</t>
  </si>
  <si>
    <t>Before Automation:</t>
  </si>
  <si>
    <t>RPA Architect</t>
  </si>
  <si>
    <t>Team size</t>
  </si>
  <si>
    <t>RPA Developer</t>
  </si>
  <si>
    <t>2 more months for support/maintenance/enhancements</t>
  </si>
  <si>
    <t>Average time per customer (mins)</t>
  </si>
  <si>
    <t>4 more months part time for support/maintenance</t>
  </si>
  <si>
    <t>Customer onboarded per day</t>
  </si>
  <si>
    <t>Project Manager</t>
  </si>
  <si>
    <t>post support period, rates on hourly basis or extension as needed</t>
  </si>
  <si>
    <t>After Automation:</t>
  </si>
  <si>
    <t>Annual licensing</t>
  </si>
  <si>
    <t>Monthly licensing</t>
  </si>
  <si>
    <t xml:space="preserve">Monthly uploading </t>
  </si>
  <si>
    <t>Average time per Customer  (mins)</t>
  </si>
  <si>
    <t>Breakeven:</t>
  </si>
  <si>
    <t>1000+ additional  properties being uploaded by break even.</t>
  </si>
  <si>
    <t>Month</t>
  </si>
  <si>
    <t>Cost - Before</t>
  </si>
  <si>
    <t>Cost - After</t>
  </si>
  <si>
    <t>Properties Before</t>
  </si>
  <si>
    <t>Properties After</t>
  </si>
  <si>
    <t>Implementation:</t>
  </si>
  <si>
    <t>% automation considered</t>
  </si>
  <si>
    <t>License cost</t>
  </si>
  <si>
    <t>Development cost (one time)</t>
  </si>
  <si>
    <t>Before</t>
  </si>
  <si>
    <t>After</t>
  </si>
  <si>
    <t>UiPath Unattended bot license (monthly)</t>
  </si>
  <si>
    <t>Month 1</t>
  </si>
  <si>
    <t>UiPath Unattended bot license (annual)</t>
  </si>
  <si>
    <t>Month 2</t>
  </si>
  <si>
    <t>Server (MS Windows Server 2019 with std config):            01</t>
  </si>
  <si>
    <t>Month 3</t>
  </si>
  <si>
    <t>Database - use existing</t>
  </si>
  <si>
    <t>Month 4</t>
  </si>
  <si>
    <t>Bot run time (mins) for 1 Customer (Avg setup)</t>
  </si>
  <si>
    <t>Month 5</t>
  </si>
  <si>
    <t>Total Customer profile a bot can automate in 24 hrs</t>
  </si>
  <si>
    <t>Month 6</t>
  </si>
  <si>
    <t>Max manual resources we can have per bot</t>
  </si>
  <si>
    <t>Month 7</t>
  </si>
  <si>
    <t>Considerations</t>
  </si>
  <si>
    <t>Month 8</t>
  </si>
  <si>
    <t>UiPath cost may vary</t>
  </si>
  <si>
    <t>Month 9</t>
  </si>
  <si>
    <t>% automation coverage may vary</t>
  </si>
  <si>
    <t>Month 10</t>
  </si>
  <si>
    <t>Development efforts/cost may vary</t>
  </si>
  <si>
    <t>Month 11</t>
  </si>
  <si>
    <t>Implemented bot can automate more customer profiles a day</t>
  </si>
  <si>
    <t>Month 12</t>
  </si>
  <si>
    <t>This can be hosted over cloud and cost to be calculated</t>
  </si>
  <si>
    <t>existing manager to look after this later</t>
  </si>
  <si>
    <t>Developer for maintenance full time &gt; part time &gt; hourly</t>
  </si>
  <si>
    <t>Other benefits</t>
  </si>
  <si>
    <t>Better accuracy in Customer onbaording</t>
  </si>
  <si>
    <t>RoI will be faster for a bigger team size</t>
  </si>
  <si>
    <t>Resources can be repurposed based on skills</t>
  </si>
  <si>
    <t>post break even monthly 60% + savings</t>
  </si>
  <si>
    <t>automation can improve up to 75-80%</t>
  </si>
  <si>
    <t>Below are Prerequisites for Installation of orchestrator. Install these on Orchestrator instance.</t>
  </si>
  <si>
    <t>1. PowerShell - minimum required version: 4.0.</t>
  </si>
  <si>
    <t>2. .NET Framework - minimum required version: 4.7.2.</t>
  </si>
  <si>
    <t>3. IIS - minimum required version: 8. This is part of the Web Server (IIS) role. Following roles needs to be installed.</t>
  </si>
  <si>
    <t>1. Expand Web Server (IIS) &gt; Web Server &gt; Common HTTP Features. The list contains the following items:</t>
  </si>
  <si>
    <t>1. Default Document</t>
  </si>
  <si>
    <t>2. HTTP Errors</t>
  </si>
  <si>
    <t>3. Static Content</t>
  </si>
  <si>
    <t>2. Expand Web Server (IIS) &gt; Web Server &gt; Security. The list contains the following items:</t>
  </si>
  <si>
    <t>1. Request Filtering</t>
  </si>
  <si>
    <t>2. URL Authorization</t>
  </si>
  <si>
    <t>3. Windows Authentication</t>
  </si>
  <si>
    <t>3. Expand Web Server (IIS) &gt; Web Server &gt; Application Development. The list contains the following items:</t>
  </si>
  <si>
    <t>1. ASP.NET45</t>
  </si>
  <si>
    <t>2. .NET Extensibility 4.5</t>
  </si>
  <si>
    <t>3. Application Initialization</t>
  </si>
  <si>
    <t>4. ISAPI Extensions</t>
  </si>
  <si>
    <t>5. ISAPI Filter</t>
  </si>
  <si>
    <t>6. WebSocket’s</t>
  </si>
  <si>
    <t>4. Expand Web Server (IIS) &gt; Web Server &gt; Management Tools. The list displays the following items:  IIS Management Console              </t>
  </si>
  <si>
    <t>5. Access Add Roles and Features Wizard &gt; Features to enable the following item: Client for NFS.</t>
  </si>
  <si>
    <t>4. ASP.Net Core IIS Module:  Version should be part of the Hosting Bundle. Can be found here https://dotnet.microsoft.com/download/dotnet/thank-you/runtime-aspnetcore-3.1.5-windows-hosting-bundle-installer</t>
  </si>
  <si>
    <t>5. URL Rewrite Module: Can be found here https://www.iis.net/downloads/microsoft/url-rewrite</t>
  </si>
  <si>
    <t>6. SSL Certificate</t>
  </si>
  <si>
    <t>1. Open IIS manager – Server certificate</t>
  </si>
  <si>
    <t>2. Click on Self-signed certificate.</t>
  </si>
  <si>
    <t>3. Specify name of the certificate, keep certificate store as Personal.</t>
  </si>
  <si>
    <t>4. Click ok. (Keep the name of certificate for further use.)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</si>
</sst>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h:mm:ss;@"/>
    <numFmt numFmtId="167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242424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rgb="FF242424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8CBAD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78">
    <xf numFmtId="0" fontId="0" fillId="0" borderId="0" xfId="0"/>
    <xf numFmtId="165" fontId="0" fillId="0" borderId="0" xfId="0" applyNumberFormat="1"/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10" xfId="0" applyBorder="1"/>
    <xf numFmtId="165" fontId="0" fillId="0" borderId="2" xfId="1" applyNumberFormat="1" applyFont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164" fontId="0" fillId="3" borderId="2" xfId="0" applyNumberFormat="1" applyFill="1" applyBorder="1"/>
    <xf numFmtId="0" fontId="0" fillId="0" borderId="6" xfId="0" applyBorder="1" applyAlignment="1">
      <alignment horizontal="right"/>
    </xf>
    <xf numFmtId="0" fontId="6" fillId="0" borderId="13" xfId="0" applyFont="1" applyBorder="1"/>
    <xf numFmtId="0" fontId="6" fillId="0" borderId="14" xfId="0" applyFont="1" applyBorder="1"/>
    <xf numFmtId="0" fontId="0" fillId="0" borderId="10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5" fontId="3" fillId="4" borderId="10" xfId="1" applyNumberFormat="1" applyFont="1" applyFill="1" applyBorder="1"/>
    <xf numFmtId="0" fontId="3" fillId="4" borderId="8" xfId="0" applyFont="1" applyFill="1" applyBorder="1"/>
    <xf numFmtId="165" fontId="0" fillId="3" borderId="5" xfId="0" applyNumberFormat="1" applyFill="1" applyBorder="1"/>
    <xf numFmtId="165" fontId="0" fillId="3" borderId="2" xfId="0" applyNumberFormat="1" applyFill="1" applyBorder="1"/>
    <xf numFmtId="165" fontId="0" fillId="3" borderId="11" xfId="0" applyNumberFormat="1" applyFill="1" applyBorder="1"/>
    <xf numFmtId="165" fontId="0" fillId="3" borderId="12" xfId="0" applyNumberFormat="1" applyFill="1" applyBorder="1"/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4"/>
    </xf>
    <xf numFmtId="0" fontId="8" fillId="0" borderId="0" xfId="4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1" fontId="6" fillId="0" borderId="0" xfId="0" applyNumberFormat="1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6" fillId="0" borderId="6" xfId="0" applyFont="1" applyBorder="1"/>
    <xf numFmtId="0" fontId="6" fillId="0" borderId="23" xfId="0" applyFont="1" applyBorder="1"/>
    <xf numFmtId="0" fontId="0" fillId="0" borderId="3" xfId="0" applyBorder="1"/>
    <xf numFmtId="0" fontId="0" fillId="0" borderId="24" xfId="0" applyBorder="1"/>
    <xf numFmtId="0" fontId="0" fillId="0" borderId="13" xfId="0" applyBorder="1"/>
    <xf numFmtId="0" fontId="10" fillId="3" borderId="5" xfId="0" applyFont="1" applyFill="1" applyBorder="1"/>
    <xf numFmtId="1" fontId="10" fillId="3" borderId="13" xfId="0" applyNumberFormat="1" applyFont="1" applyFill="1" applyBorder="1"/>
    <xf numFmtId="0" fontId="10" fillId="3" borderId="11" xfId="0" applyFont="1" applyFill="1" applyBorder="1"/>
    <xf numFmtId="1" fontId="10" fillId="3" borderId="14" xfId="0" applyNumberFormat="1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" fontId="0" fillId="0" borderId="0" xfId="0" applyNumberFormat="1"/>
    <xf numFmtId="0" fontId="0" fillId="4" borderId="0" xfId="0" applyFill="1"/>
    <xf numFmtId="0" fontId="3" fillId="4" borderId="1" xfId="0" applyFont="1" applyFill="1" applyBorder="1"/>
    <xf numFmtId="165" fontId="0" fillId="3" borderId="13" xfId="1" applyNumberFormat="1" applyFont="1" applyFill="1" applyBorder="1"/>
    <xf numFmtId="165" fontId="0" fillId="3" borderId="14" xfId="1" applyNumberFormat="1" applyFont="1" applyFill="1" applyBorder="1"/>
    <xf numFmtId="165" fontId="6" fillId="0" borderId="13" xfId="0" applyNumberFormat="1" applyFont="1" applyBorder="1"/>
    <xf numFmtId="0" fontId="4" fillId="0" borderId="5" xfId="0" applyFont="1" applyBorder="1"/>
    <xf numFmtId="1" fontId="0" fillId="0" borderId="13" xfId="2" applyNumberFormat="1" applyFont="1" applyFill="1" applyBorder="1"/>
    <xf numFmtId="10" fontId="0" fillId="3" borderId="13" xfId="0" applyNumberFormat="1" applyFill="1" applyBorder="1"/>
    <xf numFmtId="165" fontId="0" fillId="3" borderId="13" xfId="0" applyNumberFormat="1" applyFill="1" applyBorder="1"/>
    <xf numFmtId="0" fontId="0" fillId="0" borderId="14" xfId="0" applyBorder="1"/>
    <xf numFmtId="0" fontId="0" fillId="0" borderId="27" xfId="0" applyBorder="1"/>
    <xf numFmtId="0" fontId="0" fillId="0" borderId="0" xfId="0" applyAlignment="1">
      <alignment horizontal="left" vertical="top" wrapText="1"/>
    </xf>
    <xf numFmtId="166" fontId="10" fillId="0" borderId="2" xfId="0" applyNumberFormat="1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2" borderId="5" xfId="3" applyFont="1" applyBorder="1" applyAlignment="1">
      <alignment horizontal="left" vertical="top" wrapText="1"/>
    </xf>
    <xf numFmtId="0" fontId="10" fillId="2" borderId="11" xfId="3" applyFont="1" applyBorder="1" applyAlignment="1">
      <alignment horizontal="left" vertical="top" wrapText="1"/>
    </xf>
    <xf numFmtId="0" fontId="11" fillId="6" borderId="5" xfId="3" applyFont="1" applyFill="1" applyBorder="1" applyAlignment="1">
      <alignment vertical="top" wrapText="1"/>
    </xf>
    <xf numFmtId="0" fontId="11" fillId="6" borderId="2" xfId="3" applyFont="1" applyFill="1" applyBorder="1" applyAlignment="1">
      <alignment vertical="top" wrapText="1"/>
    </xf>
    <xf numFmtId="0" fontId="12" fillId="0" borderId="0" xfId="0" applyFont="1"/>
    <xf numFmtId="0" fontId="0" fillId="0" borderId="0" xfId="0" applyAlignment="1">
      <alignment wrapText="1"/>
    </xf>
    <xf numFmtId="0" fontId="11" fillId="0" borderId="3" xfId="3" applyFont="1" applyFill="1" applyBorder="1" applyAlignment="1">
      <alignment vertical="top" wrapText="1"/>
    </xf>
    <xf numFmtId="0" fontId="10" fillId="0" borderId="29" xfId="3" applyFont="1" applyFill="1" applyBorder="1" applyAlignment="1">
      <alignment vertical="top" wrapText="1"/>
    </xf>
    <xf numFmtId="0" fontId="0" fillId="0" borderId="31" xfId="0" applyBorder="1"/>
    <xf numFmtId="0" fontId="11" fillId="7" borderId="22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5" xfId="3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33" xfId="0" applyBorder="1"/>
    <xf numFmtId="0" fontId="0" fillId="0" borderId="35" xfId="0" applyBorder="1"/>
    <xf numFmtId="0" fontId="11" fillId="7" borderId="30" xfId="0" applyFont="1" applyFill="1" applyBorder="1" applyAlignment="1">
      <alignment horizontal="center" vertical="center" wrapText="1"/>
    </xf>
    <xf numFmtId="0" fontId="0" fillId="0" borderId="36" xfId="0" applyBorder="1"/>
    <xf numFmtId="0" fontId="0" fillId="0" borderId="29" xfId="0" applyBorder="1"/>
    <xf numFmtId="16" fontId="0" fillId="0" borderId="29" xfId="0" applyNumberFormat="1" applyBorder="1"/>
    <xf numFmtId="0" fontId="0" fillId="6" borderId="13" xfId="0" applyFill="1" applyBorder="1"/>
    <xf numFmtId="0" fontId="0" fillId="0" borderId="21" xfId="0" applyBorder="1"/>
    <xf numFmtId="0" fontId="0" fillId="0" borderId="37" xfId="0" applyBorder="1"/>
    <xf numFmtId="0" fontId="0" fillId="0" borderId="32" xfId="0" applyBorder="1"/>
    <xf numFmtId="0" fontId="0" fillId="0" borderId="34" xfId="0" applyBorder="1"/>
    <xf numFmtId="0" fontId="4" fillId="0" borderId="11" xfId="0" applyFont="1" applyBorder="1"/>
    <xf numFmtId="0" fontId="4" fillId="0" borderId="29" xfId="0" applyFont="1" applyBorder="1"/>
    <xf numFmtId="0" fontId="4" fillId="0" borderId="24" xfId="0" applyFont="1" applyBorder="1"/>
    <xf numFmtId="9" fontId="0" fillId="0" borderId="2" xfId="0" applyNumberFormat="1" applyBorder="1"/>
    <xf numFmtId="0" fontId="10" fillId="0" borderId="29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2" applyFont="1"/>
    <xf numFmtId="0" fontId="11" fillId="7" borderId="38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6" borderId="0" xfId="0" applyFill="1"/>
    <xf numFmtId="0" fontId="0" fillId="6" borderId="2" xfId="0" applyFill="1" applyBorder="1"/>
    <xf numFmtId="167" fontId="0" fillId="0" borderId="0" xfId="2" applyNumberFormat="1" applyFont="1"/>
    <xf numFmtId="0" fontId="0" fillId="0" borderId="2" xfId="0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8" borderId="2" xfId="0" applyFill="1" applyBorder="1"/>
    <xf numFmtId="0" fontId="0" fillId="8" borderId="2" xfId="0" applyFill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2" xfId="0" applyFont="1" applyBorder="1" applyAlignment="1">
      <alignment horizontal="left" vertical="top" wrapText="1"/>
    </xf>
    <xf numFmtId="0" fontId="0" fillId="6" borderId="2" xfId="0" applyFill="1" applyBorder="1" applyAlignment="1">
      <alignment wrapText="1"/>
    </xf>
    <xf numFmtId="0" fontId="0" fillId="0" borderId="43" xfId="0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14" fillId="10" borderId="5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31" xfId="0" applyFont="1" applyFill="1" applyBorder="1"/>
    <xf numFmtId="0" fontId="15" fillId="10" borderId="31" xfId="0" applyFont="1" applyFill="1" applyBorder="1" applyAlignment="1">
      <alignment wrapText="1"/>
    </xf>
    <xf numFmtId="0" fontId="15" fillId="11" borderId="15" xfId="0" applyFont="1" applyFill="1" applyBorder="1" applyAlignment="1">
      <alignment wrapText="1"/>
    </xf>
    <xf numFmtId="0" fontId="16" fillId="0" borderId="16" xfId="0" applyFont="1" applyBorder="1" applyAlignment="1">
      <alignment wrapText="1"/>
    </xf>
    <xf numFmtId="0" fontId="15" fillId="0" borderId="44" xfId="0" applyFont="1" applyBorder="1" applyAlignment="1">
      <alignment wrapText="1"/>
    </xf>
    <xf numFmtId="0" fontId="15" fillId="11" borderId="5" xfId="0" applyFont="1" applyFill="1" applyBorder="1" applyAlignment="1">
      <alignment wrapText="1"/>
    </xf>
    <xf numFmtId="0" fontId="16" fillId="0" borderId="2" xfId="0" applyFont="1" applyBorder="1" applyAlignment="1">
      <alignment wrapText="1"/>
    </xf>
    <xf numFmtId="0" fontId="15" fillId="0" borderId="31" xfId="0" applyFont="1" applyBorder="1" applyAlignment="1">
      <alignment wrapText="1"/>
    </xf>
    <xf numFmtId="0" fontId="0" fillId="7" borderId="47" xfId="0" applyFill="1" applyBorder="1" applyAlignment="1">
      <alignment horizontal="left" vertical="top" wrapText="1"/>
    </xf>
    <xf numFmtId="1" fontId="0" fillId="7" borderId="48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3" fillId="9" borderId="49" xfId="0" applyFont="1" applyFill="1" applyBorder="1" applyAlignment="1">
      <alignment wrapText="1"/>
    </xf>
    <xf numFmtId="0" fontId="13" fillId="9" borderId="50" xfId="0" applyFont="1" applyFill="1" applyBorder="1" applyAlignment="1">
      <alignment horizontal="center" vertical="center"/>
    </xf>
    <xf numFmtId="0" fontId="0" fillId="7" borderId="51" xfId="0" applyFill="1" applyBorder="1" applyAlignment="1">
      <alignment horizontal="left" vertical="top" wrapText="1"/>
    </xf>
    <xf numFmtId="0" fontId="0" fillId="7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left" vertical="top" wrapText="1"/>
    </xf>
    <xf numFmtId="0" fontId="0" fillId="7" borderId="46" xfId="0" applyFill="1" applyBorder="1" applyAlignment="1">
      <alignment horizontal="center" vertical="center"/>
    </xf>
    <xf numFmtId="0" fontId="0" fillId="0" borderId="42" xfId="0" applyBorder="1" applyAlignment="1">
      <alignment horizontal="left" vertical="top" wrapText="1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16" fillId="0" borderId="42" xfId="0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5" fillId="0" borderId="44" xfId="0" applyFont="1" applyBorder="1" applyAlignment="1">
      <alignment horizontal="center" vertical="center"/>
    </xf>
    <xf numFmtId="0" fontId="16" fillId="12" borderId="16" xfId="0" applyFont="1" applyFill="1" applyBorder="1" applyAlignment="1">
      <alignment wrapText="1"/>
    </xf>
    <xf numFmtId="0" fontId="15" fillId="12" borderId="44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6" fillId="0" borderId="53" xfId="0" applyFont="1" applyBorder="1" applyAlignment="1">
      <alignment wrapText="1"/>
    </xf>
    <xf numFmtId="0" fontId="15" fillId="0" borderId="54" xfId="0" applyFont="1" applyBorder="1" applyAlignment="1">
      <alignment horizontal="center" vertical="center"/>
    </xf>
    <xf numFmtId="0" fontId="0" fillId="0" borderId="55" xfId="0" applyBorder="1" applyAlignment="1">
      <alignment horizontal="left" vertical="top" wrapText="1"/>
    </xf>
    <xf numFmtId="0" fontId="16" fillId="0" borderId="55" xfId="0" applyFont="1" applyBorder="1" applyAlignment="1">
      <alignment wrapText="1"/>
    </xf>
    <xf numFmtId="0" fontId="0" fillId="0" borderId="55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3" fillId="4" borderId="2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</cellXfs>
  <cellStyles count="5">
    <cellStyle name="Currency" xfId="1" builtinId="4"/>
    <cellStyle name="Good" xfId="3" builtinId="26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- Breakeven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'RoI - UiPath'!$R$9</c:f>
              <c:strCache>
                <c:ptCount val="1"/>
                <c:pt idx="0">
                  <c:v>Properties Before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'RoI - UiPath'!$O$10:$O$21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'RoI - UiPath'!$R$10:$R$21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6-4FC6-A54E-A27223076238}"/>
            </c:ext>
          </c:extLst>
        </c:ser>
        <c:ser>
          <c:idx val="3"/>
          <c:order val="3"/>
          <c:tx>
            <c:strRef>
              <c:f>'RoI - UiPath'!$S$9</c:f>
              <c:strCache>
                <c:ptCount val="1"/>
                <c:pt idx="0">
                  <c:v>Properties After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'RoI - UiPath'!$O$10:$O$21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'RoI - UiPath'!$S$10:$S$21</c:f>
              <c:numCache>
                <c:formatCode>0</c:formatCode>
                <c:ptCount val="12"/>
                <c:pt idx="0">
                  <c:v>140</c:v>
                </c:pt>
                <c:pt idx="1">
                  <c:v>280</c:v>
                </c:pt>
                <c:pt idx="2">
                  <c:v>420</c:v>
                </c:pt>
                <c:pt idx="3">
                  <c:v>560</c:v>
                </c:pt>
                <c:pt idx="4">
                  <c:v>700</c:v>
                </c:pt>
                <c:pt idx="5">
                  <c:v>840</c:v>
                </c:pt>
                <c:pt idx="6">
                  <c:v>980</c:v>
                </c:pt>
                <c:pt idx="7">
                  <c:v>1120</c:v>
                </c:pt>
                <c:pt idx="8">
                  <c:v>1260</c:v>
                </c:pt>
                <c:pt idx="9">
                  <c:v>1400</c:v>
                </c:pt>
                <c:pt idx="10">
                  <c:v>1540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C6-4FC6-A54E-A2722307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720840"/>
        <c:axId val="588717888"/>
      </c:barChart>
      <c:lineChart>
        <c:grouping val="standard"/>
        <c:varyColors val="0"/>
        <c:ser>
          <c:idx val="0"/>
          <c:order val="0"/>
          <c:tx>
            <c:strRef>
              <c:f>'RoI - UiPath'!$P$9</c:f>
              <c:strCache>
                <c:ptCount val="1"/>
                <c:pt idx="0">
                  <c:v>Cost - Before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'RoI - UiPath'!$O$10:$O$21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'RoI - UiPath'!$P$10:$P$21</c:f>
              <c:numCache>
                <c:formatCode>_("$"* #,##0_);_("$"* \(#,##0\);_("$"* "-"??_);_(@_)</c:formatCode>
                <c:ptCount val="12"/>
                <c:pt idx="0">
                  <c:v>6000</c:v>
                </c:pt>
                <c:pt idx="1">
                  <c:v>12000</c:v>
                </c:pt>
                <c:pt idx="2">
                  <c:v>18000</c:v>
                </c:pt>
                <c:pt idx="3">
                  <c:v>24000</c:v>
                </c:pt>
                <c:pt idx="4">
                  <c:v>30000</c:v>
                </c:pt>
                <c:pt idx="5">
                  <c:v>36000</c:v>
                </c:pt>
                <c:pt idx="6">
                  <c:v>42000</c:v>
                </c:pt>
                <c:pt idx="7">
                  <c:v>48000</c:v>
                </c:pt>
                <c:pt idx="8">
                  <c:v>54000</c:v>
                </c:pt>
                <c:pt idx="9">
                  <c:v>60000</c:v>
                </c:pt>
                <c:pt idx="10">
                  <c:v>66000</c:v>
                </c:pt>
                <c:pt idx="11">
                  <c:v>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6-4FC6-A54E-A27223076238}"/>
            </c:ext>
          </c:extLst>
        </c:ser>
        <c:ser>
          <c:idx val="1"/>
          <c:order val="1"/>
          <c:tx>
            <c:strRef>
              <c:f>'RoI - UiPath'!$Q$9</c:f>
              <c:strCache>
                <c:ptCount val="1"/>
                <c:pt idx="0">
                  <c:v>Cost - After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'RoI - UiPath'!$O$10:$O$21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'RoI - UiPath'!$Q$10:$Q$21</c:f>
              <c:numCache>
                <c:formatCode>_("$"* #,##0_);_("$"* \(#,##0\);_("$"* "-"??_);_(@_)</c:formatCode>
                <c:ptCount val="12"/>
                <c:pt idx="0">
                  <c:v>28402.5</c:v>
                </c:pt>
                <c:pt idx="1">
                  <c:v>31402.5</c:v>
                </c:pt>
                <c:pt idx="2">
                  <c:v>34402.5</c:v>
                </c:pt>
                <c:pt idx="3">
                  <c:v>37402.5</c:v>
                </c:pt>
                <c:pt idx="4">
                  <c:v>40402.5</c:v>
                </c:pt>
                <c:pt idx="5">
                  <c:v>43402.5</c:v>
                </c:pt>
                <c:pt idx="6">
                  <c:v>46402.5</c:v>
                </c:pt>
                <c:pt idx="7">
                  <c:v>49402.5</c:v>
                </c:pt>
                <c:pt idx="8">
                  <c:v>52402.5</c:v>
                </c:pt>
                <c:pt idx="9">
                  <c:v>55402.5</c:v>
                </c:pt>
                <c:pt idx="10">
                  <c:v>58402.5</c:v>
                </c:pt>
                <c:pt idx="11">
                  <c:v>61402.5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6-4FC6-A54E-A2722307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41264"/>
        <c:axId val="980736672"/>
      </c:lineChart>
      <c:catAx>
        <c:axId val="9807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36672"/>
        <c:crosses val="autoZero"/>
        <c:auto val="1"/>
        <c:lblAlgn val="ctr"/>
        <c:lblOffset val="100"/>
        <c:noMultiLvlLbl val="0"/>
      </c:catAx>
      <c:valAx>
        <c:axId val="980736672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41264"/>
        <c:crosses val="autoZero"/>
        <c:crossBetween val="between"/>
      </c:valAx>
      <c:valAx>
        <c:axId val="588717888"/>
        <c:scaling>
          <c:orientation val="minMax"/>
          <c:max val="4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Properties uploaded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20840"/>
        <c:crosses val="max"/>
        <c:crossBetween val="between"/>
      </c:valAx>
      <c:catAx>
        <c:axId val="588720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871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22</xdr:row>
      <xdr:rowOff>71437</xdr:rowOff>
    </xdr:from>
    <xdr:to>
      <xdr:col>18</xdr:col>
      <xdr:colOff>514350</xdr:colOff>
      <xdr:row>36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is.net/downloads/microsoft/url-rewrite" TargetMode="External"/><Relationship Id="rId1" Type="http://schemas.openxmlformats.org/officeDocument/2006/relationships/hyperlink" Target="https://dotnet.microsoft.com/download/dotnet/thank-you/runtime-aspnetcore-3.1.5-windows-hosting-bundle-installe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workbookViewId="0">
      <pane ySplit="1" topLeftCell="A53" activePane="bottomLeft" state="frozen"/>
      <selection pane="bottomLeft" activeCell="C75" sqref="C75"/>
    </sheetView>
  </sheetViews>
  <sheetFormatPr defaultRowHeight="14.5" x14ac:dyDescent="0.35"/>
  <cols>
    <col min="1" max="1" width="36.453125" style="64" bestFit="1" customWidth="1"/>
    <col min="2" max="2" width="51" style="64" bestFit="1" customWidth="1"/>
    <col min="3" max="3" width="14.81640625" style="28" bestFit="1" customWidth="1"/>
    <col min="4" max="4" width="32.453125" style="116" customWidth="1"/>
    <col min="5" max="5" width="34.1796875" style="72" customWidth="1"/>
    <col min="6" max="6" width="24.453125" style="28" customWidth="1"/>
    <col min="7" max="7" width="20.453125" style="28" customWidth="1"/>
    <col min="8" max="8" width="43.1796875" bestFit="1" customWidth="1"/>
    <col min="9" max="9" width="15.453125" bestFit="1" customWidth="1"/>
    <col min="10" max="10" width="11.54296875" bestFit="1" customWidth="1"/>
    <col min="11" max="11" width="13.26953125" bestFit="1" customWidth="1"/>
    <col min="12" max="12" width="12" bestFit="1" customWidth="1"/>
    <col min="13" max="13" width="10.81640625" bestFit="1" customWidth="1"/>
    <col min="14" max="14" width="46" bestFit="1" customWidth="1"/>
  </cols>
  <sheetData>
    <row r="1" spans="1:14" ht="29.5" thickBot="1" x14ac:dyDescent="0.4">
      <c r="A1" s="76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/>
      <c r="G1" s="104"/>
      <c r="H1" s="85" t="s">
        <v>5</v>
      </c>
      <c r="I1" s="82"/>
    </row>
    <row r="2" spans="1:14" x14ac:dyDescent="0.35">
      <c r="A2" s="73" t="s">
        <v>6</v>
      </c>
      <c r="B2" s="74"/>
      <c r="C2" s="80"/>
      <c r="D2" s="112"/>
      <c r="E2" s="98"/>
      <c r="F2" s="100"/>
      <c r="G2" s="105"/>
      <c r="H2" s="84" t="s">
        <v>7</v>
      </c>
      <c r="K2" s="2"/>
    </row>
    <row r="3" spans="1:14" ht="29" x14ac:dyDescent="0.35">
      <c r="A3" s="67" t="s">
        <v>8</v>
      </c>
      <c r="B3" s="65" t="s">
        <v>9</v>
      </c>
      <c r="C3" s="78">
        <v>5</v>
      </c>
      <c r="D3" s="113"/>
      <c r="E3" s="99"/>
      <c r="F3" s="101"/>
      <c r="G3" s="106"/>
      <c r="H3" s="83" t="s">
        <v>10</v>
      </c>
    </row>
    <row r="4" spans="1:14" ht="29" x14ac:dyDescent="0.35">
      <c r="A4" s="67" t="s">
        <v>11</v>
      </c>
      <c r="B4" s="65" t="s">
        <v>12</v>
      </c>
      <c r="C4" s="78">
        <v>21</v>
      </c>
      <c r="D4" s="113"/>
      <c r="E4" s="99"/>
      <c r="F4" s="101"/>
      <c r="G4" s="106"/>
      <c r="H4" s="83" t="s">
        <v>13</v>
      </c>
    </row>
    <row r="5" spans="1:14" x14ac:dyDescent="0.35">
      <c r="A5" s="67" t="s">
        <v>14</v>
      </c>
      <c r="B5" s="65" t="s">
        <v>15</v>
      </c>
      <c r="C5" s="78">
        <v>2</v>
      </c>
      <c r="D5" s="113"/>
      <c r="E5" s="99"/>
      <c r="F5" s="101"/>
      <c r="G5" s="106"/>
      <c r="H5" s="83" t="s">
        <v>16</v>
      </c>
    </row>
    <row r="6" spans="1:14" x14ac:dyDescent="0.35">
      <c r="A6" s="67"/>
      <c r="B6" s="65" t="s">
        <v>17</v>
      </c>
      <c r="C6" s="78">
        <v>1</v>
      </c>
      <c r="D6" s="113"/>
      <c r="E6" s="99"/>
      <c r="F6" s="101"/>
      <c r="G6" s="106"/>
      <c r="H6" s="83" t="s">
        <v>18</v>
      </c>
    </row>
    <row r="7" spans="1:14" ht="15" thickBot="1" x14ac:dyDescent="0.4">
      <c r="A7" s="69" t="s">
        <v>19</v>
      </c>
      <c r="B7" s="70"/>
      <c r="C7" s="79">
        <f>SUM(C3:C6)</f>
        <v>29</v>
      </c>
      <c r="D7" s="114"/>
      <c r="E7" s="99"/>
      <c r="F7" s="101"/>
      <c r="G7" s="107"/>
      <c r="H7" s="86" t="s">
        <v>20</v>
      </c>
    </row>
    <row r="8" spans="1:14" x14ac:dyDescent="0.35">
      <c r="A8" s="81" t="s">
        <v>21</v>
      </c>
      <c r="B8" s="66"/>
      <c r="C8" s="78"/>
      <c r="D8" s="113"/>
      <c r="E8" s="99"/>
      <c r="F8" s="101"/>
      <c r="G8" s="105"/>
      <c r="H8" s="92" t="s">
        <v>22</v>
      </c>
      <c r="I8" s="90"/>
      <c r="J8" s="88">
        <v>45061</v>
      </c>
      <c r="K8" s="88">
        <v>45069</v>
      </c>
      <c r="L8" s="88">
        <v>45090</v>
      </c>
      <c r="M8" s="36" t="s">
        <v>23</v>
      </c>
    </row>
    <row r="9" spans="1:14" x14ac:dyDescent="0.35">
      <c r="A9" s="67" t="s">
        <v>24</v>
      </c>
      <c r="B9" s="66" t="s">
        <v>25</v>
      </c>
      <c r="C9" s="78">
        <v>15</v>
      </c>
      <c r="D9" s="66"/>
      <c r="E9" s="99"/>
      <c r="F9" s="101"/>
      <c r="G9" s="106"/>
      <c r="H9" s="83"/>
      <c r="I9" s="75" t="s">
        <v>26</v>
      </c>
      <c r="J9" s="2" t="s">
        <v>27</v>
      </c>
      <c r="K9" s="2" t="s">
        <v>28</v>
      </c>
      <c r="L9" s="2" t="s">
        <v>29</v>
      </c>
      <c r="M9" s="37" t="s">
        <v>30</v>
      </c>
    </row>
    <row r="10" spans="1:14" x14ac:dyDescent="0.35">
      <c r="A10" s="67" t="s">
        <v>24</v>
      </c>
      <c r="B10" s="66" t="s">
        <v>31</v>
      </c>
      <c r="C10" s="78">
        <v>3</v>
      </c>
      <c r="D10" s="66"/>
      <c r="E10" s="99"/>
      <c r="F10" s="101"/>
      <c r="G10" s="106"/>
      <c r="H10" s="83" t="s">
        <v>32</v>
      </c>
      <c r="I10" s="75"/>
      <c r="J10" s="2">
        <v>1</v>
      </c>
      <c r="K10" s="2">
        <v>0.25</v>
      </c>
      <c r="L10" s="2">
        <v>0.25</v>
      </c>
      <c r="M10" s="37">
        <v>0</v>
      </c>
    </row>
    <row r="11" spans="1:14" x14ac:dyDescent="0.35">
      <c r="A11" s="67" t="s">
        <v>24</v>
      </c>
      <c r="B11" s="66" t="s">
        <v>33</v>
      </c>
      <c r="C11" s="78">
        <v>0.5</v>
      </c>
      <c r="D11" s="66"/>
      <c r="E11" s="99"/>
      <c r="F11" s="101"/>
      <c r="G11" s="106"/>
      <c r="H11" s="83" t="s">
        <v>34</v>
      </c>
      <c r="I11" s="75"/>
      <c r="J11" s="2">
        <f>$C$73</f>
        <v>1</v>
      </c>
      <c r="K11" s="2">
        <f>$C$73</f>
        <v>1</v>
      </c>
      <c r="L11" s="2">
        <v>1</v>
      </c>
      <c r="M11" s="37">
        <v>1</v>
      </c>
    </row>
    <row r="12" spans="1:14" x14ac:dyDescent="0.35">
      <c r="A12" s="67" t="s">
        <v>24</v>
      </c>
      <c r="B12" s="66" t="s">
        <v>35</v>
      </c>
      <c r="C12" s="78">
        <v>0.75</v>
      </c>
      <c r="D12" s="66"/>
      <c r="E12" s="99"/>
      <c r="F12" s="101"/>
      <c r="G12" s="106"/>
      <c r="H12" s="83" t="s">
        <v>36</v>
      </c>
      <c r="I12" s="75"/>
      <c r="J12" s="2">
        <f>ROUNDUP($C7/$C$72,0)</f>
        <v>5</v>
      </c>
      <c r="K12" s="2">
        <f>ROUNDUP($C66*(1+$B70)/$C$72,0)</f>
        <v>38</v>
      </c>
      <c r="L12" s="2">
        <f>ROUNDUP($C69*(1+$B70)/$C$72,0)</f>
        <v>10</v>
      </c>
      <c r="M12" s="89">
        <f>ROUNDUP($C7/$C$72,0)</f>
        <v>5</v>
      </c>
      <c r="N12" s="71" t="s">
        <v>37</v>
      </c>
    </row>
    <row r="13" spans="1:14" ht="15" thickBot="1" x14ac:dyDescent="0.4">
      <c r="A13" s="67" t="s">
        <v>24</v>
      </c>
      <c r="B13" s="66" t="s">
        <v>38</v>
      </c>
      <c r="C13" s="78">
        <v>0.5</v>
      </c>
      <c r="D13" s="66"/>
      <c r="E13" s="99"/>
      <c r="F13" s="101"/>
      <c r="G13" s="107"/>
      <c r="H13" s="93" t="s">
        <v>39</v>
      </c>
      <c r="I13" s="91"/>
      <c r="J13" s="9">
        <f>ROUNDUP(J12,0)</f>
        <v>5</v>
      </c>
      <c r="K13" s="9">
        <f>ROUNDUP(K12/K11,0)</f>
        <v>38</v>
      </c>
      <c r="L13" s="9">
        <f>ROUNDUP(L12/L11,0)</f>
        <v>10</v>
      </c>
      <c r="M13" s="62">
        <f>ROUNDUP(M12/M11,0)</f>
        <v>5</v>
      </c>
    </row>
    <row r="14" spans="1:14" x14ac:dyDescent="0.35">
      <c r="A14" s="67" t="s">
        <v>24</v>
      </c>
      <c r="B14" s="66" t="s">
        <v>40</v>
      </c>
      <c r="C14" s="78">
        <v>0.75</v>
      </c>
      <c r="D14" s="66"/>
      <c r="E14" s="99"/>
      <c r="F14" s="102"/>
    </row>
    <row r="15" spans="1:14" ht="15" thickBot="1" x14ac:dyDescent="0.4">
      <c r="A15" s="67" t="s">
        <v>24</v>
      </c>
      <c r="B15" s="66" t="s">
        <v>41</v>
      </c>
      <c r="C15" s="78">
        <v>0.5</v>
      </c>
      <c r="D15" s="66"/>
      <c r="E15" s="99"/>
      <c r="F15" s="111"/>
    </row>
    <row r="16" spans="1:14" x14ac:dyDescent="0.35">
      <c r="A16" s="67" t="s">
        <v>24</v>
      </c>
      <c r="B16" s="66" t="s">
        <v>42</v>
      </c>
      <c r="C16" s="78">
        <v>5.75</v>
      </c>
      <c r="D16" s="66"/>
      <c r="E16" s="99"/>
      <c r="F16" s="111"/>
      <c r="G16" s="105"/>
      <c r="H16" s="35"/>
      <c r="I16" s="95" t="s">
        <v>43</v>
      </c>
      <c r="J16" s="95" t="s">
        <v>27</v>
      </c>
      <c r="K16" s="95" t="s">
        <v>28</v>
      </c>
      <c r="L16" s="95" t="s">
        <v>29</v>
      </c>
      <c r="M16" s="95" t="s">
        <v>30</v>
      </c>
      <c r="N16" s="96" t="s">
        <v>44</v>
      </c>
    </row>
    <row r="17" spans="1:16" x14ac:dyDescent="0.35">
      <c r="A17" s="67" t="s">
        <v>24</v>
      </c>
      <c r="B17" s="66" t="s">
        <v>45</v>
      </c>
      <c r="C17" s="78">
        <v>0.5</v>
      </c>
      <c r="D17" s="66"/>
      <c r="E17" s="99"/>
      <c r="F17" s="111"/>
      <c r="G17" s="106"/>
      <c r="H17" s="58" t="s">
        <v>46</v>
      </c>
      <c r="I17" s="2"/>
      <c r="J17" s="2">
        <v>1</v>
      </c>
      <c r="K17" s="2">
        <v>3</v>
      </c>
      <c r="L17" s="2">
        <v>1</v>
      </c>
      <c r="M17" s="2" t="s">
        <v>23</v>
      </c>
      <c r="N17" s="37"/>
    </row>
    <row r="18" spans="1:16" x14ac:dyDescent="0.35">
      <c r="A18" s="67" t="s">
        <v>24</v>
      </c>
      <c r="B18" s="66" t="s">
        <v>47</v>
      </c>
      <c r="C18" s="78">
        <v>1</v>
      </c>
      <c r="D18" s="66"/>
      <c r="E18" s="99"/>
      <c r="F18" s="111"/>
      <c r="G18" s="106"/>
      <c r="H18" s="58" t="s">
        <v>32</v>
      </c>
      <c r="I18" s="2">
        <v>1000</v>
      </c>
      <c r="J18" s="2">
        <v>1</v>
      </c>
      <c r="K18" s="2">
        <v>1</v>
      </c>
      <c r="L18" s="2">
        <v>0.25</v>
      </c>
      <c r="M18" s="2">
        <v>0.5</v>
      </c>
      <c r="N18" s="37">
        <f>($I18*J18*J$17)+($I18*K18*K$17)+($I18*L18*L$17)/4</f>
        <v>4062.5</v>
      </c>
    </row>
    <row r="19" spans="1:16" ht="15" thickBot="1" x14ac:dyDescent="0.4">
      <c r="A19" s="67" t="s">
        <v>24</v>
      </c>
      <c r="B19" s="66" t="s">
        <v>48</v>
      </c>
      <c r="C19" s="78">
        <v>1</v>
      </c>
      <c r="D19" s="66"/>
      <c r="E19" s="99"/>
      <c r="F19" s="111"/>
      <c r="G19" s="107"/>
      <c r="H19" s="94" t="s">
        <v>34</v>
      </c>
      <c r="I19" s="9">
        <v>1000</v>
      </c>
      <c r="J19" s="9">
        <f>$C$73</f>
        <v>1</v>
      </c>
      <c r="K19" s="9">
        <f>$C$73</f>
        <v>1</v>
      </c>
      <c r="L19" s="9">
        <f>$C$73</f>
        <v>1</v>
      </c>
      <c r="M19" s="9">
        <v>1</v>
      </c>
      <c r="N19" s="62">
        <f>($I19*J19*J$17)+($I19*K19*K$17)+($I19*L19*L$17)/4</f>
        <v>4250</v>
      </c>
    </row>
    <row r="20" spans="1:16" x14ac:dyDescent="0.35">
      <c r="A20" s="67" t="s">
        <v>49</v>
      </c>
      <c r="B20" s="66" t="s">
        <v>50</v>
      </c>
      <c r="C20" s="78">
        <v>6.25</v>
      </c>
      <c r="D20" s="66"/>
      <c r="E20" s="99"/>
      <c r="F20" s="111"/>
      <c r="N20">
        <f>SUM(N18:N19)</f>
        <v>8312.5</v>
      </c>
    </row>
    <row r="21" spans="1:16" ht="15" thickBot="1" x14ac:dyDescent="0.4">
      <c r="A21" s="67" t="s">
        <v>51</v>
      </c>
      <c r="B21" s="66" t="s">
        <v>50</v>
      </c>
      <c r="C21" s="78">
        <v>13.75</v>
      </c>
      <c r="D21" s="66"/>
      <c r="E21" s="99"/>
      <c r="F21" s="102"/>
      <c r="I21" t="s">
        <v>52</v>
      </c>
      <c r="L21" t="s">
        <v>53</v>
      </c>
      <c r="M21" t="s">
        <v>54</v>
      </c>
    </row>
    <row r="22" spans="1:16" x14ac:dyDescent="0.35">
      <c r="A22" s="67" t="s">
        <v>51</v>
      </c>
      <c r="B22" s="66" t="s">
        <v>55</v>
      </c>
      <c r="C22" s="78">
        <v>5.25</v>
      </c>
      <c r="D22" s="66"/>
      <c r="E22" s="99"/>
      <c r="F22" s="101"/>
      <c r="G22" s="105"/>
      <c r="H22" s="35" t="s">
        <v>56</v>
      </c>
      <c r="I22" s="87"/>
      <c r="J22" s="87"/>
      <c r="K22" s="87">
        <v>4000</v>
      </c>
      <c r="L22" s="87"/>
      <c r="M22" s="36"/>
    </row>
    <row r="23" spans="1:16" x14ac:dyDescent="0.35">
      <c r="A23" s="67" t="s">
        <v>51</v>
      </c>
      <c r="B23" s="66" t="s">
        <v>57</v>
      </c>
      <c r="C23" s="78">
        <v>4.25</v>
      </c>
      <c r="D23" s="66"/>
      <c r="E23" s="66"/>
      <c r="F23" s="101"/>
      <c r="G23" s="106"/>
      <c r="H23" s="7" t="s">
        <v>58</v>
      </c>
      <c r="I23" s="2">
        <v>45</v>
      </c>
      <c r="J23" s="2" t="s">
        <v>59</v>
      </c>
      <c r="K23" s="2">
        <f>ROUND(+K22*I25,0)</f>
        <v>2857</v>
      </c>
      <c r="L23" s="2">
        <f>F37</f>
        <v>0</v>
      </c>
      <c r="M23" s="37">
        <f>ROUNDUP(K23*L23/60,0)</f>
        <v>0</v>
      </c>
      <c r="O23" s="37">
        <v>5</v>
      </c>
    </row>
    <row r="24" spans="1:16" x14ac:dyDescent="0.35">
      <c r="A24" s="67" t="s">
        <v>60</v>
      </c>
      <c r="B24" s="66" t="s">
        <v>50</v>
      </c>
      <c r="C24" s="78">
        <v>9.5</v>
      </c>
      <c r="D24" s="66"/>
      <c r="E24" s="66"/>
      <c r="F24" s="101"/>
      <c r="G24" s="106"/>
      <c r="H24" s="7" t="s">
        <v>61</v>
      </c>
      <c r="I24" s="2">
        <f>+I23+50</f>
        <v>95</v>
      </c>
      <c r="J24" s="2" t="s">
        <v>59</v>
      </c>
      <c r="K24" s="2">
        <f>K22-K23</f>
        <v>1143</v>
      </c>
      <c r="L24" s="109">
        <f>ROUNDUP(L23*220%,0)</f>
        <v>0</v>
      </c>
      <c r="M24" s="37">
        <f>ROUNDUP(K24*L24/60,0)</f>
        <v>0</v>
      </c>
      <c r="O24" s="37">
        <v>2</v>
      </c>
    </row>
    <row r="25" spans="1:16" x14ac:dyDescent="0.35">
      <c r="A25" s="67" t="s">
        <v>62</v>
      </c>
      <c r="B25" s="66" t="s">
        <v>63</v>
      </c>
      <c r="C25" s="78">
        <v>1.25</v>
      </c>
      <c r="D25" s="66"/>
      <c r="E25" s="99"/>
      <c r="F25" s="101"/>
      <c r="G25" s="106"/>
      <c r="H25" s="7" t="s">
        <v>64</v>
      </c>
      <c r="I25" s="97">
        <f>+O23/(O23+O24)</f>
        <v>0.7142857142857143</v>
      </c>
      <c r="J25" s="2"/>
      <c r="K25" s="2"/>
      <c r="L25" s="2"/>
      <c r="M25" s="37"/>
      <c r="O25" s="2">
        <f>7*60</f>
        <v>420</v>
      </c>
      <c r="P25" s="2">
        <f>+I23*O23+I24*O24</f>
        <v>415</v>
      </c>
    </row>
    <row r="26" spans="1:16" x14ac:dyDescent="0.35">
      <c r="A26" s="67" t="s">
        <v>62</v>
      </c>
      <c r="B26" s="66" t="s">
        <v>65</v>
      </c>
      <c r="C26" s="78">
        <v>0.5</v>
      </c>
      <c r="D26" s="66"/>
      <c r="E26" s="66"/>
      <c r="F26" s="101"/>
      <c r="G26" s="106"/>
      <c r="H26" s="7" t="s">
        <v>66</v>
      </c>
      <c r="I26" s="2">
        <v>7</v>
      </c>
      <c r="J26" s="2"/>
      <c r="K26" s="2"/>
      <c r="L26" s="2"/>
      <c r="M26" s="37"/>
    </row>
    <row r="27" spans="1:16" x14ac:dyDescent="0.35">
      <c r="A27" s="67" t="s">
        <v>62</v>
      </c>
      <c r="B27" s="66" t="s">
        <v>67</v>
      </c>
      <c r="C27" s="78">
        <v>3</v>
      </c>
      <c r="D27" s="66"/>
      <c r="E27" s="66"/>
      <c r="F27" s="101"/>
      <c r="G27" s="106"/>
      <c r="H27" s="7" t="s">
        <v>68</v>
      </c>
      <c r="I27" s="2">
        <v>5</v>
      </c>
      <c r="J27" s="2"/>
      <c r="K27" s="2"/>
      <c r="L27" s="2"/>
      <c r="M27" s="37"/>
    </row>
    <row r="28" spans="1:16" x14ac:dyDescent="0.35">
      <c r="A28" s="67" t="s">
        <v>62</v>
      </c>
      <c r="B28" s="66" t="s">
        <v>69</v>
      </c>
      <c r="C28" s="78">
        <v>0.5</v>
      </c>
      <c r="D28" s="66"/>
      <c r="E28" s="66"/>
      <c r="F28" s="101"/>
      <c r="G28" s="106"/>
      <c r="H28" s="7" t="s">
        <v>70</v>
      </c>
      <c r="I28" s="2">
        <f>K22/(I26*I27)</f>
        <v>114.28571428571429</v>
      </c>
      <c r="J28" s="2" t="s">
        <v>71</v>
      </c>
      <c r="K28" s="2"/>
      <c r="L28" s="2"/>
      <c r="M28" s="2">
        <f>ROUNDUP((M23+M24)/F39,0)</f>
        <v>0</v>
      </c>
    </row>
    <row r="29" spans="1:16" ht="15" thickBot="1" x14ac:dyDescent="0.4">
      <c r="A29" s="67" t="s">
        <v>62</v>
      </c>
      <c r="B29" s="66" t="s">
        <v>72</v>
      </c>
      <c r="C29" s="78">
        <v>0.25</v>
      </c>
      <c r="D29" s="66"/>
      <c r="E29" s="66"/>
      <c r="F29" s="101"/>
      <c r="G29" s="107"/>
      <c r="H29" s="8" t="s">
        <v>70</v>
      </c>
      <c r="I29" s="9">
        <f>I28/20</f>
        <v>5.7142857142857144</v>
      </c>
      <c r="J29" s="9" t="s">
        <v>73</v>
      </c>
      <c r="K29" s="9"/>
      <c r="L29" s="9"/>
      <c r="M29" s="62">
        <f>ROUNDUP(M28/30,2)</f>
        <v>0</v>
      </c>
    </row>
    <row r="30" spans="1:16" x14ac:dyDescent="0.35">
      <c r="A30" s="67" t="s">
        <v>62</v>
      </c>
      <c r="B30" s="66" t="s">
        <v>74</v>
      </c>
      <c r="C30" s="78">
        <v>0.6</v>
      </c>
      <c r="D30" s="66"/>
      <c r="E30" s="66"/>
      <c r="F30" s="102"/>
      <c r="M30" s="103">
        <f>ROUNDUP(M29/I29,2)</f>
        <v>0</v>
      </c>
    </row>
    <row r="31" spans="1:16" ht="18" customHeight="1" x14ac:dyDescent="0.35">
      <c r="A31" s="67" t="s">
        <v>75</v>
      </c>
      <c r="B31" s="66" t="s">
        <v>25</v>
      </c>
      <c r="C31" s="78">
        <v>5.5</v>
      </c>
      <c r="D31" s="66"/>
      <c r="E31" s="66"/>
      <c r="F31" s="102"/>
    </row>
    <row r="32" spans="1:16" ht="29" x14ac:dyDescent="0.35">
      <c r="A32" s="67" t="s">
        <v>76</v>
      </c>
      <c r="B32" s="66" t="s">
        <v>77</v>
      </c>
      <c r="C32" s="78">
        <v>1</v>
      </c>
      <c r="D32" s="66"/>
      <c r="E32" s="66"/>
      <c r="F32" s="102"/>
    </row>
    <row r="33" spans="1:12" x14ac:dyDescent="0.35">
      <c r="A33" s="67" t="s">
        <v>78</v>
      </c>
      <c r="B33" s="66" t="s">
        <v>79</v>
      </c>
      <c r="C33" s="78">
        <v>0.25</v>
      </c>
      <c r="D33" s="66"/>
      <c r="E33" s="99"/>
      <c r="F33" s="102"/>
      <c r="H33" t="s">
        <v>80</v>
      </c>
    </row>
    <row r="34" spans="1:12" x14ac:dyDescent="0.35">
      <c r="A34" s="67" t="s">
        <v>78</v>
      </c>
      <c r="B34" s="66" t="s">
        <v>81</v>
      </c>
      <c r="C34" s="78">
        <v>0.75</v>
      </c>
      <c r="D34" s="66"/>
      <c r="E34" s="99"/>
      <c r="F34" s="102"/>
      <c r="H34" t="s">
        <v>82</v>
      </c>
      <c r="K34" t="s">
        <v>83</v>
      </c>
      <c r="L34" t="s">
        <v>84</v>
      </c>
    </row>
    <row r="35" spans="1:12" x14ac:dyDescent="0.35">
      <c r="A35" s="67"/>
      <c r="B35" s="66"/>
      <c r="C35" s="78"/>
      <c r="D35" s="66"/>
      <c r="E35" s="99"/>
      <c r="F35" s="102"/>
      <c r="J35" t="s">
        <v>85</v>
      </c>
      <c r="K35">
        <v>0</v>
      </c>
      <c r="L35">
        <f>N20</f>
        <v>8312.5</v>
      </c>
    </row>
    <row r="36" spans="1:12" x14ac:dyDescent="0.35">
      <c r="A36" s="67" t="s">
        <v>86</v>
      </c>
      <c r="B36" s="66" t="s">
        <v>87</v>
      </c>
      <c r="C36" s="78">
        <v>21</v>
      </c>
      <c r="D36" s="66"/>
      <c r="E36" s="99"/>
      <c r="F36" s="127"/>
      <c r="H36" s="108" t="s">
        <v>88</v>
      </c>
      <c r="J36" t="s">
        <v>89</v>
      </c>
      <c r="K36">
        <v>5</v>
      </c>
      <c r="L36">
        <v>1</v>
      </c>
    </row>
    <row r="37" spans="1:12" ht="15" thickBot="1" x14ac:dyDescent="0.4">
      <c r="A37" s="67" t="s">
        <v>90</v>
      </c>
      <c r="B37" s="66" t="s">
        <v>91</v>
      </c>
      <c r="C37" s="78">
        <v>14</v>
      </c>
      <c r="D37" s="99"/>
      <c r="E37" s="111"/>
      <c r="F37" s="111"/>
      <c r="H37" t="s">
        <v>92</v>
      </c>
      <c r="J37" t="s">
        <v>93</v>
      </c>
      <c r="K37" s="9">
        <f>I19*0.85</f>
        <v>850</v>
      </c>
      <c r="L37" s="9">
        <f>I19</f>
        <v>1000</v>
      </c>
    </row>
    <row r="38" spans="1:12" x14ac:dyDescent="0.35">
      <c r="A38" s="67" t="s">
        <v>94</v>
      </c>
      <c r="B38" s="66" t="s">
        <v>95</v>
      </c>
      <c r="C38" s="78">
        <v>28</v>
      </c>
      <c r="D38" s="66"/>
      <c r="E38" s="99"/>
      <c r="F38" s="111"/>
      <c r="H38" t="s">
        <v>96</v>
      </c>
      <c r="J38" t="s">
        <v>97</v>
      </c>
      <c r="K38">
        <f>ROUNDUP(I29,0)</f>
        <v>6</v>
      </c>
      <c r="L38">
        <f>ROUNDUP(M29,0)</f>
        <v>0</v>
      </c>
    </row>
    <row r="39" spans="1:12" x14ac:dyDescent="0.35">
      <c r="A39" s="67" t="s">
        <v>98</v>
      </c>
      <c r="B39" s="66" t="s">
        <v>99</v>
      </c>
      <c r="C39" s="78">
        <v>14</v>
      </c>
      <c r="D39" s="66"/>
      <c r="E39" s="99"/>
      <c r="F39" s="126">
        <v>21</v>
      </c>
      <c r="G39" s="111" t="s">
        <v>100</v>
      </c>
      <c r="J39" t="s">
        <v>101</v>
      </c>
      <c r="K39">
        <f>K36*K37*K38+K35</f>
        <v>25500</v>
      </c>
      <c r="L39">
        <f>L36*L37*L38+L35</f>
        <v>8312.5</v>
      </c>
    </row>
    <row r="40" spans="1:12" x14ac:dyDescent="0.35">
      <c r="A40" s="129" t="s">
        <v>102</v>
      </c>
      <c r="B40" s="130" t="s">
        <v>103</v>
      </c>
      <c r="C40" s="131" t="s">
        <v>103</v>
      </c>
      <c r="D40" s="132" t="s">
        <v>103</v>
      </c>
      <c r="E40" s="132" t="s">
        <v>103</v>
      </c>
      <c r="F40" s="111"/>
      <c r="J40" t="s">
        <v>104</v>
      </c>
      <c r="K40" s="110">
        <f>(K39-L39)/K39</f>
        <v>0.6740196078431373</v>
      </c>
    </row>
    <row r="41" spans="1:12" x14ac:dyDescent="0.35">
      <c r="A41" s="133" t="s">
        <v>105</v>
      </c>
      <c r="B41" s="134" t="s">
        <v>106</v>
      </c>
      <c r="C41" s="154">
        <v>0.25</v>
      </c>
      <c r="D41" s="135" t="s">
        <v>103</v>
      </c>
      <c r="E41" s="135" t="s">
        <v>103</v>
      </c>
      <c r="J41" t="s">
        <v>107</v>
      </c>
      <c r="K41">
        <v>0</v>
      </c>
      <c r="L41">
        <f>ROUNDUP((+J13+K13+L13)/20,0)</f>
        <v>3</v>
      </c>
    </row>
    <row r="42" spans="1:12" x14ac:dyDescent="0.35">
      <c r="A42" s="133" t="s">
        <v>108</v>
      </c>
      <c r="B42" s="134" t="s">
        <v>103</v>
      </c>
      <c r="C42" s="154">
        <v>0.75</v>
      </c>
      <c r="D42" s="135" t="s">
        <v>103</v>
      </c>
      <c r="E42" s="135" t="s">
        <v>103</v>
      </c>
      <c r="J42" t="s">
        <v>109</v>
      </c>
      <c r="K42">
        <f>(K38+K41)-(L38+L41)</f>
        <v>3</v>
      </c>
      <c r="L42" t="s">
        <v>73</v>
      </c>
    </row>
    <row r="43" spans="1:12" x14ac:dyDescent="0.35">
      <c r="A43" s="133" t="s">
        <v>110</v>
      </c>
      <c r="B43" s="134" t="s">
        <v>111</v>
      </c>
      <c r="C43" s="154"/>
      <c r="D43" s="135" t="s">
        <v>103</v>
      </c>
      <c r="E43" s="135" t="s">
        <v>103</v>
      </c>
    </row>
    <row r="44" spans="1:12" x14ac:dyDescent="0.35">
      <c r="A44" s="133" t="s">
        <v>110</v>
      </c>
      <c r="B44" s="134" t="s">
        <v>112</v>
      </c>
      <c r="C44" s="154">
        <v>0.25</v>
      </c>
      <c r="D44" s="135" t="s">
        <v>103</v>
      </c>
      <c r="E44" s="135" t="s">
        <v>103</v>
      </c>
    </row>
    <row r="45" spans="1:12" x14ac:dyDescent="0.35">
      <c r="A45" s="133" t="s">
        <v>110</v>
      </c>
      <c r="B45" s="134" t="s">
        <v>113</v>
      </c>
      <c r="C45" s="154">
        <v>0.25</v>
      </c>
      <c r="D45" s="135" t="s">
        <v>103</v>
      </c>
      <c r="E45" s="135" t="s">
        <v>103</v>
      </c>
    </row>
    <row r="46" spans="1:12" x14ac:dyDescent="0.35">
      <c r="A46" s="133" t="s">
        <v>110</v>
      </c>
      <c r="B46" s="134" t="s">
        <v>114</v>
      </c>
      <c r="C46" s="154">
        <v>0.25</v>
      </c>
      <c r="D46" s="135" t="s">
        <v>103</v>
      </c>
      <c r="E46" s="135" t="s">
        <v>103</v>
      </c>
    </row>
    <row r="47" spans="1:12" x14ac:dyDescent="0.35">
      <c r="A47" s="133" t="s">
        <v>110</v>
      </c>
      <c r="B47" s="134" t="s">
        <v>115</v>
      </c>
      <c r="C47" s="154"/>
      <c r="D47" s="135" t="s">
        <v>103</v>
      </c>
      <c r="E47" s="135" t="s">
        <v>103</v>
      </c>
    </row>
    <row r="48" spans="1:12" ht="29" x14ac:dyDescent="0.35">
      <c r="A48" s="133" t="s">
        <v>110</v>
      </c>
      <c r="B48" s="134" t="s">
        <v>116</v>
      </c>
      <c r="C48" s="154">
        <v>0.75</v>
      </c>
      <c r="D48" s="135" t="s">
        <v>103</v>
      </c>
      <c r="E48" s="135" t="s">
        <v>103</v>
      </c>
    </row>
    <row r="49" spans="1:5" x14ac:dyDescent="0.35">
      <c r="A49" s="133" t="s">
        <v>110</v>
      </c>
      <c r="B49" s="134" t="s">
        <v>117</v>
      </c>
      <c r="C49" s="154">
        <v>0.25</v>
      </c>
      <c r="D49" s="135" t="s">
        <v>103</v>
      </c>
      <c r="E49" s="135" t="s">
        <v>103</v>
      </c>
    </row>
    <row r="50" spans="1:5" x14ac:dyDescent="0.35">
      <c r="A50" s="133" t="s">
        <v>110</v>
      </c>
      <c r="B50" s="155" t="s">
        <v>118</v>
      </c>
      <c r="C50" s="156">
        <v>5</v>
      </c>
      <c r="D50" s="135" t="s">
        <v>103</v>
      </c>
      <c r="E50" s="135" t="s">
        <v>103</v>
      </c>
    </row>
    <row r="51" spans="1:5" x14ac:dyDescent="0.35">
      <c r="A51" s="133" t="s">
        <v>110</v>
      </c>
      <c r="B51" s="134" t="s">
        <v>119</v>
      </c>
      <c r="C51" s="154">
        <v>1</v>
      </c>
      <c r="D51" s="135" t="s">
        <v>103</v>
      </c>
      <c r="E51" s="135" t="s">
        <v>103</v>
      </c>
    </row>
    <row r="52" spans="1:5" x14ac:dyDescent="0.35">
      <c r="A52" s="133" t="s">
        <v>110</v>
      </c>
      <c r="B52" s="134" t="s">
        <v>120</v>
      </c>
      <c r="C52" s="154">
        <v>1</v>
      </c>
      <c r="D52" s="135" t="s">
        <v>103</v>
      </c>
      <c r="E52" s="135" t="s">
        <v>103</v>
      </c>
    </row>
    <row r="53" spans="1:5" x14ac:dyDescent="0.35">
      <c r="A53" s="133" t="s">
        <v>110</v>
      </c>
      <c r="B53" s="134" t="s">
        <v>121</v>
      </c>
      <c r="C53" s="154">
        <v>1</v>
      </c>
      <c r="D53" s="135" t="s">
        <v>103</v>
      </c>
      <c r="E53" s="135" t="s">
        <v>103</v>
      </c>
    </row>
    <row r="54" spans="1:5" x14ac:dyDescent="0.35">
      <c r="A54" s="133" t="s">
        <v>122</v>
      </c>
      <c r="B54" s="134" t="s">
        <v>123</v>
      </c>
      <c r="C54" s="154">
        <v>0.25</v>
      </c>
      <c r="D54" s="135" t="s">
        <v>103</v>
      </c>
      <c r="E54" s="135" t="s">
        <v>103</v>
      </c>
    </row>
    <row r="55" spans="1:5" ht="58" x14ac:dyDescent="0.35">
      <c r="A55" s="133" t="s">
        <v>122</v>
      </c>
      <c r="B55" s="134" t="s">
        <v>124</v>
      </c>
      <c r="C55" s="154">
        <v>1.75</v>
      </c>
      <c r="D55" s="135" t="s">
        <v>103</v>
      </c>
      <c r="E55" s="135" t="s">
        <v>103</v>
      </c>
    </row>
    <row r="56" spans="1:5" x14ac:dyDescent="0.35">
      <c r="A56" s="136" t="s">
        <v>125</v>
      </c>
      <c r="B56" s="137" t="s">
        <v>126</v>
      </c>
      <c r="C56" s="159" t="s">
        <v>103</v>
      </c>
      <c r="D56" s="138" t="s">
        <v>103</v>
      </c>
      <c r="E56" s="138" t="s">
        <v>103</v>
      </c>
    </row>
    <row r="57" spans="1:5" x14ac:dyDescent="0.35">
      <c r="A57" s="136" t="s">
        <v>125</v>
      </c>
      <c r="B57" s="158" t="s">
        <v>127</v>
      </c>
      <c r="C57" s="157">
        <v>6.5</v>
      </c>
      <c r="D57" s="135" t="s">
        <v>103</v>
      </c>
      <c r="E57" s="135" t="s">
        <v>103</v>
      </c>
    </row>
    <row r="58" spans="1:5" x14ac:dyDescent="0.35">
      <c r="A58" s="136" t="s">
        <v>125</v>
      </c>
      <c r="B58" s="158" t="s">
        <v>128</v>
      </c>
      <c r="C58" s="157">
        <v>1.5</v>
      </c>
      <c r="D58" s="135" t="s">
        <v>103</v>
      </c>
      <c r="E58" s="135" t="s">
        <v>103</v>
      </c>
    </row>
    <row r="59" spans="1:5" x14ac:dyDescent="0.35">
      <c r="A59" s="136" t="s">
        <v>125</v>
      </c>
      <c r="B59" s="134" t="s">
        <v>129</v>
      </c>
      <c r="C59" s="154">
        <v>3</v>
      </c>
      <c r="D59" s="135" t="s">
        <v>103</v>
      </c>
      <c r="E59" s="135" t="s">
        <v>103</v>
      </c>
    </row>
    <row r="60" spans="1:5" x14ac:dyDescent="0.35">
      <c r="A60" s="136" t="s">
        <v>125</v>
      </c>
      <c r="B60" s="134" t="s">
        <v>130</v>
      </c>
      <c r="C60" s="154" t="s">
        <v>103</v>
      </c>
      <c r="D60" s="135" t="s">
        <v>103</v>
      </c>
      <c r="E60" s="135" t="s">
        <v>103</v>
      </c>
    </row>
    <row r="61" spans="1:5" ht="29" x14ac:dyDescent="0.35">
      <c r="A61" s="136" t="s">
        <v>125</v>
      </c>
      <c r="B61" s="134" t="s">
        <v>131</v>
      </c>
      <c r="C61" s="154">
        <v>21</v>
      </c>
      <c r="D61" s="135" t="s">
        <v>103</v>
      </c>
      <c r="E61" s="135" t="s">
        <v>103</v>
      </c>
    </row>
    <row r="62" spans="1:5" x14ac:dyDescent="0.35">
      <c r="A62" s="133" t="s">
        <v>132</v>
      </c>
      <c r="B62" s="155" t="s">
        <v>133</v>
      </c>
      <c r="C62" s="156">
        <v>3</v>
      </c>
      <c r="D62" s="135" t="s">
        <v>103</v>
      </c>
      <c r="E62" s="135" t="s">
        <v>103</v>
      </c>
    </row>
    <row r="63" spans="1:5" x14ac:dyDescent="0.35">
      <c r="A63" s="133" t="s">
        <v>134</v>
      </c>
      <c r="B63" s="134" t="s">
        <v>135</v>
      </c>
      <c r="C63" s="154">
        <v>0.25</v>
      </c>
      <c r="D63" s="135" t="s">
        <v>103</v>
      </c>
      <c r="E63" s="135" t="s">
        <v>103</v>
      </c>
    </row>
    <row r="64" spans="1:5" ht="29" x14ac:dyDescent="0.35">
      <c r="A64" s="133" t="s">
        <v>134</v>
      </c>
      <c r="B64" s="134" t="s">
        <v>136</v>
      </c>
      <c r="C64" s="154">
        <v>1.25</v>
      </c>
      <c r="D64" s="135" t="s">
        <v>103</v>
      </c>
      <c r="E64" s="135" t="s">
        <v>103</v>
      </c>
    </row>
    <row r="65" spans="1:5" x14ac:dyDescent="0.35">
      <c r="A65" s="69" t="s">
        <v>137</v>
      </c>
      <c r="B65" s="69"/>
      <c r="C65" s="69"/>
      <c r="D65" s="69"/>
      <c r="E65" s="165"/>
    </row>
    <row r="66" spans="1:5" x14ac:dyDescent="0.35">
      <c r="A66" s="69" t="s">
        <v>138</v>
      </c>
      <c r="B66" s="70"/>
      <c r="C66" s="79">
        <f>SUM(C9:C64)</f>
        <v>208.1</v>
      </c>
      <c r="D66" s="114"/>
    </row>
    <row r="67" spans="1:5" x14ac:dyDescent="0.35">
      <c r="A67" s="81" t="s">
        <v>139</v>
      </c>
      <c r="B67" s="66" t="s">
        <v>140</v>
      </c>
      <c r="C67" s="78">
        <v>24</v>
      </c>
      <c r="D67" s="113"/>
    </row>
    <row r="68" spans="1:5" x14ac:dyDescent="0.35">
      <c r="A68" s="81" t="s">
        <v>141</v>
      </c>
      <c r="B68" s="66" t="s">
        <v>142</v>
      </c>
      <c r="C68" s="78">
        <v>28</v>
      </c>
      <c r="D68" s="113"/>
    </row>
    <row r="69" spans="1:5" x14ac:dyDescent="0.35">
      <c r="A69" s="69" t="s">
        <v>143</v>
      </c>
      <c r="B69" s="70"/>
      <c r="C69" s="79">
        <f>SUM(C67:C68)</f>
        <v>52</v>
      </c>
      <c r="D69" s="114"/>
    </row>
    <row r="70" spans="1:5" x14ac:dyDescent="0.35">
      <c r="A70" s="68" t="s">
        <v>144</v>
      </c>
      <c r="B70" s="141">
        <v>0.25</v>
      </c>
      <c r="C70" s="142">
        <f>(C66+C69)*B70</f>
        <v>65.025000000000006</v>
      </c>
      <c r="D70" s="115"/>
    </row>
    <row r="71" spans="1:5" x14ac:dyDescent="0.35">
      <c r="B71" s="145" t="s">
        <v>145</v>
      </c>
      <c r="C71" s="146">
        <f>C66+C69+C70</f>
        <v>325.125</v>
      </c>
    </row>
    <row r="72" spans="1:5" x14ac:dyDescent="0.35">
      <c r="B72" s="147" t="s">
        <v>146</v>
      </c>
      <c r="C72" s="148">
        <v>7</v>
      </c>
    </row>
    <row r="73" spans="1:5" x14ac:dyDescent="0.35">
      <c r="B73" s="147" t="s">
        <v>147</v>
      </c>
      <c r="C73" s="148">
        <v>1</v>
      </c>
    </row>
    <row r="74" spans="1:5" x14ac:dyDescent="0.35">
      <c r="B74" s="143" t="s">
        <v>148</v>
      </c>
      <c r="C74" s="144">
        <f>C7</f>
        <v>29</v>
      </c>
    </row>
    <row r="75" spans="1:5" x14ac:dyDescent="0.35">
      <c r="B75" s="139" t="s">
        <v>149</v>
      </c>
      <c r="C75" s="140">
        <f>ROUNDUP(C71/C72,0)</f>
        <v>47</v>
      </c>
      <c r="D75" s="128"/>
    </row>
    <row r="77" spans="1:5" x14ac:dyDescent="0.35">
      <c r="A77" s="119" t="s">
        <v>80</v>
      </c>
      <c r="B77" s="117" t="s">
        <v>150</v>
      </c>
      <c r="C77" s="111"/>
      <c r="D77" s="118"/>
    </row>
    <row r="78" spans="1:5" x14ac:dyDescent="0.35">
      <c r="A78" s="2"/>
      <c r="B78" s="117" t="s">
        <v>151</v>
      </c>
      <c r="C78" s="111"/>
      <c r="D78" s="118"/>
    </row>
    <row r="79" spans="1:5" ht="29" x14ac:dyDescent="0.35">
      <c r="A79" s="117"/>
      <c r="B79" s="121" t="s">
        <v>152</v>
      </c>
      <c r="C79" s="111"/>
      <c r="D79" s="118"/>
    </row>
    <row r="80" spans="1:5" x14ac:dyDescent="0.35">
      <c r="A80" s="122"/>
      <c r="C80" s="123"/>
      <c r="D80" s="124"/>
    </row>
    <row r="81" spans="1:4" ht="29" x14ac:dyDescent="0.35">
      <c r="A81" s="120" t="s">
        <v>153</v>
      </c>
      <c r="B81" s="125" t="s">
        <v>154</v>
      </c>
      <c r="C81" s="111"/>
      <c r="D81" s="118"/>
    </row>
    <row r="82" spans="1:4" x14ac:dyDescent="0.35">
      <c r="A82" s="122"/>
      <c r="B82" s="153" t="s">
        <v>155</v>
      </c>
      <c r="C82" s="123"/>
      <c r="D82" s="124"/>
    </row>
    <row r="83" spans="1:4" ht="29" x14ac:dyDescent="0.35">
      <c r="A83" s="149"/>
      <c r="B83" s="121" t="s">
        <v>156</v>
      </c>
      <c r="C83" s="150"/>
      <c r="D83" s="151"/>
    </row>
    <row r="84" spans="1:4" ht="43.5" x14ac:dyDescent="0.35">
      <c r="A84" s="149"/>
      <c r="B84" s="152" t="s">
        <v>157</v>
      </c>
      <c r="C84" s="150"/>
      <c r="D84" s="151"/>
    </row>
    <row r="85" spans="1:4" ht="72.5" x14ac:dyDescent="0.35">
      <c r="A85" s="149"/>
      <c r="B85" s="152" t="s">
        <v>158</v>
      </c>
      <c r="C85" s="150"/>
      <c r="D85" s="151"/>
    </row>
    <row r="86" spans="1:4" ht="72.5" x14ac:dyDescent="0.35">
      <c r="A86" s="149"/>
      <c r="B86" s="152" t="s">
        <v>159</v>
      </c>
      <c r="C86" s="150"/>
      <c r="D86" s="151"/>
    </row>
    <row r="87" spans="1:4" ht="72.5" x14ac:dyDescent="0.35">
      <c r="A87" s="160"/>
      <c r="B87" s="161" t="s">
        <v>160</v>
      </c>
      <c r="C87" s="162"/>
      <c r="D87" s="163"/>
    </row>
    <row r="88" spans="1:4" x14ac:dyDescent="0.35">
      <c r="A88" s="160"/>
      <c r="B88" s="149" t="s">
        <v>161</v>
      </c>
      <c r="C88" s="162"/>
      <c r="D88" s="163"/>
    </row>
    <row r="89" spans="1:4" ht="29" x14ac:dyDescent="0.35">
      <c r="A89" s="160"/>
      <c r="B89" s="160" t="s">
        <v>162</v>
      </c>
      <c r="C89" s="162"/>
      <c r="D89" s="151"/>
    </row>
    <row r="90" spans="1:4" x14ac:dyDescent="0.35">
      <c r="A90" s="149"/>
      <c r="B90" s="149"/>
      <c r="C90" s="150"/>
      <c r="D90" s="16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selection activeCell="H34" sqref="H34"/>
    </sheetView>
  </sheetViews>
  <sheetFormatPr defaultRowHeight="14.5" x14ac:dyDescent="0.35"/>
  <cols>
    <col min="1" max="1" width="40" bestFit="1" customWidth="1"/>
    <col min="2" max="2" width="12" bestFit="1" customWidth="1"/>
    <col min="3" max="3" width="5.1796875" customWidth="1"/>
    <col min="4" max="4" width="15.54296875" bestFit="1" customWidth="1"/>
    <col min="5" max="6" width="11.54296875" bestFit="1" customWidth="1"/>
    <col min="7" max="7" width="7.7265625" bestFit="1" customWidth="1"/>
    <col min="8" max="8" width="13.26953125" bestFit="1" customWidth="1"/>
    <col min="9" max="9" width="11.54296875" bestFit="1" customWidth="1"/>
    <col min="10" max="10" width="9.7265625" bestFit="1" customWidth="1"/>
    <col min="11" max="13" width="9" customWidth="1"/>
    <col min="15" max="15" width="7" bestFit="1" customWidth="1"/>
    <col min="16" max="16" width="15.7265625" bestFit="1" customWidth="1"/>
    <col min="17" max="17" width="11.54296875" bestFit="1" customWidth="1"/>
  </cols>
  <sheetData>
    <row r="1" spans="1:19" x14ac:dyDescent="0.35">
      <c r="A1" s="35" t="s">
        <v>163</v>
      </c>
      <c r="B1" s="36">
        <v>20</v>
      </c>
      <c r="D1" s="172" t="s">
        <v>26</v>
      </c>
      <c r="E1" s="174" t="s">
        <v>43</v>
      </c>
      <c r="F1" s="176" t="s">
        <v>164</v>
      </c>
      <c r="G1" s="177"/>
      <c r="H1" s="176" t="s">
        <v>28</v>
      </c>
      <c r="I1" s="177"/>
      <c r="J1" s="18" t="s">
        <v>165</v>
      </c>
    </row>
    <row r="2" spans="1:19" x14ac:dyDescent="0.35">
      <c r="A2" s="7" t="s">
        <v>166</v>
      </c>
      <c r="B2" s="57">
        <v>3000</v>
      </c>
      <c r="D2" s="173"/>
      <c r="E2" s="175"/>
      <c r="F2" s="54" t="s">
        <v>167</v>
      </c>
      <c r="G2" s="54" t="s">
        <v>168</v>
      </c>
      <c r="H2" s="54" t="s">
        <v>167</v>
      </c>
      <c r="I2" s="54" t="s">
        <v>168</v>
      </c>
      <c r="J2" s="17">
        <f>SUM(J3:J6)</f>
        <v>6562.5</v>
      </c>
    </row>
    <row r="3" spans="1:19" ht="15" customHeight="1" x14ac:dyDescent="0.35">
      <c r="A3" s="58" t="s">
        <v>169</v>
      </c>
      <c r="B3" s="37"/>
      <c r="D3" s="7" t="s">
        <v>170</v>
      </c>
      <c r="E3" s="6">
        <v>1000</v>
      </c>
      <c r="F3" s="2">
        <v>1</v>
      </c>
      <c r="G3" s="2">
        <v>0.25</v>
      </c>
      <c r="H3" s="2">
        <v>0.25</v>
      </c>
      <c r="I3" s="2">
        <v>2.4</v>
      </c>
      <c r="J3" s="55">
        <f>E3*((F3*G3)+(H3*I3))</f>
        <v>850</v>
      </c>
    </row>
    <row r="4" spans="1:19" x14ac:dyDescent="0.35">
      <c r="A4" s="7" t="s">
        <v>171</v>
      </c>
      <c r="B4" s="12">
        <v>2</v>
      </c>
      <c r="D4" s="7" t="s">
        <v>172</v>
      </c>
      <c r="E4" s="6">
        <v>1000</v>
      </c>
      <c r="F4" s="2">
        <v>1</v>
      </c>
      <c r="G4" s="2">
        <v>0.25</v>
      </c>
      <c r="H4" s="2">
        <v>1</v>
      </c>
      <c r="I4" s="2">
        <v>2.4</v>
      </c>
      <c r="J4" s="55">
        <f t="shared" ref="J4" si="0">E4*((F4*G4)+(H4*I4))</f>
        <v>2650</v>
      </c>
      <c r="K4" t="s">
        <v>173</v>
      </c>
    </row>
    <row r="5" spans="1:19" x14ac:dyDescent="0.35">
      <c r="A5" s="7" t="s">
        <v>174</v>
      </c>
      <c r="B5" s="12">
        <v>480</v>
      </c>
      <c r="D5" s="7" t="s">
        <v>172</v>
      </c>
      <c r="E5" s="6">
        <v>1000</v>
      </c>
      <c r="F5" s="2">
        <v>0</v>
      </c>
      <c r="G5" s="2">
        <v>0</v>
      </c>
      <c r="H5" s="2">
        <v>1</v>
      </c>
      <c r="I5" s="2">
        <v>2.4</v>
      </c>
      <c r="J5" s="55">
        <f t="shared" ref="J5" si="1">E5*((F5*G5)+(H5*I5))</f>
        <v>2400</v>
      </c>
      <c r="K5" t="s">
        <v>175</v>
      </c>
    </row>
    <row r="6" spans="1:19" ht="15" thickBot="1" x14ac:dyDescent="0.4">
      <c r="A6" s="7" t="s">
        <v>176</v>
      </c>
      <c r="B6" s="12">
        <v>1</v>
      </c>
      <c r="D6" s="8" t="s">
        <v>177</v>
      </c>
      <c r="E6" s="6">
        <v>1000</v>
      </c>
      <c r="F6" s="9">
        <v>0.25</v>
      </c>
      <c r="G6" s="2">
        <v>0.25</v>
      </c>
      <c r="H6" s="9">
        <v>0.25</v>
      </c>
      <c r="I6" s="2">
        <v>2.4</v>
      </c>
      <c r="J6" s="56">
        <f>E6*((F6*G6)+(H6*I6))</f>
        <v>662.5</v>
      </c>
      <c r="K6" t="s">
        <v>178</v>
      </c>
    </row>
    <row r="7" spans="1:19" ht="15" thickBot="1" x14ac:dyDescent="0.4">
      <c r="A7" s="58" t="s">
        <v>179</v>
      </c>
      <c r="B7" s="37"/>
    </row>
    <row r="8" spans="1:19" ht="15" thickBot="1" x14ac:dyDescent="0.4">
      <c r="A8" s="7" t="s">
        <v>171</v>
      </c>
      <c r="B8" s="59">
        <v>1</v>
      </c>
      <c r="E8" s="47" t="s">
        <v>180</v>
      </c>
      <c r="F8" s="48"/>
      <c r="G8" s="49"/>
      <c r="H8" s="47" t="s">
        <v>181</v>
      </c>
      <c r="I8" s="48"/>
      <c r="J8" s="49"/>
      <c r="K8" s="50" t="s">
        <v>182</v>
      </c>
      <c r="L8" s="51"/>
      <c r="O8" s="53"/>
      <c r="P8" s="47" t="s">
        <v>180</v>
      </c>
      <c r="Q8" s="48"/>
      <c r="R8" s="50" t="s">
        <v>182</v>
      </c>
      <c r="S8" s="51"/>
    </row>
    <row r="9" spans="1:19" ht="15" customHeight="1" x14ac:dyDescent="0.35">
      <c r="A9" s="7" t="s">
        <v>183</v>
      </c>
      <c r="B9" s="12">
        <v>60</v>
      </c>
      <c r="E9" s="15" t="s">
        <v>184</v>
      </c>
      <c r="F9" s="16" t="str">
        <f>_xlfn.CONCAT(SUM(G14:G50)," months")</f>
        <v>10 months</v>
      </c>
      <c r="G9" s="14"/>
      <c r="H9" s="15" t="s">
        <v>184</v>
      </c>
      <c r="I9" s="16" t="str">
        <f>_xlfn.CONCAT(SUM(J14:J50)," months")</f>
        <v>10 months</v>
      </c>
      <c r="J9" s="28"/>
      <c r="K9" s="166" t="s">
        <v>185</v>
      </c>
      <c r="L9" s="167"/>
      <c r="M9" s="28"/>
      <c r="O9" s="42" t="s">
        <v>186</v>
      </c>
      <c r="P9" s="42" t="s">
        <v>187</v>
      </c>
      <c r="Q9" s="43" t="s">
        <v>188</v>
      </c>
      <c r="R9" s="42" t="s">
        <v>189</v>
      </c>
      <c r="S9" s="46" t="s">
        <v>190</v>
      </c>
    </row>
    <row r="10" spans="1:19" x14ac:dyDescent="0.35">
      <c r="A10" s="7" t="s">
        <v>176</v>
      </c>
      <c r="B10" s="12">
        <f>ROUND(B5*B6/(B9*B8),0)</f>
        <v>8</v>
      </c>
      <c r="E10" s="19">
        <f>SUMPRODUCT(E11:E50,$G$11:$G$50)</f>
        <v>60000</v>
      </c>
      <c r="F10" s="19">
        <f>SUMPRODUCT(F11:F50,$G$11:$G$50)</f>
        <v>55402.5</v>
      </c>
      <c r="G10" s="5"/>
      <c r="H10" s="19">
        <f>SUMPRODUCT(H11:H50,$J$11:$J$50)</f>
        <v>60000</v>
      </c>
      <c r="I10" s="19">
        <f>SUMPRODUCT(I11:I50,$J$11:$J$50)</f>
        <v>52262.5</v>
      </c>
      <c r="K10" s="168"/>
      <c r="L10" s="169"/>
      <c r="N10" s="52"/>
      <c r="O10" s="11">
        <v>1</v>
      </c>
      <c r="P10" s="19">
        <f t="shared" ref="P10:P21" si="2">($B$2*$B$4)*O10</f>
        <v>6000</v>
      </c>
      <c r="Q10" s="20">
        <f t="shared" ref="Q10:Q21" si="3">$J$2+$B$15+$B$8*$B$2*O10</f>
        <v>28402.5</v>
      </c>
      <c r="R10" s="38">
        <f>$B$1*$B$6</f>
        <v>20</v>
      </c>
      <c r="S10" s="39">
        <f>L14-K14</f>
        <v>140</v>
      </c>
    </row>
    <row r="11" spans="1:19" x14ac:dyDescent="0.35">
      <c r="A11" s="58" t="s">
        <v>191</v>
      </c>
      <c r="B11" s="37"/>
      <c r="D11" s="11" t="s">
        <v>28</v>
      </c>
      <c r="E11" s="6">
        <v>0</v>
      </c>
      <c r="F11" s="10">
        <f>$J$2</f>
        <v>6562.5</v>
      </c>
      <c r="G11" s="12">
        <v>1</v>
      </c>
      <c r="H11" s="6">
        <v>0</v>
      </c>
      <c r="I11" s="10">
        <f>$J$2</f>
        <v>6562.5</v>
      </c>
      <c r="J11" s="33">
        <v>1</v>
      </c>
      <c r="K11" s="168"/>
      <c r="L11" s="169"/>
      <c r="M11" s="29"/>
      <c r="N11" s="52"/>
      <c r="O11" s="11">
        <v>2</v>
      </c>
      <c r="P11" s="19">
        <f t="shared" si="2"/>
        <v>12000</v>
      </c>
      <c r="Q11" s="20">
        <f t="shared" si="3"/>
        <v>31402.5</v>
      </c>
      <c r="R11" s="38">
        <f t="shared" ref="R11:R21" si="4">$B$1*$B$6+R10</f>
        <v>40</v>
      </c>
      <c r="S11" s="39">
        <f t="shared" ref="S11:S21" si="5">L15-K15</f>
        <v>280</v>
      </c>
    </row>
    <row r="12" spans="1:19" x14ac:dyDescent="0.35">
      <c r="A12" s="7" t="s">
        <v>192</v>
      </c>
      <c r="B12" s="60" t="e">
        <f>#REF!</f>
        <v>#REF!</v>
      </c>
      <c r="D12" s="11" t="s">
        <v>193</v>
      </c>
      <c r="E12" s="6">
        <v>0</v>
      </c>
      <c r="F12" s="10">
        <f>$B$15</f>
        <v>18840</v>
      </c>
      <c r="G12" s="12">
        <v>1</v>
      </c>
      <c r="H12" s="6">
        <v>0</v>
      </c>
      <c r="I12" s="6">
        <v>0</v>
      </c>
      <c r="J12" s="33">
        <v>1</v>
      </c>
      <c r="K12" s="170"/>
      <c r="L12" s="171"/>
      <c r="M12" s="29"/>
      <c r="N12" s="52"/>
      <c r="O12" s="11">
        <v>3</v>
      </c>
      <c r="P12" s="19">
        <f t="shared" si="2"/>
        <v>18000</v>
      </c>
      <c r="Q12" s="20">
        <f t="shared" si="3"/>
        <v>34402.5</v>
      </c>
      <c r="R12" s="38">
        <f t="shared" si="4"/>
        <v>60</v>
      </c>
      <c r="S12" s="39">
        <f t="shared" si="5"/>
        <v>420</v>
      </c>
    </row>
    <row r="13" spans="1:19" x14ac:dyDescent="0.35">
      <c r="A13" s="7" t="s">
        <v>194</v>
      </c>
      <c r="B13" s="61">
        <f>J2</f>
        <v>6562.5</v>
      </c>
      <c r="D13" s="11"/>
      <c r="E13" s="42" t="s">
        <v>195</v>
      </c>
      <c r="F13" s="43" t="s">
        <v>196</v>
      </c>
      <c r="G13" s="44"/>
      <c r="H13" s="42" t="s">
        <v>195</v>
      </c>
      <c r="I13" s="43" t="s">
        <v>196</v>
      </c>
      <c r="J13" s="45"/>
      <c r="K13" s="42" t="s">
        <v>195</v>
      </c>
      <c r="L13" s="46" t="s">
        <v>196</v>
      </c>
      <c r="M13" s="29"/>
      <c r="N13" s="52"/>
      <c r="O13" s="11">
        <v>4</v>
      </c>
      <c r="P13" s="19">
        <f t="shared" si="2"/>
        <v>24000</v>
      </c>
      <c r="Q13" s="20">
        <f t="shared" si="3"/>
        <v>37402.5</v>
      </c>
      <c r="R13" s="38">
        <f t="shared" si="4"/>
        <v>80</v>
      </c>
      <c r="S13" s="39">
        <f t="shared" si="5"/>
        <v>560</v>
      </c>
    </row>
    <row r="14" spans="1:19" x14ac:dyDescent="0.35">
      <c r="A14" s="7" t="s">
        <v>197</v>
      </c>
      <c r="B14" s="57">
        <v>1570</v>
      </c>
      <c r="D14" s="11" t="s">
        <v>198</v>
      </c>
      <c r="E14" s="19">
        <f t="shared" ref="E14:E25" si="6">$B$2*$B$4</f>
        <v>6000</v>
      </c>
      <c r="F14" s="20">
        <f t="shared" ref="F14:F25" si="7">$B$8*$B$2</f>
        <v>3000</v>
      </c>
      <c r="G14" s="12">
        <v>1</v>
      </c>
      <c r="H14" s="19">
        <f t="shared" ref="H14:H25" si="8">$B$2*$B$4</f>
        <v>6000</v>
      </c>
      <c r="I14" s="20">
        <f t="shared" ref="I14:I25" si="9">$B$8*$B$2+$B$14</f>
        <v>4570</v>
      </c>
      <c r="J14" s="33">
        <v>1</v>
      </c>
      <c r="K14" s="38">
        <f>$B$1*$B$6</f>
        <v>20</v>
      </c>
      <c r="L14" s="39">
        <f>$B$1*$B$10</f>
        <v>160</v>
      </c>
      <c r="M14" s="30"/>
      <c r="N14" s="52"/>
      <c r="O14" s="11">
        <v>5</v>
      </c>
      <c r="P14" s="19">
        <f t="shared" si="2"/>
        <v>30000</v>
      </c>
      <c r="Q14" s="20">
        <f t="shared" si="3"/>
        <v>40402.5</v>
      </c>
      <c r="R14" s="38">
        <f t="shared" si="4"/>
        <v>100</v>
      </c>
      <c r="S14" s="39">
        <f t="shared" si="5"/>
        <v>700</v>
      </c>
    </row>
    <row r="15" spans="1:19" x14ac:dyDescent="0.35">
      <c r="A15" s="7" t="s">
        <v>199</v>
      </c>
      <c r="B15" s="57">
        <f>B14*12</f>
        <v>18840</v>
      </c>
      <c r="D15" s="11" t="s">
        <v>200</v>
      </c>
      <c r="E15" s="19">
        <f t="shared" si="6"/>
        <v>6000</v>
      </c>
      <c r="F15" s="20">
        <f t="shared" si="7"/>
        <v>3000</v>
      </c>
      <c r="G15" s="12">
        <v>1</v>
      </c>
      <c r="H15" s="19">
        <f t="shared" si="8"/>
        <v>6000</v>
      </c>
      <c r="I15" s="20">
        <f t="shared" si="9"/>
        <v>4570</v>
      </c>
      <c r="J15" s="33">
        <v>1</v>
      </c>
      <c r="K15" s="38">
        <f t="shared" ref="K15:K25" si="10">$B$1*$B$6+K14</f>
        <v>40</v>
      </c>
      <c r="L15" s="39">
        <f t="shared" ref="L15:L25" si="11">$B$1*$B$10+L14</f>
        <v>320</v>
      </c>
      <c r="M15" s="30"/>
      <c r="N15" s="52"/>
      <c r="O15" s="11">
        <v>6</v>
      </c>
      <c r="P15" s="19">
        <f t="shared" si="2"/>
        <v>36000</v>
      </c>
      <c r="Q15" s="20">
        <f t="shared" si="3"/>
        <v>43402.5</v>
      </c>
      <c r="R15" s="38">
        <f t="shared" si="4"/>
        <v>120</v>
      </c>
      <c r="S15" s="39">
        <f t="shared" si="5"/>
        <v>840</v>
      </c>
    </row>
    <row r="16" spans="1:19" x14ac:dyDescent="0.35">
      <c r="A16" s="7" t="s">
        <v>201</v>
      </c>
      <c r="B16" s="37"/>
      <c r="D16" s="11" t="s">
        <v>202</v>
      </c>
      <c r="E16" s="19">
        <f t="shared" si="6"/>
        <v>6000</v>
      </c>
      <c r="F16" s="20">
        <f t="shared" si="7"/>
        <v>3000</v>
      </c>
      <c r="G16" s="12">
        <v>1</v>
      </c>
      <c r="H16" s="19">
        <f t="shared" si="8"/>
        <v>6000</v>
      </c>
      <c r="I16" s="20">
        <f t="shared" si="9"/>
        <v>4570</v>
      </c>
      <c r="J16" s="33">
        <v>1</v>
      </c>
      <c r="K16" s="38">
        <f t="shared" si="10"/>
        <v>60</v>
      </c>
      <c r="L16" s="39">
        <f t="shared" si="11"/>
        <v>480</v>
      </c>
      <c r="M16" s="30"/>
      <c r="N16" s="52"/>
      <c r="O16" s="11">
        <v>7</v>
      </c>
      <c r="P16" s="19">
        <f t="shared" si="2"/>
        <v>42000</v>
      </c>
      <c r="Q16" s="20">
        <f t="shared" si="3"/>
        <v>46402.5</v>
      </c>
      <c r="R16" s="38">
        <f t="shared" si="4"/>
        <v>140</v>
      </c>
      <c r="S16" s="39">
        <f t="shared" si="5"/>
        <v>980</v>
      </c>
    </row>
    <row r="17" spans="1:19" ht="15" thickBot="1" x14ac:dyDescent="0.4">
      <c r="A17" s="8" t="s">
        <v>203</v>
      </c>
      <c r="B17" s="62"/>
      <c r="D17" s="11" t="s">
        <v>204</v>
      </c>
      <c r="E17" s="19">
        <f t="shared" si="6"/>
        <v>6000</v>
      </c>
      <c r="F17" s="20">
        <f t="shared" si="7"/>
        <v>3000</v>
      </c>
      <c r="G17" s="12">
        <v>1</v>
      </c>
      <c r="H17" s="19">
        <f t="shared" si="8"/>
        <v>6000</v>
      </c>
      <c r="I17" s="20">
        <f t="shared" si="9"/>
        <v>4570</v>
      </c>
      <c r="J17" s="33">
        <v>1</v>
      </c>
      <c r="K17" s="38">
        <f t="shared" si="10"/>
        <v>80</v>
      </c>
      <c r="L17" s="39">
        <f t="shared" si="11"/>
        <v>640</v>
      </c>
      <c r="M17" s="30"/>
      <c r="N17" s="52"/>
      <c r="O17" s="11">
        <v>8</v>
      </c>
      <c r="P17" s="19">
        <f t="shared" si="2"/>
        <v>48000</v>
      </c>
      <c r="Q17" s="20">
        <f t="shared" si="3"/>
        <v>49402.5</v>
      </c>
      <c r="R17" s="38">
        <f t="shared" si="4"/>
        <v>160</v>
      </c>
      <c r="S17" s="39">
        <f t="shared" si="5"/>
        <v>1120</v>
      </c>
    </row>
    <row r="18" spans="1:19" x14ac:dyDescent="0.35">
      <c r="A18" s="63" t="s">
        <v>205</v>
      </c>
      <c r="B18">
        <v>15</v>
      </c>
      <c r="D18" s="11" t="s">
        <v>206</v>
      </c>
      <c r="E18" s="19">
        <f t="shared" si="6"/>
        <v>6000</v>
      </c>
      <c r="F18" s="20">
        <f t="shared" si="7"/>
        <v>3000</v>
      </c>
      <c r="G18" s="12">
        <v>1</v>
      </c>
      <c r="H18" s="19">
        <f t="shared" si="8"/>
        <v>6000</v>
      </c>
      <c r="I18" s="20">
        <f t="shared" si="9"/>
        <v>4570</v>
      </c>
      <c r="J18" s="33">
        <v>1</v>
      </c>
      <c r="K18" s="38">
        <f t="shared" si="10"/>
        <v>100</v>
      </c>
      <c r="L18" s="39">
        <f t="shared" si="11"/>
        <v>800</v>
      </c>
      <c r="M18" s="30"/>
      <c r="N18" s="52"/>
      <c r="O18" s="11">
        <v>9</v>
      </c>
      <c r="P18" s="19">
        <f t="shared" si="2"/>
        <v>54000</v>
      </c>
      <c r="Q18" s="20">
        <f t="shared" si="3"/>
        <v>52402.5</v>
      </c>
      <c r="R18" s="38">
        <f t="shared" si="4"/>
        <v>180</v>
      </c>
      <c r="S18" s="39">
        <f t="shared" si="5"/>
        <v>1260</v>
      </c>
    </row>
    <row r="19" spans="1:19" x14ac:dyDescent="0.35">
      <c r="A19" s="63" t="s">
        <v>207</v>
      </c>
      <c r="B19">
        <f>24*60/B18</f>
        <v>96</v>
      </c>
      <c r="D19" s="11" t="s">
        <v>208</v>
      </c>
      <c r="E19" s="19">
        <f t="shared" si="6"/>
        <v>6000</v>
      </c>
      <c r="F19" s="20">
        <f t="shared" si="7"/>
        <v>3000</v>
      </c>
      <c r="G19" s="12">
        <v>1</v>
      </c>
      <c r="H19" s="19">
        <f t="shared" si="8"/>
        <v>6000</v>
      </c>
      <c r="I19" s="20">
        <f t="shared" si="9"/>
        <v>4570</v>
      </c>
      <c r="J19" s="33">
        <v>1</v>
      </c>
      <c r="K19" s="38">
        <f t="shared" si="10"/>
        <v>120</v>
      </c>
      <c r="L19" s="39">
        <f t="shared" si="11"/>
        <v>960</v>
      </c>
      <c r="M19" s="30"/>
      <c r="N19" s="52"/>
      <c r="O19" s="11">
        <v>10</v>
      </c>
      <c r="P19" s="19">
        <f t="shared" si="2"/>
        <v>60000</v>
      </c>
      <c r="Q19" s="20">
        <f t="shared" si="3"/>
        <v>55402.5</v>
      </c>
      <c r="R19" s="38">
        <f t="shared" si="4"/>
        <v>200</v>
      </c>
      <c r="S19" s="39">
        <f t="shared" si="5"/>
        <v>1400</v>
      </c>
    </row>
    <row r="20" spans="1:19" x14ac:dyDescent="0.35">
      <c r="A20" s="63" t="s">
        <v>209</v>
      </c>
      <c r="B20">
        <f>B19/(7*2)</f>
        <v>6.8571428571428568</v>
      </c>
      <c r="D20" s="11" t="s">
        <v>210</v>
      </c>
      <c r="E20" s="19">
        <f t="shared" si="6"/>
        <v>6000</v>
      </c>
      <c r="F20" s="20">
        <f t="shared" si="7"/>
        <v>3000</v>
      </c>
      <c r="G20" s="12">
        <v>1</v>
      </c>
      <c r="H20" s="19">
        <f t="shared" si="8"/>
        <v>6000</v>
      </c>
      <c r="I20" s="20">
        <f t="shared" si="9"/>
        <v>4570</v>
      </c>
      <c r="J20" s="33">
        <v>1</v>
      </c>
      <c r="K20" s="38">
        <f t="shared" si="10"/>
        <v>140</v>
      </c>
      <c r="L20" s="39">
        <f t="shared" si="11"/>
        <v>1120</v>
      </c>
      <c r="M20" s="30"/>
      <c r="N20" s="52"/>
      <c r="O20" s="11">
        <v>11</v>
      </c>
      <c r="P20" s="19">
        <f t="shared" si="2"/>
        <v>66000</v>
      </c>
      <c r="Q20" s="20">
        <f t="shared" si="3"/>
        <v>58402.5</v>
      </c>
      <c r="R20" s="38">
        <f t="shared" si="4"/>
        <v>220</v>
      </c>
      <c r="S20" s="39">
        <f t="shared" si="5"/>
        <v>1540</v>
      </c>
    </row>
    <row r="21" spans="1:19" ht="15" thickBot="1" x14ac:dyDescent="0.4">
      <c r="A21" s="3" t="s">
        <v>211</v>
      </c>
      <c r="D21" s="11" t="s">
        <v>212</v>
      </c>
      <c r="E21" s="19">
        <f t="shared" si="6"/>
        <v>6000</v>
      </c>
      <c r="F21" s="20">
        <f t="shared" si="7"/>
        <v>3000</v>
      </c>
      <c r="G21" s="12">
        <v>1</v>
      </c>
      <c r="H21" s="19">
        <f t="shared" si="8"/>
        <v>6000</v>
      </c>
      <c r="I21" s="20">
        <f t="shared" si="9"/>
        <v>4570</v>
      </c>
      <c r="J21" s="33">
        <v>1</v>
      </c>
      <c r="K21" s="38">
        <f t="shared" si="10"/>
        <v>160</v>
      </c>
      <c r="L21" s="39">
        <f t="shared" si="11"/>
        <v>1280</v>
      </c>
      <c r="M21" s="30"/>
      <c r="N21" s="52"/>
      <c r="O21" s="11">
        <v>12</v>
      </c>
      <c r="P21" s="19">
        <f t="shared" si="2"/>
        <v>72000</v>
      </c>
      <c r="Q21" s="20">
        <f t="shared" si="3"/>
        <v>61402.5</v>
      </c>
      <c r="R21" s="40">
        <f t="shared" si="4"/>
        <v>240</v>
      </c>
      <c r="S21" s="39">
        <f t="shared" si="5"/>
        <v>1680</v>
      </c>
    </row>
    <row r="22" spans="1:19" x14ac:dyDescent="0.35">
      <c r="A22" t="s">
        <v>213</v>
      </c>
      <c r="D22" s="11" t="s">
        <v>214</v>
      </c>
      <c r="E22" s="19">
        <f t="shared" si="6"/>
        <v>6000</v>
      </c>
      <c r="F22" s="20">
        <f t="shared" si="7"/>
        <v>3000</v>
      </c>
      <c r="G22" s="12">
        <v>1</v>
      </c>
      <c r="H22" s="19">
        <f t="shared" si="8"/>
        <v>6000</v>
      </c>
      <c r="I22" s="20">
        <f t="shared" si="9"/>
        <v>4570</v>
      </c>
      <c r="J22" s="33">
        <v>1</v>
      </c>
      <c r="K22" s="38">
        <f t="shared" si="10"/>
        <v>180</v>
      </c>
      <c r="L22" s="39">
        <f t="shared" si="11"/>
        <v>1440</v>
      </c>
      <c r="M22" s="30"/>
    </row>
    <row r="23" spans="1:19" x14ac:dyDescent="0.35">
      <c r="A23" t="s">
        <v>215</v>
      </c>
      <c r="D23" s="11" t="s">
        <v>216</v>
      </c>
      <c r="E23" s="19">
        <f t="shared" si="6"/>
        <v>6000</v>
      </c>
      <c r="F23" s="20">
        <f t="shared" si="7"/>
        <v>3000</v>
      </c>
      <c r="G23" s="12">
        <v>1</v>
      </c>
      <c r="H23" s="19">
        <f t="shared" si="8"/>
        <v>6000</v>
      </c>
      <c r="I23" s="20">
        <f t="shared" si="9"/>
        <v>4570</v>
      </c>
      <c r="J23" s="33">
        <v>1</v>
      </c>
      <c r="K23" s="38">
        <f t="shared" si="10"/>
        <v>200</v>
      </c>
      <c r="L23" s="39">
        <f t="shared" si="11"/>
        <v>1600</v>
      </c>
      <c r="M23" s="30"/>
    </row>
    <row r="24" spans="1:19" x14ac:dyDescent="0.35">
      <c r="A24" t="s">
        <v>217</v>
      </c>
      <c r="D24" s="11" t="s">
        <v>218</v>
      </c>
      <c r="E24" s="19">
        <f t="shared" si="6"/>
        <v>6000</v>
      </c>
      <c r="F24" s="20">
        <f t="shared" si="7"/>
        <v>3000</v>
      </c>
      <c r="G24" s="12">
        <v>0</v>
      </c>
      <c r="H24" s="19">
        <f t="shared" si="8"/>
        <v>6000</v>
      </c>
      <c r="I24" s="20">
        <f t="shared" si="9"/>
        <v>4570</v>
      </c>
      <c r="J24" s="33">
        <v>0</v>
      </c>
      <c r="K24" s="38">
        <f t="shared" si="10"/>
        <v>220</v>
      </c>
      <c r="L24" s="39">
        <f t="shared" si="11"/>
        <v>1760</v>
      </c>
      <c r="M24" s="30"/>
    </row>
    <row r="25" spans="1:19" ht="15" thickBot="1" x14ac:dyDescent="0.4">
      <c r="A25" t="s">
        <v>219</v>
      </c>
      <c r="D25" s="11" t="s">
        <v>220</v>
      </c>
      <c r="E25" s="21">
        <f t="shared" si="6"/>
        <v>6000</v>
      </c>
      <c r="F25" s="22">
        <f t="shared" si="7"/>
        <v>3000</v>
      </c>
      <c r="G25" s="13">
        <v>0</v>
      </c>
      <c r="H25" s="21">
        <f t="shared" si="8"/>
        <v>6000</v>
      </c>
      <c r="I25" s="22">
        <f t="shared" si="9"/>
        <v>4570</v>
      </c>
      <c r="J25" s="34">
        <v>0</v>
      </c>
      <c r="K25" s="40">
        <f t="shared" si="10"/>
        <v>240</v>
      </c>
      <c r="L25" s="41">
        <f t="shared" si="11"/>
        <v>1920</v>
      </c>
      <c r="M25" s="30"/>
    </row>
    <row r="26" spans="1:19" x14ac:dyDescent="0.35">
      <c r="A26" t="s">
        <v>221</v>
      </c>
    </row>
    <row r="27" spans="1:19" x14ac:dyDescent="0.35">
      <c r="A27" t="s">
        <v>222</v>
      </c>
    </row>
    <row r="28" spans="1:19" x14ac:dyDescent="0.35">
      <c r="A28" t="s">
        <v>223</v>
      </c>
    </row>
    <row r="30" spans="1:19" x14ac:dyDescent="0.35">
      <c r="A30" s="3" t="s">
        <v>224</v>
      </c>
    </row>
    <row r="31" spans="1:19" x14ac:dyDescent="0.35">
      <c r="A31" s="4" t="s">
        <v>225</v>
      </c>
      <c r="Q31" s="31"/>
    </row>
    <row r="32" spans="1:19" x14ac:dyDescent="0.35">
      <c r="A32" s="4" t="s">
        <v>226</v>
      </c>
      <c r="O32" s="32"/>
    </row>
    <row r="33" spans="1:2" x14ac:dyDescent="0.35">
      <c r="A33" t="s">
        <v>227</v>
      </c>
    </row>
    <row r="34" spans="1:2" x14ac:dyDescent="0.35">
      <c r="A34" t="s">
        <v>228</v>
      </c>
    </row>
    <row r="35" spans="1:2" x14ac:dyDescent="0.35">
      <c r="A35" t="s">
        <v>229</v>
      </c>
      <c r="B35" s="1"/>
    </row>
    <row r="36" spans="1:2" ht="16.5" x14ac:dyDescent="0.35">
      <c r="A36" s="27" t="s">
        <v>230</v>
      </c>
    </row>
    <row r="37" spans="1:2" ht="16.5" x14ac:dyDescent="0.35">
      <c r="A37" s="23" t="s">
        <v>231</v>
      </c>
      <c r="B37" s="1"/>
    </row>
    <row r="38" spans="1:2" ht="16.5" x14ac:dyDescent="0.35">
      <c r="A38" s="23" t="s">
        <v>232</v>
      </c>
      <c r="B38" s="1"/>
    </row>
    <row r="39" spans="1:2" ht="16.5" x14ac:dyDescent="0.35">
      <c r="A39" s="23" t="s">
        <v>233</v>
      </c>
      <c r="B39" s="1"/>
    </row>
    <row r="40" spans="1:2" ht="16.5" x14ac:dyDescent="0.35">
      <c r="A40" s="24" t="s">
        <v>234</v>
      </c>
      <c r="B40" s="1"/>
    </row>
    <row r="41" spans="1:2" ht="16.5" x14ac:dyDescent="0.35">
      <c r="A41" s="25" t="s">
        <v>235</v>
      </c>
      <c r="B41" s="1"/>
    </row>
    <row r="42" spans="1:2" ht="16.5" x14ac:dyDescent="0.35">
      <c r="A42" s="25" t="s">
        <v>236</v>
      </c>
      <c r="B42" s="1"/>
    </row>
    <row r="43" spans="1:2" ht="16.5" x14ac:dyDescent="0.35">
      <c r="A43" s="25" t="s">
        <v>237</v>
      </c>
      <c r="B43" s="1"/>
    </row>
    <row r="44" spans="1:2" ht="16.5" x14ac:dyDescent="0.35">
      <c r="A44" s="24" t="s">
        <v>238</v>
      </c>
    </row>
    <row r="45" spans="1:2" ht="16.5" x14ac:dyDescent="0.35">
      <c r="A45" s="25" t="s">
        <v>239</v>
      </c>
    </row>
    <row r="46" spans="1:2" ht="16.5" x14ac:dyDescent="0.35">
      <c r="A46" s="25" t="s">
        <v>240</v>
      </c>
    </row>
    <row r="47" spans="1:2" ht="16.5" x14ac:dyDescent="0.35">
      <c r="A47" s="25" t="s">
        <v>241</v>
      </c>
    </row>
    <row r="48" spans="1:2" ht="16.5" x14ac:dyDescent="0.35">
      <c r="A48" s="24" t="s">
        <v>242</v>
      </c>
    </row>
    <row r="49" spans="1:1" ht="16.5" x14ac:dyDescent="0.35">
      <c r="A49" s="25" t="s">
        <v>243</v>
      </c>
    </row>
    <row r="50" spans="1:1" ht="16.5" x14ac:dyDescent="0.35">
      <c r="A50" s="25" t="s">
        <v>244</v>
      </c>
    </row>
    <row r="51" spans="1:1" ht="16.5" x14ac:dyDescent="0.35">
      <c r="A51" s="25" t="s">
        <v>245</v>
      </c>
    </row>
    <row r="52" spans="1:1" ht="16.5" x14ac:dyDescent="0.35">
      <c r="A52" s="25" t="s">
        <v>246</v>
      </c>
    </row>
    <row r="53" spans="1:1" ht="16.5" x14ac:dyDescent="0.35">
      <c r="A53" s="25" t="s">
        <v>247</v>
      </c>
    </row>
    <row r="54" spans="1:1" ht="16.5" x14ac:dyDescent="0.35">
      <c r="A54" s="25" t="s">
        <v>248</v>
      </c>
    </row>
    <row r="55" spans="1:1" ht="16.5" x14ac:dyDescent="0.35">
      <c r="A55" s="24" t="s">
        <v>249</v>
      </c>
    </row>
    <row r="56" spans="1:1" ht="16.5" x14ac:dyDescent="0.35">
      <c r="A56" s="24" t="s">
        <v>250</v>
      </c>
    </row>
    <row r="57" spans="1:1" x14ac:dyDescent="0.35">
      <c r="A57" s="26" t="s">
        <v>251</v>
      </c>
    </row>
    <row r="58" spans="1:1" x14ac:dyDescent="0.35">
      <c r="A58" s="26" t="s">
        <v>252</v>
      </c>
    </row>
    <row r="59" spans="1:1" ht="16.5" x14ac:dyDescent="0.35">
      <c r="A59" s="23" t="s">
        <v>253</v>
      </c>
    </row>
    <row r="60" spans="1:1" ht="16.5" x14ac:dyDescent="0.35">
      <c r="A60" s="24" t="s">
        <v>254</v>
      </c>
    </row>
    <row r="61" spans="1:1" ht="16.5" x14ac:dyDescent="0.35">
      <c r="A61" s="24" t="s">
        <v>255</v>
      </c>
    </row>
    <row r="62" spans="1:1" ht="16.5" x14ac:dyDescent="0.35">
      <c r="A62" s="24" t="s">
        <v>256</v>
      </c>
    </row>
    <row r="63" spans="1:1" ht="16.5" x14ac:dyDescent="0.35">
      <c r="A63" s="24" t="s">
        <v>257</v>
      </c>
    </row>
  </sheetData>
  <mergeCells count="5">
    <mergeCell ref="K9:L12"/>
    <mergeCell ref="D1:D2"/>
    <mergeCell ref="E1:E2"/>
    <mergeCell ref="F1:G1"/>
    <mergeCell ref="H1:I1"/>
  </mergeCells>
  <phoneticPr fontId="5" type="noConversion"/>
  <hyperlinks>
    <hyperlink ref="A57" r:id="rId1" tooltip="https://dotnet.microsoft.com/download/dotnet/thank-you/runtime-aspnetcore-3.1.5-windows-hosting-bundle-installer" display="https://dotnet.microsoft.com/download/dotnet/thank-you/runtime-aspnetcore-3.1.5-windows-hosting-bundle-installer"/>
    <hyperlink ref="A58" r:id="rId2" tooltip="https://www.iis.net/downloads/microsoft/url-rewrite" display="https://www.iis.net/downloads/microsoft/url-rewrite"/>
  </hyperlinks>
  <pageMargins left="0.7" right="0.7" top="0.75" bottom="0.75" header="0.3" footer="0.3"/>
  <pageSetup paperSize="9" orientation="portrait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8835A4CBF55C4A8DB94C754DCCBFAE" ma:contentTypeVersion="0" ma:contentTypeDescription="Create a new document." ma:contentTypeScope="" ma:versionID="b27b6cedd2834c04889e3756aa6ef4a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F88582-3179-4497-BAAE-8DE312D700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755B3D-125B-42BF-BB8C-C23C1236CCFF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285AF10-E22A-4015-BEFA-82FDF8B9A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Estimated Efforts</vt:lpstr>
      <vt:lpstr>RoI - UiPath</vt:lpstr>
    </vt:vector>
  </TitlesOfParts>
  <Manager/>
  <Company>Cybage Software Pvt.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Lalkar Eknath Chhadawelkar</dc:creator>
  <cp:keywords/>
  <dc:description/>
  <cp:lastModifiedBy>Arunkumar K M. Jaykumar</cp:lastModifiedBy>
  <cp:revision/>
  <dcterms:created xsi:type="dcterms:W3CDTF">2022-11-08T05:21:23Z</dcterms:created>
  <dcterms:modified xsi:type="dcterms:W3CDTF">2023-05-11T07:50:12Z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0x010100898835A4CBF55C4A8DB94C754DCCBFAE</vt:lpwstr>
  </property>
</Properties>
</file>