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https://cybage-my.sharepoint.com/personal/riyamohan_cybage_com/Documents/Microsoft Teams Chat Files/"/>
    </mc:Choice>
  </mc:AlternateContent>
  <xr:revisionPtr revIDLastSave="1" documentId="11_86E3D2460CED582D680ADD122F4F4059DDC5DB08" xr6:coauthVersionLast="47" xr6:coauthVersionMax="47" xr10:uidLastSave="{E88DC7B1-947E-4E3A-895C-A65101663816}"/>
  <bookViews>
    <workbookView xWindow="20475" yWindow="3195" windowWidth="28830" windowHeight="7830" tabRatio="665" xr2:uid="{00000000-000D-0000-FFFF-FFFF00000000}"/>
  </bookViews>
  <sheets>
    <sheet name="Estimated Efforts" sheetId="3" r:id="rId1"/>
    <sheet name="RoI - UiPath" sheetId="1" r:id="rId2"/>
  </sheets>
  <definedNames>
    <definedName name="_xlnm._FilterDatabase" localSheetId="0" hidden="1">'Estimated Efforts'!$B$1:$D$111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5" i="3" l="1"/>
  <c r="G124" i="3"/>
  <c r="G123" i="3"/>
  <c r="G122" i="3" s="1"/>
  <c r="T4" i="1" l="1"/>
  <c r="S4" i="1" s="1"/>
  <c r="V2" i="1"/>
  <c r="V4" i="1" s="1"/>
  <c r="V5" i="1" s="1"/>
  <c r="V6" i="1" s="1"/>
  <c r="V7" i="1" s="1"/>
  <c r="V8" i="1" s="1"/>
  <c r="U2" i="1"/>
  <c r="U4" i="1" s="1"/>
  <c r="U5" i="1" s="1"/>
  <c r="F34" i="1"/>
  <c r="G34" i="1" s="1"/>
  <c r="H34" i="1" s="1"/>
  <c r="F35" i="1"/>
  <c r="F32" i="1"/>
  <c r="F31" i="1"/>
  <c r="G33" i="1"/>
  <c r="K31" i="1" s="1"/>
  <c r="F33" i="1"/>
  <c r="B14" i="1"/>
  <c r="B4" i="1"/>
  <c r="B7" i="1"/>
  <c r="B5" i="1"/>
  <c r="E109" i="3"/>
  <c r="M19" i="3"/>
  <c r="L19" i="3"/>
  <c r="K19" i="3"/>
  <c r="J19" i="3"/>
  <c r="M20" i="3"/>
  <c r="L38" i="3" s="1"/>
  <c r="L20" i="3"/>
  <c r="L39" i="3"/>
  <c r="K39" i="3" s="1"/>
  <c r="K38" i="3"/>
  <c r="I29" i="3"/>
  <c r="I31" i="3" s="1"/>
  <c r="K40" i="3" s="1"/>
  <c r="O26" i="3"/>
  <c r="P26" i="3"/>
  <c r="I26" i="3"/>
  <c r="K24" i="3" s="1"/>
  <c r="K25" i="3" s="1"/>
  <c r="F79" i="3"/>
  <c r="F103" i="3" s="1"/>
  <c r="F107" i="3" s="1"/>
  <c r="F108" i="3" s="1"/>
  <c r="U6" i="1" l="1"/>
  <c r="T5" i="1"/>
  <c r="K32" i="1"/>
  <c r="H33" i="1"/>
  <c r="H32" i="1" s="1"/>
  <c r="I32" i="1" s="1"/>
  <c r="G35" i="1"/>
  <c r="H35" i="1" s="1"/>
  <c r="H31" i="1"/>
  <c r="I31" i="1" s="1"/>
  <c r="B8" i="1"/>
  <c r="B6" i="1" s="1"/>
  <c r="K41" i="3"/>
  <c r="L24" i="3"/>
  <c r="B12" i="1" s="1"/>
  <c r="K12" i="3"/>
  <c r="K20" i="3" s="1"/>
  <c r="J12" i="3"/>
  <c r="J20" i="3" s="1"/>
  <c r="D106" i="3"/>
  <c r="D103" i="3"/>
  <c r="K13" i="3" s="1"/>
  <c r="D7" i="3"/>
  <c r="T6" i="1" l="1"/>
  <c r="U7" i="1"/>
  <c r="M24" i="3"/>
  <c r="L25" i="3"/>
  <c r="L13" i="3"/>
  <c r="L14" i="3" s="1"/>
  <c r="L18" i="3" s="1"/>
  <c r="L21" i="3" s="1"/>
  <c r="D107" i="3"/>
  <c r="D108" i="3" s="1"/>
  <c r="D111" i="3" s="1"/>
  <c r="K14" i="3"/>
  <c r="K18" i="3" s="1"/>
  <c r="K21" i="3" s="1"/>
  <c r="J13" i="3"/>
  <c r="B25" i="1"/>
  <c r="B26" i="1" s="1"/>
  <c r="T7" i="1" l="1"/>
  <c r="U8" i="1"/>
  <c r="M25" i="3"/>
  <c r="M29" i="3" s="1"/>
  <c r="M13" i="3" s="1"/>
  <c r="M14" i="3" s="1"/>
  <c r="M18" i="3" s="1"/>
  <c r="M21" i="3" s="1"/>
  <c r="B11" i="1"/>
  <c r="J14" i="3"/>
  <c r="L43" i="3" s="1"/>
  <c r="J18" i="3"/>
  <c r="J21" i="3" s="1"/>
  <c r="P21" i="1"/>
  <c r="P20" i="1"/>
  <c r="P19" i="1"/>
  <c r="P18" i="1"/>
  <c r="P17" i="1"/>
  <c r="P16" i="1"/>
  <c r="P15" i="1"/>
  <c r="P14" i="1"/>
  <c r="P13" i="1"/>
  <c r="P12" i="1"/>
  <c r="P11" i="1"/>
  <c r="P10" i="1"/>
  <c r="R10" i="1"/>
  <c r="R11" i="1" s="1"/>
  <c r="R12" i="1" s="1"/>
  <c r="R13" i="1" s="1"/>
  <c r="R14" i="1" s="1"/>
  <c r="R15" i="1" s="1"/>
  <c r="R16" i="1" s="1"/>
  <c r="R17" i="1" s="1"/>
  <c r="R18" i="1" s="1"/>
  <c r="R19" i="1" s="1"/>
  <c r="R20" i="1" s="1"/>
  <c r="R21" i="1" s="1"/>
  <c r="K14" i="1"/>
  <c r="K15" i="1" s="1"/>
  <c r="K16" i="1" s="1"/>
  <c r="K17" i="1" s="1"/>
  <c r="K18" i="1" s="1"/>
  <c r="K19" i="1" s="1"/>
  <c r="K20" i="1" s="1"/>
  <c r="K21" i="1" s="1"/>
  <c r="K22" i="1" s="1"/>
  <c r="K23" i="1" s="1"/>
  <c r="K24" i="1" s="1"/>
  <c r="K25" i="1" s="1"/>
  <c r="J5" i="1"/>
  <c r="I4" i="1"/>
  <c r="J4" i="1" s="1"/>
  <c r="H25" i="1"/>
  <c r="H24" i="1"/>
  <c r="H23" i="1"/>
  <c r="H22" i="1"/>
  <c r="H21" i="1"/>
  <c r="H20" i="1"/>
  <c r="H19" i="1"/>
  <c r="H18" i="1"/>
  <c r="H17" i="1"/>
  <c r="H16" i="1"/>
  <c r="H15" i="1"/>
  <c r="H14" i="1"/>
  <c r="B21" i="1"/>
  <c r="E15" i="1"/>
  <c r="E16" i="1"/>
  <c r="E17" i="1"/>
  <c r="E18" i="1"/>
  <c r="E19" i="1"/>
  <c r="E20" i="1"/>
  <c r="E21" i="1"/>
  <c r="E22" i="1"/>
  <c r="E23" i="1"/>
  <c r="E24" i="1"/>
  <c r="E25" i="1"/>
  <c r="E14" i="1"/>
  <c r="J6" i="1"/>
  <c r="J3" i="1"/>
  <c r="I9" i="1"/>
  <c r="F9" i="1"/>
  <c r="B16" i="1" l="1"/>
  <c r="L14" i="1" s="1"/>
  <c r="B15" i="1"/>
  <c r="N21" i="3"/>
  <c r="L37" i="3" s="1"/>
  <c r="M31" i="3"/>
  <c r="F12" i="1"/>
  <c r="E10" i="1"/>
  <c r="H10" i="1"/>
  <c r="I16" i="1"/>
  <c r="J2" i="1"/>
  <c r="N31" i="3" l="1"/>
  <c r="L40" i="3"/>
  <c r="K44" i="3" s="1"/>
  <c r="M32" i="3"/>
  <c r="L15" i="1"/>
  <c r="S10" i="1"/>
  <c r="Q14" i="1"/>
  <c r="Q21" i="1"/>
  <c r="Q13" i="1"/>
  <c r="Q20" i="1"/>
  <c r="Q12" i="1"/>
  <c r="Q19" i="1"/>
  <c r="Q11" i="1"/>
  <c r="Q18" i="1"/>
  <c r="Q17" i="1"/>
  <c r="Q16" i="1"/>
  <c r="Q15" i="1"/>
  <c r="Q10" i="1"/>
  <c r="I14" i="1"/>
  <c r="F22" i="1"/>
  <c r="I24" i="1"/>
  <c r="F21" i="1"/>
  <c r="I17" i="1"/>
  <c r="I18" i="1"/>
  <c r="F17" i="1"/>
  <c r="F24" i="1"/>
  <c r="I19" i="1"/>
  <c r="F18" i="1"/>
  <c r="F25" i="1"/>
  <c r="F16" i="1"/>
  <c r="I15" i="1"/>
  <c r="I25" i="1"/>
  <c r="F20" i="1"/>
  <c r="I22" i="1"/>
  <c r="F19" i="1"/>
  <c r="F23" i="1"/>
  <c r="I20" i="1"/>
  <c r="F14" i="1"/>
  <c r="F15" i="1"/>
  <c r="I21" i="1"/>
  <c r="I23" i="1"/>
  <c r="F11" i="1"/>
  <c r="I11" i="1"/>
  <c r="B19" i="1"/>
  <c r="L41" i="3" l="1"/>
  <c r="K42" i="3" s="1"/>
  <c r="L16" i="1"/>
  <c r="S11" i="1"/>
  <c r="F10" i="1"/>
  <c r="I10" i="1"/>
  <c r="L17" i="1" l="1"/>
  <c r="S12" i="1"/>
  <c r="L18" i="1" l="1"/>
  <c r="S13" i="1"/>
  <c r="L19" i="1" l="1"/>
  <c r="S14" i="1"/>
  <c r="L20" i="1" l="1"/>
  <c r="S15" i="1"/>
  <c r="L21" i="1" l="1"/>
  <c r="S16" i="1"/>
  <c r="L22" i="1" l="1"/>
  <c r="S17" i="1"/>
  <c r="L23" i="1" l="1"/>
  <c r="S18" i="1"/>
  <c r="L24" i="1" l="1"/>
  <c r="S19" i="1"/>
  <c r="L25" i="1" l="1"/>
  <c r="S21" i="1" s="1"/>
  <c r="S20" i="1"/>
</calcChain>
</file>

<file path=xl/sharedStrings.xml><?xml version="1.0" encoding="utf-8"?>
<sst xmlns="http://schemas.openxmlformats.org/spreadsheetml/2006/main" count="415" uniqueCount="325">
  <si>
    <t>Activities</t>
  </si>
  <si>
    <t>Steps / Actions</t>
  </si>
  <si>
    <t xml:space="preserve">Estimated Time (Hours) </t>
  </si>
  <si>
    <t>Details about the fields</t>
  </si>
  <si>
    <t>Avg Execution time in seconds (based on eariler experince)</t>
  </si>
  <si>
    <t>Complexity parameters</t>
  </si>
  <si>
    <t>Requirement Understanding and setup</t>
  </si>
  <si>
    <t>Number of UI Element</t>
  </si>
  <si>
    <t>Understanding the manual flow of the process</t>
  </si>
  <si>
    <t>Manual walk through of application</t>
  </si>
  <si>
    <t>Selector options available</t>
  </si>
  <si>
    <t>Dev 1</t>
  </si>
  <si>
    <t xml:space="preserve">Documentation </t>
  </si>
  <si>
    <t>Documents for process understanding and development - PDD and SDD</t>
  </si>
  <si>
    <t>Web responsiveness</t>
  </si>
  <si>
    <t>Dev 2</t>
  </si>
  <si>
    <t>Environment setup</t>
  </si>
  <si>
    <t>Required hardware, software &amp; code repo setup</t>
  </si>
  <si>
    <t>Data preprocessing involved</t>
  </si>
  <si>
    <t>Dev 3</t>
  </si>
  <si>
    <t>Installation of all required application</t>
  </si>
  <si>
    <t>Number of field validation</t>
  </si>
  <si>
    <t>Total Efforts for requirement and setup</t>
  </si>
  <si>
    <t>Number of Pop-Ups</t>
  </si>
  <si>
    <t xml:space="preserve">Process Development </t>
  </si>
  <si>
    <t>Start Date</t>
  </si>
  <si>
    <t>RE-Framework/Input Folder/File setup</t>
  </si>
  <si>
    <t>Setting up intput file and folder structure</t>
  </si>
  <si>
    <t>Initiate Contract modification</t>
  </si>
  <si>
    <t>Update the date /bill to contact and select the contract.</t>
  </si>
  <si>
    <t>Date validation and calulations, Pop up handling.</t>
  </si>
  <si>
    <t>Resources</t>
  </si>
  <si>
    <t>Initial setup</t>
  </si>
  <si>
    <t>Development</t>
  </si>
  <si>
    <t>Deployment</t>
  </si>
  <si>
    <t>Monitoring</t>
  </si>
  <si>
    <t>Update Primary contact field</t>
  </si>
  <si>
    <t>Data validation for email and name.</t>
  </si>
  <si>
    <t>Architect</t>
  </si>
  <si>
    <t>Update Ship to contact field</t>
  </si>
  <si>
    <t xml:space="preserve"> Data validation for email and name.</t>
  </si>
  <si>
    <t>RPA Engineer</t>
  </si>
  <si>
    <t>Tick on other and update the end date and generate the transaction.</t>
  </si>
  <si>
    <t>Search and select the check box, Validate the date and add the date.</t>
  </si>
  <si>
    <t>Man Days</t>
  </si>
  <si>
    <t>depend on time for 4000 records processing + 15%</t>
  </si>
  <si>
    <t>Verify product details, if not available add product details.</t>
  </si>
  <si>
    <t>Read product name and verifying it. If not available add the details.</t>
  </si>
  <si>
    <t>Working days</t>
  </si>
  <si>
    <t>Wait till it completes creating the opportunity and quote</t>
  </si>
  <si>
    <t>Wait till data is generated. If error occurres, refresh page, to see whether quote is generated or not. Notify on quote failure. Three retry for refresh.</t>
  </si>
  <si>
    <t xml:space="preserve">Verify - Its created Debooking/opportunity/Quote           </t>
  </si>
  <si>
    <t>Copy the information of Quote and Opprtunity. Go to Debooking and edit Quote, select override check box and verify data on page as per requirement and cop the required information for further processing.</t>
  </si>
  <si>
    <t>Open opportunity and quote and verify</t>
  </si>
  <si>
    <t>Quote - copy info for further processing</t>
  </si>
  <si>
    <t xml:space="preserve">Copy the reqiuired information and verify the data on page. Also copy the required information for further processing. </t>
  </si>
  <si>
    <t>Rate</t>
  </si>
  <si>
    <t>Total</t>
  </si>
  <si>
    <t>Click on re-direct on rebook/debook request</t>
  </si>
  <si>
    <t>Duration (days)</t>
  </si>
  <si>
    <t>Debook opportunity</t>
  </si>
  <si>
    <t>Correct end date</t>
  </si>
  <si>
    <t>Select the check box and seelct the date and save the information.</t>
  </si>
  <si>
    <t>Generate PDF</t>
  </si>
  <si>
    <t xml:space="preserve">Click the button to generate PDF. Handle the Pop up, read the PDF and extract information to verify the data on PDF if its as per requirement </t>
  </si>
  <si>
    <t>Mins (Manually)</t>
  </si>
  <si>
    <t>Mins (RPA)</t>
  </si>
  <si>
    <t>Total hrs (RPA)</t>
  </si>
  <si>
    <t>Open Consolidation details</t>
  </si>
  <si>
    <t>Handle the pop up and update the notes on internal instruction section of the  page.</t>
  </si>
  <si>
    <t>Total transactions</t>
  </si>
  <si>
    <t>Open Opportunity quote</t>
  </si>
  <si>
    <t>Enter notes from consolidation details in additional instruction field</t>
  </si>
  <si>
    <t>Time per transaction (with inbuilt automation)</t>
  </si>
  <si>
    <t>mins</t>
  </si>
  <si>
    <t>Time per transaction (manually)</t>
  </si>
  <si>
    <t>% of transactions with inbuilt automation</t>
  </si>
  <si>
    <t>In Win-Loss section</t>
  </si>
  <si>
    <t>Transactions per person per day</t>
  </si>
  <si>
    <t>Update license</t>
  </si>
  <si>
    <t>Get the data from Input file and update the license field.</t>
  </si>
  <si>
    <t>Manual resources team size</t>
  </si>
  <si>
    <t>Go to quote</t>
  </si>
  <si>
    <t>Duration of processing manually</t>
  </si>
  <si>
    <t>days</t>
  </si>
  <si>
    <t>Go to Opportunity</t>
  </si>
  <si>
    <t>months</t>
  </si>
  <si>
    <t>Notes Repeat for Re-booking and De-booking</t>
  </si>
  <si>
    <t>Go to re-booking quote</t>
  </si>
  <si>
    <t>Update baseline amount and update. Also update contact conversion to 'No'</t>
  </si>
  <si>
    <t>Exception Handling</t>
  </si>
  <si>
    <t>System and Business exception handling and its solutions</t>
  </si>
  <si>
    <t>Put exeception handling for all the tabs and Useful UI elements. Build logic to proceed for next transaction if a execption occurs.</t>
  </si>
  <si>
    <t>Considerations:</t>
  </si>
  <si>
    <t>11*75/45</t>
  </si>
  <si>
    <t>Code Review/ integrations</t>
  </si>
  <si>
    <t>Review the code and fix the changes  (32 hrs)</t>
  </si>
  <si>
    <t xml:space="preserve"> - Need of rerun for any failed scenarios</t>
  </si>
  <si>
    <t>Manual</t>
  </si>
  <si>
    <t>RPA</t>
  </si>
  <si>
    <t xml:space="preserve">Testing </t>
  </si>
  <si>
    <t>Testing code with few samples</t>
  </si>
  <si>
    <t>OneTime cost</t>
  </si>
  <si>
    <t>Bug fixes if requried</t>
  </si>
  <si>
    <t>Add manual steps for the additional work done manually (+55 mins)</t>
  </si>
  <si>
    <t>Resources (#)</t>
  </si>
  <si>
    <t>Total of process development</t>
  </si>
  <si>
    <t>Based on number of UiPath licenses - efforts/timelines may vary</t>
  </si>
  <si>
    <t>Resource ($)</t>
  </si>
  <si>
    <t xml:space="preserve">Deployment </t>
  </si>
  <si>
    <t xml:space="preserve">Deploy on production </t>
  </si>
  <si>
    <t>Salesforce and any other applications of our interest are up 24x7</t>
  </si>
  <si>
    <t>Duration</t>
  </si>
  <si>
    <t>Test on production &amp; UAT</t>
  </si>
  <si>
    <t>Downtime may vary and hence RoI as well</t>
  </si>
  <si>
    <t>Cost</t>
  </si>
  <si>
    <t xml:space="preserve">Total of deployment </t>
  </si>
  <si>
    <t>Post completion, extension of bot &amp; maintenance will attract additional cost</t>
  </si>
  <si>
    <t>Saving</t>
  </si>
  <si>
    <t>Buffer (% of total efforts)</t>
  </si>
  <si>
    <t>Dev Duration</t>
  </si>
  <si>
    <t xml:space="preserve">Total - Implementation </t>
  </si>
  <si>
    <t>RoI in time saved</t>
  </si>
  <si>
    <t>Working hrs per day</t>
  </si>
  <si>
    <t>&lt;- hrs (Bot run time per day)</t>
  </si>
  <si>
    <t>Team Size</t>
  </si>
  <si>
    <t>Downtime (bot &amp; maint)</t>
  </si>
  <si>
    <t>Number of days</t>
  </si>
  <si>
    <t>Calendar days in a month</t>
  </si>
  <si>
    <t>Number of prod licenses</t>
  </si>
  <si>
    <t>Break up of automation vs manual transaction</t>
  </si>
  <si>
    <t>Within manual transactions - refresh vs entire flow</t>
  </si>
  <si>
    <t>Code running</t>
  </si>
  <si>
    <t>Bot running</t>
  </si>
  <si>
    <t>automation order: with tool &gt; manual refresh &gt; complete manually</t>
  </si>
  <si>
    <t>browser</t>
  </si>
  <si>
    <t>14+8</t>
  </si>
  <si>
    <t>with automation tool</t>
  </si>
  <si>
    <t>14+8+16</t>
  </si>
  <si>
    <t>manually with refresh</t>
  </si>
  <si>
    <t>14+44</t>
  </si>
  <si>
    <t>manually entire flow</t>
  </si>
  <si>
    <t>integration &amp; creating individual sets</t>
  </si>
  <si>
    <t>14+8+16+44+5</t>
  </si>
  <si>
    <t>Number of days in a month</t>
  </si>
  <si>
    <t>Design</t>
  </si>
  <si>
    <t>Total Cost</t>
  </si>
  <si>
    <t>With tool</t>
  </si>
  <si>
    <t>Resource Rate (Manual work)</t>
  </si>
  <si>
    <t>Allocation</t>
  </si>
  <si>
    <t>Months</t>
  </si>
  <si>
    <t>transactions</t>
  </si>
  <si>
    <t>Before Automation:</t>
  </si>
  <si>
    <t>RPA Architect</t>
  </si>
  <si>
    <t>time per transaction</t>
  </si>
  <si>
    <t>Team size</t>
  </si>
  <si>
    <t>RPA Developer</t>
  </si>
  <si>
    <t>2 more months for support/maintenance/enhancements</t>
  </si>
  <si>
    <t>total time for all transaction</t>
  </si>
  <si>
    <t>Avg time per transaction - manual (mins)</t>
  </si>
  <si>
    <t>4 more months part time for support/maintenance</t>
  </si>
  <si>
    <t xml:space="preserve">% time of total time for resp transaction </t>
  </si>
  <si>
    <t>Transaction processed per day - manual</t>
  </si>
  <si>
    <t>Project Manager</t>
  </si>
  <si>
    <t>post support period, rates on hourly basis or extension as needed</t>
  </si>
  <si>
    <t>time spent in a day for resp transactions</t>
  </si>
  <si>
    <t>Avg time per transaction - with tool (mins)</t>
  </si>
  <si>
    <t>Transaction processed per day - with tool</t>
  </si>
  <si>
    <t>Annual licensing</t>
  </si>
  <si>
    <t>Monthly licensing</t>
  </si>
  <si>
    <t xml:space="preserve">Monthly uploading </t>
  </si>
  <si>
    <t>After Automation:</t>
  </si>
  <si>
    <t>Breakeven:</t>
  </si>
  <si>
    <t>1000+ additional  properties being uploaded by break even.</t>
  </si>
  <si>
    <t>Month</t>
  </si>
  <si>
    <t>Cost - Before</t>
  </si>
  <si>
    <t>Cost - After</t>
  </si>
  <si>
    <t>Properties Before</t>
  </si>
  <si>
    <t>Properties After</t>
  </si>
  <si>
    <t>License cost</t>
  </si>
  <si>
    <t>Avg bot run time daily</t>
  </si>
  <si>
    <t>Before</t>
  </si>
  <si>
    <t>After</t>
  </si>
  <si>
    <t>Number of bots (prod licenses) running</t>
  </si>
  <si>
    <t>Month 1</t>
  </si>
  <si>
    <t>Month 2</t>
  </si>
  <si>
    <t>Month 3</t>
  </si>
  <si>
    <t>Implementation:</t>
  </si>
  <si>
    <t>Month 4</t>
  </si>
  <si>
    <t>% automation considered</t>
  </si>
  <si>
    <t>Month 5</t>
  </si>
  <si>
    <t>Development cost (one time)</t>
  </si>
  <si>
    <t>Month 6</t>
  </si>
  <si>
    <t>UiPath Unattended bot license (monthly)</t>
  </si>
  <si>
    <t>Month 7</t>
  </si>
  <si>
    <t>UiPath Unattended bot license (annual)</t>
  </si>
  <si>
    <t>Month 8</t>
  </si>
  <si>
    <t>Server (MS Windows Server 2019 with std config):            01</t>
  </si>
  <si>
    <t>Month 9</t>
  </si>
  <si>
    <t>Database - use existing</t>
  </si>
  <si>
    <t>Month 10</t>
  </si>
  <si>
    <t>Bot run time (mins) for 1 property (Avg setup)</t>
  </si>
  <si>
    <t>Month 11</t>
  </si>
  <si>
    <t>Total properties a bot can automate in 24 hrs</t>
  </si>
  <si>
    <t>Month 12</t>
  </si>
  <si>
    <t>Max manual resources we can have per bot</t>
  </si>
  <si>
    <t>Considerations</t>
  </si>
  <si>
    <t>UiPath cost may vary</t>
  </si>
  <si>
    <t>% automation coverage may vary</t>
  </si>
  <si>
    <t>Development efforts/cost may vary</t>
  </si>
  <si>
    <t>Implemented bot can automate more properties a day</t>
  </si>
  <si>
    <t>tool</t>
  </si>
  <si>
    <t>This can be hosted over cloud and cost to be calculated</t>
  </si>
  <si>
    <t>manual</t>
  </si>
  <si>
    <t>existing manager to look after this later</t>
  </si>
  <si>
    <t>Developer for maintenance full time &gt; part time &gt; hourly</t>
  </si>
  <si>
    <t>Other benefits</t>
  </si>
  <si>
    <t>Better accuracy in properties uploading</t>
  </si>
  <si>
    <t>RoI will be faster for a bigger team size</t>
  </si>
  <si>
    <t>Resources can be repurposed based on skills</t>
  </si>
  <si>
    <t>Dev efforts</t>
  </si>
  <si>
    <t>post break even monthly 60% + savings</t>
  </si>
  <si>
    <t>Licens cost</t>
  </si>
  <si>
    <t>automation can improve up to 75-80%</t>
  </si>
  <si>
    <t>Below are Prerequisites for Installation of orchestrator. Install these on Orchestrator instance.</t>
  </si>
  <si>
    <t>1. PowerShell - minimum required version: 4.0.</t>
  </si>
  <si>
    <t>2. .NET Framework - minimum required version: 4.7.2.</t>
  </si>
  <si>
    <t>3. IIS - minimum required version: 8. This is part of the Web Server (IIS) role. Following roles needs to be installed.</t>
  </si>
  <si>
    <t>1. Expand Web Server (IIS) &gt; Web Server &gt; Common HTTP Features. The list contains the following items:</t>
  </si>
  <si>
    <t>1. Default Document</t>
  </si>
  <si>
    <t>2. HTTP Errors</t>
  </si>
  <si>
    <t>3. Static Content</t>
  </si>
  <si>
    <t>2. Expand Web Server (IIS) &gt; Web Server &gt; Security. The list contains the following items:</t>
  </si>
  <si>
    <t>1. Request Filtering</t>
  </si>
  <si>
    <t>2. URL Authorization</t>
  </si>
  <si>
    <t>3. Windows Authentication</t>
  </si>
  <si>
    <t>3. Expand Web Server (IIS) &gt; Web Server &gt; Application Development. The list contains the following items:</t>
  </si>
  <si>
    <t>1. ASP.NET45</t>
  </si>
  <si>
    <t>2. .NET Extensibility 4.5</t>
  </si>
  <si>
    <t>3. Application Initialization</t>
  </si>
  <si>
    <t>4. ISAPI Extensions</t>
  </si>
  <si>
    <t>5. ISAPI Filter</t>
  </si>
  <si>
    <t>6. WebSocket’s</t>
  </si>
  <si>
    <t>4. Expand Web Server (IIS) &gt; Web Server &gt; Management Tools. The list displays the following items:  IIS Management Console              </t>
  </si>
  <si>
    <t>5. Access Add Roles and Features Wizard &gt; Features to enable the following item: Client for NFS.</t>
  </si>
  <si>
    <t>4. ASP.Net Core IIS Module:  Version should be part of the Hosting Bundle. Can be found here https://dotnet.microsoft.com/download/dotnet/thank-you/runtime-aspnetcore-3.1.5-windows-hosting-bundle-installer</t>
  </si>
  <si>
    <t>5. URL Rewrite Module: Can be found here https://www.iis.net/downloads/microsoft/url-rewrite</t>
  </si>
  <si>
    <t>6. SSL Certificate</t>
  </si>
  <si>
    <t>1. Open IIS manager – Server certificate</t>
  </si>
  <si>
    <t>2. Click on Self-signed certificate.</t>
  </si>
  <si>
    <t>3. Specify name of the certificate, keep certificate store as Personal.</t>
  </si>
  <si>
    <t>4. Click ok. (Keep the name of certificate for further use.)</t>
  </si>
  <si>
    <t>Login to Sales force</t>
  </si>
  <si>
    <t>Get customer info from excel and search for same</t>
  </si>
  <si>
    <t>Login to Sales force app</t>
  </si>
  <si>
    <t>Read input excel and get customer whose contract needs to be updated</t>
  </si>
  <si>
    <t>Navigate to subscription page for customer, in separate tab</t>
  </si>
  <si>
    <t>Get  Product code, Pricing Type
Monthly recurring revenue, New Unit price per period from page</t>
  </si>
  <si>
    <t>Manual /Automated/Common</t>
  </si>
  <si>
    <t>Navigate to Account details of corresponding subscription of customer</t>
  </si>
  <si>
    <t>Common</t>
  </si>
  <si>
    <t>Amend contract information, Note Rebooking and De-Booking date would remain same as we see 'Contract start date' in contract page</t>
  </si>
  <si>
    <t>On Contract page</t>
  </si>
  <si>
    <t>Open contact details and perform following operations -
 select Sales campaign as 'Sales - Inboud' drop down in 'Response information' region and reload page, validate- Response field as ' Has campaign'</t>
  </si>
  <si>
    <t>Go to Opportunity and Select 'New Opportunity'</t>
  </si>
  <si>
    <t>Record type of opportunity - select 'Standard Opportunity'</t>
  </si>
  <si>
    <t>Update 'Opportunity name' to as same Account name and few additional info</t>
  </si>
  <si>
    <t>On Opportunity page</t>
  </si>
  <si>
    <t>Hover on Quote and click New Quote</t>
  </si>
  <si>
    <t>Navigates to Select quote type and select 'Draft Quote'  and continue, it takes to Quote page</t>
  </si>
  <si>
    <t>Select Start date is as of contract start date</t>
  </si>
  <si>
    <t>Amend end date which displayed in contract end date + 12 months and check override end date checkbox</t>
  </si>
  <si>
    <t>Update Invoice owner, select client name here</t>
  </si>
  <si>
    <t>New Look up window for searching exact owner, validate Net suite customer from Account Customer ID field on Account page</t>
  </si>
  <si>
    <t>Update Opportunity page with following fields -
- Type
- Primary Product interest
- Close Date-start date from contract tab
- Stage
- Is Contract Modification - check
- Contract Conversion- No
- Skip Auto Provisioning- check
- Opportunity currency to USD based on contract page
- Save -&gt; Navigates to Opportunity page</t>
  </si>
  <si>
    <t>Update following fields
- Primary Contact
- Ship to contact
- Bill to contact
Get these values from Contract tab, bill to and Ship to fields</t>
  </si>
  <si>
    <t>in CPQ section, Sales rep. Info to filled with Account owner field from Account page/tab and Save</t>
  </si>
  <si>
    <t>Add Product', navigates to search page and search product</t>
  </si>
  <si>
    <t>Check for contract - renewable and monthy</t>
  </si>
  <si>
    <t>In next page, add Quantity and Target Unit price and click Calculate and again on Save</t>
  </si>
  <si>
    <t>Click on Opportunity link from Quote page itself from Quote details section</t>
  </si>
  <si>
    <t>Check Primary field from Quote details section  and Save</t>
  </si>
  <si>
    <t>On Amend page-Edit quote</t>
  </si>
  <si>
    <t>Navigate to URL</t>
  </si>
  <si>
    <t>Change start date to Contract start date, some time custom segment appears, need to amend start date there as well
End date also needs to same as End contract date</t>
  </si>
  <si>
    <t>Change Quantity to 0 (Zero)</t>
  </si>
  <si>
    <t>Validate Annual recurring revenue with subtotal and Save. This will take open a debooking quote in same page</t>
  </si>
  <si>
    <t>In De-booking Quote page</t>
  </si>
  <si>
    <t>Click on Opportunity link from Quote page itself from Quote details section for the debooking and open it in new tab</t>
  </si>
  <si>
    <t>Change the Sales Rep field with the accountOwner Name</t>
  </si>
  <si>
    <t>Validate Annual and monthly recurring revenue value to be negative in De-booking quote and also start date and end date fileds with the contract start date and End date</t>
  </si>
  <si>
    <t>In De-booking Oppurtunity Page</t>
  </si>
  <si>
    <t>Update Opportunity page with following fields -
- Type-Renewal
- Primary Product interest
- Close Date
-Exclude from TAR Metrics - check
-Is Contract Modification - check
-Contract Conversion- No
-Skip Auto Provisioning- check
- Name and click on save</t>
  </si>
  <si>
    <t>In Win Loss Detail Section under De-Booking win/Loss Reason select Corrective Transaction from drop down and click save</t>
  </si>
  <si>
    <t xml:space="preserve">Duplicate Account Tab and click on Consolidated Transaction record </t>
  </si>
  <si>
    <t>Hover on Consolidated Tranasaction Record and then click on New Consolidated Record</t>
  </si>
  <si>
    <t>Record Type of new record</t>
  </si>
  <si>
    <t>In the next page select Master Transaction under 'Record Type of new record' and click continue.</t>
  </si>
  <si>
    <t xml:space="preserve">In next page  update the following fields
-Is Master Transaction- check
-Quote - In_RebookingQuote
-Opportunity Owner- 
and then click save </t>
  </si>
  <si>
    <t>Create a duplicate tab for Master Consolidated page for De-booking</t>
  </si>
  <si>
    <t>Under Consolidated Transaction Record, click on New consolidated transaction record</t>
  </si>
  <si>
    <t>In next page select General Transaction under Record Type of new type and click continue</t>
  </si>
  <si>
    <t xml:space="preserve">In next page update the following fields
-Account -in_ProductName
-Quotes  - in_DebookingQuoteNumber
-Type - Debooking
-Contract - in_ContractNumber
</t>
  </si>
  <si>
    <t>In Oppurtunity fields click on search button and type in_debookingOpportunityNumber and click on it and save and close this tab</t>
  </si>
  <si>
    <t>Create a duplicate tab for Master Consolidated page for Rebooking</t>
  </si>
  <si>
    <t>In Oppurtunity fields click on search button and type in_RebookingOpportunityNumber and click on it and save and close this tab</t>
  </si>
  <si>
    <t>Copy Master Consolidated transaction DR request number</t>
  </si>
  <si>
    <t xml:space="preserve">Go on debooking Quote URL </t>
  </si>
  <si>
    <t>in this page under 'Master Debook/rebook request' fill the in_DRNumber</t>
  </si>
  <si>
    <t xml:space="preserve">Go on rebooking Quote URL </t>
  </si>
  <si>
    <t>Reload Master Consolidated transaction tab</t>
  </si>
  <si>
    <t xml:space="preserve">Under consolidated transaction record for the debook transaction copy the ARR value without the negative sign </t>
  </si>
  <si>
    <t xml:space="preserve">Go on rebooking Opportunity URL </t>
  </si>
  <si>
    <t xml:space="preserve">Under 'Renewal Baseline' field add in_DebookARRValue and Save </t>
  </si>
  <si>
    <t>In next page update the following fields
-Account -in_ProductName
-Quotes  - in_RebookingQuoteNumber
-Rebooking- check
-Type - Rebooking
-Contract - in_ContractNumber</t>
  </si>
  <si>
    <t>On New Opportunity page- Rebook</t>
  </si>
  <si>
    <t>On Quote Page - Rebooking</t>
  </si>
  <si>
    <t>On Edit Quote page - Rebooking</t>
  </si>
  <si>
    <t>In Master Consolidated transaction tab</t>
  </si>
  <si>
    <t>Update the field 'Notes for approver' and 'internal Instruction' with the bebook and rebook quote links and also Net ARR Impact and Net TCV impact values</t>
  </si>
  <si>
    <t>Navigate  Debooking Quotes URL</t>
  </si>
  <si>
    <t>Navigate  Rebooking Quotes URL</t>
  </si>
  <si>
    <t>Navigate  Rebooking Opportunity URL</t>
  </si>
  <si>
    <t>Update the field 'Description' and 'Win/Loss Notes' with the bebook and rebook quote links and also Net ARR Impact and Net TCV impact values</t>
  </si>
  <si>
    <t>Navigate  debooking Opportunity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</si>
</sst>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h:mm:ss;@"/>
    <numFmt numFmtId="166" formatCode="0.0%"/>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rgb="FF0000FF"/>
      <name val="Calibri"/>
      <family val="2"/>
      <scheme val="minor"/>
    </font>
    <font>
      <sz val="11"/>
      <color rgb="FF242424"/>
      <name val="Segoe UI"/>
      <family val="2"/>
    </font>
    <font>
      <u/>
      <sz val="11"/>
      <color theme="10"/>
      <name val="Calibri"/>
      <family val="2"/>
      <scheme val="minor"/>
    </font>
    <font>
      <b/>
      <sz val="11"/>
      <color rgb="FF242424"/>
      <name val="Segoe UI"/>
      <family val="2"/>
    </font>
    <font>
      <sz val="11"/>
      <name val="Calibri"/>
      <family val="2"/>
      <scheme val="minor"/>
    </font>
    <font>
      <b/>
      <sz val="11"/>
      <name val="Calibri"/>
      <family val="2"/>
      <scheme val="minor"/>
    </font>
    <font>
      <sz val="11"/>
      <color rgb="FFFF0000"/>
      <name val="Calibri"/>
      <family val="2"/>
      <scheme val="minor"/>
    </font>
  </fonts>
  <fills count="12">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rgb="FF002060"/>
        <bgColor indexed="64"/>
      </patternFill>
    </fill>
    <fill>
      <patternFill patternType="solid">
        <fgColor rgb="FF00B0F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7"/>
        <bgColor indexed="64"/>
      </patternFill>
    </fill>
    <fill>
      <patternFill patternType="solid">
        <fgColor theme="9" tint="0.59999389629810485"/>
        <bgColor indexed="64"/>
      </patternFill>
    </fill>
    <fill>
      <patternFill patternType="solid">
        <fgColor rgb="FF7030A0"/>
        <bgColor indexed="64"/>
      </patternFill>
    </fill>
  </fills>
  <borders count="4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style="medium">
        <color indexed="64"/>
      </top>
      <bottom/>
      <diagonal/>
    </border>
    <border>
      <left/>
      <right style="thin">
        <color auto="1"/>
      </right>
      <top style="medium">
        <color indexed="64"/>
      </top>
      <bottom style="thin">
        <color auto="1"/>
      </bottom>
      <diagonal/>
    </border>
    <border>
      <left style="medium">
        <color indexed="64"/>
      </left>
      <right style="thin">
        <color auto="1"/>
      </right>
      <top style="medium">
        <color indexed="64"/>
      </top>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auto="1"/>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
      <left/>
      <right style="thin">
        <color auto="1"/>
      </right>
      <top/>
      <bottom style="thin">
        <color auto="1"/>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thin">
        <color auto="1"/>
      </right>
      <top style="thin">
        <color auto="1"/>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8" fillId="0" borderId="0" applyNumberFormat="0" applyFill="0" applyBorder="0" applyAlignment="0" applyProtection="0"/>
  </cellStyleXfs>
  <cellXfs count="163">
    <xf numFmtId="0" fontId="0" fillId="0" borderId="0" xfId="0"/>
    <xf numFmtId="164" fontId="0" fillId="0" borderId="0" xfId="0" applyNumberFormat="1"/>
    <xf numFmtId="0" fontId="0" fillId="0" borderId="2" xfId="0" applyBorder="1"/>
    <xf numFmtId="0" fontId="4" fillId="0" borderId="0" xfId="0" applyFont="1"/>
    <xf numFmtId="0" fontId="0" fillId="0" borderId="0" xfId="0" applyAlignment="1">
      <alignment horizontal="left" vertical="center"/>
    </xf>
    <xf numFmtId="0" fontId="0" fillId="0" borderId="10" xfId="0" applyBorder="1"/>
    <xf numFmtId="164" fontId="0" fillId="0" borderId="2" xfId="1" applyNumberFormat="1" applyFont="1" applyBorder="1"/>
    <xf numFmtId="0" fontId="0" fillId="0" borderId="5" xfId="0" applyBorder="1"/>
    <xf numFmtId="0" fontId="0" fillId="0" borderId="11" xfId="0" applyBorder="1"/>
    <xf numFmtId="0" fontId="0" fillId="0" borderId="12" xfId="0" applyBorder="1"/>
    <xf numFmtId="44" fontId="0" fillId="3" borderId="2" xfId="0" applyNumberFormat="1" applyFill="1" applyBorder="1"/>
    <xf numFmtId="0" fontId="0" fillId="0" borderId="6" xfId="0" applyBorder="1" applyAlignment="1">
      <alignment horizontal="right"/>
    </xf>
    <xf numFmtId="0" fontId="6" fillId="0" borderId="13" xfId="0" applyFont="1" applyBorder="1"/>
    <xf numFmtId="0" fontId="6" fillId="0" borderId="14" xfId="0" applyFont="1" applyBorder="1"/>
    <xf numFmtId="0" fontId="0" fillId="0" borderId="10" xfId="0" applyBorder="1" applyAlignment="1">
      <alignment horizontal="center" vertical="center"/>
    </xf>
    <xf numFmtId="0" fontId="4" fillId="0" borderId="15" xfId="0" applyFont="1" applyBorder="1" applyAlignment="1">
      <alignment horizontal="center" vertical="center"/>
    </xf>
    <xf numFmtId="0" fontId="4" fillId="3" borderId="16" xfId="0" applyFont="1" applyFill="1" applyBorder="1" applyAlignment="1">
      <alignment horizontal="center" vertical="center"/>
    </xf>
    <xf numFmtId="164" fontId="3" fillId="4" borderId="10" xfId="1" applyNumberFormat="1" applyFont="1" applyFill="1" applyBorder="1"/>
    <xf numFmtId="0" fontId="3" fillId="4" borderId="8" xfId="0" applyFont="1" applyFill="1" applyBorder="1"/>
    <xf numFmtId="164" fontId="0" fillId="3" borderId="5" xfId="0" applyNumberFormat="1" applyFill="1" applyBorder="1"/>
    <xf numFmtId="164" fontId="0" fillId="3" borderId="2" xfId="0" applyNumberFormat="1" applyFill="1" applyBorder="1"/>
    <xf numFmtId="164" fontId="0" fillId="3" borderId="11" xfId="0" applyNumberFormat="1" applyFill="1" applyBorder="1"/>
    <xf numFmtId="164" fontId="0" fillId="3" borderId="12" xfId="0" applyNumberFormat="1" applyFill="1" applyBorder="1"/>
    <xf numFmtId="0" fontId="7" fillId="0" borderId="0" xfId="0" applyFont="1" applyAlignment="1">
      <alignment horizontal="left" vertical="center" indent="2"/>
    </xf>
    <xf numFmtId="0" fontId="7" fillId="0" borderId="0" xfId="0" applyFont="1" applyAlignment="1">
      <alignment horizontal="left" vertical="center" indent="3"/>
    </xf>
    <xf numFmtId="0" fontId="7" fillId="0" borderId="0" xfId="0" applyFont="1" applyAlignment="1">
      <alignment horizontal="left" vertical="center" indent="4"/>
    </xf>
    <xf numFmtId="0" fontId="8" fillId="0" borderId="0" xfId="4" applyAlignment="1">
      <alignment horizontal="left" vertical="center" indent="2"/>
    </xf>
    <xf numFmtId="0" fontId="9" fillId="0" borderId="0" xfId="0" applyFont="1" applyAlignment="1">
      <alignment horizontal="left" vertical="center"/>
    </xf>
    <xf numFmtId="0" fontId="0" fillId="0" borderId="0" xfId="0" applyAlignment="1">
      <alignment horizontal="center" vertical="center"/>
    </xf>
    <xf numFmtId="0" fontId="6" fillId="0" borderId="0" xfId="0" applyFont="1"/>
    <xf numFmtId="1" fontId="6" fillId="0" borderId="0" xfId="0" applyNumberFormat="1" applyFont="1"/>
    <xf numFmtId="1" fontId="0" fillId="0" borderId="0" xfId="0" applyNumberFormat="1" applyAlignment="1">
      <alignment horizontal="left"/>
    </xf>
    <xf numFmtId="0" fontId="0" fillId="0" borderId="0" xfId="0" applyAlignment="1">
      <alignment horizontal="right"/>
    </xf>
    <xf numFmtId="0" fontId="6" fillId="0" borderId="6" xfId="0" applyFont="1" applyBorder="1"/>
    <xf numFmtId="0" fontId="6" fillId="0" borderId="23" xfId="0" applyFont="1" applyBorder="1"/>
    <xf numFmtId="0" fontId="0" fillId="0" borderId="3" xfId="0" applyBorder="1"/>
    <xf numFmtId="0" fontId="0" fillId="0" borderId="24" xfId="0" applyBorder="1"/>
    <xf numFmtId="0" fontId="0" fillId="0" borderId="13" xfId="0" applyBorder="1"/>
    <xf numFmtId="0" fontId="10" fillId="3" borderId="5" xfId="0" applyFont="1" applyFill="1" applyBorder="1"/>
    <xf numFmtId="1" fontId="10" fillId="3" borderId="13" xfId="0" applyNumberFormat="1" applyFont="1" applyFill="1" applyBorder="1"/>
    <xf numFmtId="0" fontId="10" fillId="3" borderId="11" xfId="0" applyFont="1" applyFill="1" applyBorder="1"/>
    <xf numFmtId="1" fontId="10" fillId="3" borderId="14" xfId="0" applyNumberFormat="1" applyFont="1" applyFill="1" applyBorder="1"/>
    <xf numFmtId="0" fontId="4" fillId="5" borderId="5"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0" xfId="0" applyFont="1" applyFill="1" applyAlignment="1">
      <alignment horizontal="center" vertical="center"/>
    </xf>
    <xf numFmtId="0" fontId="4" fillId="5" borderId="13" xfId="0" applyFont="1" applyFill="1" applyBorder="1" applyAlignment="1">
      <alignment horizontal="center" vertical="center"/>
    </xf>
    <xf numFmtId="0" fontId="3" fillId="4" borderId="17" xfId="0" applyFont="1" applyFill="1" applyBorder="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3" fillId="4" borderId="7" xfId="0" applyFont="1" applyFill="1" applyBorder="1" applyAlignment="1">
      <alignment vertical="center"/>
    </xf>
    <xf numFmtId="0" fontId="3" fillId="4" borderId="8" xfId="0" applyFont="1" applyFill="1" applyBorder="1" applyAlignment="1">
      <alignment vertical="center"/>
    </xf>
    <xf numFmtId="1" fontId="0" fillId="0" borderId="0" xfId="0" applyNumberFormat="1"/>
    <xf numFmtId="0" fontId="0" fillId="4" borderId="0" xfId="0" applyFill="1"/>
    <xf numFmtId="0" fontId="3" fillId="4" borderId="1" xfId="0" applyFont="1" applyFill="1" applyBorder="1"/>
    <xf numFmtId="164" fontId="0" fillId="3" borderId="13" xfId="1" applyNumberFormat="1" applyFont="1" applyFill="1" applyBorder="1"/>
    <xf numFmtId="164" fontId="0" fillId="3" borderId="14" xfId="1" applyNumberFormat="1" applyFont="1" applyFill="1" applyBorder="1"/>
    <xf numFmtId="164" fontId="6" fillId="0" borderId="13" xfId="0" applyNumberFormat="1" applyFont="1" applyBorder="1"/>
    <xf numFmtId="0" fontId="4" fillId="0" borderId="5" xfId="0" applyFont="1" applyBorder="1"/>
    <xf numFmtId="1" fontId="0" fillId="0" borderId="13" xfId="2" applyNumberFormat="1" applyFont="1" applyFill="1" applyBorder="1"/>
    <xf numFmtId="10" fontId="0" fillId="3" borderId="13" xfId="0" applyNumberFormat="1" applyFill="1" applyBorder="1"/>
    <xf numFmtId="164" fontId="0" fillId="3" borderId="13" xfId="0" applyNumberFormat="1" applyFill="1" applyBorder="1"/>
    <xf numFmtId="0" fontId="0" fillId="0" borderId="14" xfId="0" applyBorder="1"/>
    <xf numFmtId="0" fontId="0" fillId="0" borderId="27" xfId="0" applyBorder="1"/>
    <xf numFmtId="0" fontId="0" fillId="0" borderId="0" xfId="0" applyAlignment="1">
      <alignment horizontal="left" vertical="top" wrapText="1"/>
    </xf>
    <xf numFmtId="165" fontId="10" fillId="0" borderId="2" xfId="0" applyNumberFormat="1" applyFont="1" applyBorder="1" applyAlignment="1">
      <alignment horizontal="left" vertical="top" wrapText="1"/>
    </xf>
    <xf numFmtId="0" fontId="10" fillId="0" borderId="2" xfId="0" applyFont="1" applyBorder="1" applyAlignment="1">
      <alignment horizontal="left" vertical="top" wrapText="1"/>
    </xf>
    <xf numFmtId="0" fontId="10" fillId="2" borderId="5" xfId="3" applyFont="1" applyBorder="1" applyAlignment="1">
      <alignment horizontal="left" vertical="top" wrapText="1"/>
    </xf>
    <xf numFmtId="0" fontId="10" fillId="2" borderId="11" xfId="3" applyFont="1" applyBorder="1" applyAlignment="1">
      <alignment horizontal="left" vertical="top" wrapText="1"/>
    </xf>
    <xf numFmtId="0" fontId="0" fillId="7" borderId="3" xfId="0" applyFill="1" applyBorder="1" applyAlignment="1">
      <alignment horizontal="left" vertical="top" wrapText="1"/>
    </xf>
    <xf numFmtId="0" fontId="0" fillId="7" borderId="5" xfId="0" applyFill="1" applyBorder="1" applyAlignment="1">
      <alignment horizontal="left" vertical="top" wrapText="1"/>
    </xf>
    <xf numFmtId="0" fontId="0" fillId="7" borderId="11" xfId="0" applyFill="1" applyBorder="1" applyAlignment="1">
      <alignment horizontal="left" vertical="top" wrapText="1"/>
    </xf>
    <xf numFmtId="0" fontId="0" fillId="7" borderId="24" xfId="0" applyFill="1" applyBorder="1" applyAlignment="1">
      <alignment horizontal="center" vertical="center"/>
    </xf>
    <xf numFmtId="0" fontId="0" fillId="7" borderId="13" xfId="0" applyFill="1" applyBorder="1" applyAlignment="1">
      <alignment horizontal="center" vertical="center"/>
    </xf>
    <xf numFmtId="1" fontId="0" fillId="7" borderId="14" xfId="0" applyNumberFormat="1" applyFill="1" applyBorder="1" applyAlignment="1">
      <alignment horizontal="center" vertical="center"/>
    </xf>
    <xf numFmtId="0" fontId="11" fillId="6" borderId="5" xfId="3" applyFont="1" applyFill="1" applyBorder="1" applyAlignment="1">
      <alignment vertical="top" wrapText="1"/>
    </xf>
    <xf numFmtId="0" fontId="11" fillId="6" borderId="2" xfId="3" applyFont="1" applyFill="1" applyBorder="1" applyAlignment="1">
      <alignment vertical="top" wrapText="1"/>
    </xf>
    <xf numFmtId="0" fontId="12" fillId="0" borderId="0" xfId="0" applyFont="1"/>
    <xf numFmtId="0" fontId="0" fillId="0" borderId="0" xfId="0" applyAlignment="1">
      <alignment wrapText="1"/>
    </xf>
    <xf numFmtId="0" fontId="11" fillId="0" borderId="3" xfId="3" applyFont="1" applyFill="1" applyBorder="1" applyAlignment="1">
      <alignment vertical="top" wrapText="1"/>
    </xf>
    <xf numFmtId="0" fontId="10" fillId="0" borderId="29" xfId="3" applyFont="1" applyFill="1" applyBorder="1" applyAlignment="1">
      <alignment vertical="top" wrapText="1"/>
    </xf>
    <xf numFmtId="0" fontId="0" fillId="0" borderId="31" xfId="0" applyBorder="1"/>
    <xf numFmtId="0" fontId="11" fillId="7" borderId="22" xfId="0" applyFont="1" applyFill="1" applyBorder="1" applyAlignment="1">
      <alignment horizontal="center" vertical="center" wrapText="1"/>
    </xf>
    <xf numFmtId="0" fontId="11" fillId="7" borderId="20" xfId="0" applyFont="1" applyFill="1" applyBorder="1" applyAlignment="1">
      <alignment horizontal="center" vertical="center" wrapText="1"/>
    </xf>
    <xf numFmtId="0" fontId="0" fillId="0" borderId="2" xfId="0" applyBorder="1" applyAlignment="1">
      <alignment wrapText="1"/>
    </xf>
    <xf numFmtId="0" fontId="10" fillId="0" borderId="2" xfId="0" applyFont="1" applyBorder="1" applyAlignment="1">
      <alignment horizontal="center" vertical="center"/>
    </xf>
    <xf numFmtId="0" fontId="10" fillId="6" borderId="2" xfId="0" applyFont="1" applyFill="1" applyBorder="1" applyAlignment="1">
      <alignment horizontal="center" vertical="center"/>
    </xf>
    <xf numFmtId="0" fontId="10" fillId="0" borderId="29" xfId="0" applyFont="1" applyBorder="1" applyAlignment="1">
      <alignment horizontal="center" vertical="center"/>
    </xf>
    <xf numFmtId="0" fontId="11" fillId="0" borderId="5" xfId="3" applyFont="1" applyFill="1" applyBorder="1" applyAlignment="1">
      <alignment horizontal="left" vertical="top" wrapText="1"/>
    </xf>
    <xf numFmtId="9" fontId="0" fillId="0" borderId="12" xfId="0" applyNumberFormat="1" applyBorder="1" applyAlignment="1">
      <alignment horizontal="left" vertical="top" wrapText="1"/>
    </xf>
    <xf numFmtId="0" fontId="10" fillId="0" borderId="12" xfId="0" applyFont="1" applyBorder="1" applyAlignment="1">
      <alignment horizontal="center" vertical="center"/>
    </xf>
    <xf numFmtId="0" fontId="11" fillId="0" borderId="0" xfId="0" applyFont="1" applyAlignment="1">
      <alignment horizontal="center" vertical="center" wrapText="1"/>
    </xf>
    <xf numFmtId="0" fontId="11" fillId="7" borderId="30" xfId="0" applyFont="1" applyFill="1" applyBorder="1" applyAlignment="1">
      <alignment horizontal="center" vertical="center" wrapText="1"/>
    </xf>
    <xf numFmtId="0" fontId="0" fillId="0" borderId="29" xfId="0" applyBorder="1"/>
    <xf numFmtId="16" fontId="0" fillId="0" borderId="29" xfId="0" applyNumberFormat="1" applyBorder="1"/>
    <xf numFmtId="0" fontId="0" fillId="6" borderId="13" xfId="0" applyFill="1" applyBorder="1"/>
    <xf numFmtId="0" fontId="0" fillId="0" borderId="21" xfId="0" applyBorder="1"/>
    <xf numFmtId="0" fontId="0" fillId="0" borderId="32" xfId="0" applyBorder="1"/>
    <xf numFmtId="0" fontId="4" fillId="0" borderId="29" xfId="0" applyFont="1" applyBorder="1"/>
    <xf numFmtId="0" fontId="4" fillId="0" borderId="24" xfId="0" applyFont="1" applyBorder="1"/>
    <xf numFmtId="9" fontId="0" fillId="0" borderId="2" xfId="0" applyNumberFormat="1" applyBorder="1"/>
    <xf numFmtId="0" fontId="10" fillId="0" borderId="5" xfId="3" applyFont="1" applyFill="1" applyBorder="1" applyAlignment="1">
      <alignment horizontal="left" vertical="top" wrapText="1"/>
    </xf>
    <xf numFmtId="0" fontId="10" fillId="0" borderId="29" xfId="0" applyFont="1" applyBorder="1" applyAlignment="1">
      <alignment wrapText="1"/>
    </xf>
    <xf numFmtId="0" fontId="10" fillId="0" borderId="2" xfId="0" applyFont="1" applyBorder="1" applyAlignment="1">
      <alignment wrapText="1"/>
    </xf>
    <xf numFmtId="0" fontId="0" fillId="7" borderId="10" xfId="0" applyFill="1"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9" fontId="0" fillId="0" borderId="12" xfId="0" applyNumberFormat="1" applyBorder="1" applyAlignment="1">
      <alignment wrapText="1"/>
    </xf>
    <xf numFmtId="9" fontId="0" fillId="0" borderId="0" xfId="2" applyFont="1"/>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6" borderId="0" xfId="0" applyFill="1"/>
    <xf numFmtId="0" fontId="0" fillId="6" borderId="2" xfId="0" applyFill="1" applyBorder="1"/>
    <xf numFmtId="0" fontId="0" fillId="6" borderId="0" xfId="0" applyFill="1" applyAlignment="1">
      <alignment wrapText="1"/>
    </xf>
    <xf numFmtId="166" fontId="0" fillId="0" borderId="0" xfId="2" applyNumberFormat="1" applyFont="1"/>
    <xf numFmtId="0" fontId="12" fillId="0" borderId="2" xfId="0" applyFont="1" applyBorder="1" applyAlignment="1">
      <alignment horizontal="center" vertical="center"/>
    </xf>
    <xf numFmtId="16" fontId="0" fillId="0" borderId="24" xfId="0" applyNumberFormat="1" applyBorder="1"/>
    <xf numFmtId="0" fontId="0" fillId="0" borderId="1" xfId="0" applyBorder="1" applyAlignment="1">
      <alignment horizontal="center" vertical="center"/>
    </xf>
    <xf numFmtId="0" fontId="0" fillId="0" borderId="28" xfId="0" applyBorder="1" applyAlignment="1">
      <alignment horizontal="center" vertical="center"/>
    </xf>
    <xf numFmtId="0" fontId="0" fillId="0" borderId="16" xfId="0" applyBorder="1" applyAlignment="1">
      <alignment horizontal="center" vertical="center"/>
    </xf>
    <xf numFmtId="0" fontId="6" fillId="8" borderId="13" xfId="0" applyFont="1" applyFill="1" applyBorder="1"/>
    <xf numFmtId="0" fontId="0" fillId="0" borderId="37" xfId="0" applyBorder="1"/>
    <xf numFmtId="16" fontId="0" fillId="0" borderId="16" xfId="0" applyNumberFormat="1" applyBorder="1"/>
    <xf numFmtId="16" fontId="0" fillId="0" borderId="38" xfId="0" applyNumberFormat="1" applyBorder="1"/>
    <xf numFmtId="0" fontId="0" fillId="0" borderId="1" xfId="0" applyBorder="1"/>
    <xf numFmtId="0" fontId="0" fillId="0" borderId="39" xfId="0" applyBorder="1"/>
    <xf numFmtId="0" fontId="0" fillId="9" borderId="1" xfId="0" applyFill="1" applyBorder="1"/>
    <xf numFmtId="0" fontId="0" fillId="9" borderId="16" xfId="0" applyFill="1" applyBorder="1"/>
    <xf numFmtId="0" fontId="0" fillId="8" borderId="2" xfId="0" applyFill="1" applyBorder="1"/>
    <xf numFmtId="0" fontId="10" fillId="10" borderId="2" xfId="0" applyFont="1" applyFill="1" applyBorder="1" applyAlignment="1">
      <alignment horizontal="left" vertical="top" wrapText="1"/>
    </xf>
    <xf numFmtId="0" fontId="10" fillId="10" borderId="2" xfId="0" applyFont="1" applyFill="1" applyBorder="1" applyAlignment="1">
      <alignment wrapText="1"/>
    </xf>
    <xf numFmtId="0" fontId="10" fillId="5" borderId="2" xfId="0" applyFont="1" applyFill="1" applyBorder="1" applyAlignment="1">
      <alignment wrapText="1"/>
    </xf>
    <xf numFmtId="0" fontId="10" fillId="5" borderId="2" xfId="0" applyFont="1" applyFill="1" applyBorder="1" applyAlignment="1">
      <alignment horizontal="left" vertical="top" wrapText="1"/>
    </xf>
    <xf numFmtId="0" fontId="10" fillId="11" borderId="2" xfId="0" applyFont="1" applyFill="1" applyBorder="1" applyAlignment="1">
      <alignment wrapText="1"/>
    </xf>
    <xf numFmtId="0" fontId="10" fillId="11" borderId="2" xfId="0" applyFont="1" applyFill="1" applyBorder="1" applyAlignment="1">
      <alignment horizontal="left" vertical="top" wrapText="1"/>
    </xf>
    <xf numFmtId="9" fontId="0" fillId="0" borderId="0" xfId="0" applyNumberFormat="1" applyAlignment="1">
      <alignment horizontal="center" vertical="center"/>
    </xf>
    <xf numFmtId="0" fontId="11" fillId="6" borderId="33" xfId="0" applyFont="1" applyFill="1" applyBorder="1" applyAlignment="1">
      <alignment horizontal="center" vertical="center" wrapText="1"/>
    </xf>
    <xf numFmtId="0" fontId="0" fillId="0" borderId="2" xfId="0" applyBorder="1" applyAlignment="1">
      <alignment horizontal="left" vertical="top" wrapText="1"/>
    </xf>
    <xf numFmtId="0" fontId="0" fillId="0" borderId="2" xfId="0" quotePrefix="1" applyBorder="1" applyAlignment="1">
      <alignment horizontal="left" vertical="top" wrapText="1"/>
    </xf>
    <xf numFmtId="0" fontId="10" fillId="2" borderId="2" xfId="3" applyFont="1" applyBorder="1" applyAlignment="1">
      <alignment horizontal="left" vertical="top" wrapText="1"/>
    </xf>
    <xf numFmtId="0" fontId="0" fillId="0" borderId="26" xfId="0" applyBorder="1"/>
    <xf numFmtId="0" fontId="0" fillId="0" borderId="40" xfId="0" applyBorder="1"/>
    <xf numFmtId="0" fontId="0" fillId="0" borderId="41" xfId="0" applyBorder="1"/>
    <xf numFmtId="0" fontId="0" fillId="0" borderId="42" xfId="0" applyBorder="1"/>
    <xf numFmtId="0" fontId="0" fillId="0" borderId="43" xfId="0" applyBorder="1"/>
    <xf numFmtId="0" fontId="4" fillId="0" borderId="31" xfId="0" applyFont="1" applyBorder="1"/>
    <xf numFmtId="0" fontId="4" fillId="0" borderId="32" xfId="0" applyFont="1" applyBorder="1"/>
    <xf numFmtId="0" fontId="0" fillId="0" borderId="44" xfId="0" applyBorder="1"/>
    <xf numFmtId="0" fontId="0" fillId="0" borderId="2" xfId="0" applyBorder="1" applyAlignment="1">
      <alignment horizontal="center" vertical="center"/>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25" xfId="0" applyFont="1" applyBorder="1" applyAlignment="1">
      <alignment horizontal="left" vertical="top" wrapText="1"/>
    </xf>
    <xf numFmtId="0" fontId="4" fillId="0" borderId="26" xfId="0" applyFont="1" applyBorder="1" applyAlignment="1">
      <alignment horizontal="left" vertical="top" wrapText="1"/>
    </xf>
    <xf numFmtId="0" fontId="3" fillId="4" borderId="22"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1" xfId="0" applyFont="1" applyFill="1" applyBorder="1" applyAlignment="1">
      <alignment horizontal="center" vertical="center"/>
    </xf>
  </cellXfs>
  <cellStyles count="5">
    <cellStyle name="Currency" xfId="1" builtinId="4"/>
    <cellStyle name="Good" xfId="3" builtinId="26"/>
    <cellStyle name="Hyperlink" xfId="4" builtinId="8"/>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Automation - Breakeven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2"/>
          <c:order val="2"/>
          <c:tx>
            <c:strRef>
              <c:f>'RoI - UiPath'!$R$9</c:f>
              <c:strCache>
                <c:ptCount val="1"/>
                <c:pt idx="0">
                  <c:v>Properties Before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'RoI - UiPath'!$O$10:$O$21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'RoI - UiPath'!$R$10:$R$21</c:f>
              <c:numCache>
                <c:formatCode>General</c:formatCode>
                <c:ptCount val="12"/>
                <c:pt idx="0">
                  <c:v>40</c:v>
                </c:pt>
                <c:pt idx="1">
                  <c:v>80</c:v>
                </c:pt>
                <c:pt idx="2">
                  <c:v>120</c:v>
                </c:pt>
                <c:pt idx="3">
                  <c:v>160</c:v>
                </c:pt>
                <c:pt idx="4">
                  <c:v>200</c:v>
                </c:pt>
                <c:pt idx="5">
                  <c:v>240</c:v>
                </c:pt>
                <c:pt idx="6">
                  <c:v>280</c:v>
                </c:pt>
                <c:pt idx="7">
                  <c:v>320</c:v>
                </c:pt>
                <c:pt idx="8">
                  <c:v>360</c:v>
                </c:pt>
                <c:pt idx="9">
                  <c:v>400</c:v>
                </c:pt>
                <c:pt idx="10">
                  <c:v>440</c:v>
                </c:pt>
                <c:pt idx="11">
                  <c:v>480</c:v>
                </c:pt>
              </c:numCache>
            </c:numRef>
          </c:val>
          <c:extLst>
            <c:ext xmlns:c16="http://schemas.microsoft.com/office/drawing/2014/chart" uri="{C3380CC4-5D6E-409C-BE32-E72D297353CC}">
              <c16:uniqueId val="{00000002-6FC6-4FC6-A54E-A27223076238}"/>
            </c:ext>
          </c:extLst>
        </c:ser>
        <c:ser>
          <c:idx val="3"/>
          <c:order val="3"/>
          <c:tx>
            <c:strRef>
              <c:f>'RoI - UiPath'!$S$9</c:f>
              <c:strCache>
                <c:ptCount val="1"/>
                <c:pt idx="0">
                  <c:v>Properties After</c:v>
                </c:pt>
              </c:strCache>
            </c:strRef>
          </c:tx>
          <c:spPr>
            <a:solidFill>
              <a:srgbClr val="00B0F0"/>
            </a:solidFill>
            <a:ln>
              <a:noFill/>
            </a:ln>
            <a:effectLst>
              <a:outerShdw blurRad="57150" dist="19050" dir="5400000" algn="ctr" rotWithShape="0">
                <a:srgbClr val="000000">
                  <a:alpha val="63000"/>
                </a:srgbClr>
              </a:outerShdw>
            </a:effectLst>
          </c:spPr>
          <c:invertIfNegative val="0"/>
          <c:cat>
            <c:numRef>
              <c:f>'RoI - UiPath'!$O$10:$O$21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'RoI - UiPath'!$S$10:$S$21</c:f>
              <c:numCache>
                <c:formatCode>0</c:formatCode>
                <c:ptCount val="12"/>
                <c:pt idx="0">
                  <c:v>1073.4020618556701</c:v>
                </c:pt>
                <c:pt idx="1">
                  <c:v>2146.8041237113403</c:v>
                </c:pt>
                <c:pt idx="2">
                  <c:v>3220.2061855670104</c:v>
                </c:pt>
                <c:pt idx="3">
                  <c:v>4293.6082474226805</c:v>
                </c:pt>
                <c:pt idx="4">
                  <c:v>5367.0103092783502</c:v>
                </c:pt>
                <c:pt idx="5">
                  <c:v>6440.4123711340198</c:v>
                </c:pt>
                <c:pt idx="6">
                  <c:v>7513.8144329896895</c:v>
                </c:pt>
                <c:pt idx="7">
                  <c:v>8587.2164948453592</c:v>
                </c:pt>
                <c:pt idx="8">
                  <c:v>9660.6185567010289</c:v>
                </c:pt>
                <c:pt idx="9">
                  <c:v>10734.020618556699</c:v>
                </c:pt>
                <c:pt idx="10">
                  <c:v>11807.422680412368</c:v>
                </c:pt>
                <c:pt idx="11">
                  <c:v>12880.824742268038</c:v>
                </c:pt>
              </c:numCache>
            </c:numRef>
          </c:val>
          <c:extLst>
            <c:ext xmlns:c16="http://schemas.microsoft.com/office/drawing/2014/chart" uri="{C3380CC4-5D6E-409C-BE32-E72D297353CC}">
              <c16:uniqueId val="{00000003-6FC6-4FC6-A54E-A27223076238}"/>
            </c:ext>
          </c:extLst>
        </c:ser>
        <c:dLbls>
          <c:showLegendKey val="0"/>
          <c:showVal val="0"/>
          <c:showCatName val="0"/>
          <c:showSerName val="0"/>
          <c:showPercent val="0"/>
          <c:showBubbleSize val="0"/>
        </c:dLbls>
        <c:gapWidth val="150"/>
        <c:overlap val="100"/>
        <c:axId val="588720840"/>
        <c:axId val="588717888"/>
      </c:barChart>
      <c:lineChart>
        <c:grouping val="standard"/>
        <c:varyColors val="0"/>
        <c:ser>
          <c:idx val="0"/>
          <c:order val="0"/>
          <c:tx>
            <c:strRef>
              <c:f>'RoI - UiPath'!$P$9</c:f>
              <c:strCache>
                <c:ptCount val="1"/>
                <c:pt idx="0">
                  <c:v>Cost - Before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'RoI - UiPath'!$O$10:$O$21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'RoI - UiPath'!$P$10:$P$21</c:f>
              <c:numCache>
                <c:formatCode>_("$"* #,##0_);_("$"* \(#,##0\);_("$"* "-"??_);_(@_)</c:formatCode>
                <c:ptCount val="12"/>
                <c:pt idx="0">
                  <c:v>12000</c:v>
                </c:pt>
                <c:pt idx="1">
                  <c:v>24000</c:v>
                </c:pt>
                <c:pt idx="2">
                  <c:v>36000</c:v>
                </c:pt>
                <c:pt idx="3">
                  <c:v>48000</c:v>
                </c:pt>
                <c:pt idx="4">
                  <c:v>60000</c:v>
                </c:pt>
                <c:pt idx="5">
                  <c:v>72000</c:v>
                </c:pt>
                <c:pt idx="6">
                  <c:v>84000</c:v>
                </c:pt>
                <c:pt idx="7">
                  <c:v>96000</c:v>
                </c:pt>
                <c:pt idx="8">
                  <c:v>108000</c:v>
                </c:pt>
                <c:pt idx="9">
                  <c:v>120000</c:v>
                </c:pt>
                <c:pt idx="10">
                  <c:v>132000</c:v>
                </c:pt>
                <c:pt idx="11">
                  <c:v>144000</c:v>
                </c:pt>
              </c:numCache>
            </c:numRef>
          </c:val>
          <c:smooth val="0"/>
          <c:extLst>
            <c:ext xmlns:c16="http://schemas.microsoft.com/office/drawing/2014/chart" uri="{C3380CC4-5D6E-409C-BE32-E72D297353CC}">
              <c16:uniqueId val="{00000000-6FC6-4FC6-A54E-A27223076238}"/>
            </c:ext>
          </c:extLst>
        </c:ser>
        <c:ser>
          <c:idx val="1"/>
          <c:order val="1"/>
          <c:tx>
            <c:strRef>
              <c:f>'RoI - UiPath'!$Q$9</c:f>
              <c:strCache>
                <c:ptCount val="1"/>
                <c:pt idx="0">
                  <c:v>Cost - After</c:v>
                </c:pt>
              </c:strCache>
            </c:strRef>
          </c:tx>
          <c:spPr>
            <a:ln w="34925" cap="rnd">
              <a:solidFill>
                <a:srgbClr val="92D050"/>
              </a:solidFill>
              <a:round/>
            </a:ln>
            <a:effectLst>
              <a:outerShdw blurRad="57150" dist="19050" dir="5400000" algn="ctr" rotWithShape="0">
                <a:srgbClr val="000000">
                  <a:alpha val="63000"/>
                </a:srgbClr>
              </a:outerShdw>
            </a:effectLst>
          </c:spPr>
          <c:marker>
            <c:symbol val="none"/>
          </c:marker>
          <c:cat>
            <c:numRef>
              <c:f>'RoI - UiPath'!$O$10:$O$21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'RoI - UiPath'!$Q$10:$Q$21</c:f>
              <c:numCache>
                <c:formatCode>_("$"* #,##0_);_("$"* \(#,##0\);_("$"* "-"??_);_(@_)</c:formatCode>
                <c:ptCount val="12"/>
                <c:pt idx="0">
                  <c:v>20852.5</c:v>
                </c:pt>
                <c:pt idx="1">
                  <c:v>21852.5</c:v>
                </c:pt>
                <c:pt idx="2">
                  <c:v>22852.5</c:v>
                </c:pt>
                <c:pt idx="3">
                  <c:v>23852.5</c:v>
                </c:pt>
                <c:pt idx="4">
                  <c:v>24852.5</c:v>
                </c:pt>
                <c:pt idx="5">
                  <c:v>25852.5</c:v>
                </c:pt>
                <c:pt idx="6">
                  <c:v>26852.5</c:v>
                </c:pt>
                <c:pt idx="7">
                  <c:v>27852.5</c:v>
                </c:pt>
                <c:pt idx="8">
                  <c:v>28852.5</c:v>
                </c:pt>
                <c:pt idx="9">
                  <c:v>29852.5</c:v>
                </c:pt>
                <c:pt idx="10">
                  <c:v>30852.5</c:v>
                </c:pt>
                <c:pt idx="11">
                  <c:v>31852.5</c:v>
                </c:pt>
              </c:numCache>
            </c:numRef>
          </c:val>
          <c:smooth val="0"/>
          <c:extLst>
            <c:ext xmlns:c16="http://schemas.microsoft.com/office/drawing/2014/chart" uri="{C3380CC4-5D6E-409C-BE32-E72D297353CC}">
              <c16:uniqueId val="{00000001-6FC6-4FC6-A54E-A27223076238}"/>
            </c:ext>
          </c:extLst>
        </c:ser>
        <c:dLbls>
          <c:showLegendKey val="0"/>
          <c:showVal val="0"/>
          <c:showCatName val="0"/>
          <c:showSerName val="0"/>
          <c:showPercent val="0"/>
          <c:showBubbleSize val="0"/>
        </c:dLbls>
        <c:marker val="1"/>
        <c:smooth val="0"/>
        <c:axId val="980741264"/>
        <c:axId val="980736672"/>
      </c:lineChart>
      <c:catAx>
        <c:axId val="980741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736672"/>
        <c:crosses val="autoZero"/>
        <c:auto val="1"/>
        <c:lblAlgn val="ctr"/>
        <c:lblOffset val="100"/>
        <c:noMultiLvlLbl val="0"/>
      </c:catAx>
      <c:valAx>
        <c:axId val="980736672"/>
        <c:scaling>
          <c:orientation val="minMax"/>
          <c:max val="150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741264"/>
        <c:crosses val="autoZero"/>
        <c:crossBetween val="between"/>
      </c:valAx>
      <c:valAx>
        <c:axId val="588717888"/>
        <c:scaling>
          <c:orientation val="minMax"/>
          <c:max val="400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Properties uploaded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720840"/>
        <c:crosses val="max"/>
        <c:crossBetween val="between"/>
      </c:valAx>
      <c:catAx>
        <c:axId val="588720840"/>
        <c:scaling>
          <c:orientation val="minMax"/>
        </c:scaling>
        <c:delete val="1"/>
        <c:axPos val="b"/>
        <c:numFmt formatCode="General" sourceLinked="1"/>
        <c:majorTickMark val="none"/>
        <c:minorTickMark val="none"/>
        <c:tickLblPos val="nextTo"/>
        <c:crossAx val="5887178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142875</xdr:colOff>
      <xdr:row>19</xdr:row>
      <xdr:rowOff>61912</xdr:rowOff>
    </xdr:from>
    <xdr:to>
      <xdr:col>19</xdr:col>
      <xdr:colOff>600075</xdr:colOff>
      <xdr:row>33</xdr:row>
      <xdr:rowOff>100012</xdr:rowOff>
    </xdr:to>
    <xdr:graphicFrame macro="">
      <xdr:nvGraphicFramePr>
        <xdr:cNvPr id="2"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iis.net/downloads/microsoft/url-rewrite" TargetMode="External"/><Relationship Id="rId1" Type="http://schemas.openxmlformats.org/officeDocument/2006/relationships/hyperlink" Target="https://dotnet.microsoft.com/download/dotnet/thank-you/runtime-aspnetcore-3.1.5-windows-hosting-bundle-install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7"/>
  <sheetViews>
    <sheetView tabSelected="1" zoomScaleNormal="100" workbookViewId="0">
      <pane ySplit="1" topLeftCell="A14" activePane="bottomLeft" state="frozen"/>
      <selection pane="bottomLeft" activeCell="F1" sqref="E1:F1048576"/>
    </sheetView>
  </sheetViews>
  <sheetFormatPr defaultRowHeight="15" x14ac:dyDescent="0.25"/>
  <cols>
    <col min="2" max="2" width="36.42578125" style="64" bestFit="1" customWidth="1"/>
    <col min="3" max="3" width="51" style="64" bestFit="1" customWidth="1"/>
    <col min="4" max="4" width="14.85546875" style="28" bestFit="1" customWidth="1"/>
    <col min="5" max="5" width="34.140625" style="78" hidden="1" customWidth="1"/>
    <col min="6" max="6" width="24.42578125" style="28" hidden="1" customWidth="1"/>
    <col min="7" max="7" width="20.42578125" style="28" customWidth="1"/>
    <col min="8" max="8" width="43.140625" bestFit="1" customWidth="1"/>
    <col min="9" max="9" width="15.42578125" bestFit="1" customWidth="1"/>
    <col min="10" max="10" width="16.28515625" bestFit="1" customWidth="1"/>
    <col min="11" max="11" width="13.28515625" bestFit="1" customWidth="1"/>
    <col min="12" max="12" width="12" bestFit="1" customWidth="1"/>
    <col min="13" max="13" width="10.85546875" bestFit="1" customWidth="1"/>
    <col min="14" max="14" width="46" bestFit="1" customWidth="1"/>
  </cols>
  <sheetData>
    <row r="1" spans="1:14" ht="45.75" thickBot="1" x14ac:dyDescent="0.3">
      <c r="B1" s="82" t="s">
        <v>0</v>
      </c>
      <c r="C1" s="83" t="s">
        <v>1</v>
      </c>
      <c r="D1" s="83" t="s">
        <v>2</v>
      </c>
      <c r="E1" s="83" t="s">
        <v>3</v>
      </c>
      <c r="F1" s="83" t="s">
        <v>4</v>
      </c>
      <c r="G1" s="138" t="s">
        <v>258</v>
      </c>
      <c r="H1" s="92" t="s">
        <v>5</v>
      </c>
      <c r="I1" s="91"/>
    </row>
    <row r="2" spans="1:14" x14ac:dyDescent="0.25">
      <c r="B2" s="79" t="s">
        <v>6</v>
      </c>
      <c r="C2" s="80"/>
      <c r="D2" s="87"/>
      <c r="E2" s="102"/>
      <c r="F2" s="150"/>
      <c r="G2" s="150"/>
      <c r="H2" s="142" t="s">
        <v>7</v>
      </c>
      <c r="K2" s="2"/>
    </row>
    <row r="3" spans="1:14" ht="30" x14ac:dyDescent="0.25">
      <c r="B3" s="67" t="s">
        <v>8</v>
      </c>
      <c r="C3" s="65" t="s">
        <v>9</v>
      </c>
      <c r="D3" s="85">
        <v>7</v>
      </c>
      <c r="E3" s="103"/>
      <c r="F3" s="150"/>
      <c r="G3" s="150"/>
      <c r="H3" s="143" t="s">
        <v>10</v>
      </c>
      <c r="J3">
        <v>1</v>
      </c>
      <c r="K3">
        <v>13</v>
      </c>
      <c r="L3" t="s">
        <v>11</v>
      </c>
    </row>
    <row r="4" spans="1:14" ht="30" x14ac:dyDescent="0.25">
      <c r="B4" s="67" t="s">
        <v>12</v>
      </c>
      <c r="C4" s="65" t="s">
        <v>13</v>
      </c>
      <c r="D4" s="85">
        <v>7</v>
      </c>
      <c r="E4" s="103"/>
      <c r="F4" s="150"/>
      <c r="G4" s="150"/>
      <c r="H4" s="143" t="s">
        <v>14</v>
      </c>
      <c r="J4">
        <v>14</v>
      </c>
      <c r="K4">
        <v>18</v>
      </c>
      <c r="L4" t="s">
        <v>15</v>
      </c>
    </row>
    <row r="5" spans="1:14" x14ac:dyDescent="0.25">
      <c r="B5" s="67" t="s">
        <v>16</v>
      </c>
      <c r="C5" s="65" t="s">
        <v>17</v>
      </c>
      <c r="D5" s="85">
        <v>7</v>
      </c>
      <c r="E5" s="103"/>
      <c r="F5" s="150"/>
      <c r="G5" s="150"/>
      <c r="H5" s="143" t="s">
        <v>18</v>
      </c>
      <c r="J5">
        <v>19</v>
      </c>
      <c r="K5">
        <v>25</v>
      </c>
      <c r="L5" t="s">
        <v>19</v>
      </c>
    </row>
    <row r="6" spans="1:14" x14ac:dyDescent="0.25">
      <c r="B6" s="67"/>
      <c r="C6" s="65" t="s">
        <v>20</v>
      </c>
      <c r="D6" s="85">
        <v>7</v>
      </c>
      <c r="E6" s="103"/>
      <c r="F6" s="150"/>
      <c r="G6" s="150"/>
      <c r="H6" s="143" t="s">
        <v>21</v>
      </c>
    </row>
    <row r="7" spans="1:14" ht="15.75" thickBot="1" x14ac:dyDescent="0.3">
      <c r="B7" s="75" t="s">
        <v>22</v>
      </c>
      <c r="C7" s="76"/>
      <c r="D7" s="86">
        <f>SUM(D3:D6)</f>
        <v>28</v>
      </c>
      <c r="E7" s="103"/>
      <c r="F7" s="150"/>
      <c r="G7" s="150"/>
      <c r="H7" s="144" t="s">
        <v>23</v>
      </c>
    </row>
    <row r="8" spans="1:14" x14ac:dyDescent="0.25">
      <c r="B8" s="88" t="s">
        <v>24</v>
      </c>
      <c r="C8" s="66"/>
      <c r="D8" s="85"/>
      <c r="E8" s="103"/>
      <c r="F8" s="150"/>
      <c r="G8" s="150"/>
      <c r="H8" s="145" t="s">
        <v>25</v>
      </c>
      <c r="I8" s="96"/>
      <c r="J8" s="94">
        <v>45062</v>
      </c>
      <c r="K8" s="94">
        <v>45068</v>
      </c>
      <c r="L8" s="94">
        <v>45078</v>
      </c>
      <c r="M8" s="118">
        <v>45085</v>
      </c>
    </row>
    <row r="9" spans="1:14" x14ac:dyDescent="0.25">
      <c r="A9">
        <v>1</v>
      </c>
      <c r="B9" s="67" t="s">
        <v>252</v>
      </c>
      <c r="C9" s="66" t="s">
        <v>254</v>
      </c>
      <c r="D9" s="85">
        <v>3</v>
      </c>
      <c r="E9" s="103"/>
      <c r="F9" s="150"/>
      <c r="G9" s="150" t="s">
        <v>260</v>
      </c>
      <c r="H9" s="142"/>
      <c r="I9" s="123"/>
      <c r="J9" s="124"/>
      <c r="K9" s="124"/>
      <c r="L9" s="124"/>
      <c r="M9" s="125"/>
    </row>
    <row r="10" spans="1:14" ht="30" x14ac:dyDescent="0.25">
      <c r="A10">
        <v>2</v>
      </c>
      <c r="B10" s="67" t="s">
        <v>253</v>
      </c>
      <c r="C10" s="66" t="s">
        <v>255</v>
      </c>
      <c r="D10" s="85">
        <v>8</v>
      </c>
      <c r="E10" s="103"/>
      <c r="F10" s="150"/>
      <c r="G10" s="150" t="s">
        <v>260</v>
      </c>
      <c r="H10" s="143"/>
      <c r="I10" s="81" t="s">
        <v>31</v>
      </c>
      <c r="J10" s="2" t="s">
        <v>32</v>
      </c>
      <c r="K10" s="2" t="s">
        <v>33</v>
      </c>
      <c r="L10" s="2" t="s">
        <v>34</v>
      </c>
      <c r="M10" s="37" t="s">
        <v>35</v>
      </c>
    </row>
    <row r="11" spans="1:14" ht="45" x14ac:dyDescent="0.25">
      <c r="A11">
        <v>3</v>
      </c>
      <c r="B11" s="67" t="s">
        <v>256</v>
      </c>
      <c r="C11" s="66" t="s">
        <v>257</v>
      </c>
      <c r="D11" s="85">
        <v>4</v>
      </c>
      <c r="E11" s="103"/>
      <c r="F11" s="150"/>
      <c r="G11" s="150" t="s">
        <v>98</v>
      </c>
      <c r="H11" s="143" t="s">
        <v>38</v>
      </c>
      <c r="I11" s="81"/>
      <c r="J11" s="2">
        <v>1</v>
      </c>
      <c r="K11" s="2">
        <v>0.25</v>
      </c>
      <c r="L11" s="2">
        <v>0.25</v>
      </c>
      <c r="M11" s="37">
        <v>0</v>
      </c>
    </row>
    <row r="12" spans="1:14" ht="45" x14ac:dyDescent="0.25">
      <c r="A12">
        <v>4</v>
      </c>
      <c r="B12" s="67" t="s">
        <v>259</v>
      </c>
      <c r="C12" s="66" t="s">
        <v>261</v>
      </c>
      <c r="D12" s="85">
        <v>2</v>
      </c>
      <c r="E12" s="103"/>
      <c r="F12" s="150"/>
      <c r="G12" s="150" t="s">
        <v>98</v>
      </c>
      <c r="H12" s="143" t="s">
        <v>41</v>
      </c>
      <c r="I12" s="81"/>
      <c r="J12" s="2">
        <f>$D$110</f>
        <v>3</v>
      </c>
      <c r="K12" s="2">
        <f>$D$110</f>
        <v>3</v>
      </c>
      <c r="L12" s="2">
        <v>1</v>
      </c>
      <c r="M12" s="37">
        <v>1</v>
      </c>
    </row>
    <row r="13" spans="1:14" ht="75" x14ac:dyDescent="0.25">
      <c r="A13">
        <v>5</v>
      </c>
      <c r="B13" s="67" t="s">
        <v>262</v>
      </c>
      <c r="C13" s="66" t="s">
        <v>263</v>
      </c>
      <c r="D13" s="85">
        <v>3</v>
      </c>
      <c r="E13" s="103"/>
      <c r="F13" s="150"/>
      <c r="G13" s="150" t="s">
        <v>98</v>
      </c>
      <c r="H13" s="143" t="s">
        <v>44</v>
      </c>
      <c r="I13" s="81"/>
      <c r="J13" s="2">
        <f>ROUNDUP($D7/$D$109,0)</f>
        <v>4</v>
      </c>
      <c r="K13" s="2">
        <f>ROUNDUP($D103*(1+$C107)/$D$109,0)</f>
        <v>49</v>
      </c>
      <c r="L13" s="2">
        <f>ROUNDUP($D106/$D$109,0)</f>
        <v>5</v>
      </c>
      <c r="M13" s="95">
        <f>M29/D113</f>
        <v>52</v>
      </c>
      <c r="N13" s="77" t="s">
        <v>45</v>
      </c>
    </row>
    <row r="14" spans="1:14" ht="15.75" thickBot="1" x14ac:dyDescent="0.3">
      <c r="A14">
        <v>6</v>
      </c>
      <c r="B14" s="67"/>
      <c r="C14" s="139" t="s">
        <v>264</v>
      </c>
      <c r="D14" s="85">
        <v>2</v>
      </c>
      <c r="E14" s="103"/>
      <c r="F14" s="150"/>
      <c r="G14" s="150" t="s">
        <v>98</v>
      </c>
      <c r="H14" s="146" t="s">
        <v>48</v>
      </c>
      <c r="I14" s="97"/>
      <c r="J14" s="9">
        <f>ROUNDUP(J13,0)</f>
        <v>4</v>
      </c>
      <c r="K14" s="9">
        <f>ROUNDUP(K13/K12,0)</f>
        <v>17</v>
      </c>
      <c r="L14" s="9">
        <f>ROUNDUP(L13/L12,0)</f>
        <v>5</v>
      </c>
      <c r="M14" s="62">
        <f>ROUNDUP(M13/M12,0)</f>
        <v>52</v>
      </c>
    </row>
    <row r="15" spans="1:14" ht="30" x14ac:dyDescent="0.25">
      <c r="A15">
        <v>7</v>
      </c>
      <c r="B15" s="67" t="s">
        <v>315</v>
      </c>
      <c r="C15" s="139" t="s">
        <v>265</v>
      </c>
      <c r="D15" s="85">
        <v>1</v>
      </c>
      <c r="E15" s="103"/>
      <c r="F15" s="150"/>
      <c r="G15" s="150" t="s">
        <v>98</v>
      </c>
    </row>
    <row r="16" spans="1:14" ht="30.75" thickBot="1" x14ac:dyDescent="0.3">
      <c r="A16">
        <v>8</v>
      </c>
      <c r="B16" s="67"/>
      <c r="C16" s="139" t="s">
        <v>266</v>
      </c>
      <c r="D16" s="85">
        <v>5</v>
      </c>
      <c r="E16" s="103"/>
      <c r="F16" s="150"/>
      <c r="G16" s="150" t="s">
        <v>98</v>
      </c>
    </row>
    <row r="17" spans="1:16" ht="150" x14ac:dyDescent="0.25">
      <c r="A17">
        <v>9</v>
      </c>
      <c r="B17" s="67"/>
      <c r="C17" s="139" t="s">
        <v>274</v>
      </c>
      <c r="D17" s="85">
        <v>9</v>
      </c>
      <c r="E17" s="103"/>
      <c r="F17" s="150"/>
      <c r="G17" s="150" t="s">
        <v>260</v>
      </c>
      <c r="H17" s="96"/>
      <c r="I17" s="98" t="s">
        <v>56</v>
      </c>
      <c r="J17" s="98" t="s">
        <v>32</v>
      </c>
      <c r="K17" s="98" t="s">
        <v>33</v>
      </c>
      <c r="L17" s="98" t="s">
        <v>34</v>
      </c>
      <c r="M17" s="98" t="s">
        <v>35</v>
      </c>
      <c r="N17" s="99" t="s">
        <v>57</v>
      </c>
    </row>
    <row r="18" spans="1:16" x14ac:dyDescent="0.25">
      <c r="A18">
        <v>10</v>
      </c>
      <c r="B18" s="67" t="s">
        <v>267</v>
      </c>
      <c r="C18" s="139" t="s">
        <v>268</v>
      </c>
      <c r="D18" s="85">
        <v>1</v>
      </c>
      <c r="E18" s="103"/>
      <c r="F18" s="150"/>
      <c r="G18" s="150" t="s">
        <v>98</v>
      </c>
      <c r="H18" s="147" t="s">
        <v>59</v>
      </c>
      <c r="I18" s="2"/>
      <c r="J18" s="2">
        <f>J13</f>
        <v>4</v>
      </c>
      <c r="K18" s="2">
        <f>K14</f>
        <v>17</v>
      </c>
      <c r="L18" s="2">
        <f>L14</f>
        <v>5</v>
      </c>
      <c r="M18" s="2">
        <f>M14</f>
        <v>52</v>
      </c>
      <c r="N18" s="37"/>
    </row>
    <row r="19" spans="1:16" ht="30" x14ac:dyDescent="0.25">
      <c r="A19">
        <v>11</v>
      </c>
      <c r="B19" s="67"/>
      <c r="C19" s="139" t="s">
        <v>269</v>
      </c>
      <c r="D19" s="85">
        <v>2</v>
      </c>
      <c r="E19" s="103"/>
      <c r="F19" s="150"/>
      <c r="G19" s="150" t="s">
        <v>98</v>
      </c>
      <c r="H19" s="147" t="s">
        <v>38</v>
      </c>
      <c r="I19" s="2">
        <v>1200</v>
      </c>
      <c r="J19" s="2">
        <f>J11</f>
        <v>1</v>
      </c>
      <c r="K19" s="2">
        <f t="shared" ref="K19:M19" si="0">K11</f>
        <v>0.25</v>
      </c>
      <c r="L19" s="2">
        <f t="shared" si="0"/>
        <v>0.25</v>
      </c>
      <c r="M19" s="2">
        <f t="shared" si="0"/>
        <v>0</v>
      </c>
      <c r="N19" s="37"/>
    </row>
    <row r="20" spans="1:16" ht="15.75" thickBot="1" x14ac:dyDescent="0.3">
      <c r="A20">
        <v>12</v>
      </c>
      <c r="B20" s="67" t="s">
        <v>316</v>
      </c>
      <c r="C20" s="139" t="s">
        <v>270</v>
      </c>
      <c r="D20" s="85">
        <v>2</v>
      </c>
      <c r="E20" s="103"/>
      <c r="F20" s="150"/>
      <c r="G20" s="150" t="s">
        <v>98</v>
      </c>
      <c r="H20" s="148" t="s">
        <v>41</v>
      </c>
      <c r="I20" s="9">
        <v>1000</v>
      </c>
      <c r="J20" s="9">
        <f>J12</f>
        <v>3</v>
      </c>
      <c r="K20" s="9">
        <f t="shared" ref="K20:M20" si="1">K12</f>
        <v>3</v>
      </c>
      <c r="L20" s="9">
        <f t="shared" si="1"/>
        <v>1</v>
      </c>
      <c r="M20" s="9">
        <f t="shared" si="1"/>
        <v>1</v>
      </c>
      <c r="N20" s="62"/>
    </row>
    <row r="21" spans="1:16" ht="30" x14ac:dyDescent="0.25">
      <c r="B21" s="67"/>
      <c r="C21" s="139" t="s">
        <v>271</v>
      </c>
      <c r="D21" s="85">
        <v>3</v>
      </c>
      <c r="E21" s="103"/>
      <c r="F21" s="150"/>
      <c r="G21" s="150" t="s">
        <v>98</v>
      </c>
      <c r="J21">
        <f>J18*(J19*$I19+J20*$I20)/$D$112</f>
        <v>800</v>
      </c>
      <c r="K21">
        <f>K18*(K19*$I19+K20*$I20)/$D$112</f>
        <v>2671.4285714285716</v>
      </c>
      <c r="L21">
        <f>L18*(L19*$I19+L20*$I20)/$D$112</f>
        <v>309.52380952380952</v>
      </c>
      <c r="M21">
        <f>M18*(M19*$I19+M20*$I20)/$D$112</f>
        <v>2476.1904761904761</v>
      </c>
      <c r="N21">
        <f>SUM(J21:M21)</f>
        <v>6257.1428571428569</v>
      </c>
    </row>
    <row r="22" spans="1:16" ht="15.75" thickBot="1" x14ac:dyDescent="0.3">
      <c r="A22">
        <v>13</v>
      </c>
      <c r="B22" s="67"/>
      <c r="C22" s="139" t="s">
        <v>272</v>
      </c>
      <c r="D22" s="85">
        <v>4</v>
      </c>
      <c r="E22" s="103"/>
      <c r="F22" s="150"/>
      <c r="G22" s="150" t="s">
        <v>98</v>
      </c>
      <c r="I22" t="s">
        <v>65</v>
      </c>
      <c r="L22" t="s">
        <v>66</v>
      </c>
      <c r="M22" t="s">
        <v>67</v>
      </c>
    </row>
    <row r="23" spans="1:16" ht="45" x14ac:dyDescent="0.25">
      <c r="A23">
        <v>14</v>
      </c>
      <c r="B23" s="67"/>
      <c r="C23" s="139" t="s">
        <v>273</v>
      </c>
      <c r="D23" s="85">
        <v>5</v>
      </c>
      <c r="E23" s="103"/>
      <c r="F23" s="150"/>
      <c r="G23" s="150" t="s">
        <v>98</v>
      </c>
      <c r="H23" s="96" t="s">
        <v>70</v>
      </c>
      <c r="I23" s="93"/>
      <c r="J23" s="93"/>
      <c r="K23" s="93">
        <v>4000</v>
      </c>
      <c r="L23" s="93"/>
      <c r="M23" s="36"/>
    </row>
    <row r="24" spans="1:16" ht="90" x14ac:dyDescent="0.25">
      <c r="A24">
        <v>15</v>
      </c>
      <c r="B24" s="67"/>
      <c r="C24" s="139" t="s">
        <v>275</v>
      </c>
      <c r="D24" s="85">
        <v>7</v>
      </c>
      <c r="E24" s="103"/>
      <c r="F24" s="150"/>
      <c r="G24" s="150" t="s">
        <v>98</v>
      </c>
      <c r="H24" s="81" t="s">
        <v>73</v>
      </c>
      <c r="I24" s="2">
        <v>45</v>
      </c>
      <c r="J24" s="2" t="s">
        <v>74</v>
      </c>
      <c r="K24" s="2">
        <f>ROUND(+K23*I26,0)</f>
        <v>2857</v>
      </c>
      <c r="L24" s="2">
        <f>F108</f>
        <v>11</v>
      </c>
      <c r="M24" s="37">
        <f>ROUNDUP(K24*L24/60,0)</f>
        <v>524</v>
      </c>
      <c r="O24" s="37">
        <v>5</v>
      </c>
    </row>
    <row r="25" spans="1:16" ht="30" x14ac:dyDescent="0.25">
      <c r="B25" s="67"/>
      <c r="C25" s="139" t="s">
        <v>276</v>
      </c>
      <c r="D25" s="85">
        <v>5</v>
      </c>
      <c r="E25" s="103"/>
      <c r="F25" s="150"/>
      <c r="G25" s="150" t="s">
        <v>98</v>
      </c>
      <c r="H25" s="81" t="s">
        <v>75</v>
      </c>
      <c r="I25" s="2">
        <v>70</v>
      </c>
      <c r="J25" s="2" t="s">
        <v>74</v>
      </c>
      <c r="K25" s="2">
        <f>K23-K24</f>
        <v>1143</v>
      </c>
      <c r="L25" s="114">
        <f>ROUNDUP(L24*I25*1.2/I24,0)</f>
        <v>21</v>
      </c>
      <c r="M25" s="37">
        <f>ROUNDUP(K25*L25/60,0)</f>
        <v>401</v>
      </c>
      <c r="O25" s="37">
        <v>2</v>
      </c>
    </row>
    <row r="26" spans="1:16" ht="30" x14ac:dyDescent="0.25">
      <c r="B26" s="67" t="s">
        <v>317</v>
      </c>
      <c r="C26" s="140" t="s">
        <v>277</v>
      </c>
      <c r="D26" s="85">
        <v>7</v>
      </c>
      <c r="E26" s="103"/>
      <c r="F26" s="150"/>
      <c r="G26" s="150" t="s">
        <v>98</v>
      </c>
      <c r="H26" s="81" t="s">
        <v>76</v>
      </c>
      <c r="I26" s="100">
        <f>+O24/(O24+O25)</f>
        <v>0.7142857142857143</v>
      </c>
      <c r="J26" s="2"/>
      <c r="K26" s="2"/>
      <c r="L26" s="2"/>
      <c r="M26" s="37"/>
      <c r="O26" s="2">
        <f>7*60</f>
        <v>420</v>
      </c>
      <c r="P26" s="2">
        <f>+I24*O24+I25*O25</f>
        <v>365</v>
      </c>
    </row>
    <row r="27" spans="1:16" x14ac:dyDescent="0.25">
      <c r="A27">
        <v>16</v>
      </c>
      <c r="B27" s="67"/>
      <c r="C27" s="139" t="s">
        <v>278</v>
      </c>
      <c r="D27" s="85">
        <v>2</v>
      </c>
      <c r="E27" s="103"/>
      <c r="F27" s="150"/>
      <c r="G27" s="150" t="s">
        <v>98</v>
      </c>
      <c r="H27" s="81" t="s">
        <v>78</v>
      </c>
      <c r="I27" s="2">
        <v>7</v>
      </c>
      <c r="J27" s="2"/>
      <c r="K27" s="2"/>
      <c r="L27" s="2"/>
      <c r="M27" s="37"/>
    </row>
    <row r="28" spans="1:16" ht="30" x14ac:dyDescent="0.25">
      <c r="A28">
        <v>17</v>
      </c>
      <c r="B28" s="67"/>
      <c r="C28" s="139" t="s">
        <v>279</v>
      </c>
      <c r="D28" s="85">
        <v>3</v>
      </c>
      <c r="E28" s="103"/>
      <c r="F28" s="150"/>
      <c r="G28" s="150" t="s">
        <v>98</v>
      </c>
      <c r="H28" s="81" t="s">
        <v>81</v>
      </c>
      <c r="I28" s="2">
        <v>12</v>
      </c>
      <c r="J28" s="2"/>
      <c r="K28" s="2"/>
      <c r="L28" s="2"/>
      <c r="M28" s="37"/>
    </row>
    <row r="29" spans="1:16" ht="30" x14ac:dyDescent="0.25">
      <c r="A29">
        <v>18</v>
      </c>
      <c r="B29" s="67"/>
      <c r="C29" s="139" t="s">
        <v>280</v>
      </c>
      <c r="D29" s="85">
        <v>1</v>
      </c>
      <c r="E29" s="103"/>
      <c r="F29" s="150"/>
      <c r="G29" s="150" t="s">
        <v>98</v>
      </c>
      <c r="H29" s="81" t="s">
        <v>83</v>
      </c>
      <c r="I29" s="2">
        <f>K23/(I27*I28)</f>
        <v>47.61904761904762</v>
      </c>
      <c r="J29" s="2" t="s">
        <v>84</v>
      </c>
      <c r="K29" s="2"/>
      <c r="L29" s="2"/>
      <c r="M29" s="2">
        <f>ROUNDUP((M24+M25)/E109,0)</f>
        <v>52</v>
      </c>
    </row>
    <row r="30" spans="1:16" ht="30" x14ac:dyDescent="0.25">
      <c r="B30" s="67"/>
      <c r="C30" s="139" t="s">
        <v>281</v>
      </c>
      <c r="D30" s="85">
        <v>1</v>
      </c>
      <c r="E30" s="103"/>
      <c r="F30" s="150"/>
      <c r="G30" s="150" t="s">
        <v>98</v>
      </c>
      <c r="H30" s="149"/>
      <c r="I30" s="126"/>
      <c r="J30" s="126"/>
      <c r="K30" s="126"/>
      <c r="L30" s="126"/>
      <c r="M30" s="127"/>
    </row>
    <row r="31" spans="1:16" ht="15.75" thickBot="1" x14ac:dyDescent="0.3">
      <c r="A31">
        <v>19</v>
      </c>
      <c r="B31" s="67" t="s">
        <v>282</v>
      </c>
      <c r="C31" s="139" t="s">
        <v>283</v>
      </c>
      <c r="D31" s="85">
        <v>2</v>
      </c>
      <c r="E31" s="103"/>
      <c r="F31" s="150"/>
      <c r="G31" s="150" t="s">
        <v>260</v>
      </c>
      <c r="H31" s="97" t="s">
        <v>83</v>
      </c>
      <c r="I31" s="9">
        <f>I29/20</f>
        <v>2.3809523809523809</v>
      </c>
      <c r="J31" s="9" t="s">
        <v>86</v>
      </c>
      <c r="K31" s="9"/>
      <c r="L31" s="9"/>
      <c r="M31" s="62">
        <f>ROUNDUP(M29/30,2)</f>
        <v>1.74</v>
      </c>
      <c r="N31">
        <f>_xlfn.CEILING.MATH(M31,0.5)</f>
        <v>2</v>
      </c>
    </row>
    <row r="32" spans="1:16" ht="60" x14ac:dyDescent="0.25">
      <c r="A32">
        <v>20</v>
      </c>
      <c r="B32" s="67"/>
      <c r="C32" s="139" t="s">
        <v>284</v>
      </c>
      <c r="D32" s="85">
        <v>5</v>
      </c>
      <c r="E32" s="103"/>
      <c r="F32" s="150"/>
      <c r="G32" s="150" t="s">
        <v>98</v>
      </c>
      <c r="M32" s="109">
        <f>ROUNDUP(M31/I31,2)</f>
        <v>0.74</v>
      </c>
    </row>
    <row r="33" spans="1:13" x14ac:dyDescent="0.25">
      <c r="A33">
        <v>21</v>
      </c>
      <c r="B33" s="67"/>
      <c r="C33" s="139" t="s">
        <v>285</v>
      </c>
      <c r="D33" s="85">
        <v>1</v>
      </c>
      <c r="E33" s="103"/>
      <c r="F33" s="150"/>
      <c r="G33" s="150" t="s">
        <v>98</v>
      </c>
    </row>
    <row r="34" spans="1:13" ht="45" x14ac:dyDescent="0.25">
      <c r="B34" s="67"/>
      <c r="C34" s="139" t="s">
        <v>286</v>
      </c>
      <c r="D34" s="85">
        <v>2</v>
      </c>
      <c r="E34" s="103"/>
      <c r="F34" s="150"/>
      <c r="G34" s="150" t="s">
        <v>98</v>
      </c>
      <c r="L34">
        <v>45</v>
      </c>
      <c r="M34">
        <v>11</v>
      </c>
    </row>
    <row r="35" spans="1:13" ht="45" x14ac:dyDescent="0.25">
      <c r="A35">
        <v>22</v>
      </c>
      <c r="B35" s="67" t="s">
        <v>287</v>
      </c>
      <c r="C35" s="139" t="s">
        <v>288</v>
      </c>
      <c r="D35" s="85">
        <v>1</v>
      </c>
      <c r="E35" s="103"/>
      <c r="F35" s="150"/>
      <c r="G35" s="150" t="s">
        <v>98</v>
      </c>
      <c r="H35" t="s">
        <v>93</v>
      </c>
      <c r="L35">
        <v>75</v>
      </c>
      <c r="M35" t="s">
        <v>94</v>
      </c>
    </row>
    <row r="36" spans="1:13" ht="30" x14ac:dyDescent="0.25">
      <c r="A36">
        <v>23</v>
      </c>
      <c r="B36" s="67"/>
      <c r="C36" s="139" t="s">
        <v>289</v>
      </c>
      <c r="D36" s="85">
        <v>2</v>
      </c>
      <c r="E36" s="103"/>
      <c r="F36" s="150"/>
      <c r="G36" s="150" t="s">
        <v>98</v>
      </c>
      <c r="H36" t="s">
        <v>97</v>
      </c>
      <c r="K36" t="s">
        <v>98</v>
      </c>
      <c r="L36" t="s">
        <v>99</v>
      </c>
    </row>
    <row r="37" spans="1:13" ht="60" x14ac:dyDescent="0.25">
      <c r="A37">
        <v>24</v>
      </c>
      <c r="B37" s="67"/>
      <c r="C37" s="139" t="s">
        <v>290</v>
      </c>
      <c r="D37" s="85">
        <v>3</v>
      </c>
      <c r="E37" s="103"/>
      <c r="F37" s="150"/>
      <c r="G37" s="150" t="s">
        <v>98</v>
      </c>
      <c r="J37" t="s">
        <v>102</v>
      </c>
      <c r="K37">
        <v>0</v>
      </c>
      <c r="L37">
        <f>$N$21</f>
        <v>6257.1428571428569</v>
      </c>
    </row>
    <row r="38" spans="1:13" ht="135" x14ac:dyDescent="0.25">
      <c r="A38">
        <v>25</v>
      </c>
      <c r="B38" s="141" t="s">
        <v>291</v>
      </c>
      <c r="C38" s="139" t="s">
        <v>292</v>
      </c>
      <c r="D38" s="85">
        <v>9</v>
      </c>
      <c r="E38" s="103"/>
      <c r="F38" s="150"/>
      <c r="G38" s="150" t="s">
        <v>260</v>
      </c>
      <c r="H38" s="113" t="s">
        <v>104</v>
      </c>
      <c r="J38" t="s">
        <v>105</v>
      </c>
      <c r="K38">
        <f>I28</f>
        <v>12</v>
      </c>
      <c r="L38">
        <f>M20</f>
        <v>1</v>
      </c>
    </row>
    <row r="39" spans="1:13" ht="45.75" thickBot="1" x14ac:dyDescent="0.3">
      <c r="A39">
        <v>26</v>
      </c>
      <c r="B39" s="141"/>
      <c r="C39" s="139" t="s">
        <v>293</v>
      </c>
      <c r="D39" s="85">
        <v>1</v>
      </c>
      <c r="E39" s="103"/>
      <c r="F39" s="150"/>
      <c r="G39" s="150" t="s">
        <v>98</v>
      </c>
      <c r="H39" t="s">
        <v>107</v>
      </c>
      <c r="J39" t="s">
        <v>108</v>
      </c>
      <c r="K39" s="9">
        <f>L39*55.7%</f>
        <v>557</v>
      </c>
      <c r="L39" s="9">
        <f>I20</f>
        <v>1000</v>
      </c>
    </row>
    <row r="40" spans="1:13" ht="30" x14ac:dyDescent="0.25">
      <c r="A40">
        <v>27</v>
      </c>
      <c r="B40" s="141" t="s">
        <v>294</v>
      </c>
      <c r="C40" s="139" t="s">
        <v>295</v>
      </c>
      <c r="D40" s="85">
        <v>1</v>
      </c>
      <c r="E40" s="103"/>
      <c r="F40" s="150"/>
      <c r="G40" s="150" t="s">
        <v>98</v>
      </c>
      <c r="H40" t="s">
        <v>111</v>
      </c>
      <c r="J40" t="s">
        <v>112</v>
      </c>
      <c r="K40">
        <f>I31</f>
        <v>2.3809523809523809</v>
      </c>
      <c r="L40">
        <f>M31</f>
        <v>1.74</v>
      </c>
    </row>
    <row r="41" spans="1:13" ht="30" x14ac:dyDescent="0.25">
      <c r="A41">
        <v>28</v>
      </c>
      <c r="B41" s="141" t="s">
        <v>296</v>
      </c>
      <c r="C41" s="139" t="s">
        <v>297</v>
      </c>
      <c r="D41" s="85">
        <v>2</v>
      </c>
      <c r="E41" s="103"/>
      <c r="F41" s="150"/>
      <c r="G41" s="150" t="s">
        <v>98</v>
      </c>
      <c r="H41" t="s">
        <v>114</v>
      </c>
      <c r="J41" t="s">
        <v>115</v>
      </c>
      <c r="K41">
        <f>K38*K39*K40+K37</f>
        <v>15914.285714285714</v>
      </c>
      <c r="L41">
        <f>L38*L39*L40+L37</f>
        <v>7997.1428571428569</v>
      </c>
    </row>
    <row r="42" spans="1:13" ht="75" x14ac:dyDescent="0.25">
      <c r="A42">
        <v>29</v>
      </c>
      <c r="B42" s="141"/>
      <c r="C42" s="139" t="s">
        <v>298</v>
      </c>
      <c r="D42" s="85">
        <v>5</v>
      </c>
      <c r="E42" s="103"/>
      <c r="F42" s="150"/>
      <c r="G42" s="150" t="s">
        <v>98</v>
      </c>
      <c r="H42" t="s">
        <v>117</v>
      </c>
      <c r="J42" t="s">
        <v>118</v>
      </c>
      <c r="K42" s="116">
        <f>(K41-L41)/K41</f>
        <v>0.49748653500897666</v>
      </c>
    </row>
    <row r="43" spans="1:13" ht="30" x14ac:dyDescent="0.25">
      <c r="A43">
        <v>30</v>
      </c>
      <c r="B43" s="141" t="s">
        <v>299</v>
      </c>
      <c r="C43" s="139" t="s">
        <v>300</v>
      </c>
      <c r="D43" s="85">
        <v>2</v>
      </c>
      <c r="E43" s="103"/>
      <c r="F43" s="150"/>
      <c r="G43" s="150" t="s">
        <v>98</v>
      </c>
      <c r="J43" t="s">
        <v>120</v>
      </c>
      <c r="K43">
        <v>0</v>
      </c>
      <c r="L43">
        <f>ROUNDUP((+J14+K14+L14)/20,0)</f>
        <v>2</v>
      </c>
    </row>
    <row r="44" spans="1:13" ht="30" x14ac:dyDescent="0.25">
      <c r="A44">
        <v>31</v>
      </c>
      <c r="B44" s="141"/>
      <c r="C44" s="139" t="s">
        <v>301</v>
      </c>
      <c r="D44" s="85">
        <v>1</v>
      </c>
      <c r="E44" s="103"/>
      <c r="F44" s="150"/>
      <c r="G44" s="150" t="s">
        <v>98</v>
      </c>
      <c r="J44" t="s">
        <v>122</v>
      </c>
      <c r="K44">
        <f>(K40+K43)-(L40+L43)</f>
        <v>-1.3590476190476193</v>
      </c>
      <c r="L44" t="s">
        <v>86</v>
      </c>
    </row>
    <row r="45" spans="1:13" ht="90" x14ac:dyDescent="0.25">
      <c r="A45">
        <v>32</v>
      </c>
      <c r="B45" s="141"/>
      <c r="C45" s="139" t="s">
        <v>302</v>
      </c>
      <c r="D45" s="85">
        <v>5</v>
      </c>
      <c r="E45" s="103"/>
      <c r="F45" s="150"/>
      <c r="G45" s="150" t="s">
        <v>98</v>
      </c>
    </row>
    <row r="46" spans="1:13" ht="45" x14ac:dyDescent="0.25">
      <c r="A46">
        <v>33</v>
      </c>
      <c r="B46" s="141"/>
      <c r="C46" s="139" t="s">
        <v>303</v>
      </c>
      <c r="D46" s="85">
        <v>3</v>
      </c>
      <c r="E46" s="103"/>
      <c r="F46" s="150"/>
      <c r="G46" s="150" t="s">
        <v>98</v>
      </c>
    </row>
    <row r="47" spans="1:13" ht="30" x14ac:dyDescent="0.25">
      <c r="A47">
        <v>34</v>
      </c>
      <c r="B47" s="141" t="s">
        <v>304</v>
      </c>
      <c r="C47" s="139" t="s">
        <v>300</v>
      </c>
      <c r="D47" s="85">
        <v>1</v>
      </c>
      <c r="E47" s="103"/>
      <c r="F47" s="150"/>
      <c r="G47" s="150" t="s">
        <v>98</v>
      </c>
    </row>
    <row r="48" spans="1:13" ht="30" x14ac:dyDescent="0.25">
      <c r="A48">
        <v>35</v>
      </c>
      <c r="B48" s="141"/>
      <c r="C48" s="139" t="s">
        <v>301</v>
      </c>
      <c r="D48" s="85">
        <v>1</v>
      </c>
      <c r="E48" s="103"/>
      <c r="F48" s="150"/>
      <c r="G48" s="150" t="s">
        <v>98</v>
      </c>
    </row>
    <row r="49" spans="1:8" ht="90" x14ac:dyDescent="0.25">
      <c r="A49">
        <v>36</v>
      </c>
      <c r="B49" s="141"/>
      <c r="C49" s="139" t="s">
        <v>314</v>
      </c>
      <c r="D49" s="85">
        <v>5</v>
      </c>
      <c r="E49" s="103"/>
      <c r="F49" s="150"/>
      <c r="G49" s="150" t="s">
        <v>98</v>
      </c>
    </row>
    <row r="50" spans="1:8" ht="45" x14ac:dyDescent="0.25">
      <c r="B50" s="141"/>
      <c r="C50" s="139" t="s">
        <v>305</v>
      </c>
      <c r="D50" s="85">
        <v>4</v>
      </c>
      <c r="E50" s="103"/>
      <c r="F50" s="150"/>
      <c r="G50" s="150" t="s">
        <v>98</v>
      </c>
    </row>
    <row r="51" spans="1:8" ht="30" x14ac:dyDescent="0.25">
      <c r="B51" s="141" t="s">
        <v>306</v>
      </c>
      <c r="C51" s="139"/>
      <c r="D51" s="85">
        <v>1</v>
      </c>
      <c r="E51" s="103"/>
      <c r="F51" s="150"/>
      <c r="G51" s="150"/>
    </row>
    <row r="52" spans="1:8" ht="30" x14ac:dyDescent="0.25">
      <c r="B52" s="141" t="s">
        <v>307</v>
      </c>
      <c r="C52" s="139" t="s">
        <v>308</v>
      </c>
      <c r="D52" s="85">
        <v>1</v>
      </c>
      <c r="E52" s="103"/>
      <c r="F52" s="150"/>
      <c r="G52" s="150" t="s">
        <v>98</v>
      </c>
      <c r="H52" t="s">
        <v>130</v>
      </c>
    </row>
    <row r="53" spans="1:8" ht="30" x14ac:dyDescent="0.25">
      <c r="B53" s="141" t="s">
        <v>309</v>
      </c>
      <c r="C53" s="139" t="s">
        <v>308</v>
      </c>
      <c r="D53" s="85">
        <v>1</v>
      </c>
      <c r="E53" s="103"/>
      <c r="F53" s="150"/>
      <c r="G53" s="150" t="s">
        <v>98</v>
      </c>
      <c r="H53" t="s">
        <v>131</v>
      </c>
    </row>
    <row r="54" spans="1:8" ht="45" x14ac:dyDescent="0.25">
      <c r="B54" s="141" t="s">
        <v>310</v>
      </c>
      <c r="C54" s="139" t="s">
        <v>311</v>
      </c>
      <c r="D54" s="85">
        <v>3</v>
      </c>
      <c r="E54" s="103"/>
      <c r="F54" s="150"/>
      <c r="G54" s="150" t="s">
        <v>98</v>
      </c>
    </row>
    <row r="55" spans="1:8" ht="30" x14ac:dyDescent="0.25">
      <c r="B55" s="141" t="s">
        <v>312</v>
      </c>
      <c r="C55" s="139" t="s">
        <v>313</v>
      </c>
      <c r="D55" s="85">
        <v>3</v>
      </c>
      <c r="E55" s="103"/>
      <c r="F55" s="150"/>
      <c r="G55" s="150" t="s">
        <v>98</v>
      </c>
      <c r="H55" t="s">
        <v>134</v>
      </c>
    </row>
    <row r="56" spans="1:8" ht="45" x14ac:dyDescent="0.25">
      <c r="B56" s="141" t="s">
        <v>318</v>
      </c>
      <c r="C56" s="139" t="s">
        <v>319</v>
      </c>
      <c r="D56" s="85">
        <v>1</v>
      </c>
      <c r="E56" s="103"/>
      <c r="F56" s="150"/>
      <c r="G56" s="150" t="s">
        <v>260</v>
      </c>
    </row>
    <row r="57" spans="1:8" ht="45" x14ac:dyDescent="0.25">
      <c r="B57" s="141" t="s">
        <v>320</v>
      </c>
      <c r="C57" s="139" t="s">
        <v>319</v>
      </c>
      <c r="D57" s="85">
        <v>1</v>
      </c>
      <c r="E57" s="103"/>
      <c r="F57" s="150"/>
      <c r="G57" s="150"/>
    </row>
    <row r="58" spans="1:8" ht="45" x14ac:dyDescent="0.25">
      <c r="B58" s="141" t="s">
        <v>321</v>
      </c>
      <c r="C58" s="139" t="s">
        <v>319</v>
      </c>
      <c r="D58" s="85">
        <v>1</v>
      </c>
      <c r="E58" s="103"/>
      <c r="F58" s="150"/>
      <c r="G58" s="150"/>
    </row>
    <row r="59" spans="1:8" ht="45" x14ac:dyDescent="0.25">
      <c r="B59" s="141" t="s">
        <v>322</v>
      </c>
      <c r="C59" s="139" t="s">
        <v>323</v>
      </c>
      <c r="D59" s="85">
        <v>1</v>
      </c>
      <c r="E59" s="103"/>
      <c r="F59" s="150"/>
      <c r="G59" s="150"/>
    </row>
    <row r="60" spans="1:8" x14ac:dyDescent="0.25">
      <c r="B60" s="141"/>
      <c r="C60" s="139"/>
      <c r="D60" s="85"/>
      <c r="E60" s="103"/>
      <c r="F60" s="150"/>
      <c r="G60" s="150"/>
    </row>
    <row r="61" spans="1:8" ht="45" x14ac:dyDescent="0.25">
      <c r="B61" s="141" t="s">
        <v>324</v>
      </c>
      <c r="C61" s="139" t="s">
        <v>323</v>
      </c>
      <c r="D61" s="85">
        <v>1</v>
      </c>
      <c r="E61" s="103"/>
      <c r="F61" s="150"/>
      <c r="G61" s="150"/>
    </row>
    <row r="62" spans="1:8" ht="15" customHeight="1" x14ac:dyDescent="0.25">
      <c r="B62" s="67"/>
      <c r="C62" s="66"/>
      <c r="D62" s="85"/>
      <c r="E62" s="103"/>
      <c r="F62" s="150"/>
      <c r="G62" s="150"/>
    </row>
    <row r="63" spans="1:8" x14ac:dyDescent="0.25">
      <c r="B63" s="67"/>
      <c r="C63" s="66"/>
      <c r="D63" s="85"/>
      <c r="E63" s="103"/>
      <c r="F63" s="150"/>
      <c r="G63" s="150"/>
    </row>
    <row r="64" spans="1:8" x14ac:dyDescent="0.25">
      <c r="B64" s="67"/>
      <c r="C64" s="66"/>
      <c r="D64" s="85"/>
      <c r="E64" s="103"/>
      <c r="F64" s="150"/>
      <c r="G64" s="150"/>
    </row>
    <row r="65" spans="2:7" x14ac:dyDescent="0.25">
      <c r="B65" s="67"/>
      <c r="C65" s="66"/>
      <c r="D65" s="85"/>
      <c r="E65" s="103"/>
      <c r="F65" s="150"/>
      <c r="G65" s="150"/>
    </row>
    <row r="66" spans="2:7" x14ac:dyDescent="0.25">
      <c r="B66" s="67"/>
      <c r="C66" s="66"/>
      <c r="D66" s="85"/>
      <c r="E66" s="103"/>
      <c r="F66" s="150"/>
      <c r="G66" s="150"/>
    </row>
    <row r="67" spans="2:7" x14ac:dyDescent="0.25">
      <c r="B67" s="67"/>
      <c r="C67" s="66"/>
      <c r="D67" s="85"/>
      <c r="E67" s="103"/>
      <c r="F67" s="150"/>
      <c r="G67" s="150"/>
    </row>
    <row r="68" spans="2:7" x14ac:dyDescent="0.25">
      <c r="B68" s="67"/>
      <c r="C68" s="66"/>
      <c r="D68" s="85"/>
      <c r="E68" s="103"/>
      <c r="F68" s="150"/>
      <c r="G68" s="150"/>
    </row>
    <row r="69" spans="2:7" x14ac:dyDescent="0.25">
      <c r="B69" s="67"/>
      <c r="C69" s="66"/>
      <c r="D69" s="85"/>
      <c r="E69" s="103"/>
      <c r="F69" s="150"/>
      <c r="G69" s="150"/>
    </row>
    <row r="70" spans="2:7" x14ac:dyDescent="0.25">
      <c r="B70" s="67"/>
      <c r="C70" s="66"/>
      <c r="D70" s="85"/>
      <c r="E70" s="103"/>
      <c r="F70" s="150"/>
      <c r="G70" s="150"/>
    </row>
    <row r="71" spans="2:7" x14ac:dyDescent="0.25">
      <c r="B71" s="67"/>
      <c r="C71" s="66"/>
      <c r="D71" s="85"/>
      <c r="E71" s="103"/>
      <c r="F71" s="150"/>
      <c r="G71" s="150"/>
    </row>
    <row r="72" spans="2:7" x14ac:dyDescent="0.25">
      <c r="B72" s="67"/>
      <c r="C72" s="66"/>
      <c r="D72" s="85"/>
      <c r="E72" s="103"/>
      <c r="F72" s="150"/>
      <c r="G72" s="150"/>
    </row>
    <row r="73" spans="2:7" x14ac:dyDescent="0.25">
      <c r="B73" s="67" t="s">
        <v>26</v>
      </c>
      <c r="C73" s="66" t="s">
        <v>27</v>
      </c>
      <c r="D73" s="85">
        <v>8</v>
      </c>
      <c r="E73" s="103"/>
      <c r="F73" s="150"/>
      <c r="G73" s="150"/>
    </row>
    <row r="74" spans="2:7" ht="30" x14ac:dyDescent="0.25">
      <c r="B74" s="67" t="s">
        <v>28</v>
      </c>
      <c r="C74" s="66" t="s">
        <v>29</v>
      </c>
      <c r="D74" s="85">
        <v>5</v>
      </c>
      <c r="E74" s="131" t="s">
        <v>30</v>
      </c>
      <c r="F74" s="105">
        <v>8</v>
      </c>
      <c r="G74" s="111"/>
    </row>
    <row r="75" spans="2:7" x14ac:dyDescent="0.25">
      <c r="B75" s="67"/>
      <c r="C75" s="66" t="s">
        <v>36</v>
      </c>
      <c r="D75" s="85">
        <v>3</v>
      </c>
      <c r="E75" s="132" t="s">
        <v>37</v>
      </c>
      <c r="F75" s="105">
        <v>6</v>
      </c>
      <c r="G75" s="111"/>
    </row>
    <row r="76" spans="2:7" x14ac:dyDescent="0.25">
      <c r="B76" s="67"/>
      <c r="C76" s="66" t="s">
        <v>39</v>
      </c>
      <c r="D76" s="85">
        <v>3</v>
      </c>
      <c r="E76" s="132" t="s">
        <v>40</v>
      </c>
      <c r="F76" s="105">
        <v>6</v>
      </c>
      <c r="G76" s="111"/>
    </row>
    <row r="77" spans="2:7" ht="30" x14ac:dyDescent="0.25">
      <c r="B77" s="67"/>
      <c r="C77" s="66" t="s">
        <v>42</v>
      </c>
      <c r="D77" s="85">
        <v>3</v>
      </c>
      <c r="E77" s="132" t="s">
        <v>43</v>
      </c>
      <c r="F77" s="105">
        <v>8</v>
      </c>
      <c r="G77" s="111"/>
    </row>
    <row r="78" spans="2:7" ht="30" x14ac:dyDescent="0.25">
      <c r="B78" s="67"/>
      <c r="C78" s="66" t="s">
        <v>46</v>
      </c>
      <c r="D78" s="85">
        <v>5</v>
      </c>
      <c r="E78" s="132" t="s">
        <v>47</v>
      </c>
      <c r="F78" s="105">
        <v>10</v>
      </c>
      <c r="G78" s="112"/>
    </row>
    <row r="79" spans="2:7" ht="75" x14ac:dyDescent="0.25">
      <c r="B79" s="67"/>
      <c r="C79" s="66" t="s">
        <v>49</v>
      </c>
      <c r="D79" s="85">
        <v>6</v>
      </c>
      <c r="E79" s="132" t="s">
        <v>50</v>
      </c>
      <c r="F79" s="106">
        <f>20+300</f>
        <v>320</v>
      </c>
    </row>
    <row r="80" spans="2:7" ht="90" x14ac:dyDescent="0.25">
      <c r="B80" s="67"/>
      <c r="C80" s="66" t="s">
        <v>51</v>
      </c>
      <c r="D80" s="85">
        <v>10</v>
      </c>
      <c r="E80" s="132" t="s">
        <v>52</v>
      </c>
      <c r="F80" s="106">
        <v>15</v>
      </c>
    </row>
    <row r="81" spans="2:7" ht="60" x14ac:dyDescent="0.25">
      <c r="B81" s="67" t="s">
        <v>53</v>
      </c>
      <c r="C81" s="66" t="s">
        <v>54</v>
      </c>
      <c r="D81" s="85">
        <v>8</v>
      </c>
      <c r="E81" s="135" t="s">
        <v>55</v>
      </c>
      <c r="F81" s="105">
        <v>15</v>
      </c>
      <c r="G81" s="110"/>
    </row>
    <row r="82" spans="2:7" ht="60" x14ac:dyDescent="0.25">
      <c r="B82" s="67"/>
      <c r="C82" s="66" t="s">
        <v>58</v>
      </c>
      <c r="D82" s="85">
        <v>8</v>
      </c>
      <c r="E82" s="135" t="s">
        <v>55</v>
      </c>
      <c r="F82" s="105">
        <v>15</v>
      </c>
      <c r="G82" s="111"/>
    </row>
    <row r="83" spans="2:7" ht="60" x14ac:dyDescent="0.25">
      <c r="B83" s="67"/>
      <c r="C83" s="66" t="s">
        <v>60</v>
      </c>
      <c r="D83" s="85">
        <v>9</v>
      </c>
      <c r="E83" s="135" t="s">
        <v>55</v>
      </c>
      <c r="F83" s="105">
        <v>15</v>
      </c>
      <c r="G83" s="111"/>
    </row>
    <row r="84" spans="2:7" ht="30" x14ac:dyDescent="0.25">
      <c r="B84" s="67"/>
      <c r="C84" s="66" t="s">
        <v>61</v>
      </c>
      <c r="D84" s="85">
        <v>3</v>
      </c>
      <c r="E84" s="135" t="s">
        <v>62</v>
      </c>
      <c r="F84" s="105">
        <v>4</v>
      </c>
      <c r="G84" s="112"/>
    </row>
    <row r="85" spans="2:7" x14ac:dyDescent="0.25">
      <c r="B85" s="67"/>
      <c r="C85" s="66"/>
      <c r="D85" s="85"/>
      <c r="E85" s="135"/>
      <c r="F85" s="105"/>
    </row>
    <row r="86" spans="2:7" ht="60" x14ac:dyDescent="0.25">
      <c r="B86" s="67"/>
      <c r="C86" s="66" t="s">
        <v>63</v>
      </c>
      <c r="D86" s="85">
        <v>8</v>
      </c>
      <c r="E86" s="135" t="s">
        <v>64</v>
      </c>
      <c r="F86" s="106">
        <v>10</v>
      </c>
    </row>
    <row r="87" spans="2:7" ht="45" x14ac:dyDescent="0.25">
      <c r="B87" s="67"/>
      <c r="C87" s="66" t="s">
        <v>68</v>
      </c>
      <c r="D87" s="85">
        <v>4</v>
      </c>
      <c r="E87" s="135" t="s">
        <v>69</v>
      </c>
      <c r="F87" s="106">
        <v>5</v>
      </c>
    </row>
    <row r="88" spans="2:7" ht="30" x14ac:dyDescent="0.25">
      <c r="B88" s="67"/>
      <c r="C88" s="66" t="s">
        <v>71</v>
      </c>
      <c r="D88" s="85">
        <v>3</v>
      </c>
      <c r="E88" s="136" t="s">
        <v>72</v>
      </c>
      <c r="F88" s="105">
        <v>2</v>
      </c>
      <c r="G88" s="110"/>
    </row>
    <row r="89" spans="2:7" x14ac:dyDescent="0.25">
      <c r="B89" s="67"/>
      <c r="C89" s="66"/>
      <c r="D89" s="85"/>
      <c r="E89" s="136"/>
      <c r="F89" s="105"/>
      <c r="G89" s="110"/>
    </row>
    <row r="90" spans="2:7" x14ac:dyDescent="0.25">
      <c r="B90" s="67"/>
      <c r="C90" s="66"/>
      <c r="D90" s="85"/>
      <c r="E90" s="136"/>
      <c r="F90" s="105"/>
      <c r="G90" s="110"/>
    </row>
    <row r="91" spans="2:7" ht="30" x14ac:dyDescent="0.25">
      <c r="B91" s="67"/>
      <c r="C91" s="66" t="s">
        <v>77</v>
      </c>
      <c r="D91" s="85">
        <v>3</v>
      </c>
      <c r="E91" s="136" t="s">
        <v>72</v>
      </c>
      <c r="F91" s="105">
        <v>2</v>
      </c>
      <c r="G91" s="111"/>
    </row>
    <row r="92" spans="2:7" ht="30" x14ac:dyDescent="0.25">
      <c r="B92" s="67"/>
      <c r="C92" s="66" t="s">
        <v>79</v>
      </c>
      <c r="D92" s="85">
        <v>4</v>
      </c>
      <c r="E92" s="135" t="s">
        <v>80</v>
      </c>
      <c r="F92" s="105">
        <v>2</v>
      </c>
      <c r="G92" s="111"/>
    </row>
    <row r="93" spans="2:7" ht="30" x14ac:dyDescent="0.25">
      <c r="B93" s="67"/>
      <c r="C93" s="66" t="s">
        <v>82</v>
      </c>
      <c r="D93" s="85">
        <v>3</v>
      </c>
      <c r="E93" s="134" t="s">
        <v>72</v>
      </c>
      <c r="F93" s="105">
        <v>2</v>
      </c>
      <c r="G93" s="111"/>
    </row>
    <row r="94" spans="2:7" x14ac:dyDescent="0.25">
      <c r="B94" s="67"/>
      <c r="C94" s="66"/>
      <c r="D94" s="85"/>
      <c r="E94" s="134"/>
      <c r="F94" s="105"/>
      <c r="G94" s="111"/>
    </row>
    <row r="95" spans="2:7" ht="30" x14ac:dyDescent="0.25">
      <c r="B95" s="67" t="s">
        <v>85</v>
      </c>
      <c r="C95" s="66"/>
      <c r="D95" s="85">
        <v>3</v>
      </c>
      <c r="E95" s="134" t="s">
        <v>72</v>
      </c>
      <c r="F95" s="105">
        <v>2</v>
      </c>
      <c r="G95" s="111"/>
    </row>
    <row r="96" spans="2:7" ht="30" x14ac:dyDescent="0.25">
      <c r="B96" s="67"/>
      <c r="C96" s="66" t="s">
        <v>87</v>
      </c>
      <c r="D96" s="85">
        <v>4</v>
      </c>
      <c r="E96" s="134" t="s">
        <v>72</v>
      </c>
      <c r="F96" s="105">
        <v>2</v>
      </c>
      <c r="G96" s="111"/>
    </row>
    <row r="97" spans="2:7" ht="45" x14ac:dyDescent="0.25">
      <c r="B97" s="67"/>
      <c r="C97" s="66" t="s">
        <v>88</v>
      </c>
      <c r="D97" s="85">
        <v>5</v>
      </c>
      <c r="E97" s="133" t="s">
        <v>89</v>
      </c>
      <c r="F97" s="105">
        <v>2</v>
      </c>
      <c r="G97" s="111"/>
    </row>
    <row r="98" spans="2:7" x14ac:dyDescent="0.25">
      <c r="B98" s="67"/>
      <c r="C98" s="66"/>
      <c r="D98" s="85"/>
      <c r="E98" s="133"/>
      <c r="F98" s="105"/>
      <c r="G98" s="112"/>
    </row>
    <row r="99" spans="2:7" ht="60" x14ac:dyDescent="0.25">
      <c r="B99" s="67" t="s">
        <v>90</v>
      </c>
      <c r="C99" s="66" t="s">
        <v>91</v>
      </c>
      <c r="D99" s="85">
        <v>14</v>
      </c>
      <c r="E99" s="133" t="s">
        <v>92</v>
      </c>
      <c r="F99" s="105"/>
      <c r="G99" s="112"/>
    </row>
    <row r="100" spans="2:7" x14ac:dyDescent="0.25">
      <c r="B100" s="67" t="s">
        <v>95</v>
      </c>
      <c r="C100" s="66" t="s">
        <v>96</v>
      </c>
      <c r="D100" s="117">
        <v>7</v>
      </c>
      <c r="E100" s="103"/>
      <c r="F100" s="105"/>
      <c r="G100" s="112"/>
    </row>
    <row r="101" spans="2:7" x14ac:dyDescent="0.25">
      <c r="B101" s="67" t="s">
        <v>100</v>
      </c>
      <c r="C101" s="66" t="s">
        <v>101</v>
      </c>
      <c r="D101" s="85">
        <v>14</v>
      </c>
      <c r="E101" s="103"/>
      <c r="F101" s="106"/>
    </row>
    <row r="102" spans="2:7" x14ac:dyDescent="0.25">
      <c r="B102" s="67"/>
      <c r="C102" s="66" t="s">
        <v>103</v>
      </c>
      <c r="D102" s="85">
        <v>14</v>
      </c>
      <c r="E102" s="103"/>
      <c r="F102" s="106"/>
    </row>
    <row r="103" spans="2:7" x14ac:dyDescent="0.25">
      <c r="B103" s="75" t="s">
        <v>106</v>
      </c>
      <c r="C103" s="76"/>
      <c r="D103" s="86">
        <f>SUM(D8:D102)</f>
        <v>307</v>
      </c>
      <c r="E103" s="84"/>
      <c r="F103" s="106">
        <f>SUM(F74:F102)</f>
        <v>451</v>
      </c>
    </row>
    <row r="104" spans="2:7" x14ac:dyDescent="0.25">
      <c r="B104" s="88" t="s">
        <v>109</v>
      </c>
      <c r="C104" s="66" t="s">
        <v>110</v>
      </c>
      <c r="D104" s="85">
        <v>7</v>
      </c>
      <c r="E104" s="84"/>
      <c r="F104" s="106"/>
    </row>
    <row r="105" spans="2:7" x14ac:dyDescent="0.25">
      <c r="B105" s="101"/>
      <c r="C105" s="66" t="s">
        <v>113</v>
      </c>
      <c r="D105" s="117">
        <v>28</v>
      </c>
      <c r="E105" s="84"/>
      <c r="F105" s="106"/>
    </row>
    <row r="106" spans="2:7" x14ac:dyDescent="0.25">
      <c r="B106" s="75" t="s">
        <v>116</v>
      </c>
      <c r="C106" s="76"/>
      <c r="D106" s="86">
        <f>SUM(D104:D105)</f>
        <v>35</v>
      </c>
      <c r="E106" s="84"/>
      <c r="F106" s="106"/>
    </row>
    <row r="107" spans="2:7" ht="15.75" thickBot="1" x14ac:dyDescent="0.3">
      <c r="B107" s="68" t="s">
        <v>119</v>
      </c>
      <c r="C107" s="89">
        <v>0.1</v>
      </c>
      <c r="D107" s="90">
        <f>(D103+D106)*C107</f>
        <v>34.200000000000003</v>
      </c>
      <c r="E107" s="108">
        <v>0.35</v>
      </c>
      <c r="F107" s="107">
        <f>ROUNDUP(F103*E107,0)</f>
        <v>158</v>
      </c>
    </row>
    <row r="108" spans="2:7" x14ac:dyDescent="0.25">
      <c r="C108" s="69" t="s">
        <v>121</v>
      </c>
      <c r="D108" s="72">
        <f>D103+D106+D107</f>
        <v>376.2</v>
      </c>
      <c r="F108" s="28">
        <f>ROUNDUP(SUM(F103,F107)/60,0)</f>
        <v>11</v>
      </c>
    </row>
    <row r="109" spans="2:7" x14ac:dyDescent="0.25">
      <c r="C109" s="70" t="s">
        <v>123</v>
      </c>
      <c r="D109" s="73">
        <v>7</v>
      </c>
      <c r="E109" s="115">
        <f>24-E110</f>
        <v>18</v>
      </c>
      <c r="F109" s="28" t="s">
        <v>124</v>
      </c>
    </row>
    <row r="110" spans="2:7" x14ac:dyDescent="0.25">
      <c r="C110" s="70" t="s">
        <v>125</v>
      </c>
      <c r="D110" s="104">
        <v>3</v>
      </c>
      <c r="E110" s="78">
        <v>6</v>
      </c>
      <c r="F110" s="28" t="s">
        <v>126</v>
      </c>
    </row>
    <row r="111" spans="2:7" ht="15.75" thickBot="1" x14ac:dyDescent="0.3">
      <c r="C111" s="71" t="s">
        <v>127</v>
      </c>
      <c r="D111" s="74">
        <f>ROUNDUP(D108/D109,0)</f>
        <v>54</v>
      </c>
    </row>
    <row r="112" spans="2:7" x14ac:dyDescent="0.25">
      <c r="C112" s="64" t="s">
        <v>128</v>
      </c>
      <c r="D112" s="28">
        <v>21</v>
      </c>
    </row>
    <row r="113" spans="3:7" x14ac:dyDescent="0.25">
      <c r="C113" s="64" t="s">
        <v>129</v>
      </c>
      <c r="D113" s="28">
        <v>1</v>
      </c>
    </row>
    <row r="114" spans="3:7" x14ac:dyDescent="0.25">
      <c r="F114" s="105"/>
      <c r="G114"/>
    </row>
    <row r="117" spans="3:7" x14ac:dyDescent="0.25">
      <c r="F117" s="119"/>
      <c r="G117" s="119"/>
    </row>
    <row r="118" spans="3:7" x14ac:dyDescent="0.25">
      <c r="F118" s="120" t="s">
        <v>132</v>
      </c>
      <c r="G118" s="120" t="s">
        <v>132</v>
      </c>
    </row>
    <row r="119" spans="3:7" x14ac:dyDescent="0.25">
      <c r="F119" s="120" t="s">
        <v>133</v>
      </c>
      <c r="G119" s="120" t="s">
        <v>133</v>
      </c>
    </row>
    <row r="120" spans="3:7" x14ac:dyDescent="0.25">
      <c r="F120" s="121" t="s">
        <v>135</v>
      </c>
      <c r="G120" s="121" t="s">
        <v>135</v>
      </c>
    </row>
    <row r="122" spans="3:7" x14ac:dyDescent="0.25">
      <c r="E122" s="28"/>
      <c r="F122" s="28">
        <v>4000</v>
      </c>
      <c r="G122" s="28">
        <f>SUM(G123:G125)</f>
        <v>4000</v>
      </c>
    </row>
    <row r="123" spans="3:7" x14ac:dyDescent="0.25">
      <c r="D123" s="28" t="s">
        <v>136</v>
      </c>
      <c r="E123" s="28" t="s">
        <v>137</v>
      </c>
      <c r="F123" s="137">
        <v>0.7</v>
      </c>
      <c r="G123" s="28">
        <f>+F123*$F$122</f>
        <v>2800</v>
      </c>
    </row>
    <row r="124" spans="3:7" x14ac:dyDescent="0.25">
      <c r="D124" s="28" t="s">
        <v>138</v>
      </c>
      <c r="E124" s="28" t="s">
        <v>139</v>
      </c>
      <c r="F124" s="137">
        <v>0.18</v>
      </c>
      <c r="G124" s="28">
        <f>+F124*$F$122</f>
        <v>720</v>
      </c>
    </row>
    <row r="125" spans="3:7" x14ac:dyDescent="0.25">
      <c r="D125" s="28" t="s">
        <v>140</v>
      </c>
      <c r="E125" s="28" t="s">
        <v>141</v>
      </c>
      <c r="F125" s="137">
        <v>0.12</v>
      </c>
      <c r="G125" s="28">
        <f>+F125*$F$122</f>
        <v>480</v>
      </c>
    </row>
    <row r="126" spans="3:7" ht="30" x14ac:dyDescent="0.25">
      <c r="D126" s="28">
        <v>5</v>
      </c>
      <c r="E126" s="78" t="s">
        <v>142</v>
      </c>
    </row>
    <row r="127" spans="3:7" x14ac:dyDescent="0.25">
      <c r="D127" s="28" t="s">
        <v>143</v>
      </c>
    </row>
  </sheetData>
  <dataValidations count="1">
    <dataValidation type="list" allowBlank="1" showInputMessage="1" showErrorMessage="1" sqref="G2:G115" xr:uid="{00000000-0002-0000-0000-000000000000}">
      <formula1>"Manual, Automated, Common"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69"/>
  <sheetViews>
    <sheetView workbookViewId="0">
      <selection activeCell="D20" sqref="D20"/>
    </sheetView>
  </sheetViews>
  <sheetFormatPr defaultRowHeight="15" x14ac:dyDescent="0.25"/>
  <cols>
    <col min="1" max="1" width="40" bestFit="1" customWidth="1"/>
    <col min="2" max="2" width="12" bestFit="1" customWidth="1"/>
    <col min="3" max="3" width="5.140625" customWidth="1"/>
    <col min="4" max="4" width="15.5703125" bestFit="1" customWidth="1"/>
    <col min="5" max="6" width="11.5703125" bestFit="1" customWidth="1"/>
    <col min="7" max="7" width="7.7109375" bestFit="1" customWidth="1"/>
    <col min="8" max="8" width="13.28515625" bestFit="1" customWidth="1"/>
    <col min="9" max="9" width="11.5703125" bestFit="1" customWidth="1"/>
    <col min="10" max="10" width="9.7109375" bestFit="1" customWidth="1"/>
    <col min="11" max="13" width="9" customWidth="1"/>
    <col min="15" max="15" width="7" bestFit="1" customWidth="1"/>
    <col min="16" max="16" width="15.7109375" bestFit="1" customWidth="1"/>
    <col min="17" max="17" width="11.5703125" bestFit="1" customWidth="1"/>
  </cols>
  <sheetData>
    <row r="1" spans="1:23" x14ac:dyDescent="0.25">
      <c r="A1" s="35" t="s">
        <v>144</v>
      </c>
      <c r="B1" s="36">
        <v>20</v>
      </c>
      <c r="D1" s="157" t="s">
        <v>31</v>
      </c>
      <c r="E1" s="159" t="s">
        <v>56</v>
      </c>
      <c r="F1" s="161" t="s">
        <v>145</v>
      </c>
      <c r="G1" s="162"/>
      <c r="H1" s="161" t="s">
        <v>33</v>
      </c>
      <c r="I1" s="162"/>
      <c r="J1" s="18" t="s">
        <v>146</v>
      </c>
      <c r="U1" t="s">
        <v>147</v>
      </c>
      <c r="V1" t="s">
        <v>98</v>
      </c>
    </row>
    <row r="2" spans="1:23" x14ac:dyDescent="0.25">
      <c r="A2" s="7" t="s">
        <v>148</v>
      </c>
      <c r="B2" s="57">
        <v>1000</v>
      </c>
      <c r="D2" s="158"/>
      <c r="E2" s="160"/>
      <c r="F2" s="54" t="s">
        <v>149</v>
      </c>
      <c r="G2" s="54" t="s">
        <v>150</v>
      </c>
      <c r="H2" s="54" t="s">
        <v>149</v>
      </c>
      <c r="I2" s="54" t="s">
        <v>150</v>
      </c>
      <c r="J2" s="17">
        <f>SUM(J3:J6)</f>
        <v>1012.5</v>
      </c>
      <c r="T2">
        <v>4000</v>
      </c>
      <c r="U2">
        <f>T2*71%</f>
        <v>2840</v>
      </c>
      <c r="V2">
        <f>T2*29%</f>
        <v>1160</v>
      </c>
      <c r="W2" t="s">
        <v>151</v>
      </c>
    </row>
    <row r="3" spans="1:23" ht="15" customHeight="1" x14ac:dyDescent="0.25">
      <c r="A3" s="58" t="s">
        <v>152</v>
      </c>
      <c r="B3" s="37"/>
      <c r="D3" s="7" t="s">
        <v>153</v>
      </c>
      <c r="E3" s="6">
        <v>100</v>
      </c>
      <c r="F3" s="2">
        <v>1</v>
      </c>
      <c r="G3" s="2">
        <v>0.5</v>
      </c>
      <c r="H3" s="2">
        <v>0.25</v>
      </c>
      <c r="I3" s="2">
        <v>4</v>
      </c>
      <c r="J3" s="55">
        <f>E3*((F3*G3)+(H3*I3))</f>
        <v>150</v>
      </c>
      <c r="U3">
        <v>11</v>
      </c>
      <c r="V3">
        <v>21</v>
      </c>
      <c r="W3" t="s">
        <v>154</v>
      </c>
    </row>
    <row r="4" spans="1:23" x14ac:dyDescent="0.25">
      <c r="A4" s="7" t="s">
        <v>155</v>
      </c>
      <c r="B4" s="122">
        <f>'Estimated Efforts'!I28</f>
        <v>12</v>
      </c>
      <c r="D4" s="7" t="s">
        <v>156</v>
      </c>
      <c r="E4" s="6">
        <v>100</v>
      </c>
      <c r="F4" s="2">
        <v>1</v>
      </c>
      <c r="G4" s="2">
        <v>0.5</v>
      </c>
      <c r="H4" s="2">
        <v>1</v>
      </c>
      <c r="I4" s="2">
        <f>4+2</f>
        <v>6</v>
      </c>
      <c r="J4" s="55">
        <f t="shared" ref="J4" si="0">E4*((F4*G4)+(H4*I4))</f>
        <v>650</v>
      </c>
      <c r="L4" t="s">
        <v>157</v>
      </c>
      <c r="S4">
        <f>T4/1080</f>
        <v>51.481481481481481</v>
      </c>
      <c r="T4">
        <f>+U4+V4</f>
        <v>55600</v>
      </c>
      <c r="U4">
        <f>U3*U2</f>
        <v>31240</v>
      </c>
      <c r="V4">
        <f>V3*V2</f>
        <v>24360</v>
      </c>
      <c r="W4" t="s">
        <v>158</v>
      </c>
    </row>
    <row r="5" spans="1:23" x14ac:dyDescent="0.25">
      <c r="A5" s="7" t="s">
        <v>159</v>
      </c>
      <c r="B5" s="122">
        <f>'Estimated Efforts'!I25</f>
        <v>70</v>
      </c>
      <c r="D5" s="7" t="s">
        <v>156</v>
      </c>
      <c r="E5" s="6">
        <v>100</v>
      </c>
      <c r="F5" s="2">
        <v>0</v>
      </c>
      <c r="G5" s="2">
        <v>0</v>
      </c>
      <c r="H5" s="2">
        <v>0.25</v>
      </c>
      <c r="I5" s="2">
        <v>4</v>
      </c>
      <c r="J5" s="55">
        <f t="shared" ref="J5" si="1">E5*((F5*G5)+(H5*I5))</f>
        <v>100</v>
      </c>
      <c r="L5" t="s">
        <v>160</v>
      </c>
      <c r="T5">
        <f t="shared" ref="T5:T7" si="2">+U5+V5</f>
        <v>1</v>
      </c>
      <c r="U5">
        <f>U4/(U4+V4)</f>
        <v>0.56187050359712232</v>
      </c>
      <c r="V5">
        <f>V4/(U4+V4)</f>
        <v>0.43812949640287768</v>
      </c>
      <c r="W5" t="s">
        <v>161</v>
      </c>
    </row>
    <row r="6" spans="1:23" ht="15.75" thickBot="1" x14ac:dyDescent="0.3">
      <c r="A6" s="7" t="s">
        <v>162</v>
      </c>
      <c r="B6" s="122">
        <f>'Estimated Efforts'!I27-'RoI - UiPath'!B8</f>
        <v>2</v>
      </c>
      <c r="D6" s="8" t="s">
        <v>163</v>
      </c>
      <c r="E6" s="6">
        <v>100</v>
      </c>
      <c r="F6" s="9">
        <v>0.25</v>
      </c>
      <c r="G6" s="9">
        <v>0.5</v>
      </c>
      <c r="H6" s="9">
        <v>0.25</v>
      </c>
      <c r="I6" s="9">
        <v>4</v>
      </c>
      <c r="J6" s="56">
        <f>E6*((F6*G6)+(H6*I6))</f>
        <v>112.5</v>
      </c>
      <c r="L6" t="s">
        <v>164</v>
      </c>
      <c r="T6">
        <f t="shared" si="2"/>
        <v>1080</v>
      </c>
      <c r="U6">
        <f>1080*U5</f>
        <v>606.8201438848921</v>
      </c>
      <c r="V6">
        <f>1080*V5</f>
        <v>473.1798561151079</v>
      </c>
      <c r="W6" t="s">
        <v>165</v>
      </c>
    </row>
    <row r="7" spans="1:23" ht="15.75" thickBot="1" x14ac:dyDescent="0.3">
      <c r="A7" s="7" t="s">
        <v>166</v>
      </c>
      <c r="B7" s="122">
        <f>'Estimated Efforts'!I24</f>
        <v>45</v>
      </c>
      <c r="T7">
        <f t="shared" si="2"/>
        <v>77.697841726618705</v>
      </c>
      <c r="U7">
        <f>U6/U3</f>
        <v>55.165467625899282</v>
      </c>
      <c r="V7">
        <f>V6/V3</f>
        <v>22.532374100719423</v>
      </c>
    </row>
    <row r="8" spans="1:23" ht="15.75" thickBot="1" x14ac:dyDescent="0.3">
      <c r="A8" s="7" t="s">
        <v>167</v>
      </c>
      <c r="B8" s="122">
        <f>'Estimated Efforts'!I27*'Estimated Efforts'!I26</f>
        <v>5</v>
      </c>
      <c r="E8" s="47" t="s">
        <v>168</v>
      </c>
      <c r="F8" s="48"/>
      <c r="G8" s="49"/>
      <c r="H8" s="47" t="s">
        <v>169</v>
      </c>
      <c r="I8" s="48"/>
      <c r="J8" s="49"/>
      <c r="K8" s="50" t="s">
        <v>170</v>
      </c>
      <c r="L8" s="51"/>
      <c r="O8" s="53"/>
      <c r="P8" s="47" t="s">
        <v>168</v>
      </c>
      <c r="Q8" s="48"/>
      <c r="R8" s="50" t="s">
        <v>170</v>
      </c>
      <c r="S8" s="51"/>
      <c r="U8">
        <f>+U7*S4</f>
        <v>2840</v>
      </c>
      <c r="V8">
        <f>+V7*S4</f>
        <v>1160</v>
      </c>
    </row>
    <row r="9" spans="1:23" ht="15" customHeight="1" x14ac:dyDescent="0.25">
      <c r="A9" s="58" t="s">
        <v>171</v>
      </c>
      <c r="B9" s="37"/>
      <c r="E9" s="15" t="s">
        <v>172</v>
      </c>
      <c r="F9" s="16" t="str">
        <f>_xlfn.CONCAT(SUM(G14:G50)," months")</f>
        <v>2170 months</v>
      </c>
      <c r="G9" s="14"/>
      <c r="H9" s="15" t="s">
        <v>172</v>
      </c>
      <c r="I9" s="16" t="str">
        <f>_xlfn.CONCAT(SUM(J14:J50)," months")</f>
        <v>10 months</v>
      </c>
      <c r="J9" s="28"/>
      <c r="K9" s="151" t="s">
        <v>173</v>
      </c>
      <c r="L9" s="152"/>
      <c r="M9" s="28"/>
      <c r="O9" s="42" t="s">
        <v>174</v>
      </c>
      <c r="P9" s="42" t="s">
        <v>175</v>
      </c>
      <c r="Q9" s="43" t="s">
        <v>176</v>
      </c>
      <c r="R9" s="42" t="s">
        <v>177</v>
      </c>
      <c r="S9" s="46" t="s">
        <v>178</v>
      </c>
    </row>
    <row r="10" spans="1:23" x14ac:dyDescent="0.25">
      <c r="A10" s="7" t="s">
        <v>155</v>
      </c>
      <c r="B10" s="59">
        <v>1</v>
      </c>
      <c r="E10" s="19">
        <f>SUMPRODUCT(E11:E50,$G$11:$G$50)</f>
        <v>124474.28571428571</v>
      </c>
      <c r="F10" s="19">
        <f>SUMPRODUCT(F11:F50,$G$11:$G$50)</f>
        <v>135251.68367346938</v>
      </c>
      <c r="G10" s="5"/>
      <c r="H10" s="19">
        <f>SUMPRODUCT(H11:H50,$J$11:$J$50)</f>
        <v>120000</v>
      </c>
      <c r="I10" s="19">
        <f>SUMPRODUCT(I11:I50,$J$11:$J$50)</f>
        <v>26712.5</v>
      </c>
      <c r="K10" s="153"/>
      <c r="L10" s="154"/>
      <c r="N10" s="52"/>
      <c r="O10" s="11">
        <v>1</v>
      </c>
      <c r="P10" s="19">
        <f t="shared" ref="P10:P21" si="3">($B$2*$B$4)*O10</f>
        <v>12000</v>
      </c>
      <c r="Q10" s="20">
        <f t="shared" ref="Q10:Q21" si="4">$J$2+$B$21+$B$10*$B$2*O10</f>
        <v>20852.5</v>
      </c>
      <c r="R10" s="38">
        <f>$B$1*$B$6</f>
        <v>40</v>
      </c>
      <c r="S10" s="39">
        <f>L14-K14</f>
        <v>1073.4020618556701</v>
      </c>
    </row>
    <row r="11" spans="1:23" x14ac:dyDescent="0.25">
      <c r="A11" s="7" t="s">
        <v>159</v>
      </c>
      <c r="B11" s="122">
        <f>'Estimated Efforts'!L25</f>
        <v>21</v>
      </c>
      <c r="D11" s="11" t="s">
        <v>33</v>
      </c>
      <c r="E11" s="6">
        <v>0</v>
      </c>
      <c r="F11" s="10">
        <f>$J$2</f>
        <v>1012.5</v>
      </c>
      <c r="G11" s="12">
        <v>1</v>
      </c>
      <c r="H11" s="6">
        <v>0</v>
      </c>
      <c r="I11" s="10">
        <f>$J$2</f>
        <v>1012.5</v>
      </c>
      <c r="J11" s="33">
        <v>1</v>
      </c>
      <c r="K11" s="153"/>
      <c r="L11" s="154"/>
      <c r="M11" s="29"/>
      <c r="N11" s="52"/>
      <c r="O11" s="11">
        <v>2</v>
      </c>
      <c r="P11" s="19">
        <f t="shared" si="3"/>
        <v>24000</v>
      </c>
      <c r="Q11" s="20">
        <f t="shared" si="4"/>
        <v>21852.5</v>
      </c>
      <c r="R11" s="38">
        <f t="shared" ref="R11:R21" si="5">$B$1*$B$6+R10</f>
        <v>80</v>
      </c>
      <c r="S11" s="39">
        <f t="shared" ref="S11:S21" si="6">L15-K15</f>
        <v>2146.8041237113403</v>
      </c>
    </row>
    <row r="12" spans="1:23" x14ac:dyDescent="0.25">
      <c r="A12" s="7" t="s">
        <v>166</v>
      </c>
      <c r="B12" s="122">
        <f>'Estimated Efforts'!L24</f>
        <v>11</v>
      </c>
      <c r="D12" s="11" t="s">
        <v>179</v>
      </c>
      <c r="E12" s="6">
        <v>0</v>
      </c>
      <c r="F12" s="10">
        <f>$B$21</f>
        <v>18840</v>
      </c>
      <c r="G12" s="12">
        <v>1</v>
      </c>
      <c r="H12" s="6">
        <v>0</v>
      </c>
      <c r="I12" s="6">
        <v>0</v>
      </c>
      <c r="J12" s="33">
        <v>1</v>
      </c>
      <c r="K12" s="155"/>
      <c r="L12" s="156"/>
      <c r="M12" s="29"/>
      <c r="N12" s="52"/>
      <c r="O12" s="11">
        <v>3</v>
      </c>
      <c r="P12" s="19">
        <f t="shared" si="3"/>
        <v>36000</v>
      </c>
      <c r="Q12" s="20">
        <f t="shared" si="4"/>
        <v>22852.5</v>
      </c>
      <c r="R12" s="38">
        <f t="shared" si="5"/>
        <v>120</v>
      </c>
      <c r="S12" s="39">
        <f t="shared" si="6"/>
        <v>3220.2061855670104</v>
      </c>
    </row>
    <row r="13" spans="1:23" x14ac:dyDescent="0.25">
      <c r="A13" s="7" t="s">
        <v>180</v>
      </c>
      <c r="B13" s="12">
        <v>18</v>
      </c>
      <c r="D13" s="11"/>
      <c r="E13" s="42" t="s">
        <v>181</v>
      </c>
      <c r="F13" s="43" t="s">
        <v>182</v>
      </c>
      <c r="G13" s="44"/>
      <c r="H13" s="42" t="s">
        <v>181</v>
      </c>
      <c r="I13" s="43" t="s">
        <v>182</v>
      </c>
      <c r="J13" s="45"/>
      <c r="K13" s="42" t="s">
        <v>181</v>
      </c>
      <c r="L13" s="46" t="s">
        <v>182</v>
      </c>
      <c r="M13" s="29"/>
      <c r="N13" s="52"/>
      <c r="O13" s="11">
        <v>4</v>
      </c>
      <c r="P13" s="19">
        <f t="shared" si="3"/>
        <v>48000</v>
      </c>
      <c r="Q13" s="20">
        <f t="shared" si="4"/>
        <v>23852.5</v>
      </c>
      <c r="R13" s="38">
        <f t="shared" si="5"/>
        <v>160</v>
      </c>
      <c r="S13" s="39">
        <f t="shared" si="6"/>
        <v>4293.6082474226805</v>
      </c>
    </row>
    <row r="14" spans="1:23" x14ac:dyDescent="0.25">
      <c r="A14" s="7" t="s">
        <v>183</v>
      </c>
      <c r="B14" s="122">
        <f>'Estimated Efforts'!D113</f>
        <v>1</v>
      </c>
      <c r="D14" s="11" t="s">
        <v>184</v>
      </c>
      <c r="E14" s="19">
        <f t="shared" ref="E14:E25" si="7">$B$2*$B$4</f>
        <v>12000</v>
      </c>
      <c r="F14" s="20">
        <f t="shared" ref="F14:F25" si="8">$B$10*$B$2</f>
        <v>1000</v>
      </c>
      <c r="G14" s="12">
        <v>1</v>
      </c>
      <c r="H14" s="19">
        <f t="shared" ref="H14:H25" si="9">$B$2*$B$4</f>
        <v>12000</v>
      </c>
      <c r="I14" s="20">
        <f t="shared" ref="I14:I25" si="10">$B$10*$B$2+$B$20</f>
        <v>2570</v>
      </c>
      <c r="J14" s="33">
        <v>1</v>
      </c>
      <c r="K14" s="38">
        <f>$B$1*$B$6</f>
        <v>40</v>
      </c>
      <c r="L14" s="39">
        <f>$B$1*$B$16</f>
        <v>1113.4020618556701</v>
      </c>
      <c r="M14" s="30"/>
      <c r="N14" s="52"/>
      <c r="O14" s="11">
        <v>5</v>
      </c>
      <c r="P14" s="19">
        <f t="shared" si="3"/>
        <v>60000</v>
      </c>
      <c r="Q14" s="20">
        <f t="shared" si="4"/>
        <v>24852.5</v>
      </c>
      <c r="R14" s="38">
        <f t="shared" si="5"/>
        <v>200</v>
      </c>
      <c r="S14" s="39">
        <f t="shared" si="6"/>
        <v>5367.0103092783502</v>
      </c>
    </row>
    <row r="15" spans="1:23" x14ac:dyDescent="0.25">
      <c r="A15" s="7" t="s">
        <v>162</v>
      </c>
      <c r="B15" s="122">
        <f>B13*60*B14*B6/(B11*B6+B12*B8)</f>
        <v>22.268041237113401</v>
      </c>
      <c r="D15" s="11" t="s">
        <v>185</v>
      </c>
      <c r="E15" s="19">
        <f t="shared" si="7"/>
        <v>12000</v>
      </c>
      <c r="F15" s="20">
        <f t="shared" si="8"/>
        <v>1000</v>
      </c>
      <c r="G15" s="12">
        <v>1</v>
      </c>
      <c r="H15" s="19">
        <f t="shared" si="9"/>
        <v>12000</v>
      </c>
      <c r="I15" s="20">
        <f t="shared" si="10"/>
        <v>2570</v>
      </c>
      <c r="J15" s="33">
        <v>1</v>
      </c>
      <c r="K15" s="38">
        <f t="shared" ref="K15:K25" si="11">$B$1*$B$6+K14</f>
        <v>80</v>
      </c>
      <c r="L15" s="39">
        <f t="shared" ref="L15:L25" si="12">$B$1*$B$16+L14</f>
        <v>2226.8041237113403</v>
      </c>
      <c r="M15" s="30"/>
      <c r="N15" s="52"/>
      <c r="O15" s="11">
        <v>6</v>
      </c>
      <c r="P15" s="19">
        <f t="shared" si="3"/>
        <v>72000</v>
      </c>
      <c r="Q15" s="20">
        <f t="shared" si="4"/>
        <v>25852.5</v>
      </c>
      <c r="R15" s="38">
        <f t="shared" si="5"/>
        <v>240</v>
      </c>
      <c r="S15" s="39">
        <f t="shared" si="6"/>
        <v>6440.4123711340198</v>
      </c>
    </row>
    <row r="16" spans="1:23" x14ac:dyDescent="0.25">
      <c r="A16" s="7" t="s">
        <v>167</v>
      </c>
      <c r="B16" s="122">
        <f>B13*60*B14*B8/(B11*B6+B12*B8)</f>
        <v>55.670103092783506</v>
      </c>
      <c r="D16" s="11" t="s">
        <v>186</v>
      </c>
      <c r="E16" s="19">
        <f t="shared" si="7"/>
        <v>12000</v>
      </c>
      <c r="F16" s="20">
        <f t="shared" si="8"/>
        <v>1000</v>
      </c>
      <c r="G16" s="12">
        <v>1</v>
      </c>
      <c r="H16" s="19">
        <f t="shared" si="9"/>
        <v>12000</v>
      </c>
      <c r="I16" s="20">
        <f t="shared" si="10"/>
        <v>2570</v>
      </c>
      <c r="J16" s="33">
        <v>1</v>
      </c>
      <c r="K16" s="38">
        <f t="shared" si="11"/>
        <v>120</v>
      </c>
      <c r="L16" s="39">
        <f t="shared" si="12"/>
        <v>3340.2061855670104</v>
      </c>
      <c r="M16" s="30"/>
      <c r="N16" s="52"/>
      <c r="O16" s="11">
        <v>7</v>
      </c>
      <c r="P16" s="19">
        <f t="shared" si="3"/>
        <v>84000</v>
      </c>
      <c r="Q16" s="20">
        <f t="shared" si="4"/>
        <v>26852.5</v>
      </c>
      <c r="R16" s="38">
        <f t="shared" si="5"/>
        <v>280</v>
      </c>
      <c r="S16" s="39">
        <f t="shared" si="6"/>
        <v>7513.8144329896895</v>
      </c>
    </row>
    <row r="17" spans="1:22" x14ac:dyDescent="0.25">
      <c r="A17" s="58" t="s">
        <v>187</v>
      </c>
      <c r="B17" s="37"/>
      <c r="D17" s="11" t="s">
        <v>188</v>
      </c>
      <c r="E17" s="19">
        <f t="shared" si="7"/>
        <v>12000</v>
      </c>
      <c r="F17" s="20">
        <f t="shared" si="8"/>
        <v>1000</v>
      </c>
      <c r="G17" s="12">
        <v>1</v>
      </c>
      <c r="H17" s="19">
        <f t="shared" si="9"/>
        <v>12000</v>
      </c>
      <c r="I17" s="20">
        <f t="shared" si="10"/>
        <v>2570</v>
      </c>
      <c r="J17" s="33">
        <v>1</v>
      </c>
      <c r="K17" s="38">
        <f t="shared" si="11"/>
        <v>160</v>
      </c>
      <c r="L17" s="39">
        <f t="shared" si="12"/>
        <v>4453.6082474226805</v>
      </c>
      <c r="M17" s="30"/>
      <c r="N17" s="52"/>
      <c r="O17" s="11">
        <v>8</v>
      </c>
      <c r="P17" s="19">
        <f t="shared" si="3"/>
        <v>96000</v>
      </c>
      <c r="Q17" s="20">
        <f t="shared" si="4"/>
        <v>27852.5</v>
      </c>
      <c r="R17" s="38">
        <f t="shared" si="5"/>
        <v>320</v>
      </c>
      <c r="S17" s="39">
        <f t="shared" si="6"/>
        <v>8587.2164948453592</v>
      </c>
    </row>
    <row r="18" spans="1:22" x14ac:dyDescent="0.25">
      <c r="A18" s="7" t="s">
        <v>189</v>
      </c>
      <c r="B18" s="60">
        <v>1</v>
      </c>
      <c r="D18" s="11" t="s">
        <v>190</v>
      </c>
      <c r="E18" s="19">
        <f t="shared" si="7"/>
        <v>12000</v>
      </c>
      <c r="F18" s="20">
        <f t="shared" si="8"/>
        <v>1000</v>
      </c>
      <c r="G18" s="12">
        <v>1</v>
      </c>
      <c r="H18" s="19">
        <f t="shared" si="9"/>
        <v>12000</v>
      </c>
      <c r="I18" s="20">
        <f t="shared" si="10"/>
        <v>2570</v>
      </c>
      <c r="J18" s="33">
        <v>1</v>
      </c>
      <c r="K18" s="38">
        <f t="shared" si="11"/>
        <v>200</v>
      </c>
      <c r="L18" s="39">
        <f t="shared" si="12"/>
        <v>5567.0103092783502</v>
      </c>
      <c r="M18" s="30"/>
      <c r="N18" s="52"/>
      <c r="O18" s="11">
        <v>9</v>
      </c>
      <c r="P18" s="19">
        <f t="shared" si="3"/>
        <v>108000</v>
      </c>
      <c r="Q18" s="20">
        <f t="shared" si="4"/>
        <v>28852.5</v>
      </c>
      <c r="R18" s="38">
        <f t="shared" si="5"/>
        <v>360</v>
      </c>
      <c r="S18" s="39">
        <f t="shared" si="6"/>
        <v>9660.6185567010289</v>
      </c>
    </row>
    <row r="19" spans="1:22" x14ac:dyDescent="0.25">
      <c r="A19" s="7" t="s">
        <v>191</v>
      </c>
      <c r="B19" s="61">
        <f>J2</f>
        <v>1012.5</v>
      </c>
      <c r="D19" s="11" t="s">
        <v>192</v>
      </c>
      <c r="E19" s="19">
        <f t="shared" si="7"/>
        <v>12000</v>
      </c>
      <c r="F19" s="20">
        <f t="shared" si="8"/>
        <v>1000</v>
      </c>
      <c r="G19" s="12">
        <v>1</v>
      </c>
      <c r="H19" s="19">
        <f t="shared" si="9"/>
        <v>12000</v>
      </c>
      <c r="I19" s="20">
        <f t="shared" si="10"/>
        <v>2570</v>
      </c>
      <c r="J19" s="33">
        <v>1</v>
      </c>
      <c r="K19" s="38">
        <f t="shared" si="11"/>
        <v>240</v>
      </c>
      <c r="L19" s="39">
        <f t="shared" si="12"/>
        <v>6680.4123711340198</v>
      </c>
      <c r="M19" s="30"/>
      <c r="N19" s="52"/>
      <c r="O19" s="11">
        <v>10</v>
      </c>
      <c r="P19" s="19">
        <f t="shared" si="3"/>
        <v>120000</v>
      </c>
      <c r="Q19" s="20">
        <f t="shared" si="4"/>
        <v>29852.5</v>
      </c>
      <c r="R19" s="38">
        <f t="shared" si="5"/>
        <v>400</v>
      </c>
      <c r="S19" s="39">
        <f t="shared" si="6"/>
        <v>10734.020618556699</v>
      </c>
    </row>
    <row r="20" spans="1:22" x14ac:dyDescent="0.25">
      <c r="A20" s="7" t="s">
        <v>193</v>
      </c>
      <c r="B20" s="57">
        <v>1570</v>
      </c>
      <c r="D20" s="11" t="s">
        <v>194</v>
      </c>
      <c r="E20" s="19">
        <f t="shared" si="7"/>
        <v>12000</v>
      </c>
      <c r="F20" s="20">
        <f t="shared" si="8"/>
        <v>1000</v>
      </c>
      <c r="G20" s="12">
        <v>1</v>
      </c>
      <c r="H20" s="19">
        <f t="shared" si="9"/>
        <v>12000</v>
      </c>
      <c r="I20" s="20">
        <f t="shared" si="10"/>
        <v>2570</v>
      </c>
      <c r="J20" s="33">
        <v>1</v>
      </c>
      <c r="K20" s="38">
        <f t="shared" si="11"/>
        <v>280</v>
      </c>
      <c r="L20" s="39">
        <f t="shared" si="12"/>
        <v>7793.8144329896895</v>
      </c>
      <c r="M20" s="30"/>
      <c r="N20" s="52"/>
      <c r="O20" s="11">
        <v>11</v>
      </c>
      <c r="P20" s="19">
        <f t="shared" si="3"/>
        <v>132000</v>
      </c>
      <c r="Q20" s="20">
        <f t="shared" si="4"/>
        <v>30852.5</v>
      </c>
      <c r="R20" s="38">
        <f t="shared" si="5"/>
        <v>440</v>
      </c>
      <c r="S20" s="39">
        <f t="shared" si="6"/>
        <v>11807.422680412368</v>
      </c>
    </row>
    <row r="21" spans="1:22" ht="15.75" thickBot="1" x14ac:dyDescent="0.3">
      <c r="A21" s="7" t="s">
        <v>195</v>
      </c>
      <c r="B21" s="57">
        <f>B20*12</f>
        <v>18840</v>
      </c>
      <c r="D21" s="11" t="s">
        <v>196</v>
      </c>
      <c r="E21" s="19">
        <f t="shared" si="7"/>
        <v>12000</v>
      </c>
      <c r="F21" s="20">
        <f t="shared" si="8"/>
        <v>1000</v>
      </c>
      <c r="G21" s="12">
        <v>1</v>
      </c>
      <c r="H21" s="19">
        <f t="shared" si="9"/>
        <v>12000</v>
      </c>
      <c r="I21" s="20">
        <f t="shared" si="10"/>
        <v>2570</v>
      </c>
      <c r="J21" s="33">
        <v>1</v>
      </c>
      <c r="K21" s="38">
        <f t="shared" si="11"/>
        <v>320</v>
      </c>
      <c r="L21" s="39">
        <f t="shared" si="12"/>
        <v>8907.2164948453592</v>
      </c>
      <c r="M21" s="30"/>
      <c r="N21" s="52"/>
      <c r="O21" s="11">
        <v>12</v>
      </c>
      <c r="P21" s="19">
        <f t="shared" si="3"/>
        <v>144000</v>
      </c>
      <c r="Q21" s="20">
        <f t="shared" si="4"/>
        <v>31852.5</v>
      </c>
      <c r="R21" s="40">
        <f t="shared" si="5"/>
        <v>480</v>
      </c>
      <c r="S21" s="39">
        <f t="shared" si="6"/>
        <v>12880.824742268038</v>
      </c>
      <c r="U21" s="130">
        <v>11</v>
      </c>
      <c r="V21" s="128">
        <v>21</v>
      </c>
    </row>
    <row r="22" spans="1:22" x14ac:dyDescent="0.25">
      <c r="A22" s="7" t="s">
        <v>197</v>
      </c>
      <c r="B22" s="37"/>
      <c r="D22" s="11" t="s">
        <v>198</v>
      </c>
      <c r="E22" s="19">
        <f t="shared" si="7"/>
        <v>12000</v>
      </c>
      <c r="F22" s="20">
        <f t="shared" si="8"/>
        <v>1000</v>
      </c>
      <c r="G22" s="12">
        <v>1</v>
      </c>
      <c r="H22" s="19">
        <f t="shared" si="9"/>
        <v>12000</v>
      </c>
      <c r="I22" s="20">
        <f t="shared" si="10"/>
        <v>2570</v>
      </c>
      <c r="J22" s="33">
        <v>1</v>
      </c>
      <c r="K22" s="38">
        <f t="shared" si="11"/>
        <v>360</v>
      </c>
      <c r="L22" s="39">
        <f t="shared" si="12"/>
        <v>10020.618556701029</v>
      </c>
      <c r="M22" s="30"/>
      <c r="U22" s="130">
        <v>11</v>
      </c>
      <c r="V22" s="129"/>
    </row>
    <row r="23" spans="1:22" ht="15.75" thickBot="1" x14ac:dyDescent="0.3">
      <c r="A23" s="8" t="s">
        <v>199</v>
      </c>
      <c r="B23" s="62"/>
      <c r="D23" s="11" t="s">
        <v>200</v>
      </c>
      <c r="E23" s="19">
        <f t="shared" si="7"/>
        <v>12000</v>
      </c>
      <c r="F23" s="20">
        <f t="shared" si="8"/>
        <v>1000</v>
      </c>
      <c r="G23" s="12">
        <v>1</v>
      </c>
      <c r="H23" s="19">
        <f t="shared" si="9"/>
        <v>12000</v>
      </c>
      <c r="I23" s="20">
        <f t="shared" si="10"/>
        <v>2570</v>
      </c>
      <c r="J23" s="33">
        <v>1</v>
      </c>
      <c r="K23" s="38">
        <f t="shared" si="11"/>
        <v>400</v>
      </c>
      <c r="L23" s="39">
        <f t="shared" si="12"/>
        <v>11134.020618556699</v>
      </c>
      <c r="M23" s="30"/>
      <c r="U23" s="130">
        <v>11</v>
      </c>
      <c r="V23" s="128">
        <v>21</v>
      </c>
    </row>
    <row r="24" spans="1:22" x14ac:dyDescent="0.25">
      <c r="A24" s="63" t="s">
        <v>201</v>
      </c>
      <c r="B24">
        <v>15</v>
      </c>
      <c r="D24" s="11" t="s">
        <v>202</v>
      </c>
      <c r="E24" s="19">
        <f t="shared" si="7"/>
        <v>12000</v>
      </c>
      <c r="F24" s="20">
        <f t="shared" si="8"/>
        <v>1000</v>
      </c>
      <c r="G24" s="12">
        <v>0</v>
      </c>
      <c r="H24" s="19">
        <f t="shared" si="9"/>
        <v>12000</v>
      </c>
      <c r="I24" s="20">
        <f t="shared" si="10"/>
        <v>2570</v>
      </c>
      <c r="J24" s="33">
        <v>0</v>
      </c>
      <c r="K24" s="38">
        <f t="shared" si="11"/>
        <v>440</v>
      </c>
      <c r="L24" s="39">
        <f t="shared" si="12"/>
        <v>12247.422680412368</v>
      </c>
      <c r="M24" s="30"/>
      <c r="U24" s="130">
        <v>11</v>
      </c>
      <c r="V24" s="129"/>
    </row>
    <row r="25" spans="1:22" ht="15.75" thickBot="1" x14ac:dyDescent="0.3">
      <c r="A25" s="63" t="s">
        <v>203</v>
      </c>
      <c r="B25">
        <f>24*60/B24</f>
        <v>96</v>
      </c>
      <c r="D25" s="11" t="s">
        <v>204</v>
      </c>
      <c r="E25" s="21">
        <f t="shared" si="7"/>
        <v>12000</v>
      </c>
      <c r="F25" s="22">
        <f t="shared" si="8"/>
        <v>1000</v>
      </c>
      <c r="G25" s="13">
        <v>0</v>
      </c>
      <c r="H25" s="21">
        <f t="shared" si="9"/>
        <v>12000</v>
      </c>
      <c r="I25" s="22">
        <f t="shared" si="10"/>
        <v>2570</v>
      </c>
      <c r="J25" s="34">
        <v>0</v>
      </c>
      <c r="K25" s="40">
        <f t="shared" si="11"/>
        <v>480</v>
      </c>
      <c r="L25" s="41">
        <f t="shared" si="12"/>
        <v>13360.824742268038</v>
      </c>
      <c r="M25" s="30"/>
      <c r="U25" s="130">
        <v>11</v>
      </c>
      <c r="V25" s="128">
        <v>21</v>
      </c>
    </row>
    <row r="26" spans="1:22" x14ac:dyDescent="0.25">
      <c r="A26" s="63" t="s">
        <v>205</v>
      </c>
      <c r="B26">
        <f>B25/(7*2)</f>
        <v>6.8571428571428568</v>
      </c>
      <c r="U26" s="130">
        <v>11</v>
      </c>
      <c r="V26" s="129"/>
    </row>
    <row r="27" spans="1:22" x14ac:dyDescent="0.25">
      <c r="A27" s="3" t="s">
        <v>206</v>
      </c>
      <c r="U27" s="130">
        <v>11</v>
      </c>
      <c r="V27" s="128">
        <v>21</v>
      </c>
    </row>
    <row r="28" spans="1:22" x14ac:dyDescent="0.25">
      <c r="A28" t="s">
        <v>207</v>
      </c>
      <c r="U28" s="130">
        <v>11</v>
      </c>
      <c r="V28" s="129"/>
    </row>
    <row r="29" spans="1:22" x14ac:dyDescent="0.25">
      <c r="A29" t="s">
        <v>208</v>
      </c>
      <c r="E29">
        <v>45</v>
      </c>
      <c r="F29">
        <v>70</v>
      </c>
      <c r="U29" s="130">
        <v>11</v>
      </c>
      <c r="V29" s="128">
        <v>21</v>
      </c>
    </row>
    <row r="30" spans="1:22" x14ac:dyDescent="0.25">
      <c r="A30" t="s">
        <v>209</v>
      </c>
      <c r="E30">
        <v>21</v>
      </c>
      <c r="F30">
        <v>11</v>
      </c>
      <c r="U30" s="130">
        <v>11</v>
      </c>
      <c r="V30" s="129"/>
    </row>
    <row r="31" spans="1:22" x14ac:dyDescent="0.25">
      <c r="A31" t="s">
        <v>210</v>
      </c>
      <c r="C31" t="s">
        <v>211</v>
      </c>
      <c r="D31">
        <v>21</v>
      </c>
      <c r="E31">
        <v>2</v>
      </c>
      <c r="F31">
        <f>E31*D31</f>
        <v>42</v>
      </c>
      <c r="H31">
        <f>H33*E31</f>
        <v>22.268041237113401</v>
      </c>
      <c r="I31">
        <f>H31*D31</f>
        <v>467.62886597938143</v>
      </c>
      <c r="K31">
        <f>+G33/D31</f>
        <v>51.428571428571431</v>
      </c>
      <c r="Q31" s="31"/>
    </row>
    <row r="32" spans="1:22" x14ac:dyDescent="0.25">
      <c r="A32" t="s">
        <v>212</v>
      </c>
      <c r="C32" t="s">
        <v>213</v>
      </c>
      <c r="D32">
        <v>11</v>
      </c>
      <c r="E32">
        <v>5</v>
      </c>
      <c r="F32">
        <f>E32*D32</f>
        <v>55</v>
      </c>
      <c r="H32">
        <f>H33*E32</f>
        <v>55.670103092783506</v>
      </c>
      <c r="I32">
        <f>H32*D32</f>
        <v>612.37113402061857</v>
      </c>
      <c r="K32">
        <f>+G33/D32</f>
        <v>98.181818181818187</v>
      </c>
      <c r="O32" s="32"/>
    </row>
    <row r="33" spans="1:10" x14ac:dyDescent="0.25">
      <c r="A33" t="s">
        <v>214</v>
      </c>
      <c r="F33">
        <f>SUM(F31:F32)</f>
        <v>97</v>
      </c>
      <c r="G33">
        <f>18*60</f>
        <v>1080</v>
      </c>
      <c r="H33">
        <f>G33/F33</f>
        <v>11.134020618556701</v>
      </c>
    </row>
    <row r="34" spans="1:10" x14ac:dyDescent="0.25">
      <c r="A34" t="s">
        <v>215</v>
      </c>
      <c r="D34">
        <v>21</v>
      </c>
      <c r="E34">
        <v>2</v>
      </c>
      <c r="F34" s="116">
        <f>+E34/(E34+E35)</f>
        <v>0.2857142857142857</v>
      </c>
      <c r="G34">
        <f>F34*G33</f>
        <v>308.57142857142856</v>
      </c>
      <c r="H34">
        <f>G34/D34</f>
        <v>14.693877551020407</v>
      </c>
    </row>
    <row r="35" spans="1:10" x14ac:dyDescent="0.25">
      <c r="D35">
        <v>11</v>
      </c>
      <c r="E35">
        <v>5</v>
      </c>
      <c r="F35" s="116">
        <f>+E35/(E34+E35)</f>
        <v>0.7142857142857143</v>
      </c>
      <c r="G35">
        <f>F35*G33</f>
        <v>771.42857142857144</v>
      </c>
      <c r="H35">
        <f>G35/D35</f>
        <v>70.129870129870127</v>
      </c>
    </row>
    <row r="36" spans="1:10" x14ac:dyDescent="0.25">
      <c r="A36" s="3" t="s">
        <v>216</v>
      </c>
      <c r="E36">
        <v>7</v>
      </c>
    </row>
    <row r="37" spans="1:10" x14ac:dyDescent="0.25">
      <c r="A37" s="4" t="s">
        <v>217</v>
      </c>
    </row>
    <row r="38" spans="1:10" x14ac:dyDescent="0.25">
      <c r="A38" s="4" t="s">
        <v>218</v>
      </c>
    </row>
    <row r="39" spans="1:10" x14ac:dyDescent="0.25">
      <c r="A39" t="s">
        <v>219</v>
      </c>
      <c r="J39" t="s">
        <v>220</v>
      </c>
    </row>
    <row r="40" spans="1:10" x14ac:dyDescent="0.25">
      <c r="A40" t="s">
        <v>221</v>
      </c>
      <c r="J40" t="s">
        <v>222</v>
      </c>
    </row>
    <row r="41" spans="1:10" x14ac:dyDescent="0.25">
      <c r="A41" t="s">
        <v>223</v>
      </c>
      <c r="B41" s="1"/>
    </row>
    <row r="42" spans="1:10" ht="16.5" x14ac:dyDescent="0.25">
      <c r="A42" s="27" t="s">
        <v>224</v>
      </c>
    </row>
    <row r="43" spans="1:10" ht="16.5" x14ac:dyDescent="0.25">
      <c r="A43" s="23" t="s">
        <v>225</v>
      </c>
      <c r="B43" s="1"/>
    </row>
    <row r="44" spans="1:10" ht="16.5" x14ac:dyDescent="0.25">
      <c r="A44" s="23" t="s">
        <v>226</v>
      </c>
      <c r="B44" s="1"/>
    </row>
    <row r="45" spans="1:10" ht="16.5" x14ac:dyDescent="0.25">
      <c r="A45" s="23" t="s">
        <v>227</v>
      </c>
      <c r="B45" s="1"/>
    </row>
    <row r="46" spans="1:10" ht="16.5" x14ac:dyDescent="0.25">
      <c r="A46" s="24" t="s">
        <v>228</v>
      </c>
      <c r="B46" s="1"/>
    </row>
    <row r="47" spans="1:10" ht="16.5" x14ac:dyDescent="0.25">
      <c r="A47" s="25" t="s">
        <v>229</v>
      </c>
      <c r="B47" s="1"/>
    </row>
    <row r="48" spans="1:10" ht="16.5" x14ac:dyDescent="0.25">
      <c r="A48" s="25" t="s">
        <v>230</v>
      </c>
      <c r="B48" s="1"/>
    </row>
    <row r="49" spans="1:2" ht="16.5" x14ac:dyDescent="0.25">
      <c r="A49" s="25" t="s">
        <v>231</v>
      </c>
      <c r="B49" s="1"/>
    </row>
    <row r="50" spans="1:2" ht="16.5" x14ac:dyDescent="0.25">
      <c r="A50" s="24" t="s">
        <v>232</v>
      </c>
    </row>
    <row r="51" spans="1:2" ht="16.5" x14ac:dyDescent="0.25">
      <c r="A51" s="25" t="s">
        <v>233</v>
      </c>
    </row>
    <row r="52" spans="1:2" ht="16.5" x14ac:dyDescent="0.25">
      <c r="A52" s="25" t="s">
        <v>234</v>
      </c>
    </row>
    <row r="53" spans="1:2" ht="16.5" x14ac:dyDescent="0.25">
      <c r="A53" s="25" t="s">
        <v>235</v>
      </c>
    </row>
    <row r="54" spans="1:2" ht="16.5" x14ac:dyDescent="0.25">
      <c r="A54" s="24" t="s">
        <v>236</v>
      </c>
    </row>
    <row r="55" spans="1:2" ht="16.5" x14ac:dyDescent="0.25">
      <c r="A55" s="25" t="s">
        <v>237</v>
      </c>
    </row>
    <row r="56" spans="1:2" ht="16.5" x14ac:dyDescent="0.25">
      <c r="A56" s="25" t="s">
        <v>238</v>
      </c>
    </row>
    <row r="57" spans="1:2" ht="16.5" x14ac:dyDescent="0.25">
      <c r="A57" s="25" t="s">
        <v>239</v>
      </c>
    </row>
    <row r="58" spans="1:2" ht="16.5" x14ac:dyDescent="0.25">
      <c r="A58" s="25" t="s">
        <v>240</v>
      </c>
    </row>
    <row r="59" spans="1:2" ht="16.5" x14ac:dyDescent="0.25">
      <c r="A59" s="25" t="s">
        <v>241</v>
      </c>
    </row>
    <row r="60" spans="1:2" ht="16.5" x14ac:dyDescent="0.25">
      <c r="A60" s="25" t="s">
        <v>242</v>
      </c>
    </row>
    <row r="61" spans="1:2" ht="16.5" x14ac:dyDescent="0.25">
      <c r="A61" s="24" t="s">
        <v>243</v>
      </c>
    </row>
    <row r="62" spans="1:2" ht="16.5" x14ac:dyDescent="0.25">
      <c r="A62" s="24" t="s">
        <v>244</v>
      </c>
    </row>
    <row r="63" spans="1:2" x14ac:dyDescent="0.25">
      <c r="A63" s="26" t="s">
        <v>245</v>
      </c>
    </row>
    <row r="64" spans="1:2" x14ac:dyDescent="0.25">
      <c r="A64" s="26" t="s">
        <v>246</v>
      </c>
    </row>
    <row r="65" spans="1:1" ht="16.5" x14ac:dyDescent="0.25">
      <c r="A65" s="23" t="s">
        <v>247</v>
      </c>
    </row>
    <row r="66" spans="1:1" ht="16.5" x14ac:dyDescent="0.25">
      <c r="A66" s="24" t="s">
        <v>248</v>
      </c>
    </row>
    <row r="67" spans="1:1" ht="16.5" x14ac:dyDescent="0.25">
      <c r="A67" s="24" t="s">
        <v>249</v>
      </c>
    </row>
    <row r="68" spans="1:1" ht="16.5" x14ac:dyDescent="0.25">
      <c r="A68" s="24" t="s">
        <v>250</v>
      </c>
    </row>
    <row r="69" spans="1:1" ht="16.5" x14ac:dyDescent="0.25">
      <c r="A69" s="24" t="s">
        <v>251</v>
      </c>
    </row>
  </sheetData>
  <mergeCells count="5">
    <mergeCell ref="K9:L12"/>
    <mergeCell ref="D1:D2"/>
    <mergeCell ref="E1:E2"/>
    <mergeCell ref="F1:G1"/>
    <mergeCell ref="H1:I1"/>
  </mergeCells>
  <phoneticPr fontId="5" type="noConversion"/>
  <hyperlinks>
    <hyperlink ref="A63" r:id="rId1" tooltip="https://dotnet.microsoft.com/download/dotnet/thank-you/runtime-aspnetcore-3.1.5-windows-hosting-bundle-installer" display="https://dotnet.microsoft.com/download/dotnet/thank-you/runtime-aspnetcore-3.1.5-windows-hosting-bundle-installer" xr:uid="{00000000-0004-0000-0100-000000000000}"/>
    <hyperlink ref="A64" r:id="rId2" tooltip="https://www.iis.net/downloads/microsoft/url-rewrite" display="https://www.iis.net/downloads/microsoft/url-rewrite" xr:uid="{00000000-0004-0000-0100-000001000000}"/>
  </hyperlinks>
  <pageMargins left="0.7" right="0.7" top="0.75" bottom="0.75" header="0.3" footer="0.3"/>
  <pageSetup paperSize="9" orientation="portrait" verticalDpi="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8835A4CBF55C4A8DB94C754DCCBFAE" ma:contentTypeVersion="0" ma:contentTypeDescription="Create a new document." ma:contentTypeScope="" ma:versionID="b27b6cedd2834c04889e3756aa6ef4a5">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55B3D-125B-42BF-BB8C-C23C1236CCFF}">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50F88582-3179-4497-BAAE-8DE312D7003C}">
  <ds:schemaRefs>
    <ds:schemaRef ds:uri="http://schemas.microsoft.com/sharepoint/v3/contenttype/forms"/>
  </ds:schemaRefs>
</ds:datastoreItem>
</file>

<file path=customXml/itemProps3.xml><?xml version="1.0" encoding="utf-8"?>
<ds:datastoreItem xmlns:ds="http://schemas.openxmlformats.org/officeDocument/2006/customXml" ds:itemID="{5285AF10-E22A-4015-BEFA-82FDF8B9A7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Estimated Efforts</vt:lpstr>
      <vt:lpstr>RoI - UiPath</vt:lpstr>
    </vt:vector>
  </TitlesOfParts>
  <Manager/>
  <Company>Cybage Software Pvt.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Lalkar Eknath Chhadawelkar</dc:creator>
  <cp:keywords/>
  <dc:description/>
  <cp:lastModifiedBy>Lalkar Eknath Chhadawelkar</cp:lastModifiedBy>
  <cp:revision/>
  <dcterms:created xsi:type="dcterms:W3CDTF">2022-11-08T05:21:23Z</dcterms:created>
  <dcterms:modified xsi:type="dcterms:W3CDTF">2023-05-17T05:57:37Z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0x010100898835A4CBF55C4A8DB94C754DCCBFAE</vt:lpwstr>
  </property>
</Properties>
</file>